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929831FC-27C2-4031-916B-2D3291DD2F65}" xr6:coauthVersionLast="47" xr6:coauthVersionMax="47" xr10:uidLastSave="{00000000-0000-0000-0000-000000000000}"/>
  <workbookProtection lockWindows="1"/>
  <bookViews>
    <workbookView xWindow="-120" yWindow="-120" windowWidth="20730" windowHeight="11160" firstSheet="1" activeTab="1" xr2:uid="{00000000-000D-0000-FFFF-FFFF00000000}"/>
  </bookViews>
  <sheets>
    <sheet name="Sheet1" sheetId="32" state="hidden" r:id="rId1"/>
    <sheet name="BAODUONGXM2" sheetId="53" r:id="rId2"/>
    <sheet name="Sheet2" sheetId="55" r:id="rId3"/>
    <sheet name="DUC-BS" sheetId="54" r:id="rId4"/>
    <sheet name="TIEN DO (2019)" sheetId="22" state="hidden" r:id="rId5"/>
    <sheet name="KEHOACH 2019" sheetId="21" state="hidden" r:id="rId6"/>
  </sheets>
  <externalReferences>
    <externalReference r:id="rId7"/>
    <externalReference r:id="rId8"/>
  </externalReferences>
  <definedNames>
    <definedName name="_xlnm._FilterDatabase" localSheetId="1" hidden="1">BAODUONGXM2!$A$2:$AYN$3398</definedName>
    <definedName name="_xlnm._FilterDatabase" localSheetId="3" hidden="1">'DUC-BS'!$A$4:$WPV$328</definedName>
    <definedName name="_xlnm._FilterDatabase" localSheetId="0" hidden="1">Sheet1!$A$2:$T$43</definedName>
    <definedName name="_xlnm._FilterDatabase" localSheetId="4" hidden="1">'TIEN DO (2019)'!$A$1:$I$307</definedName>
    <definedName name="_xlnm.Print_Area" localSheetId="1">BAODUONGXM2!$B$1:$N$3174</definedName>
    <definedName name="_xlnm.Print_Area" localSheetId="4">'TIEN DO (2019)'!$A$1:$E$307</definedName>
    <definedName name="_xlnm.Print_Titles" localSheetId="0">Sheet1!$2:$2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N4" i="53" l="1"/>
  <c r="ON5" i="53"/>
  <c r="ON6" i="53"/>
  <c r="ON7" i="53"/>
  <c r="ON8" i="53"/>
  <c r="ON9" i="53"/>
  <c r="ON10" i="53"/>
  <c r="ON11" i="53"/>
  <c r="ON12" i="53"/>
  <c r="ON13" i="53"/>
  <c r="ON14" i="53"/>
  <c r="ON15" i="53"/>
  <c r="ON16" i="53"/>
  <c r="ON17" i="53"/>
  <c r="ON18" i="53"/>
  <c r="ON19" i="53"/>
  <c r="ON20" i="53"/>
  <c r="ON21" i="53"/>
  <c r="ON22" i="53"/>
  <c r="ON23" i="53"/>
  <c r="ON24" i="53"/>
  <c r="ON25" i="53"/>
  <c r="ON26" i="53"/>
  <c r="ON27" i="53"/>
  <c r="ON28" i="53"/>
  <c r="ON29" i="53"/>
  <c r="ON30" i="53"/>
  <c r="ON31" i="53"/>
  <c r="ON32" i="53"/>
  <c r="ON33" i="53"/>
  <c r="ON34" i="53"/>
  <c r="ON35" i="53"/>
  <c r="ON36" i="53"/>
  <c r="ON37" i="53"/>
  <c r="ON38" i="53"/>
  <c r="ON39" i="53"/>
  <c r="ON40" i="53"/>
  <c r="ON41" i="53"/>
  <c r="ON42" i="53"/>
  <c r="ON43" i="53"/>
  <c r="ON44" i="53"/>
  <c r="ON45" i="53"/>
  <c r="ON46" i="53"/>
  <c r="ON47" i="53"/>
  <c r="ON48" i="53"/>
  <c r="ON49" i="53"/>
  <c r="ON50" i="53"/>
  <c r="ON51" i="53"/>
  <c r="ON52" i="53"/>
  <c r="ON53" i="53"/>
  <c r="ON54" i="53"/>
  <c r="ON55" i="53"/>
  <c r="ON56" i="53"/>
  <c r="ON57" i="53"/>
  <c r="ON58" i="53"/>
  <c r="ON59" i="53"/>
  <c r="ON60" i="53"/>
  <c r="ON61" i="53"/>
  <c r="ON62" i="53"/>
  <c r="ON63" i="53"/>
  <c r="ON64" i="53"/>
  <c r="ON65" i="53"/>
  <c r="ON66" i="53"/>
  <c r="ON67" i="53"/>
  <c r="ON68" i="53"/>
  <c r="ON69" i="53"/>
  <c r="ON70" i="53"/>
  <c r="ON71" i="53"/>
  <c r="ON72" i="53"/>
  <c r="ON73" i="53"/>
  <c r="ON74" i="53"/>
  <c r="ON75" i="53"/>
  <c r="ON76" i="53"/>
  <c r="ON77" i="53"/>
  <c r="ON78" i="53"/>
  <c r="ON79" i="53"/>
  <c r="ON80" i="53"/>
  <c r="ON81" i="53"/>
  <c r="ON82" i="53"/>
  <c r="ON83" i="53"/>
  <c r="ON84" i="53"/>
  <c r="ON85" i="53"/>
  <c r="ON86" i="53"/>
  <c r="ON87" i="53"/>
  <c r="ON88" i="53"/>
  <c r="ON89" i="53"/>
  <c r="ON90" i="53"/>
  <c r="ON91" i="53"/>
  <c r="ON92" i="53"/>
  <c r="ON93" i="53"/>
  <c r="ON94" i="53"/>
  <c r="ON95" i="53"/>
  <c r="ON96" i="53"/>
  <c r="ON97" i="53"/>
  <c r="ON98" i="53"/>
  <c r="ON99" i="53"/>
  <c r="ON100" i="53"/>
  <c r="ON101" i="53"/>
  <c r="ON102" i="53"/>
  <c r="ON103" i="53"/>
  <c r="ON104" i="53"/>
  <c r="ON105" i="53"/>
  <c r="ON106" i="53"/>
  <c r="ON107" i="53"/>
  <c r="ON108" i="53"/>
  <c r="ON109" i="53"/>
  <c r="ON110" i="53"/>
  <c r="ON111" i="53"/>
  <c r="ON112" i="53"/>
  <c r="ON113" i="53"/>
  <c r="ON114" i="53"/>
  <c r="ON115" i="53"/>
  <c r="ON116" i="53"/>
  <c r="ON117" i="53"/>
  <c r="ON118" i="53"/>
  <c r="ON119" i="53"/>
  <c r="ON120" i="53"/>
  <c r="ON121" i="53"/>
  <c r="ON122" i="53"/>
  <c r="ON123" i="53"/>
  <c r="ON124" i="53"/>
  <c r="ON125" i="53"/>
  <c r="ON126" i="53"/>
  <c r="ON127" i="53"/>
  <c r="ON128" i="53"/>
  <c r="ON129" i="53"/>
  <c r="ON130" i="53"/>
  <c r="ON131" i="53"/>
  <c r="ON132" i="53"/>
  <c r="ON133" i="53"/>
  <c r="ON134" i="53"/>
  <c r="ON135" i="53"/>
  <c r="ON136" i="53"/>
  <c r="ON137" i="53"/>
  <c r="ON138" i="53"/>
  <c r="ON139" i="53"/>
  <c r="ON140" i="53"/>
  <c r="ON141" i="53"/>
  <c r="ON142" i="53"/>
  <c r="ON143" i="53"/>
  <c r="ON144" i="53"/>
  <c r="ON145" i="53"/>
  <c r="ON146" i="53"/>
  <c r="ON147" i="53"/>
  <c r="ON148" i="53"/>
  <c r="ON149" i="53"/>
  <c r="ON150" i="53"/>
  <c r="ON151" i="53"/>
  <c r="ON152" i="53"/>
  <c r="ON153" i="53"/>
  <c r="ON154" i="53"/>
  <c r="ON155" i="53"/>
  <c r="ON156" i="53"/>
  <c r="ON157" i="53"/>
  <c r="ON158" i="53"/>
  <c r="ON159" i="53"/>
  <c r="ON160" i="53"/>
  <c r="ON161" i="53"/>
  <c r="ON162" i="53"/>
  <c r="ON163" i="53"/>
  <c r="ON164" i="53"/>
  <c r="ON165" i="53"/>
  <c r="ON166" i="53"/>
  <c r="ON167" i="53"/>
  <c r="ON168" i="53"/>
  <c r="ON169" i="53"/>
  <c r="ON170" i="53"/>
  <c r="ON171" i="53"/>
  <c r="ON172" i="53"/>
  <c r="ON173" i="53"/>
  <c r="ON174" i="53"/>
  <c r="ON175" i="53"/>
  <c r="ON176" i="53"/>
  <c r="ON177" i="53"/>
  <c r="ON178" i="53"/>
  <c r="ON179" i="53"/>
  <c r="ON180" i="53"/>
  <c r="ON181" i="53"/>
  <c r="ON182" i="53"/>
  <c r="ON183" i="53"/>
  <c r="ON184" i="53"/>
  <c r="ON185" i="53"/>
  <c r="ON186" i="53"/>
  <c r="ON187" i="53"/>
  <c r="ON188" i="53"/>
  <c r="ON189" i="53"/>
  <c r="ON190" i="53"/>
  <c r="ON191" i="53"/>
  <c r="ON192" i="53"/>
  <c r="ON193" i="53"/>
  <c r="ON194" i="53"/>
  <c r="ON195" i="53"/>
  <c r="ON196" i="53"/>
  <c r="ON197" i="53"/>
  <c r="ON198" i="53"/>
  <c r="ON199" i="53"/>
  <c r="ON200" i="53"/>
  <c r="ON201" i="53"/>
  <c r="ON202" i="53"/>
  <c r="ON203" i="53"/>
  <c r="ON204" i="53"/>
  <c r="ON205" i="53"/>
  <c r="ON206" i="53"/>
  <c r="ON207" i="53"/>
  <c r="ON208" i="53"/>
  <c r="ON209" i="53"/>
  <c r="ON210" i="53"/>
  <c r="ON211" i="53"/>
  <c r="ON212" i="53"/>
  <c r="ON213" i="53"/>
  <c r="ON214" i="53"/>
  <c r="ON215" i="53"/>
  <c r="ON216" i="53"/>
  <c r="ON217" i="53"/>
  <c r="ON218" i="53"/>
  <c r="ON219" i="53"/>
  <c r="ON220" i="53"/>
  <c r="ON221" i="53"/>
  <c r="ON222" i="53"/>
  <c r="ON223" i="53"/>
  <c r="ON224" i="53"/>
  <c r="ON225" i="53"/>
  <c r="ON226" i="53"/>
  <c r="ON227" i="53"/>
  <c r="ON228" i="53"/>
  <c r="ON229" i="53"/>
  <c r="ON230" i="53"/>
  <c r="ON231" i="53"/>
  <c r="ON232" i="53"/>
  <c r="ON233" i="53"/>
  <c r="ON234" i="53"/>
  <c r="ON235" i="53"/>
  <c r="ON236" i="53"/>
  <c r="ON237" i="53"/>
  <c r="ON238" i="53"/>
  <c r="ON239" i="53"/>
  <c r="ON240" i="53"/>
  <c r="ON241" i="53"/>
  <c r="ON242" i="53"/>
  <c r="ON243" i="53"/>
  <c r="ON244" i="53"/>
  <c r="ON245" i="53"/>
  <c r="ON246" i="53"/>
  <c r="ON247" i="53"/>
  <c r="ON248" i="53"/>
  <c r="ON249" i="53"/>
  <c r="ON250" i="53"/>
  <c r="ON251" i="53"/>
  <c r="ON252" i="53"/>
  <c r="ON253" i="53"/>
  <c r="ON254" i="53"/>
  <c r="ON255" i="53"/>
  <c r="ON256" i="53"/>
  <c r="ON257" i="53"/>
  <c r="ON258" i="53"/>
  <c r="ON259" i="53"/>
  <c r="ON260" i="53"/>
  <c r="ON261" i="53"/>
  <c r="ON262" i="53"/>
  <c r="ON263" i="53"/>
  <c r="ON264" i="53"/>
  <c r="ON265" i="53"/>
  <c r="ON266" i="53"/>
  <c r="ON267" i="53"/>
  <c r="ON268" i="53"/>
  <c r="ON269" i="53"/>
  <c r="ON270" i="53"/>
  <c r="ON271" i="53"/>
  <c r="ON272" i="53"/>
  <c r="ON273" i="53"/>
  <c r="ON274" i="53"/>
  <c r="ON275" i="53"/>
  <c r="ON276" i="53"/>
  <c r="ON277" i="53"/>
  <c r="ON278" i="53"/>
  <c r="ON279" i="53"/>
  <c r="ON280" i="53"/>
  <c r="ON281" i="53"/>
  <c r="ON282" i="53"/>
  <c r="ON283" i="53"/>
  <c r="ON284" i="53"/>
  <c r="ON285" i="53"/>
  <c r="ON286" i="53"/>
  <c r="ON287" i="53"/>
  <c r="ON288" i="53"/>
  <c r="ON289" i="53"/>
  <c r="ON290" i="53"/>
  <c r="ON291" i="53"/>
  <c r="ON292" i="53"/>
  <c r="ON293" i="53"/>
  <c r="ON294" i="53"/>
  <c r="ON295" i="53"/>
  <c r="ON296" i="53"/>
  <c r="ON297" i="53"/>
  <c r="ON298" i="53"/>
  <c r="ON299" i="53"/>
  <c r="ON300" i="53"/>
  <c r="ON301" i="53"/>
  <c r="ON302" i="53"/>
  <c r="ON303" i="53"/>
  <c r="ON304" i="53"/>
  <c r="ON305" i="53"/>
  <c r="ON306" i="53"/>
  <c r="ON307" i="53"/>
  <c r="ON308" i="53"/>
  <c r="ON309" i="53"/>
  <c r="ON310" i="53"/>
  <c r="ON311" i="53"/>
  <c r="ON312" i="53"/>
  <c r="ON313" i="53"/>
  <c r="ON314" i="53"/>
  <c r="ON315" i="53"/>
  <c r="ON316" i="53"/>
  <c r="ON317" i="53"/>
  <c r="ON318" i="53"/>
  <c r="ON319" i="53"/>
  <c r="ON320" i="53"/>
  <c r="ON321" i="53"/>
  <c r="ON322" i="53"/>
  <c r="ON323" i="53"/>
  <c r="ON324" i="53"/>
  <c r="ON325" i="53"/>
  <c r="ON326" i="53"/>
  <c r="ON327" i="53"/>
  <c r="ON328" i="53"/>
  <c r="ON329" i="53"/>
  <c r="ON330" i="53"/>
  <c r="ON331" i="53"/>
  <c r="ON332" i="53"/>
  <c r="ON333" i="53"/>
  <c r="ON334" i="53"/>
  <c r="ON335" i="53"/>
  <c r="ON336" i="53"/>
  <c r="ON337" i="53"/>
  <c r="ON338" i="53"/>
  <c r="ON339" i="53"/>
  <c r="ON340" i="53"/>
  <c r="ON341" i="53"/>
  <c r="ON342" i="53"/>
  <c r="ON343" i="53"/>
  <c r="ON344" i="53"/>
  <c r="ON345" i="53"/>
  <c r="ON346" i="53"/>
  <c r="ON347" i="53"/>
  <c r="ON348" i="53"/>
  <c r="ON349" i="53"/>
  <c r="ON350" i="53"/>
  <c r="ON351" i="53"/>
  <c r="ON352" i="53"/>
  <c r="ON353" i="53"/>
  <c r="ON354" i="53"/>
  <c r="ON355" i="53"/>
  <c r="ON356" i="53"/>
  <c r="ON357" i="53"/>
  <c r="ON358" i="53"/>
  <c r="ON359" i="53"/>
  <c r="ON360" i="53"/>
  <c r="ON361" i="53"/>
  <c r="ON362" i="53"/>
  <c r="ON363" i="53"/>
  <c r="ON364" i="53"/>
  <c r="ON365" i="53"/>
  <c r="ON366" i="53"/>
  <c r="ON367" i="53"/>
  <c r="ON368" i="53"/>
  <c r="ON369" i="53"/>
  <c r="ON370" i="53"/>
  <c r="ON371" i="53"/>
  <c r="ON372" i="53"/>
  <c r="ON373" i="53"/>
  <c r="ON374" i="53"/>
  <c r="ON375" i="53"/>
  <c r="ON376" i="53"/>
  <c r="ON377" i="53"/>
  <c r="ON378" i="53"/>
  <c r="ON379" i="53"/>
  <c r="ON380" i="53"/>
  <c r="ON381" i="53"/>
  <c r="ON382" i="53"/>
  <c r="ON383" i="53"/>
  <c r="ON384" i="53"/>
  <c r="ON385" i="53"/>
  <c r="ON386" i="53"/>
  <c r="ON387" i="53"/>
  <c r="ON388" i="53"/>
  <c r="ON389" i="53"/>
  <c r="ON390" i="53"/>
  <c r="ON391" i="53"/>
  <c r="ON392" i="53"/>
  <c r="ON393" i="53"/>
  <c r="ON394" i="53"/>
  <c r="ON395" i="53"/>
  <c r="ON396" i="53"/>
  <c r="ON397" i="53"/>
  <c r="ON398" i="53"/>
  <c r="ON399" i="53"/>
  <c r="ON400" i="53"/>
  <c r="ON401" i="53"/>
  <c r="ON402" i="53"/>
  <c r="ON403" i="53"/>
  <c r="ON404" i="53"/>
  <c r="ON405" i="53"/>
  <c r="ON406" i="53"/>
  <c r="ON407" i="53"/>
  <c r="ON408" i="53"/>
  <c r="ON409" i="53"/>
  <c r="ON410" i="53"/>
  <c r="ON411" i="53"/>
  <c r="ON412" i="53"/>
  <c r="ON413" i="53"/>
  <c r="ON414" i="53"/>
  <c r="ON415" i="53"/>
  <c r="ON416" i="53"/>
  <c r="ON417" i="53"/>
  <c r="ON418" i="53"/>
  <c r="ON419" i="53"/>
  <c r="ON420" i="53"/>
  <c r="ON421" i="53"/>
  <c r="ON422" i="53"/>
  <c r="ON423" i="53"/>
  <c r="ON424" i="53"/>
  <c r="ON425" i="53"/>
  <c r="ON426" i="53"/>
  <c r="ON427" i="53"/>
  <c r="ON428" i="53"/>
  <c r="ON429" i="53"/>
  <c r="ON430" i="53"/>
  <c r="ON431" i="53"/>
  <c r="ON432" i="53"/>
  <c r="ON433" i="53"/>
  <c r="ON434" i="53"/>
  <c r="ON435" i="53"/>
  <c r="ON436" i="53"/>
  <c r="ON437" i="53"/>
  <c r="ON438" i="53"/>
  <c r="ON439" i="53"/>
  <c r="ON440" i="53"/>
  <c r="ON441" i="53"/>
  <c r="ON442" i="53"/>
  <c r="ON443" i="53"/>
  <c r="ON444" i="53"/>
  <c r="ON445" i="53"/>
  <c r="ON446" i="53"/>
  <c r="ON447" i="53"/>
  <c r="ON448" i="53"/>
  <c r="ON449" i="53"/>
  <c r="ON450" i="53"/>
  <c r="ON451" i="53"/>
  <c r="ON452" i="53"/>
  <c r="ON453" i="53"/>
  <c r="ON454" i="53"/>
  <c r="ON455" i="53"/>
  <c r="ON456" i="53"/>
  <c r="ON457" i="53"/>
  <c r="ON458" i="53"/>
  <c r="ON459" i="53"/>
  <c r="ON460" i="53"/>
  <c r="ON461" i="53"/>
  <c r="ON462" i="53"/>
  <c r="ON463" i="53"/>
  <c r="ON464" i="53"/>
  <c r="ON465" i="53"/>
  <c r="ON466" i="53"/>
  <c r="ON467" i="53"/>
  <c r="ON468" i="53"/>
  <c r="ON469" i="53"/>
  <c r="ON470" i="53"/>
  <c r="ON471" i="53"/>
  <c r="ON472" i="53"/>
  <c r="ON473" i="53"/>
  <c r="ON474" i="53"/>
  <c r="ON475" i="53"/>
  <c r="ON476" i="53"/>
  <c r="ON477" i="53"/>
  <c r="ON478" i="53"/>
  <c r="ON479" i="53"/>
  <c r="ON480" i="53"/>
  <c r="ON481" i="53"/>
  <c r="ON482" i="53"/>
  <c r="ON483" i="53"/>
  <c r="ON484" i="53"/>
  <c r="ON485" i="53"/>
  <c r="ON486" i="53"/>
  <c r="ON487" i="53"/>
  <c r="ON488" i="53"/>
  <c r="ON489" i="53"/>
  <c r="ON490" i="53"/>
  <c r="ON491" i="53"/>
  <c r="ON492" i="53"/>
  <c r="ON493" i="53"/>
  <c r="ON494" i="53"/>
  <c r="ON495" i="53"/>
  <c r="ON496" i="53"/>
  <c r="ON497" i="53"/>
  <c r="ON498" i="53"/>
  <c r="ON499" i="53"/>
  <c r="ON500" i="53"/>
  <c r="ON501" i="53"/>
  <c r="ON502" i="53"/>
  <c r="ON503" i="53"/>
  <c r="ON504" i="53"/>
  <c r="ON505" i="53"/>
  <c r="ON506" i="53"/>
  <c r="ON507" i="53"/>
  <c r="ON508" i="53"/>
  <c r="ON509" i="53"/>
  <c r="ON510" i="53"/>
  <c r="ON511" i="53"/>
  <c r="ON512" i="53"/>
  <c r="ON513" i="53"/>
  <c r="ON514" i="53"/>
  <c r="ON515" i="53"/>
  <c r="ON516" i="53"/>
  <c r="ON517" i="53"/>
  <c r="ON518" i="53"/>
  <c r="ON519" i="53"/>
  <c r="ON520" i="53"/>
  <c r="ON521" i="53"/>
  <c r="ON522" i="53"/>
  <c r="ON523" i="53"/>
  <c r="ON524" i="53"/>
  <c r="ON525" i="53"/>
  <c r="ON526" i="53"/>
  <c r="ON527" i="53"/>
  <c r="ON528" i="53"/>
  <c r="ON529" i="53"/>
  <c r="ON530" i="53"/>
  <c r="ON531" i="53"/>
  <c r="ON532" i="53"/>
  <c r="ON533" i="53"/>
  <c r="ON534" i="53"/>
  <c r="ON535" i="53"/>
  <c r="ON536" i="53"/>
  <c r="ON537" i="53"/>
  <c r="ON538" i="53"/>
  <c r="ON539" i="53"/>
  <c r="ON540" i="53"/>
  <c r="ON541" i="53"/>
  <c r="ON542" i="53"/>
  <c r="ON543" i="53"/>
  <c r="ON544" i="53"/>
  <c r="ON545" i="53"/>
  <c r="ON546" i="53"/>
  <c r="ON547" i="53"/>
  <c r="ON548" i="53"/>
  <c r="ON549" i="53"/>
  <c r="ON550" i="53"/>
  <c r="ON551" i="53"/>
  <c r="ON552" i="53"/>
  <c r="ON553" i="53"/>
  <c r="ON554" i="53"/>
  <c r="ON555" i="53"/>
  <c r="ON556" i="53"/>
  <c r="ON557" i="53"/>
  <c r="ON558" i="53"/>
  <c r="ON559" i="53"/>
  <c r="ON560" i="53"/>
  <c r="ON561" i="53"/>
  <c r="ON562" i="53"/>
  <c r="ON563" i="53"/>
  <c r="ON564" i="53"/>
  <c r="ON565" i="53"/>
  <c r="ON566" i="53"/>
  <c r="ON567" i="53"/>
  <c r="ON568" i="53"/>
  <c r="ON569" i="53"/>
  <c r="ON570" i="53"/>
  <c r="ON571" i="53"/>
  <c r="ON572" i="53"/>
  <c r="ON573" i="53"/>
  <c r="ON574" i="53"/>
  <c r="ON575" i="53"/>
  <c r="ON576" i="53"/>
  <c r="ON577" i="53"/>
  <c r="ON578" i="53"/>
  <c r="ON579" i="53"/>
  <c r="ON580" i="53"/>
  <c r="ON581" i="53"/>
  <c r="ON582" i="53"/>
  <c r="ON583" i="53"/>
  <c r="ON584" i="53"/>
  <c r="ON585" i="53"/>
  <c r="ON586" i="53"/>
  <c r="ON587" i="53"/>
  <c r="ON588" i="53"/>
  <c r="ON589" i="53"/>
  <c r="ON590" i="53"/>
  <c r="ON591" i="53"/>
  <c r="ON592" i="53"/>
  <c r="ON593" i="53"/>
  <c r="ON594" i="53"/>
  <c r="ON595" i="53"/>
  <c r="ON596" i="53"/>
  <c r="ON597" i="53"/>
  <c r="ON598" i="53"/>
  <c r="ON599" i="53"/>
  <c r="ON600" i="53"/>
  <c r="ON601" i="53"/>
  <c r="ON602" i="53"/>
  <c r="ON603" i="53"/>
  <c r="ON604" i="53"/>
  <c r="ON605" i="53"/>
  <c r="ON606" i="53"/>
  <c r="ON607" i="53"/>
  <c r="ON608" i="53"/>
  <c r="ON609" i="53"/>
  <c r="ON610" i="53"/>
  <c r="ON611" i="53"/>
  <c r="ON612" i="53"/>
  <c r="ON613" i="53"/>
  <c r="ON614" i="53"/>
  <c r="ON615" i="53"/>
  <c r="ON616" i="53"/>
  <c r="ON617" i="53"/>
  <c r="ON618" i="53"/>
  <c r="ON619" i="53"/>
  <c r="ON620" i="53"/>
  <c r="ON621" i="53"/>
  <c r="ON622" i="53"/>
  <c r="ON623" i="53"/>
  <c r="ON624" i="53"/>
  <c r="ON625" i="53"/>
  <c r="ON626" i="53"/>
  <c r="ON627" i="53"/>
  <c r="ON628" i="53"/>
  <c r="ON629" i="53"/>
  <c r="ON630" i="53"/>
  <c r="ON631" i="53"/>
  <c r="ON632" i="53"/>
  <c r="ON633" i="53"/>
  <c r="ON634" i="53"/>
  <c r="ON635" i="53"/>
  <c r="ON636" i="53"/>
  <c r="ON637" i="53"/>
  <c r="ON638" i="53"/>
  <c r="ON639" i="53"/>
  <c r="ON640" i="53"/>
  <c r="ON641" i="53"/>
  <c r="ON642" i="53"/>
  <c r="ON643" i="53"/>
  <c r="ON644" i="53"/>
  <c r="ON645" i="53"/>
  <c r="ON646" i="53"/>
  <c r="ON647" i="53"/>
  <c r="ON648" i="53"/>
  <c r="ON649" i="53"/>
  <c r="ON650" i="53"/>
  <c r="ON651" i="53"/>
  <c r="ON652" i="53"/>
  <c r="ON653" i="53"/>
  <c r="ON654" i="53"/>
  <c r="ON655" i="53"/>
  <c r="ON656" i="53"/>
  <c r="ON657" i="53"/>
  <c r="ON658" i="53"/>
  <c r="ON659" i="53"/>
  <c r="ON660" i="53"/>
  <c r="ON661" i="53"/>
  <c r="ON662" i="53"/>
  <c r="ON663" i="53"/>
  <c r="ON664" i="53"/>
  <c r="ON665" i="53"/>
  <c r="ON666" i="53"/>
  <c r="ON667" i="53"/>
  <c r="ON668" i="53"/>
  <c r="ON669" i="53"/>
  <c r="ON670" i="53"/>
  <c r="ON671" i="53"/>
  <c r="ON672" i="53"/>
  <c r="ON673" i="53"/>
  <c r="ON674" i="53"/>
  <c r="ON675" i="53"/>
  <c r="ON676" i="53"/>
  <c r="ON677" i="53"/>
  <c r="ON678" i="53"/>
  <c r="ON679" i="53"/>
  <c r="ON680" i="53"/>
  <c r="ON681" i="53"/>
  <c r="ON682" i="53"/>
  <c r="ON683" i="53"/>
  <c r="ON684" i="53"/>
  <c r="ON685" i="53"/>
  <c r="ON686" i="53"/>
  <c r="ON687" i="53"/>
  <c r="ON688" i="53"/>
  <c r="ON689" i="53"/>
  <c r="ON690" i="53"/>
  <c r="ON691" i="53"/>
  <c r="ON692" i="53"/>
  <c r="ON693" i="53"/>
  <c r="ON694" i="53"/>
  <c r="ON695" i="53"/>
  <c r="ON696" i="53"/>
  <c r="ON697" i="53"/>
  <c r="ON698" i="53"/>
  <c r="ON699" i="53"/>
  <c r="ON700" i="53"/>
  <c r="ON701" i="53"/>
  <c r="ON702" i="53"/>
  <c r="ON703" i="53"/>
  <c r="ON704" i="53"/>
  <c r="ON705" i="53"/>
  <c r="ON706" i="53"/>
  <c r="ON707" i="53"/>
  <c r="ON708" i="53"/>
  <c r="ON709" i="53"/>
  <c r="ON710" i="53"/>
  <c r="ON711" i="53"/>
  <c r="ON712" i="53"/>
  <c r="ON713" i="53"/>
  <c r="ON714" i="53"/>
  <c r="ON715" i="53"/>
  <c r="ON716" i="53"/>
  <c r="ON717" i="53"/>
  <c r="ON718" i="53"/>
  <c r="ON719" i="53"/>
  <c r="ON720" i="53"/>
  <c r="ON721" i="53"/>
  <c r="ON722" i="53"/>
  <c r="ON723" i="53"/>
  <c r="ON724" i="53"/>
  <c r="ON725" i="53"/>
  <c r="ON726" i="53"/>
  <c r="ON727" i="53"/>
  <c r="ON728" i="53"/>
  <c r="ON729" i="53"/>
  <c r="ON730" i="53"/>
  <c r="ON731" i="53"/>
  <c r="ON732" i="53"/>
  <c r="ON733" i="53"/>
  <c r="ON734" i="53"/>
  <c r="ON735" i="53"/>
  <c r="ON736" i="53"/>
  <c r="ON737" i="53"/>
  <c r="ON738" i="53"/>
  <c r="ON739" i="53"/>
  <c r="ON740" i="53"/>
  <c r="ON741" i="53"/>
  <c r="ON742" i="53"/>
  <c r="ON743" i="53"/>
  <c r="ON744" i="53"/>
  <c r="ON745" i="53"/>
  <c r="ON746" i="53"/>
  <c r="ON747" i="53"/>
  <c r="ON748" i="53"/>
  <c r="ON749" i="53"/>
  <c r="ON750" i="53"/>
  <c r="ON751" i="53"/>
  <c r="ON752" i="53"/>
  <c r="ON753" i="53"/>
  <c r="ON754" i="53"/>
  <c r="ON755" i="53"/>
  <c r="ON756" i="53"/>
  <c r="ON757" i="53"/>
  <c r="ON758" i="53"/>
  <c r="ON759" i="53"/>
  <c r="ON760" i="53"/>
  <c r="ON761" i="53"/>
  <c r="ON762" i="53"/>
  <c r="ON763" i="53"/>
  <c r="ON764" i="53"/>
  <c r="ON765" i="53"/>
  <c r="ON766" i="53"/>
  <c r="ON767" i="53"/>
  <c r="ON768" i="53"/>
  <c r="ON769" i="53"/>
  <c r="ON770" i="53"/>
  <c r="ON771" i="53"/>
  <c r="ON772" i="53"/>
  <c r="ON773" i="53"/>
  <c r="ON774" i="53"/>
  <c r="ON775" i="53"/>
  <c r="ON776" i="53"/>
  <c r="ON777" i="53"/>
  <c r="ON778" i="53"/>
  <c r="ON779" i="53"/>
  <c r="ON780" i="53"/>
  <c r="ON781" i="53"/>
  <c r="ON782" i="53"/>
  <c r="ON783" i="53"/>
  <c r="ON784" i="53"/>
  <c r="ON785" i="53"/>
  <c r="ON786" i="53"/>
  <c r="ON787" i="53"/>
  <c r="ON788" i="53"/>
  <c r="ON789" i="53"/>
  <c r="ON790" i="53"/>
  <c r="ON791" i="53"/>
  <c r="ON792" i="53"/>
  <c r="ON793" i="53"/>
  <c r="ON794" i="53"/>
  <c r="ON795" i="53"/>
  <c r="ON796" i="53"/>
  <c r="ON797" i="53"/>
  <c r="ON798" i="53"/>
  <c r="ON799" i="53"/>
  <c r="ON800" i="53"/>
  <c r="ON801" i="53"/>
  <c r="ON802" i="53"/>
  <c r="ON803" i="53"/>
  <c r="ON804" i="53"/>
  <c r="ON805" i="53"/>
  <c r="ON806" i="53"/>
  <c r="ON807" i="53"/>
  <c r="ON808" i="53"/>
  <c r="ON809" i="53"/>
  <c r="ON810" i="53"/>
  <c r="ON811" i="53"/>
  <c r="ON812" i="53"/>
  <c r="ON813" i="53"/>
  <c r="ON814" i="53"/>
  <c r="ON815" i="53"/>
  <c r="ON816" i="53"/>
  <c r="ON817" i="53"/>
  <c r="ON818" i="53"/>
  <c r="ON819" i="53"/>
  <c r="ON820" i="53"/>
  <c r="ON821" i="53"/>
  <c r="ON822" i="53"/>
  <c r="ON823" i="53"/>
  <c r="ON824" i="53"/>
  <c r="ON825" i="53"/>
  <c r="ON826" i="53"/>
  <c r="ON827" i="53"/>
  <c r="ON828" i="53"/>
  <c r="ON829" i="53"/>
  <c r="ON830" i="53"/>
  <c r="ON831" i="53"/>
  <c r="ON832" i="53"/>
  <c r="ON833" i="53"/>
  <c r="ON834" i="53"/>
  <c r="ON835" i="53"/>
  <c r="ON836" i="53"/>
  <c r="ON837" i="53"/>
  <c r="ON838" i="53"/>
  <c r="ON839" i="53"/>
  <c r="ON840" i="53"/>
  <c r="ON841" i="53"/>
  <c r="ON842" i="53"/>
  <c r="ON843" i="53"/>
  <c r="ON844" i="53"/>
  <c r="ON845" i="53"/>
  <c r="ON846" i="53"/>
  <c r="ON847" i="53"/>
  <c r="ON848" i="53"/>
  <c r="ON849" i="53"/>
  <c r="ON850" i="53"/>
  <c r="ON851" i="53"/>
  <c r="ON852" i="53"/>
  <c r="ON853" i="53"/>
  <c r="ON854" i="53"/>
  <c r="ON855" i="53"/>
  <c r="ON856" i="53"/>
  <c r="ON857" i="53"/>
  <c r="ON858" i="53"/>
  <c r="ON859" i="53"/>
  <c r="ON860" i="53"/>
  <c r="ON861" i="53"/>
  <c r="ON862" i="53"/>
  <c r="ON863" i="53"/>
  <c r="ON864" i="53"/>
  <c r="ON865" i="53"/>
  <c r="ON866" i="53"/>
  <c r="ON867" i="53"/>
  <c r="ON868" i="53"/>
  <c r="ON869" i="53"/>
  <c r="ON870" i="53"/>
  <c r="ON871" i="53"/>
  <c r="ON872" i="53"/>
  <c r="ON873" i="53"/>
  <c r="ON874" i="53"/>
  <c r="ON875" i="53"/>
  <c r="ON876" i="53"/>
  <c r="ON877" i="53"/>
  <c r="ON878" i="53"/>
  <c r="ON879" i="53"/>
  <c r="ON880" i="53"/>
  <c r="ON881" i="53"/>
  <c r="ON882" i="53"/>
  <c r="ON883" i="53"/>
  <c r="ON884" i="53"/>
  <c r="ON885" i="53"/>
  <c r="ON886" i="53"/>
  <c r="ON887" i="53"/>
  <c r="ON888" i="53"/>
  <c r="ON889" i="53"/>
  <c r="ON890" i="53"/>
  <c r="ON891" i="53"/>
  <c r="ON892" i="53"/>
  <c r="ON893" i="53"/>
  <c r="ON894" i="53"/>
  <c r="ON895" i="53"/>
  <c r="ON896" i="53"/>
  <c r="ON897" i="53"/>
  <c r="ON898" i="53"/>
  <c r="ON899" i="53"/>
  <c r="ON900" i="53"/>
  <c r="ON901" i="53"/>
  <c r="ON902" i="53"/>
  <c r="ON903" i="53"/>
  <c r="ON904" i="53"/>
  <c r="ON905" i="53"/>
  <c r="ON906" i="53"/>
  <c r="ON907" i="53"/>
  <c r="ON908" i="53"/>
  <c r="ON909" i="53"/>
  <c r="ON910" i="53"/>
  <c r="ON911" i="53"/>
  <c r="ON912" i="53"/>
  <c r="ON913" i="53"/>
  <c r="ON914" i="53"/>
  <c r="ON915" i="53"/>
  <c r="ON916" i="53"/>
  <c r="ON917" i="53"/>
  <c r="ON918" i="53"/>
  <c r="ON919" i="53"/>
  <c r="ON920" i="53"/>
  <c r="ON921" i="53"/>
  <c r="ON922" i="53"/>
  <c r="ON923" i="53"/>
  <c r="ON924" i="53"/>
  <c r="ON925" i="53"/>
  <c r="ON926" i="53"/>
  <c r="ON927" i="53"/>
  <c r="ON928" i="53"/>
  <c r="ON929" i="53"/>
  <c r="ON930" i="53"/>
  <c r="ON931" i="53"/>
  <c r="ON932" i="53"/>
  <c r="ON933" i="53"/>
  <c r="ON934" i="53"/>
  <c r="ON935" i="53"/>
  <c r="ON936" i="53"/>
  <c r="ON937" i="53"/>
  <c r="ON938" i="53"/>
  <c r="ON939" i="53"/>
  <c r="ON940" i="53"/>
  <c r="ON941" i="53"/>
  <c r="ON942" i="53"/>
  <c r="ON943" i="53"/>
  <c r="ON944" i="53"/>
  <c r="ON945" i="53"/>
  <c r="ON946" i="53"/>
  <c r="ON947" i="53"/>
  <c r="ON948" i="53"/>
  <c r="ON949" i="53"/>
  <c r="ON950" i="53"/>
  <c r="ON951" i="53"/>
  <c r="ON952" i="53"/>
  <c r="ON953" i="53"/>
  <c r="ON954" i="53"/>
  <c r="ON955" i="53"/>
  <c r="ON956" i="53"/>
  <c r="ON957" i="53"/>
  <c r="ON958" i="53"/>
  <c r="ON959" i="53"/>
  <c r="ON960" i="53"/>
  <c r="ON961" i="53"/>
  <c r="ON962" i="53"/>
  <c r="ON963" i="53"/>
  <c r="ON964" i="53"/>
  <c r="ON965" i="53"/>
  <c r="ON966" i="53"/>
  <c r="ON967" i="53"/>
  <c r="ON968" i="53"/>
  <c r="ON969" i="53"/>
  <c r="ON970" i="53"/>
  <c r="ON971" i="53"/>
  <c r="ON972" i="53"/>
  <c r="ON973" i="53"/>
  <c r="ON974" i="53"/>
  <c r="ON975" i="53"/>
  <c r="ON976" i="53"/>
  <c r="ON977" i="53"/>
  <c r="ON978" i="53"/>
  <c r="ON979" i="53"/>
  <c r="ON980" i="53"/>
  <c r="ON981" i="53"/>
  <c r="ON982" i="53"/>
  <c r="ON983" i="53"/>
  <c r="ON984" i="53"/>
  <c r="ON985" i="53"/>
  <c r="ON986" i="53"/>
  <c r="ON987" i="53"/>
  <c r="ON988" i="53"/>
  <c r="ON989" i="53"/>
  <c r="ON990" i="53"/>
  <c r="ON991" i="53"/>
  <c r="ON992" i="53"/>
  <c r="ON993" i="53"/>
  <c r="ON994" i="53"/>
  <c r="ON995" i="53"/>
  <c r="ON996" i="53"/>
  <c r="ON997" i="53"/>
  <c r="ON998" i="53"/>
  <c r="ON999" i="53"/>
  <c r="ON1000" i="53"/>
  <c r="ON1001" i="53"/>
  <c r="ON1002" i="53"/>
  <c r="ON1003" i="53"/>
  <c r="ON1004" i="53"/>
  <c r="ON1005" i="53"/>
  <c r="ON1006" i="53"/>
  <c r="ON1007" i="53"/>
  <c r="ON1008" i="53"/>
  <c r="ON1009" i="53"/>
  <c r="ON1010" i="53"/>
  <c r="ON1011" i="53"/>
  <c r="ON1012" i="53"/>
  <c r="ON1013" i="53"/>
  <c r="ON1014" i="53"/>
  <c r="ON1015" i="53"/>
  <c r="ON1016" i="53"/>
  <c r="ON1017" i="53"/>
  <c r="ON1018" i="53"/>
  <c r="ON1019" i="53"/>
  <c r="ON1020" i="53"/>
  <c r="ON1021" i="53"/>
  <c r="ON1022" i="53"/>
  <c r="ON1023" i="53"/>
  <c r="ON1024" i="53"/>
  <c r="ON1025" i="53"/>
  <c r="ON1026" i="53"/>
  <c r="ON1027" i="53"/>
  <c r="ON1028" i="53"/>
  <c r="ON1029" i="53"/>
  <c r="ON1030" i="53"/>
  <c r="ON1031" i="53"/>
  <c r="ON1032" i="53"/>
  <c r="ON1033" i="53"/>
  <c r="ON1034" i="53"/>
  <c r="ON1035" i="53"/>
  <c r="ON1036" i="53"/>
  <c r="ON1037" i="53"/>
  <c r="ON1038" i="53"/>
  <c r="ON1039" i="53"/>
  <c r="ON1040" i="53"/>
  <c r="ON1041" i="53"/>
  <c r="ON1042" i="53"/>
  <c r="ON1043" i="53"/>
  <c r="ON1044" i="53"/>
  <c r="ON1045" i="53"/>
  <c r="ON1046" i="53"/>
  <c r="ON1047" i="53"/>
  <c r="ON1048" i="53"/>
  <c r="ON1049" i="53"/>
  <c r="ON1050" i="53"/>
  <c r="ON1051" i="53"/>
  <c r="ON1052" i="53"/>
  <c r="ON1053" i="53"/>
  <c r="ON1054" i="53"/>
  <c r="ON1055" i="53"/>
  <c r="ON1056" i="53"/>
  <c r="ON1057" i="53"/>
  <c r="ON1058" i="53"/>
  <c r="ON1059" i="53"/>
  <c r="ON1060" i="53"/>
  <c r="ON1061" i="53"/>
  <c r="ON1062" i="53"/>
  <c r="ON1063" i="53"/>
  <c r="ON1064" i="53"/>
  <c r="ON1065" i="53"/>
  <c r="ON1066" i="53"/>
  <c r="ON1067" i="53"/>
  <c r="ON1068" i="53"/>
  <c r="ON1069" i="53"/>
  <c r="ON1070" i="53"/>
  <c r="ON1071" i="53"/>
  <c r="ON1072" i="53"/>
  <c r="ON1073" i="53"/>
  <c r="ON1074" i="53"/>
  <c r="ON1075" i="53"/>
  <c r="ON1076" i="53"/>
  <c r="ON1077" i="53"/>
  <c r="ON1078" i="53"/>
  <c r="ON1079" i="53"/>
  <c r="ON1080" i="53"/>
  <c r="ON1081" i="53"/>
  <c r="ON1082" i="53"/>
  <c r="ON1083" i="53"/>
  <c r="ON1084" i="53"/>
  <c r="ON1085" i="53"/>
  <c r="ON1086" i="53"/>
  <c r="ON1087" i="53"/>
  <c r="ON1088" i="53"/>
  <c r="ON1089" i="53"/>
  <c r="ON1090" i="53"/>
  <c r="ON1091" i="53"/>
  <c r="ON1092" i="53"/>
  <c r="ON1093" i="53"/>
  <c r="ON1094" i="53"/>
  <c r="ON1095" i="53"/>
  <c r="ON1096" i="53"/>
  <c r="ON1097" i="53"/>
  <c r="ON1098" i="53"/>
  <c r="ON1099" i="53"/>
  <c r="ON1100" i="53"/>
  <c r="ON1101" i="53"/>
  <c r="ON1102" i="53"/>
  <c r="ON1103" i="53"/>
  <c r="ON1104" i="53"/>
  <c r="ON1105" i="53"/>
  <c r="ON1106" i="53"/>
  <c r="ON1107" i="53"/>
  <c r="ON1108" i="53"/>
  <c r="ON1109" i="53"/>
  <c r="ON1110" i="53"/>
  <c r="ON1111" i="53"/>
  <c r="ON1112" i="53"/>
  <c r="ON1113" i="53"/>
  <c r="ON1114" i="53"/>
  <c r="ON1115" i="53"/>
  <c r="ON1116" i="53"/>
  <c r="ON1117" i="53"/>
  <c r="ON1118" i="53"/>
  <c r="ON1119" i="53"/>
  <c r="ON1120" i="53"/>
  <c r="ON1121" i="53"/>
  <c r="ON1122" i="53"/>
  <c r="ON1123" i="53"/>
  <c r="ON1124" i="53"/>
  <c r="ON1125" i="53"/>
  <c r="ON1126" i="53"/>
  <c r="ON1127" i="53"/>
  <c r="ON1128" i="53"/>
  <c r="ON1129" i="53"/>
  <c r="ON1130" i="53"/>
  <c r="ON1131" i="53"/>
  <c r="ON1132" i="53"/>
  <c r="ON1133" i="53"/>
  <c r="ON1134" i="53"/>
  <c r="ON1135" i="53"/>
  <c r="ON1136" i="53"/>
  <c r="ON1137" i="53"/>
  <c r="ON1138" i="53"/>
  <c r="ON1139" i="53"/>
  <c r="ON1140" i="53"/>
  <c r="ON1141" i="53"/>
  <c r="ON1142" i="53"/>
  <c r="ON1143" i="53"/>
  <c r="ON1144" i="53"/>
  <c r="ON1145" i="53"/>
  <c r="ON1146" i="53"/>
  <c r="ON1147" i="53"/>
  <c r="ON1148" i="53"/>
  <c r="ON1149" i="53"/>
  <c r="ON1150" i="53"/>
  <c r="ON1151" i="53"/>
  <c r="ON1152" i="53"/>
  <c r="ON1153" i="53"/>
  <c r="ON1154" i="53"/>
  <c r="ON1155" i="53"/>
  <c r="ON1156" i="53"/>
  <c r="ON1157" i="53"/>
  <c r="ON1158" i="53"/>
  <c r="ON1159" i="53"/>
  <c r="ON1160" i="53"/>
  <c r="ON1161" i="53"/>
  <c r="ON1162" i="53"/>
  <c r="ON1163" i="53"/>
  <c r="ON1164" i="53"/>
  <c r="ON1165" i="53"/>
  <c r="ON1166" i="53"/>
  <c r="ON1167" i="53"/>
  <c r="ON1168" i="53"/>
  <c r="ON1169" i="53"/>
  <c r="ON1170" i="53"/>
  <c r="ON1171" i="53"/>
  <c r="ON1172" i="53"/>
  <c r="ON1173" i="53"/>
  <c r="ON1174" i="53"/>
  <c r="ON1175" i="53"/>
  <c r="ON1176" i="53"/>
  <c r="ON1177" i="53"/>
  <c r="ON1178" i="53"/>
  <c r="ON1179" i="53"/>
  <c r="ON1180" i="53"/>
  <c r="ON1181" i="53"/>
  <c r="ON1182" i="53"/>
  <c r="ON1183" i="53"/>
  <c r="ON1184" i="53"/>
  <c r="ON1185" i="53"/>
  <c r="ON1186" i="53"/>
  <c r="ON1187" i="53"/>
  <c r="ON1188" i="53"/>
  <c r="ON1189" i="53"/>
  <c r="ON1190" i="53"/>
  <c r="ON1191" i="53"/>
  <c r="ON1192" i="53"/>
  <c r="ON1193" i="53"/>
  <c r="ON1194" i="53"/>
  <c r="ON1195" i="53"/>
  <c r="ON1196" i="53"/>
  <c r="ON1197" i="53"/>
  <c r="ON1198" i="53"/>
  <c r="ON1199" i="53"/>
  <c r="ON1200" i="53"/>
  <c r="ON1201" i="53"/>
  <c r="ON1202" i="53"/>
  <c r="ON1203" i="53"/>
  <c r="ON1204" i="53"/>
  <c r="ON1205" i="53"/>
  <c r="ON1206" i="53"/>
  <c r="ON1207" i="53"/>
  <c r="ON1208" i="53"/>
  <c r="ON1209" i="53"/>
  <c r="ON1210" i="53"/>
  <c r="ON1211" i="53"/>
  <c r="ON1212" i="53"/>
  <c r="ON1213" i="53"/>
  <c r="ON1214" i="53"/>
  <c r="ON1215" i="53"/>
  <c r="ON1216" i="53"/>
  <c r="ON1217" i="53"/>
  <c r="ON1218" i="53"/>
  <c r="ON1219" i="53"/>
  <c r="ON1220" i="53"/>
  <c r="ON1221" i="53"/>
  <c r="ON1222" i="53"/>
  <c r="ON1223" i="53"/>
  <c r="ON1224" i="53"/>
  <c r="ON1225" i="53"/>
  <c r="ON1226" i="53"/>
  <c r="ON1227" i="53"/>
  <c r="ON1228" i="53"/>
  <c r="ON1229" i="53"/>
  <c r="ON1230" i="53"/>
  <c r="ON1231" i="53"/>
  <c r="ON1232" i="53"/>
  <c r="ON1233" i="53"/>
  <c r="ON1234" i="53"/>
  <c r="ON1235" i="53"/>
  <c r="ON1236" i="53"/>
  <c r="ON1237" i="53"/>
  <c r="ON1238" i="53"/>
  <c r="ON1239" i="53"/>
  <c r="ON1240" i="53"/>
  <c r="ON1241" i="53"/>
  <c r="ON1242" i="53"/>
  <c r="ON1243" i="53"/>
  <c r="ON1244" i="53"/>
  <c r="ON1245" i="53"/>
  <c r="ON1246" i="53"/>
  <c r="ON1247" i="53"/>
  <c r="ON1248" i="53"/>
  <c r="ON1249" i="53"/>
  <c r="ON1250" i="53"/>
  <c r="ON1251" i="53"/>
  <c r="ON1252" i="53"/>
  <c r="ON1253" i="53"/>
  <c r="ON1254" i="53"/>
  <c r="ON1255" i="53"/>
  <c r="ON1256" i="53"/>
  <c r="ON1257" i="53"/>
  <c r="ON1258" i="53"/>
  <c r="ON1259" i="53"/>
  <c r="ON1260" i="53"/>
  <c r="ON1261" i="53"/>
  <c r="ON1262" i="53"/>
  <c r="ON1263" i="53"/>
  <c r="ON1264" i="53"/>
  <c r="ON1265" i="53"/>
  <c r="ON1266" i="53"/>
  <c r="ON1267" i="53"/>
  <c r="ON1268" i="53"/>
  <c r="ON1269" i="53"/>
  <c r="ON1270" i="53"/>
  <c r="ON1271" i="53"/>
  <c r="ON1272" i="53"/>
  <c r="ON1273" i="53"/>
  <c r="ON1274" i="53"/>
  <c r="ON1275" i="53"/>
  <c r="ON1276" i="53"/>
  <c r="ON1277" i="53"/>
  <c r="ON1278" i="53"/>
  <c r="ON1279" i="53"/>
  <c r="ON1280" i="53"/>
  <c r="ON1281" i="53"/>
  <c r="ON1282" i="53"/>
  <c r="ON1283" i="53"/>
  <c r="ON1284" i="53"/>
  <c r="ON1285" i="53"/>
  <c r="ON1286" i="53"/>
  <c r="ON1287" i="53"/>
  <c r="ON1288" i="53"/>
  <c r="ON1289" i="53"/>
  <c r="ON1290" i="53"/>
  <c r="ON1291" i="53"/>
  <c r="ON1292" i="53"/>
  <c r="ON1293" i="53"/>
  <c r="ON1294" i="53"/>
  <c r="ON1295" i="53"/>
  <c r="ON1296" i="53"/>
  <c r="ON1297" i="53"/>
  <c r="ON1298" i="53"/>
  <c r="ON1299" i="53"/>
  <c r="ON1300" i="53"/>
  <c r="ON1301" i="53"/>
  <c r="ON1302" i="53"/>
  <c r="ON1303" i="53"/>
  <c r="ON1304" i="53"/>
  <c r="ON1305" i="53"/>
  <c r="ON1306" i="53"/>
  <c r="ON1307" i="53"/>
  <c r="ON1308" i="53"/>
  <c r="ON1309" i="53"/>
  <c r="ON1310" i="53"/>
  <c r="ON1311" i="53"/>
  <c r="ON1312" i="53"/>
  <c r="ON1313" i="53"/>
  <c r="ON1314" i="53"/>
  <c r="ON1315" i="53"/>
  <c r="ON1316" i="53"/>
  <c r="ON1317" i="53"/>
  <c r="ON1318" i="53"/>
  <c r="ON1319" i="53"/>
  <c r="ON1320" i="53"/>
  <c r="ON1321" i="53"/>
  <c r="ON1322" i="53"/>
  <c r="ON1323" i="53"/>
  <c r="ON1324" i="53"/>
  <c r="ON1325" i="53"/>
  <c r="ON1326" i="53"/>
  <c r="ON1327" i="53"/>
  <c r="ON1328" i="53"/>
  <c r="ON1329" i="53"/>
  <c r="ON1330" i="53"/>
  <c r="ON1331" i="53"/>
  <c r="ON1332" i="53"/>
  <c r="ON1333" i="53"/>
  <c r="ON1334" i="53"/>
  <c r="ON1335" i="53"/>
  <c r="ON1336" i="53"/>
  <c r="ON1337" i="53"/>
  <c r="ON1338" i="53"/>
  <c r="ON1339" i="53"/>
  <c r="ON1340" i="53"/>
  <c r="ON1341" i="53"/>
  <c r="ON1342" i="53"/>
  <c r="ON1343" i="53"/>
  <c r="ON1344" i="53"/>
  <c r="ON1345" i="53"/>
  <c r="ON1346" i="53"/>
  <c r="ON1347" i="53"/>
  <c r="ON1348" i="53"/>
  <c r="ON1349" i="53"/>
  <c r="ON1350" i="53"/>
  <c r="ON1351" i="53"/>
  <c r="ON1352" i="53"/>
  <c r="ON1353" i="53"/>
  <c r="ON1354" i="53"/>
  <c r="ON1355" i="53"/>
  <c r="ON1356" i="53"/>
  <c r="ON1357" i="53"/>
  <c r="ON1358" i="53"/>
  <c r="ON1359" i="53"/>
  <c r="ON1360" i="53"/>
  <c r="ON1361" i="53"/>
  <c r="ON1362" i="53"/>
  <c r="ON1363" i="53"/>
  <c r="ON1364" i="53"/>
  <c r="ON1365" i="53"/>
  <c r="ON1366" i="53"/>
  <c r="ON1367" i="53"/>
  <c r="ON1368" i="53"/>
  <c r="ON1369" i="53"/>
  <c r="ON1370" i="53"/>
  <c r="ON1371" i="53"/>
  <c r="ON1372" i="53"/>
  <c r="ON1373" i="53"/>
  <c r="ON1374" i="53"/>
  <c r="ON1375" i="53"/>
  <c r="ON1376" i="53"/>
  <c r="ON1377" i="53"/>
  <c r="ON1378" i="53"/>
  <c r="ON1379" i="53"/>
  <c r="ON1380" i="53"/>
  <c r="ON1381" i="53"/>
  <c r="ON1382" i="53"/>
  <c r="ON1383" i="53"/>
  <c r="ON1384" i="53"/>
  <c r="ON1385" i="53"/>
  <c r="ON1386" i="53"/>
  <c r="ON1387" i="53"/>
  <c r="ON1388" i="53"/>
  <c r="ON1389" i="53"/>
  <c r="ON1390" i="53"/>
  <c r="ON1391" i="53"/>
  <c r="ON1392" i="53"/>
  <c r="ON1393" i="53"/>
  <c r="ON1394" i="53"/>
  <c r="ON1395" i="53"/>
  <c r="ON1396" i="53"/>
  <c r="ON1397" i="53"/>
  <c r="ON1398" i="53"/>
  <c r="ON1399" i="53"/>
  <c r="ON1400" i="53"/>
  <c r="ON1401" i="53"/>
  <c r="ON1402" i="53"/>
  <c r="ON1403" i="53"/>
  <c r="ON1404" i="53"/>
  <c r="ON1405" i="53"/>
  <c r="ON1406" i="53"/>
  <c r="ON1407" i="53"/>
  <c r="ON1408" i="53"/>
  <c r="ON1409" i="53"/>
  <c r="ON1410" i="53"/>
  <c r="ON1411" i="53"/>
  <c r="ON1412" i="53"/>
  <c r="ON1413" i="53"/>
  <c r="ON1414" i="53"/>
  <c r="ON1415" i="53"/>
  <c r="ON1416" i="53"/>
  <c r="ON1417" i="53"/>
  <c r="ON1418" i="53"/>
  <c r="ON1419" i="53"/>
  <c r="ON1420" i="53"/>
  <c r="ON1421" i="53"/>
  <c r="ON1422" i="53"/>
  <c r="ON1423" i="53"/>
  <c r="ON1424" i="53"/>
  <c r="ON1425" i="53"/>
  <c r="ON1426" i="53"/>
  <c r="ON1427" i="53"/>
  <c r="ON1428" i="53"/>
  <c r="ON1429" i="53"/>
  <c r="ON1430" i="53"/>
  <c r="ON1431" i="53"/>
  <c r="ON1432" i="53"/>
  <c r="ON1433" i="53"/>
  <c r="ON1434" i="53"/>
  <c r="ON1435" i="53"/>
  <c r="ON1436" i="53"/>
  <c r="ON1437" i="53"/>
  <c r="ON1438" i="53"/>
  <c r="ON1439" i="53"/>
  <c r="ON1440" i="53"/>
  <c r="ON1441" i="53"/>
  <c r="ON1442" i="53"/>
  <c r="ON1443" i="53"/>
  <c r="ON1444" i="53"/>
  <c r="ON1445" i="53"/>
  <c r="ON1446" i="53"/>
  <c r="ON1447" i="53"/>
  <c r="ON1448" i="53"/>
  <c r="ON1449" i="53"/>
  <c r="ON1450" i="53"/>
  <c r="ON1451" i="53"/>
  <c r="ON1452" i="53"/>
  <c r="ON1453" i="53"/>
  <c r="ON1454" i="53"/>
  <c r="ON1455" i="53"/>
  <c r="ON1456" i="53"/>
  <c r="ON1457" i="53"/>
  <c r="ON1458" i="53"/>
  <c r="ON1459" i="53"/>
  <c r="ON1460" i="53"/>
  <c r="ON1461" i="53"/>
  <c r="ON1462" i="53"/>
  <c r="ON1463" i="53"/>
  <c r="ON1464" i="53"/>
  <c r="ON1465" i="53"/>
  <c r="ON1466" i="53"/>
  <c r="ON1467" i="53"/>
  <c r="ON1468" i="53"/>
  <c r="ON1469" i="53"/>
  <c r="ON1470" i="53"/>
  <c r="ON1471" i="53"/>
  <c r="ON1472" i="53"/>
  <c r="ON1473" i="53"/>
  <c r="ON1474" i="53"/>
  <c r="ON1475" i="53"/>
  <c r="ON1476" i="53"/>
  <c r="ON1477" i="53"/>
  <c r="ON1478" i="53"/>
  <c r="ON1479" i="53"/>
  <c r="ON1480" i="53"/>
  <c r="ON1481" i="53"/>
  <c r="ON1482" i="53"/>
  <c r="ON1483" i="53"/>
  <c r="ON1484" i="53"/>
  <c r="ON1485" i="53"/>
  <c r="ON1486" i="53"/>
  <c r="ON1487" i="53"/>
  <c r="ON1488" i="53"/>
  <c r="ON1489" i="53"/>
  <c r="ON1490" i="53"/>
  <c r="ON1491" i="53"/>
  <c r="ON1492" i="53"/>
  <c r="ON1493" i="53"/>
  <c r="ON1494" i="53"/>
  <c r="ON1495" i="53"/>
  <c r="ON1496" i="53"/>
  <c r="ON1497" i="53"/>
  <c r="ON1498" i="53"/>
  <c r="ON1499" i="53"/>
  <c r="ON1500" i="53"/>
  <c r="ON1501" i="53"/>
  <c r="ON1502" i="53"/>
  <c r="ON1503" i="53"/>
  <c r="ON1504" i="53"/>
  <c r="ON1505" i="53"/>
  <c r="ON1506" i="53"/>
  <c r="ON1507" i="53"/>
  <c r="ON1508" i="53"/>
  <c r="ON1509" i="53"/>
  <c r="ON1510" i="53"/>
  <c r="ON1511" i="53"/>
  <c r="ON1512" i="53"/>
  <c r="ON1513" i="53"/>
  <c r="ON1514" i="53"/>
  <c r="ON1515" i="53"/>
  <c r="ON1516" i="53"/>
  <c r="ON1517" i="53"/>
  <c r="ON1518" i="53"/>
  <c r="ON1519" i="53"/>
  <c r="ON1520" i="53"/>
  <c r="ON1521" i="53"/>
  <c r="ON1522" i="53"/>
  <c r="ON1523" i="53"/>
  <c r="ON1524" i="53"/>
  <c r="ON1525" i="53"/>
  <c r="ON1526" i="53"/>
  <c r="ON1527" i="53"/>
  <c r="ON1528" i="53"/>
  <c r="ON1529" i="53"/>
  <c r="ON1530" i="53"/>
  <c r="ON1531" i="53"/>
  <c r="ON1532" i="53"/>
  <c r="ON1533" i="53"/>
  <c r="ON1534" i="53"/>
  <c r="ON1535" i="53"/>
  <c r="ON1536" i="53"/>
  <c r="ON1537" i="53"/>
  <c r="ON1538" i="53"/>
  <c r="ON1539" i="53"/>
  <c r="ON1540" i="53"/>
  <c r="ON1541" i="53"/>
  <c r="ON1542" i="53"/>
  <c r="ON1543" i="53"/>
  <c r="ON1544" i="53"/>
  <c r="ON1545" i="53"/>
  <c r="ON1546" i="53"/>
  <c r="ON1547" i="53"/>
  <c r="ON1548" i="53"/>
  <c r="ON1549" i="53"/>
  <c r="ON1550" i="53"/>
  <c r="ON1551" i="53"/>
  <c r="ON1552" i="53"/>
  <c r="ON1553" i="53"/>
  <c r="ON1554" i="53"/>
  <c r="ON1555" i="53"/>
  <c r="ON1556" i="53"/>
  <c r="ON1557" i="53"/>
  <c r="ON1558" i="53"/>
  <c r="ON1559" i="53"/>
  <c r="ON1560" i="53"/>
  <c r="ON1561" i="53"/>
  <c r="ON1562" i="53"/>
  <c r="ON1563" i="53"/>
  <c r="ON1564" i="53"/>
  <c r="ON1565" i="53"/>
  <c r="ON1566" i="53"/>
  <c r="ON1567" i="53"/>
  <c r="ON1568" i="53"/>
  <c r="ON1569" i="53"/>
  <c r="ON1570" i="53"/>
  <c r="ON1571" i="53"/>
  <c r="ON1572" i="53"/>
  <c r="ON1573" i="53"/>
  <c r="ON1574" i="53"/>
  <c r="ON1575" i="53"/>
  <c r="ON1576" i="53"/>
  <c r="ON1577" i="53"/>
  <c r="ON1578" i="53"/>
  <c r="ON1579" i="53"/>
  <c r="ON1580" i="53"/>
  <c r="ON1581" i="53"/>
  <c r="ON1582" i="53"/>
  <c r="ON1583" i="53"/>
  <c r="ON1584" i="53"/>
  <c r="ON1585" i="53"/>
  <c r="ON1586" i="53"/>
  <c r="ON1587" i="53"/>
  <c r="ON1588" i="53"/>
  <c r="ON1589" i="53"/>
  <c r="ON1590" i="53"/>
  <c r="ON1591" i="53"/>
  <c r="ON1592" i="53"/>
  <c r="ON1593" i="53"/>
  <c r="ON1594" i="53"/>
  <c r="ON1595" i="53"/>
  <c r="ON1596" i="53"/>
  <c r="ON1597" i="53"/>
  <c r="ON1598" i="53"/>
  <c r="ON1599" i="53"/>
  <c r="ON1600" i="53"/>
  <c r="ON1601" i="53"/>
  <c r="ON1602" i="53"/>
  <c r="ON1603" i="53"/>
  <c r="ON1604" i="53"/>
  <c r="ON1605" i="53"/>
  <c r="ON1606" i="53"/>
  <c r="ON1607" i="53"/>
  <c r="ON1608" i="53"/>
  <c r="ON1609" i="53"/>
  <c r="ON1610" i="53"/>
  <c r="ON1611" i="53"/>
  <c r="ON1612" i="53"/>
  <c r="ON1613" i="53"/>
  <c r="ON1614" i="53"/>
  <c r="ON1615" i="53"/>
  <c r="ON1616" i="53"/>
  <c r="ON1617" i="53"/>
  <c r="ON1618" i="53"/>
  <c r="ON1619" i="53"/>
  <c r="ON1620" i="53"/>
  <c r="ON1621" i="53"/>
  <c r="ON1622" i="53"/>
  <c r="ON1623" i="53"/>
  <c r="ON1624" i="53"/>
  <c r="ON1625" i="53"/>
  <c r="ON1626" i="53"/>
  <c r="ON1627" i="53"/>
  <c r="ON1628" i="53"/>
  <c r="ON1629" i="53"/>
  <c r="ON1630" i="53"/>
  <c r="ON1631" i="53"/>
  <c r="ON1632" i="53"/>
  <c r="ON1633" i="53"/>
  <c r="ON1634" i="53"/>
  <c r="ON1635" i="53"/>
  <c r="ON1636" i="53"/>
  <c r="ON1637" i="53"/>
  <c r="ON1638" i="53"/>
  <c r="ON1639" i="53"/>
  <c r="ON1640" i="53"/>
  <c r="ON1641" i="53"/>
  <c r="ON1642" i="53"/>
  <c r="ON1643" i="53"/>
  <c r="ON1644" i="53"/>
  <c r="ON1645" i="53"/>
  <c r="ON1646" i="53"/>
  <c r="ON1647" i="53"/>
  <c r="ON1648" i="53"/>
  <c r="ON1649" i="53"/>
  <c r="ON1650" i="53"/>
  <c r="ON1651" i="53"/>
  <c r="ON1652" i="53"/>
  <c r="ON1653" i="53"/>
  <c r="ON1654" i="53"/>
  <c r="ON1655" i="53"/>
  <c r="ON1656" i="53"/>
  <c r="ON1657" i="53"/>
  <c r="ON1658" i="53"/>
  <c r="ON1659" i="53"/>
  <c r="ON1660" i="53"/>
  <c r="ON1661" i="53"/>
  <c r="ON1662" i="53"/>
  <c r="ON1663" i="53"/>
  <c r="ON1664" i="53"/>
  <c r="ON1665" i="53"/>
  <c r="ON1666" i="53"/>
  <c r="ON1667" i="53"/>
  <c r="ON1668" i="53"/>
  <c r="ON1669" i="53"/>
  <c r="ON1670" i="53"/>
  <c r="ON1671" i="53"/>
  <c r="ON1672" i="53"/>
  <c r="ON1673" i="53"/>
  <c r="ON1674" i="53"/>
  <c r="ON1675" i="53"/>
  <c r="ON1676" i="53"/>
  <c r="ON1677" i="53"/>
  <c r="ON1678" i="53"/>
  <c r="ON1679" i="53"/>
  <c r="ON1680" i="53"/>
  <c r="ON1681" i="53"/>
  <c r="ON1682" i="53"/>
  <c r="ON1683" i="53"/>
  <c r="ON1684" i="53"/>
  <c r="ON1685" i="53"/>
  <c r="ON1686" i="53"/>
  <c r="ON1687" i="53"/>
  <c r="ON1688" i="53"/>
  <c r="ON1689" i="53"/>
  <c r="ON1690" i="53"/>
  <c r="ON1691" i="53"/>
  <c r="ON1692" i="53"/>
  <c r="ON1693" i="53"/>
  <c r="ON1694" i="53"/>
  <c r="ON1695" i="53"/>
  <c r="ON1696" i="53"/>
  <c r="ON1697" i="53"/>
  <c r="ON1698" i="53"/>
  <c r="ON1699" i="53"/>
  <c r="ON1700" i="53"/>
  <c r="ON1701" i="53"/>
  <c r="ON1702" i="53"/>
  <c r="ON1703" i="53"/>
  <c r="ON1704" i="53"/>
  <c r="ON1705" i="53"/>
  <c r="ON1706" i="53"/>
  <c r="ON1707" i="53"/>
  <c r="ON1708" i="53"/>
  <c r="ON1709" i="53"/>
  <c r="ON1710" i="53"/>
  <c r="ON1711" i="53"/>
  <c r="ON1712" i="53"/>
  <c r="ON1713" i="53"/>
  <c r="ON1714" i="53"/>
  <c r="ON1715" i="53"/>
  <c r="ON1716" i="53"/>
  <c r="ON1717" i="53"/>
  <c r="ON1718" i="53"/>
  <c r="ON1719" i="53"/>
  <c r="ON1720" i="53"/>
  <c r="ON1721" i="53"/>
  <c r="ON1722" i="53"/>
  <c r="ON1723" i="53"/>
  <c r="ON1724" i="53"/>
  <c r="ON1725" i="53"/>
  <c r="ON1726" i="53"/>
  <c r="ON1727" i="53"/>
  <c r="ON1728" i="53"/>
  <c r="ON1729" i="53"/>
  <c r="ON1730" i="53"/>
  <c r="ON1731" i="53"/>
  <c r="ON1732" i="53"/>
  <c r="ON1733" i="53"/>
  <c r="ON1734" i="53"/>
  <c r="ON1735" i="53"/>
  <c r="ON1736" i="53"/>
  <c r="ON1737" i="53"/>
  <c r="ON1738" i="53"/>
  <c r="ON1739" i="53"/>
  <c r="ON1740" i="53"/>
  <c r="ON1741" i="53"/>
  <c r="ON1742" i="53"/>
  <c r="ON1743" i="53"/>
  <c r="ON1744" i="53"/>
  <c r="ON1745" i="53"/>
  <c r="ON1746" i="53"/>
  <c r="ON1747" i="53"/>
  <c r="ON1748" i="53"/>
  <c r="ON1749" i="53"/>
  <c r="ON1750" i="53"/>
  <c r="ON1751" i="53"/>
  <c r="ON1752" i="53"/>
  <c r="ON1753" i="53"/>
  <c r="ON1754" i="53"/>
  <c r="ON1755" i="53"/>
  <c r="ON1756" i="53"/>
  <c r="ON1757" i="53"/>
  <c r="ON1758" i="53"/>
  <c r="ON1759" i="53"/>
  <c r="ON1760" i="53"/>
  <c r="ON1761" i="53"/>
  <c r="ON1762" i="53"/>
  <c r="ON1763" i="53"/>
  <c r="ON1764" i="53"/>
  <c r="ON1765" i="53"/>
  <c r="ON1766" i="53"/>
  <c r="ON1767" i="53"/>
  <c r="ON1768" i="53"/>
  <c r="ON1769" i="53"/>
  <c r="ON1770" i="53"/>
  <c r="ON1771" i="53"/>
  <c r="ON1772" i="53"/>
  <c r="ON1773" i="53"/>
  <c r="ON1774" i="53"/>
  <c r="ON1775" i="53"/>
  <c r="ON1776" i="53"/>
  <c r="ON1777" i="53"/>
  <c r="ON1778" i="53"/>
  <c r="ON1779" i="53"/>
  <c r="ON1780" i="53"/>
  <c r="ON1781" i="53"/>
  <c r="ON1782" i="53"/>
  <c r="ON1783" i="53"/>
  <c r="ON1784" i="53"/>
  <c r="ON1785" i="53"/>
  <c r="ON1786" i="53"/>
  <c r="ON1787" i="53"/>
  <c r="ON1788" i="53"/>
  <c r="ON1789" i="53"/>
  <c r="ON1790" i="53"/>
  <c r="ON1791" i="53"/>
  <c r="ON1792" i="53"/>
  <c r="ON1793" i="53"/>
  <c r="ON1794" i="53"/>
  <c r="ON1795" i="53"/>
  <c r="ON1796" i="53"/>
  <c r="ON1797" i="53"/>
  <c r="ON1798" i="53"/>
  <c r="ON1799" i="53"/>
  <c r="ON1800" i="53"/>
  <c r="ON1801" i="53"/>
  <c r="ON1802" i="53"/>
  <c r="ON1803" i="53"/>
  <c r="ON1804" i="53"/>
  <c r="ON1805" i="53"/>
  <c r="ON1806" i="53"/>
  <c r="ON1807" i="53"/>
  <c r="ON1808" i="53"/>
  <c r="ON1809" i="53"/>
  <c r="ON1810" i="53"/>
  <c r="ON1811" i="53"/>
  <c r="ON1812" i="53"/>
  <c r="ON1813" i="53"/>
  <c r="ON1814" i="53"/>
  <c r="ON1815" i="53"/>
  <c r="ON1816" i="53"/>
  <c r="ON1817" i="53"/>
  <c r="ON1818" i="53"/>
  <c r="ON1819" i="53"/>
  <c r="ON1820" i="53"/>
  <c r="ON1821" i="53"/>
  <c r="ON1822" i="53"/>
  <c r="ON1823" i="53"/>
  <c r="ON1824" i="53"/>
  <c r="ON1825" i="53"/>
  <c r="ON1826" i="53"/>
  <c r="ON1827" i="53"/>
  <c r="ON1828" i="53"/>
  <c r="ON1829" i="53"/>
  <c r="ON1830" i="53"/>
  <c r="ON1831" i="53"/>
  <c r="ON1832" i="53"/>
  <c r="ON1833" i="53"/>
  <c r="ON1834" i="53"/>
  <c r="ON1835" i="53"/>
  <c r="ON1836" i="53"/>
  <c r="ON1837" i="53"/>
  <c r="ON1838" i="53"/>
  <c r="ON1839" i="53"/>
  <c r="ON1840" i="53"/>
  <c r="ON1841" i="53"/>
  <c r="ON1842" i="53"/>
  <c r="ON1843" i="53"/>
  <c r="ON1844" i="53"/>
  <c r="ON1845" i="53"/>
  <c r="ON1846" i="53"/>
  <c r="ON1847" i="53"/>
  <c r="ON1848" i="53"/>
  <c r="ON1849" i="53"/>
  <c r="ON1850" i="53"/>
  <c r="ON1851" i="53"/>
  <c r="ON1852" i="53"/>
  <c r="ON1853" i="53"/>
  <c r="ON1854" i="53"/>
  <c r="ON1855" i="53"/>
  <c r="ON1856" i="53"/>
  <c r="ON1857" i="53"/>
  <c r="ON1858" i="53"/>
  <c r="ON1859" i="53"/>
  <c r="ON1860" i="53"/>
  <c r="ON1861" i="53"/>
  <c r="ON1862" i="53"/>
  <c r="ON1863" i="53"/>
  <c r="ON1864" i="53"/>
  <c r="ON1865" i="53"/>
  <c r="ON1866" i="53"/>
  <c r="ON1867" i="53"/>
  <c r="ON1868" i="53"/>
  <c r="ON1869" i="53"/>
  <c r="ON1870" i="53"/>
  <c r="ON1871" i="53"/>
  <c r="ON1872" i="53"/>
  <c r="ON1873" i="53"/>
  <c r="ON1874" i="53"/>
  <c r="ON1875" i="53"/>
  <c r="ON1876" i="53"/>
  <c r="ON1877" i="53"/>
  <c r="ON1878" i="53"/>
  <c r="ON1879" i="53"/>
  <c r="ON1880" i="53"/>
  <c r="ON1881" i="53"/>
  <c r="ON1882" i="53"/>
  <c r="ON1883" i="53"/>
  <c r="ON1884" i="53"/>
  <c r="ON1885" i="53"/>
  <c r="ON1886" i="53"/>
  <c r="ON1887" i="53"/>
  <c r="ON1888" i="53"/>
  <c r="ON1889" i="53"/>
  <c r="ON1890" i="53"/>
  <c r="ON1891" i="53"/>
  <c r="ON1892" i="53"/>
  <c r="ON1893" i="53"/>
  <c r="ON1894" i="53"/>
  <c r="ON1895" i="53"/>
  <c r="ON1896" i="53"/>
  <c r="ON1897" i="53"/>
  <c r="ON1898" i="53"/>
  <c r="ON1899" i="53"/>
  <c r="ON1900" i="53"/>
  <c r="ON1901" i="53"/>
  <c r="ON1902" i="53"/>
  <c r="ON1903" i="53"/>
  <c r="ON1904" i="53"/>
  <c r="ON1905" i="53"/>
  <c r="ON1906" i="53"/>
  <c r="ON1907" i="53"/>
  <c r="ON1908" i="53"/>
  <c r="ON1909" i="53"/>
  <c r="ON1910" i="53"/>
  <c r="ON1911" i="53"/>
  <c r="ON1912" i="53"/>
  <c r="ON1913" i="53"/>
  <c r="ON1914" i="53"/>
  <c r="ON1915" i="53"/>
  <c r="ON1916" i="53"/>
  <c r="ON1917" i="53"/>
  <c r="ON1918" i="53"/>
  <c r="ON1919" i="53"/>
  <c r="ON1920" i="53"/>
  <c r="ON1921" i="53"/>
  <c r="ON1922" i="53"/>
  <c r="ON1923" i="53"/>
  <c r="ON1924" i="53"/>
  <c r="ON1925" i="53"/>
  <c r="ON1926" i="53"/>
  <c r="ON1927" i="53"/>
  <c r="ON1928" i="53"/>
  <c r="ON1929" i="53"/>
  <c r="ON1930" i="53"/>
  <c r="ON1931" i="53"/>
  <c r="ON1932" i="53"/>
  <c r="ON1933" i="53"/>
  <c r="ON1934" i="53"/>
  <c r="ON1935" i="53"/>
  <c r="ON1936" i="53"/>
  <c r="ON1937" i="53"/>
  <c r="ON1938" i="53"/>
  <c r="ON1939" i="53"/>
  <c r="ON1940" i="53"/>
  <c r="ON1941" i="53"/>
  <c r="ON1942" i="53"/>
  <c r="ON1943" i="53"/>
  <c r="ON1944" i="53"/>
  <c r="ON1945" i="53"/>
  <c r="ON1946" i="53"/>
  <c r="ON1947" i="53"/>
  <c r="ON1948" i="53"/>
  <c r="ON1949" i="53"/>
  <c r="ON1950" i="53"/>
  <c r="ON1951" i="53"/>
  <c r="ON1952" i="53"/>
  <c r="ON1953" i="53"/>
  <c r="ON1954" i="53"/>
  <c r="ON1955" i="53"/>
  <c r="ON1956" i="53"/>
  <c r="ON1957" i="53"/>
  <c r="ON1958" i="53"/>
  <c r="ON1959" i="53"/>
  <c r="ON1960" i="53"/>
  <c r="ON1961" i="53"/>
  <c r="ON1962" i="53"/>
  <c r="ON1963" i="53"/>
  <c r="ON1964" i="53"/>
  <c r="ON1965" i="53"/>
  <c r="ON1966" i="53"/>
  <c r="ON1967" i="53"/>
  <c r="ON1968" i="53"/>
  <c r="ON1969" i="53"/>
  <c r="ON1970" i="53"/>
  <c r="ON1971" i="53"/>
  <c r="ON1972" i="53"/>
  <c r="ON1973" i="53"/>
  <c r="ON1974" i="53"/>
  <c r="ON1975" i="53"/>
  <c r="ON1976" i="53"/>
  <c r="ON1977" i="53"/>
  <c r="ON1978" i="53"/>
  <c r="ON1979" i="53"/>
  <c r="ON1980" i="53"/>
  <c r="ON1981" i="53"/>
  <c r="ON1982" i="53"/>
  <c r="ON1983" i="53"/>
  <c r="ON1984" i="53"/>
  <c r="ON1985" i="53"/>
  <c r="ON1986" i="53"/>
  <c r="ON1987" i="53"/>
  <c r="ON1988" i="53"/>
  <c r="ON1990" i="53"/>
  <c r="ON1991" i="53"/>
  <c r="ON1992" i="53"/>
  <c r="ON1993" i="53"/>
  <c r="ON1994" i="53"/>
  <c r="ON1995" i="53"/>
  <c r="ON1996" i="53"/>
  <c r="ON1997" i="53"/>
  <c r="ON1998" i="53"/>
  <c r="ON1999" i="53"/>
  <c r="ON2000" i="53"/>
  <c r="ON2001" i="53"/>
  <c r="ON2002" i="53"/>
  <c r="ON2003" i="53"/>
  <c r="ON2004" i="53"/>
  <c r="ON2005" i="53"/>
  <c r="ON2006" i="53"/>
  <c r="ON2007" i="53"/>
  <c r="ON2008" i="53"/>
  <c r="ON2009" i="53"/>
  <c r="ON2010" i="53"/>
  <c r="ON2011" i="53"/>
  <c r="ON2012" i="53"/>
  <c r="ON2013" i="53"/>
  <c r="ON2014" i="53"/>
  <c r="ON2015" i="53"/>
  <c r="ON2016" i="53"/>
  <c r="ON2017" i="53"/>
  <c r="ON2018" i="53"/>
  <c r="ON2019" i="53"/>
  <c r="ON2020" i="53"/>
  <c r="ON2021" i="53"/>
  <c r="ON2022" i="53"/>
  <c r="ON2023" i="53"/>
  <c r="ON2024" i="53"/>
  <c r="ON2025" i="53"/>
  <c r="ON2026" i="53"/>
  <c r="ON2027" i="53"/>
  <c r="ON2028" i="53"/>
  <c r="ON2029" i="53"/>
  <c r="ON2030" i="53"/>
  <c r="ON2031" i="53"/>
  <c r="ON2032" i="53"/>
  <c r="ON2033" i="53"/>
  <c r="ON2034" i="53"/>
  <c r="ON2035" i="53"/>
  <c r="ON2036" i="53"/>
  <c r="ON2037" i="53"/>
  <c r="ON2038" i="53"/>
  <c r="ON2039" i="53"/>
  <c r="ON2040" i="53"/>
  <c r="ON2041" i="53"/>
  <c r="ON2042" i="53"/>
  <c r="ON2043" i="53"/>
  <c r="ON2044" i="53"/>
  <c r="ON2045" i="53"/>
  <c r="ON2046" i="53"/>
  <c r="ON2047" i="53"/>
  <c r="ON2048" i="53"/>
  <c r="ON2049" i="53"/>
  <c r="ON2050" i="53"/>
  <c r="ON2051" i="53"/>
  <c r="ON2052" i="53"/>
  <c r="ON2053" i="53"/>
  <c r="ON2054" i="53"/>
  <c r="ON2055" i="53"/>
  <c r="ON2056" i="53"/>
  <c r="ON2057" i="53"/>
  <c r="ON2058" i="53"/>
  <c r="ON2059" i="53"/>
  <c r="ON2060" i="53"/>
  <c r="ON2061" i="53"/>
  <c r="ON2062" i="53"/>
  <c r="ON2063" i="53"/>
  <c r="ON2065" i="53"/>
  <c r="ON2066" i="53"/>
  <c r="ON2067" i="53"/>
  <c r="ON2068" i="53"/>
  <c r="ON2069" i="53"/>
  <c r="ON2070" i="53"/>
  <c r="ON2071" i="53"/>
  <c r="ON2072" i="53"/>
  <c r="ON2073" i="53"/>
  <c r="ON2074" i="53"/>
  <c r="ON2075" i="53"/>
  <c r="ON2076" i="53"/>
  <c r="ON2077" i="53"/>
  <c r="ON2078" i="53"/>
  <c r="ON2079" i="53"/>
  <c r="ON2080" i="53"/>
  <c r="ON2081" i="53"/>
  <c r="ON2082" i="53"/>
  <c r="ON2083" i="53"/>
  <c r="ON2084" i="53"/>
  <c r="ON2085" i="53"/>
  <c r="ON2086" i="53"/>
  <c r="ON2087" i="53"/>
  <c r="ON2088" i="53"/>
  <c r="ON2089" i="53"/>
  <c r="ON2090" i="53"/>
  <c r="ON2091" i="53"/>
  <c r="ON2092" i="53"/>
  <c r="ON2093" i="53"/>
  <c r="ON2094" i="53"/>
  <c r="ON2095" i="53"/>
  <c r="ON2096" i="53"/>
  <c r="ON2097" i="53"/>
  <c r="ON2098" i="53"/>
  <c r="ON2099" i="53"/>
  <c r="ON2100" i="53"/>
  <c r="ON2101" i="53"/>
  <c r="ON2102" i="53"/>
  <c r="ON2103" i="53"/>
  <c r="ON2104" i="53"/>
  <c r="ON2105" i="53"/>
  <c r="ON2106" i="53"/>
  <c r="ON2107" i="53"/>
  <c r="ON2108" i="53"/>
  <c r="ON2109" i="53"/>
  <c r="ON2110" i="53"/>
  <c r="ON2111" i="53"/>
  <c r="ON2112" i="53"/>
  <c r="ON2113" i="53"/>
  <c r="ON2114" i="53"/>
  <c r="ON2115" i="53"/>
  <c r="ON2116" i="53"/>
  <c r="ON2117" i="53"/>
  <c r="ON2118" i="53"/>
  <c r="ON2119" i="53"/>
  <c r="ON2120" i="53"/>
  <c r="ON2121" i="53"/>
  <c r="ON2122" i="53"/>
  <c r="ON2123" i="53"/>
  <c r="ON2124" i="53"/>
  <c r="ON2125" i="53"/>
  <c r="ON2126" i="53"/>
  <c r="ON2127" i="53"/>
  <c r="ON2128" i="53"/>
  <c r="ON2129" i="53"/>
  <c r="ON2130" i="53"/>
  <c r="ON2131" i="53"/>
  <c r="ON2132" i="53"/>
  <c r="ON2133" i="53"/>
  <c r="ON2134" i="53"/>
  <c r="ON2135" i="53"/>
  <c r="ON2136" i="53"/>
  <c r="ON2137" i="53"/>
  <c r="ON2138" i="53"/>
  <c r="ON2139" i="53"/>
  <c r="ON2140" i="53"/>
  <c r="ON2141" i="53"/>
  <c r="ON2142" i="53"/>
  <c r="ON2143" i="53"/>
  <c r="ON2144" i="53"/>
  <c r="ON2145" i="53"/>
  <c r="ON2146" i="53"/>
  <c r="ON2147" i="53"/>
  <c r="ON2148" i="53"/>
  <c r="ON2149" i="53"/>
  <c r="ON2150" i="53"/>
  <c r="ON2151" i="53"/>
  <c r="ON2152" i="53"/>
  <c r="ON2153" i="53"/>
  <c r="ON2154" i="53"/>
  <c r="ON2155" i="53"/>
  <c r="ON2156" i="53"/>
  <c r="ON2157" i="53"/>
  <c r="ON2158" i="53"/>
  <c r="ON2159" i="53"/>
  <c r="ON2160" i="53"/>
  <c r="ON2161" i="53"/>
  <c r="ON2162" i="53"/>
  <c r="ON2163" i="53"/>
  <c r="ON2164" i="53"/>
  <c r="ON2165" i="53"/>
  <c r="ON2166" i="53"/>
  <c r="ON2167" i="53"/>
  <c r="ON2168" i="53"/>
  <c r="ON2169" i="53"/>
  <c r="ON2170" i="53"/>
  <c r="ON2171" i="53"/>
  <c r="ON2172" i="53"/>
  <c r="ON2173" i="53"/>
  <c r="ON2174" i="53"/>
  <c r="ON2175" i="53"/>
  <c r="ON2176" i="53"/>
  <c r="ON2177" i="53"/>
  <c r="ON2178" i="53"/>
  <c r="ON2179" i="53"/>
  <c r="ON2180" i="53"/>
  <c r="ON2181" i="53"/>
  <c r="ON2182" i="53"/>
  <c r="ON2183" i="53"/>
  <c r="ON2184" i="53"/>
  <c r="ON2185" i="53"/>
  <c r="ON2186" i="53"/>
  <c r="ON2187" i="53"/>
  <c r="ON2188" i="53"/>
  <c r="ON2189" i="53"/>
  <c r="ON2190" i="53"/>
  <c r="ON2191" i="53"/>
  <c r="ON2192" i="53"/>
  <c r="ON2193" i="53"/>
  <c r="ON2194" i="53"/>
  <c r="ON2195" i="53"/>
  <c r="ON2196" i="53"/>
  <c r="ON2197" i="53"/>
  <c r="ON2198" i="53"/>
  <c r="ON2199" i="53"/>
  <c r="ON2200" i="53"/>
  <c r="ON2201" i="53"/>
  <c r="ON2202" i="53"/>
  <c r="ON2203" i="53"/>
  <c r="ON2204" i="53"/>
  <c r="ON2205" i="53"/>
  <c r="ON2206" i="53"/>
  <c r="ON2207" i="53"/>
  <c r="ON2208" i="53"/>
  <c r="ON2209" i="53"/>
  <c r="ON2210" i="53"/>
  <c r="ON2211" i="53"/>
  <c r="ON2212" i="53"/>
  <c r="ON2213" i="53"/>
  <c r="ON2214" i="53"/>
  <c r="ON2215" i="53"/>
  <c r="ON2216" i="53"/>
  <c r="ON2217" i="53"/>
  <c r="ON2218" i="53"/>
  <c r="ON2219" i="53"/>
  <c r="ON2220" i="53"/>
  <c r="ON2221" i="53"/>
  <c r="ON2222" i="53"/>
  <c r="ON2223" i="53"/>
  <c r="ON2224" i="53"/>
  <c r="ON2225" i="53"/>
  <c r="ON2226" i="53"/>
  <c r="ON2227" i="53"/>
  <c r="ON2228" i="53"/>
  <c r="ON2229" i="53"/>
  <c r="ON2230" i="53"/>
  <c r="ON2231" i="53"/>
  <c r="ON2232" i="53"/>
  <c r="ON2233" i="53"/>
  <c r="ON2234" i="53"/>
  <c r="ON2235" i="53"/>
  <c r="ON2236" i="53"/>
  <c r="ON2237" i="53"/>
  <c r="ON2238" i="53"/>
  <c r="ON2239" i="53"/>
  <c r="ON2240" i="53"/>
  <c r="ON2241" i="53"/>
  <c r="ON2242" i="53"/>
  <c r="ON2243" i="53"/>
  <c r="ON2244" i="53"/>
  <c r="ON2245" i="53"/>
  <c r="ON2246" i="53"/>
  <c r="ON2247" i="53"/>
  <c r="ON2248" i="53"/>
  <c r="ON2249" i="53"/>
  <c r="ON2250" i="53"/>
  <c r="ON2251" i="53"/>
  <c r="ON2252" i="53"/>
  <c r="ON2253" i="53"/>
  <c r="ON2254" i="53"/>
  <c r="ON2255" i="53"/>
  <c r="ON2256" i="53"/>
  <c r="ON2257" i="53"/>
  <c r="ON2258" i="53"/>
  <c r="ON2259" i="53"/>
  <c r="ON2260" i="53"/>
  <c r="ON2261" i="53"/>
  <c r="ON2262" i="53"/>
  <c r="ON2263" i="53"/>
  <c r="ON2264" i="53"/>
  <c r="ON2265" i="53"/>
  <c r="ON2266" i="53"/>
  <c r="ON2267" i="53"/>
  <c r="ON2268" i="53"/>
  <c r="ON2269" i="53"/>
  <c r="ON2270" i="53"/>
  <c r="ON2271" i="53"/>
  <c r="ON2272" i="53"/>
  <c r="ON2273" i="53"/>
  <c r="ON2274" i="53"/>
  <c r="ON2275" i="53"/>
  <c r="ON2276" i="53"/>
  <c r="ON2277" i="53"/>
  <c r="ON2278" i="53"/>
  <c r="ON2279" i="53"/>
  <c r="ON2280" i="53"/>
  <c r="ON2281" i="53"/>
  <c r="ON2282" i="53"/>
  <c r="ON2283" i="53"/>
  <c r="ON2284" i="53"/>
  <c r="ON2285" i="53"/>
  <c r="ON2286" i="53"/>
  <c r="ON2287" i="53"/>
  <c r="ON2288" i="53"/>
  <c r="ON2289" i="53"/>
  <c r="ON2290" i="53"/>
  <c r="ON2291" i="53"/>
  <c r="ON2292" i="53"/>
  <c r="ON2293" i="53"/>
  <c r="ON2294" i="53"/>
  <c r="ON2295" i="53"/>
  <c r="ON2296" i="53"/>
  <c r="ON2297" i="53"/>
  <c r="ON2298" i="53"/>
  <c r="ON2299" i="53"/>
  <c r="ON2300" i="53"/>
  <c r="ON2301" i="53"/>
  <c r="ON2302" i="53"/>
  <c r="ON2303" i="53"/>
  <c r="ON2304" i="53"/>
  <c r="ON2305" i="53"/>
  <c r="ON2306" i="53"/>
  <c r="ON2307" i="53"/>
  <c r="ON2308" i="53"/>
  <c r="ON2309" i="53"/>
  <c r="ON2310" i="53"/>
  <c r="ON2311" i="53"/>
  <c r="ON2312" i="53"/>
  <c r="ON2313" i="53"/>
  <c r="ON2314" i="53"/>
  <c r="ON2315" i="53"/>
  <c r="ON2316" i="53"/>
  <c r="ON2317" i="53"/>
  <c r="ON2318" i="53"/>
  <c r="ON2319" i="53"/>
  <c r="ON2320" i="53"/>
  <c r="ON2321" i="53"/>
  <c r="ON2322" i="53"/>
  <c r="ON2323" i="53"/>
  <c r="ON2324" i="53"/>
  <c r="ON2325" i="53"/>
  <c r="ON2326" i="53"/>
  <c r="ON2327" i="53"/>
  <c r="ON2328" i="53"/>
  <c r="ON2329" i="53"/>
  <c r="ON2330" i="53"/>
  <c r="ON2331" i="53"/>
  <c r="ON2332" i="53"/>
  <c r="ON2333" i="53"/>
  <c r="ON2334" i="53"/>
  <c r="ON2335" i="53"/>
  <c r="ON2336" i="53"/>
  <c r="ON2337" i="53"/>
  <c r="ON2338" i="53"/>
  <c r="ON2339" i="53"/>
  <c r="ON2340" i="53"/>
  <c r="ON2341" i="53"/>
  <c r="ON2342" i="53"/>
  <c r="ON2343" i="53"/>
  <c r="ON2344" i="53"/>
  <c r="ON2345" i="53"/>
  <c r="ON2346" i="53"/>
  <c r="ON2347" i="53"/>
  <c r="ON2348" i="53"/>
  <c r="ON2349" i="53"/>
  <c r="ON2350" i="53"/>
  <c r="ON2351" i="53"/>
  <c r="ON2352" i="53"/>
  <c r="ON2353" i="53"/>
  <c r="ON2354" i="53"/>
  <c r="ON2355" i="53"/>
  <c r="ON2356" i="53"/>
  <c r="ON2357" i="53"/>
  <c r="ON2358" i="53"/>
  <c r="ON2359" i="53"/>
  <c r="ON2360" i="53"/>
  <c r="ON2361" i="53"/>
  <c r="ON2362" i="53"/>
  <c r="ON2363" i="53"/>
  <c r="ON2364" i="53"/>
  <c r="ON2365" i="53"/>
  <c r="ON2366" i="53"/>
  <c r="ON2367" i="53"/>
  <c r="ON2368" i="53"/>
  <c r="ON2369" i="53"/>
  <c r="ON2370" i="53"/>
  <c r="ON2371" i="53"/>
  <c r="ON2372" i="53"/>
  <c r="ON2373" i="53"/>
  <c r="ON2374" i="53"/>
  <c r="ON2375" i="53"/>
  <c r="ON2376" i="53"/>
  <c r="ON2377" i="53"/>
  <c r="ON2378" i="53"/>
  <c r="ON2379" i="53"/>
  <c r="ON2380" i="53"/>
  <c r="ON2381" i="53"/>
  <c r="ON2382" i="53"/>
  <c r="ON2383" i="53"/>
  <c r="ON2384" i="53"/>
  <c r="ON2385" i="53"/>
  <c r="ON2386" i="53"/>
  <c r="ON2387" i="53"/>
  <c r="ON2388" i="53"/>
  <c r="ON2389" i="53"/>
  <c r="ON2390" i="53"/>
  <c r="ON2391" i="53"/>
  <c r="ON2392" i="53"/>
  <c r="ON2393" i="53"/>
  <c r="ON2394" i="53"/>
  <c r="ON2395" i="53"/>
  <c r="ON2396" i="53"/>
  <c r="ON2397" i="53"/>
  <c r="ON2398" i="53"/>
  <c r="ON2399" i="53"/>
  <c r="ON2400" i="53"/>
  <c r="ON2401" i="53"/>
  <c r="ON2402" i="53"/>
  <c r="ON2403" i="53"/>
  <c r="ON2404" i="53"/>
  <c r="ON2405" i="53"/>
  <c r="ON2406" i="53"/>
  <c r="ON2407" i="53"/>
  <c r="ON2408" i="53"/>
  <c r="ON2409" i="53"/>
  <c r="ON2410" i="53"/>
  <c r="ON2411" i="53"/>
  <c r="ON2412" i="53"/>
  <c r="ON2413" i="53"/>
  <c r="ON2414" i="53"/>
  <c r="ON2415" i="53"/>
  <c r="ON2416" i="53"/>
  <c r="ON2417" i="53"/>
  <c r="ON2418" i="53"/>
  <c r="ON2419" i="53"/>
  <c r="ON2420" i="53"/>
  <c r="ON2421" i="53"/>
  <c r="ON2422" i="53"/>
  <c r="ON2423" i="53"/>
  <c r="ON2424" i="53"/>
  <c r="ON2425" i="53"/>
  <c r="ON2426" i="53"/>
  <c r="ON2427" i="53"/>
  <c r="ON2428" i="53"/>
  <c r="ON2429" i="53"/>
  <c r="ON2430" i="53"/>
  <c r="ON2431" i="53"/>
  <c r="ON2432" i="53"/>
  <c r="ON2433" i="53"/>
  <c r="ON2434" i="53"/>
  <c r="ON2435" i="53"/>
  <c r="ON2436" i="53"/>
  <c r="ON2437" i="53"/>
  <c r="ON2438" i="53"/>
  <c r="ON2439" i="53"/>
  <c r="ON2440" i="53"/>
  <c r="ON2441" i="53"/>
  <c r="ON2442" i="53"/>
  <c r="ON2443" i="53"/>
  <c r="ON2444" i="53"/>
  <c r="ON2445" i="53"/>
  <c r="ON2446" i="53"/>
  <c r="ON2447" i="53"/>
  <c r="ON2448" i="53"/>
  <c r="ON2449" i="53"/>
  <c r="ON2450" i="53"/>
  <c r="ON2451" i="53"/>
  <c r="ON2452" i="53"/>
  <c r="ON2453" i="53"/>
  <c r="ON2454" i="53"/>
  <c r="ON2455" i="53"/>
  <c r="ON2456" i="53"/>
  <c r="ON2457" i="53"/>
  <c r="ON2458" i="53"/>
  <c r="ON2459" i="53"/>
  <c r="ON2460" i="53"/>
  <c r="ON2461" i="53"/>
  <c r="ON2462" i="53"/>
  <c r="ON2463" i="53"/>
  <c r="ON2464" i="53"/>
  <c r="ON2465" i="53"/>
  <c r="ON2466" i="53"/>
  <c r="ON2467" i="53"/>
  <c r="ON2468" i="53"/>
  <c r="ON2469" i="53"/>
  <c r="ON2470" i="53"/>
  <c r="ON2471" i="53"/>
  <c r="ON2472" i="53"/>
  <c r="ON2473" i="53"/>
  <c r="ON2474" i="53"/>
  <c r="ON2475" i="53"/>
  <c r="ON2476" i="53"/>
  <c r="ON2477" i="53"/>
  <c r="ON2478" i="53"/>
  <c r="ON2479" i="53"/>
  <c r="ON2480" i="53"/>
  <c r="ON2481" i="53"/>
  <c r="ON2482" i="53"/>
  <c r="ON2483" i="53"/>
  <c r="ON2484" i="53"/>
  <c r="ON2485" i="53"/>
  <c r="ON2486" i="53"/>
  <c r="ON2487" i="53"/>
  <c r="ON2488" i="53"/>
  <c r="ON2489" i="53"/>
  <c r="ON2490" i="53"/>
  <c r="ON2491" i="53"/>
  <c r="ON2492" i="53"/>
  <c r="ON2493" i="53"/>
  <c r="ON2495" i="53"/>
  <c r="ON2496" i="53"/>
  <c r="ON2497" i="53"/>
  <c r="ON2498" i="53"/>
  <c r="ON2499" i="53"/>
  <c r="ON2500" i="53"/>
  <c r="ON2501" i="53"/>
  <c r="ON2502" i="53"/>
  <c r="ON2503" i="53"/>
  <c r="ON2504" i="53"/>
  <c r="ON2505" i="53"/>
  <c r="ON2506" i="53"/>
  <c r="ON2507" i="53"/>
  <c r="ON2508" i="53"/>
  <c r="ON2509" i="53"/>
  <c r="ON2510" i="53"/>
  <c r="ON2511" i="53"/>
  <c r="ON2512" i="53"/>
  <c r="ON2513" i="53"/>
  <c r="ON2514" i="53"/>
  <c r="ON2515" i="53"/>
  <c r="ON2516" i="53"/>
  <c r="ON2517" i="53"/>
  <c r="ON2518" i="53"/>
  <c r="ON2519" i="53"/>
  <c r="ON2520" i="53"/>
  <c r="ON2521" i="53"/>
  <c r="ON2522" i="53"/>
  <c r="ON2523" i="53"/>
  <c r="ON2524" i="53"/>
  <c r="ON2525" i="53"/>
  <c r="ON2526" i="53"/>
  <c r="ON2527" i="53"/>
  <c r="ON2528" i="53"/>
  <c r="ON2529" i="53"/>
  <c r="ON2530" i="53"/>
  <c r="ON2531" i="53"/>
  <c r="ON2532" i="53"/>
  <c r="ON2533" i="53"/>
  <c r="ON2534" i="53"/>
  <c r="ON2535" i="53"/>
  <c r="ON2536" i="53"/>
  <c r="ON2537" i="53"/>
  <c r="ON2538" i="53"/>
  <c r="ON2539" i="53"/>
  <c r="ON2540" i="53"/>
  <c r="ON2541" i="53"/>
  <c r="ON2542" i="53"/>
  <c r="ON2543" i="53"/>
  <c r="ON2544" i="53"/>
  <c r="ON2545" i="53"/>
  <c r="ON2546" i="53"/>
  <c r="ON2547" i="53"/>
  <c r="ON2548" i="53"/>
  <c r="ON2549" i="53"/>
  <c r="ON2550" i="53"/>
  <c r="ON2551" i="53"/>
  <c r="ON2552" i="53"/>
  <c r="ON2553" i="53"/>
  <c r="ON2554" i="53"/>
  <c r="ON2555" i="53"/>
  <c r="ON2556" i="53"/>
  <c r="ON2557" i="53"/>
  <c r="ON2558" i="53"/>
  <c r="ON2559" i="53"/>
  <c r="ON2560" i="53"/>
  <c r="ON2561" i="53"/>
  <c r="ON2562" i="53"/>
  <c r="ON2563" i="53"/>
  <c r="ON2564" i="53"/>
  <c r="ON2565" i="53"/>
  <c r="ON2566" i="53"/>
  <c r="ON2567" i="53"/>
  <c r="ON2568" i="53"/>
  <c r="ON2569" i="53"/>
  <c r="ON2570" i="53"/>
  <c r="ON2571" i="53"/>
  <c r="ON2572" i="53"/>
  <c r="ON2573" i="53"/>
  <c r="ON2574" i="53"/>
  <c r="ON2575" i="53"/>
  <c r="ON2576" i="53"/>
  <c r="ON2577" i="53"/>
  <c r="ON2578" i="53"/>
  <c r="ON2579" i="53"/>
  <c r="ON2580" i="53"/>
  <c r="ON2581" i="53"/>
  <c r="ON2582" i="53"/>
  <c r="ON2583" i="53"/>
  <c r="ON2584" i="53"/>
  <c r="ON2585" i="53"/>
  <c r="ON2586" i="53"/>
  <c r="ON2587" i="53"/>
  <c r="ON2588" i="53"/>
  <c r="ON2589" i="53"/>
  <c r="ON2590" i="53"/>
  <c r="ON2591" i="53"/>
  <c r="ON2592" i="53"/>
  <c r="ON2593" i="53"/>
  <c r="ON2594" i="53"/>
  <c r="ON2595" i="53"/>
  <c r="ON2596" i="53"/>
  <c r="ON2597" i="53"/>
  <c r="ON2598" i="53"/>
  <c r="ON2599" i="53"/>
  <c r="ON2600" i="53"/>
  <c r="ON2601" i="53"/>
  <c r="ON2602" i="53"/>
  <c r="ON2603" i="53"/>
  <c r="ON2604" i="53"/>
  <c r="ON2605" i="53"/>
  <c r="ON2606" i="53"/>
  <c r="ON2607" i="53"/>
  <c r="ON2608" i="53"/>
  <c r="ON2609" i="53"/>
  <c r="ON2610" i="53"/>
  <c r="ON2611" i="53"/>
  <c r="ON2612" i="53"/>
  <c r="ON2613" i="53"/>
  <c r="ON2614" i="53"/>
  <c r="ON2615" i="53"/>
  <c r="ON2616" i="53"/>
  <c r="ON2617" i="53"/>
  <c r="ON2618" i="53"/>
  <c r="ON2619" i="53"/>
  <c r="ON2620" i="53"/>
  <c r="ON2621" i="53"/>
  <c r="ON2622" i="53"/>
  <c r="ON2623" i="53"/>
  <c r="ON2624" i="53"/>
  <c r="ON2625" i="53"/>
  <c r="ON2626" i="53"/>
  <c r="ON2627" i="53"/>
  <c r="ON2628" i="53"/>
  <c r="ON2629" i="53"/>
  <c r="ON2630" i="53"/>
  <c r="ON2631" i="53"/>
  <c r="ON2632" i="53"/>
  <c r="ON2633" i="53"/>
  <c r="ON2634" i="53"/>
  <c r="ON2635" i="53"/>
  <c r="ON2636" i="53"/>
  <c r="ON2637" i="53"/>
  <c r="ON2638" i="53"/>
  <c r="ON2639" i="53"/>
  <c r="ON2640" i="53"/>
  <c r="ON2641" i="53"/>
  <c r="ON2642" i="53"/>
  <c r="ON2643" i="53"/>
  <c r="ON2644" i="53"/>
  <c r="ON2645" i="53"/>
  <c r="ON2646" i="53"/>
  <c r="ON2647" i="53"/>
  <c r="ON2648" i="53"/>
  <c r="ON2649" i="53"/>
  <c r="ON2650" i="53"/>
  <c r="ON2651" i="53"/>
  <c r="ON2652" i="53"/>
  <c r="ON2653" i="53"/>
  <c r="ON2654" i="53"/>
  <c r="ON2655" i="53"/>
  <c r="ON2656" i="53"/>
  <c r="ON2657" i="53"/>
  <c r="ON2658" i="53"/>
  <c r="ON2659" i="53"/>
  <c r="ON2660" i="53"/>
  <c r="ON2661" i="53"/>
  <c r="ON2662" i="53"/>
  <c r="ON2663" i="53"/>
  <c r="ON2664" i="53"/>
  <c r="ON2665" i="53"/>
  <c r="ON2666" i="53"/>
  <c r="ON2667" i="53"/>
  <c r="ON2668" i="53"/>
  <c r="ON2669" i="53"/>
  <c r="ON2670" i="53"/>
  <c r="ON2671" i="53"/>
  <c r="ON2672" i="53"/>
  <c r="ON2673" i="53"/>
  <c r="ON2674" i="53"/>
  <c r="ON2675" i="53"/>
  <c r="ON2676" i="53"/>
  <c r="ON2677" i="53"/>
  <c r="ON2678" i="53"/>
  <c r="ON2679" i="53"/>
  <c r="ON2680" i="53"/>
  <c r="ON2681" i="53"/>
  <c r="ON2682" i="53"/>
  <c r="ON2683" i="53"/>
  <c r="ON2684" i="53"/>
  <c r="ON2685" i="53"/>
  <c r="ON2686" i="53"/>
  <c r="ON2687" i="53"/>
  <c r="ON2688" i="53"/>
  <c r="ON2689" i="53"/>
  <c r="ON2690" i="53"/>
  <c r="ON2691" i="53"/>
  <c r="ON2692" i="53"/>
  <c r="ON2693" i="53"/>
  <c r="ON2694" i="53"/>
  <c r="ON2695" i="53"/>
  <c r="ON2696" i="53"/>
  <c r="ON2697" i="53"/>
  <c r="ON2698" i="53"/>
  <c r="ON2699" i="53"/>
  <c r="ON2700" i="53"/>
  <c r="ON2701" i="53"/>
  <c r="ON2702" i="53"/>
  <c r="ON2704" i="53"/>
  <c r="ON2705" i="53"/>
  <c r="ON2706" i="53"/>
  <c r="ON2707" i="53"/>
  <c r="ON2708" i="53"/>
  <c r="ON2709" i="53"/>
  <c r="ON2710" i="53"/>
  <c r="ON2711" i="53"/>
  <c r="ON2712" i="53"/>
  <c r="ON2713" i="53"/>
  <c r="ON2714" i="53"/>
  <c r="ON2715" i="53"/>
  <c r="ON2716" i="53"/>
  <c r="ON2717" i="53"/>
  <c r="ON2718" i="53"/>
  <c r="ON2719" i="53"/>
  <c r="ON2720" i="53"/>
  <c r="ON2721" i="53"/>
  <c r="ON2722" i="53"/>
  <c r="ON2723" i="53"/>
  <c r="ON2724" i="53"/>
  <c r="ON2725" i="53"/>
  <c r="ON2726" i="53"/>
  <c r="ON2727" i="53"/>
  <c r="ON2728" i="53"/>
  <c r="ON2729" i="53"/>
  <c r="ON2730" i="53"/>
  <c r="ON2731" i="53"/>
  <c r="ON2732" i="53"/>
  <c r="ON2733" i="53"/>
  <c r="ON2734" i="53"/>
  <c r="ON2735" i="53"/>
  <c r="ON2736" i="53"/>
  <c r="ON2737" i="53"/>
  <c r="ON2738" i="53"/>
  <c r="ON2739" i="53"/>
  <c r="ON2740" i="53"/>
  <c r="ON2741" i="53"/>
  <c r="ON2742" i="53"/>
  <c r="ON2743" i="53"/>
  <c r="ON2744" i="53"/>
  <c r="ON2745" i="53"/>
  <c r="ON2746" i="53"/>
  <c r="ON2747" i="53"/>
  <c r="ON2748" i="53"/>
  <c r="ON2749" i="53"/>
  <c r="ON2750" i="53"/>
  <c r="ON2751" i="53"/>
  <c r="ON2752" i="53"/>
  <c r="ON2753" i="53"/>
  <c r="ON2754" i="53"/>
  <c r="ON2755" i="53"/>
  <c r="ON2756" i="53"/>
  <c r="ON2757" i="53"/>
  <c r="ON2758" i="53"/>
  <c r="ON2759" i="53"/>
  <c r="ON2760" i="53"/>
  <c r="ON2761" i="53"/>
  <c r="ON2762" i="53"/>
  <c r="ON2763" i="53"/>
  <c r="ON2764" i="53"/>
  <c r="ON2765" i="53"/>
  <c r="ON2766" i="53"/>
  <c r="ON2767" i="53"/>
  <c r="ON2768" i="53"/>
  <c r="ON2769" i="53"/>
  <c r="ON2770" i="53"/>
  <c r="ON2771" i="53"/>
  <c r="ON2772" i="53"/>
  <c r="ON2773" i="53"/>
  <c r="ON2774" i="53"/>
  <c r="ON2775" i="53"/>
  <c r="ON2776" i="53"/>
  <c r="ON2777" i="53"/>
  <c r="ON2778" i="53"/>
  <c r="ON2779" i="53"/>
  <c r="ON2780" i="53"/>
  <c r="ON2781" i="53"/>
  <c r="ON2782" i="53"/>
  <c r="ON2783" i="53"/>
  <c r="ON2784" i="53"/>
  <c r="ON2785" i="53"/>
  <c r="ON2786" i="53"/>
  <c r="ON2787" i="53"/>
  <c r="ON2788" i="53"/>
  <c r="ON2789" i="53"/>
  <c r="ON2790" i="53"/>
  <c r="ON2791" i="53"/>
  <c r="ON2792" i="53"/>
  <c r="ON2793" i="53"/>
  <c r="ON2794" i="53"/>
  <c r="ON2795" i="53"/>
  <c r="ON2796" i="53"/>
  <c r="ON2797" i="53"/>
  <c r="ON2798" i="53"/>
  <c r="ON2799" i="53"/>
  <c r="ON2800" i="53"/>
  <c r="ON2801" i="53"/>
  <c r="ON2802" i="53"/>
  <c r="ON2803" i="53"/>
  <c r="ON2804" i="53"/>
  <c r="ON2805" i="53"/>
  <c r="ON2806" i="53"/>
  <c r="ON2807" i="53"/>
  <c r="ON2808" i="53"/>
  <c r="ON2809" i="53"/>
  <c r="ON2810" i="53"/>
  <c r="ON2811" i="53"/>
  <c r="ON2812" i="53"/>
  <c r="ON2813" i="53"/>
  <c r="ON2814" i="53"/>
  <c r="ON2815" i="53"/>
  <c r="ON2816" i="53"/>
  <c r="ON2817" i="53"/>
  <c r="ON2818" i="53"/>
  <c r="ON2819" i="53"/>
  <c r="ON2820" i="53"/>
  <c r="ON2821" i="53"/>
  <c r="ON2822" i="53"/>
  <c r="ON2823" i="53"/>
  <c r="ON2824" i="53"/>
  <c r="ON2825" i="53"/>
  <c r="ON2826" i="53"/>
  <c r="ON2827" i="53"/>
  <c r="ON2828" i="53"/>
  <c r="ON2829" i="53"/>
  <c r="ON2830" i="53"/>
  <c r="ON2831" i="53"/>
  <c r="ON2832" i="53"/>
  <c r="ON2833" i="53"/>
  <c r="ON2834" i="53"/>
  <c r="ON2835" i="53"/>
  <c r="ON2836" i="53"/>
  <c r="ON2837" i="53"/>
  <c r="ON2838" i="53"/>
  <c r="ON2839" i="53"/>
  <c r="ON2840" i="53"/>
  <c r="ON2841" i="53"/>
  <c r="ON2842" i="53"/>
  <c r="ON2843" i="53"/>
  <c r="ON2844" i="53"/>
  <c r="ON2845" i="53"/>
  <c r="ON2846" i="53"/>
  <c r="ON2847" i="53"/>
  <c r="ON2848" i="53"/>
  <c r="ON2849" i="53"/>
  <c r="ON2850" i="53"/>
  <c r="ON2851" i="53"/>
  <c r="ON2852" i="53"/>
  <c r="ON2853" i="53"/>
  <c r="ON2854" i="53"/>
  <c r="ON2855" i="53"/>
  <c r="ON2856" i="53"/>
  <c r="ON2857" i="53"/>
  <c r="ON2858" i="53"/>
  <c r="ON2859" i="53"/>
  <c r="ON2860" i="53"/>
  <c r="ON2861" i="53"/>
  <c r="ON2862" i="53"/>
  <c r="ON2863" i="53"/>
  <c r="ON2864" i="53"/>
  <c r="ON2865" i="53"/>
  <c r="ON2866" i="53"/>
  <c r="ON2867" i="53"/>
  <c r="ON2868" i="53"/>
  <c r="ON2869" i="53"/>
  <c r="ON2870" i="53"/>
  <c r="ON2871" i="53"/>
  <c r="ON2872" i="53"/>
  <c r="ON2873" i="53"/>
  <c r="ON2874" i="53"/>
  <c r="ON2875" i="53"/>
  <c r="ON2876" i="53"/>
  <c r="ON2877" i="53"/>
  <c r="ON2878" i="53"/>
  <c r="ON2879" i="53"/>
  <c r="ON2880" i="53"/>
  <c r="ON2881" i="53"/>
  <c r="ON2882" i="53"/>
  <c r="ON2883" i="53"/>
  <c r="ON2884" i="53"/>
  <c r="ON2885" i="53"/>
  <c r="ON2886" i="53"/>
  <c r="ON2887" i="53"/>
  <c r="ON2888" i="53"/>
  <c r="ON2889" i="53"/>
  <c r="ON2890" i="53"/>
  <c r="ON2891" i="53"/>
  <c r="ON2892" i="53"/>
  <c r="ON2893" i="53"/>
  <c r="ON2894" i="53"/>
  <c r="ON2895" i="53"/>
  <c r="ON2896" i="53"/>
  <c r="ON2897" i="53"/>
  <c r="ON2898" i="53"/>
  <c r="ON2899" i="53"/>
  <c r="ON2900" i="53"/>
  <c r="ON2901" i="53"/>
  <c r="ON2902" i="53"/>
  <c r="ON2903" i="53"/>
  <c r="ON2904" i="53"/>
  <c r="ON2905" i="53"/>
  <c r="ON2906" i="53"/>
  <c r="ON2907" i="53"/>
  <c r="ON2908" i="53"/>
  <c r="ON2909" i="53"/>
  <c r="ON2910" i="53"/>
  <c r="ON2911" i="53"/>
  <c r="ON2912" i="53"/>
  <c r="ON2913" i="53"/>
  <c r="ON2914" i="53"/>
  <c r="ON2915" i="53"/>
  <c r="ON2916" i="53"/>
  <c r="ON2917" i="53"/>
  <c r="ON2918" i="53"/>
  <c r="ON2919" i="53"/>
  <c r="ON2920" i="53"/>
  <c r="ON2921" i="53"/>
  <c r="ON2922" i="53"/>
  <c r="ON2923" i="53"/>
  <c r="ON2924" i="53"/>
  <c r="ON2925" i="53"/>
  <c r="ON2926" i="53"/>
  <c r="ON2927" i="53"/>
  <c r="ON2928" i="53"/>
  <c r="ON2929" i="53"/>
  <c r="ON2930" i="53"/>
  <c r="ON2931" i="53"/>
  <c r="ON2932" i="53"/>
  <c r="ON2933" i="53"/>
  <c r="ON2934" i="53"/>
  <c r="ON2935" i="53"/>
  <c r="ON2936" i="53"/>
  <c r="ON2937" i="53"/>
  <c r="ON2938" i="53"/>
  <c r="ON2939" i="53"/>
  <c r="ON2940" i="53"/>
  <c r="ON2941" i="53"/>
  <c r="ON2942" i="53"/>
  <c r="ON2943" i="53"/>
  <c r="ON2944" i="53"/>
  <c r="ON2945" i="53"/>
  <c r="ON2946" i="53"/>
  <c r="ON2947" i="53"/>
  <c r="ON2948" i="53"/>
  <c r="ON2949" i="53"/>
  <c r="ON2950" i="53"/>
  <c r="ON2951" i="53"/>
  <c r="ON2952" i="53"/>
  <c r="ON2953" i="53"/>
  <c r="ON2954" i="53"/>
  <c r="ON2955" i="53"/>
  <c r="ON2956" i="53"/>
  <c r="ON2957" i="53"/>
  <c r="ON2958" i="53"/>
  <c r="ON2959" i="53"/>
  <c r="ON2960" i="53"/>
  <c r="ON2961" i="53"/>
  <c r="ON2962" i="53"/>
  <c r="ON2963" i="53"/>
  <c r="ON2964" i="53"/>
  <c r="ON2965" i="53"/>
  <c r="ON2966" i="53"/>
  <c r="ON2967" i="53"/>
  <c r="ON2968" i="53"/>
  <c r="ON2969" i="53"/>
  <c r="ON2970" i="53"/>
  <c r="ON2971" i="53"/>
  <c r="ON2972" i="53"/>
  <c r="ON2973" i="53"/>
  <c r="ON2974" i="53"/>
  <c r="ON2975" i="53"/>
  <c r="ON2976" i="53"/>
  <c r="ON2977" i="53"/>
  <c r="ON2978" i="53"/>
  <c r="ON2979" i="53"/>
  <c r="ON2980" i="53"/>
  <c r="ON2981" i="53"/>
  <c r="ON2982" i="53"/>
  <c r="ON2983" i="53"/>
  <c r="ON2984" i="53"/>
  <c r="ON2985" i="53"/>
  <c r="ON2986" i="53"/>
  <c r="ON2987" i="53"/>
  <c r="ON2988" i="53"/>
  <c r="ON2989" i="53"/>
  <c r="ON2990" i="53"/>
  <c r="ON2991" i="53"/>
  <c r="ON2992" i="53"/>
  <c r="ON2993" i="53"/>
  <c r="ON2994" i="53"/>
  <c r="ON2995" i="53"/>
  <c r="ON2996" i="53"/>
  <c r="ON2997" i="53"/>
  <c r="ON2998" i="53"/>
  <c r="ON2999" i="53"/>
  <c r="ON3000" i="53"/>
  <c r="ON3001" i="53"/>
  <c r="ON3002" i="53"/>
  <c r="ON3003" i="53"/>
  <c r="ON3004" i="53"/>
  <c r="ON3005" i="53"/>
  <c r="ON3006" i="53"/>
  <c r="ON3007" i="53"/>
  <c r="ON3008" i="53"/>
  <c r="ON3009" i="53"/>
  <c r="ON3010" i="53"/>
  <c r="ON3011" i="53"/>
  <c r="ON3012" i="53"/>
  <c r="ON3013" i="53"/>
  <c r="ON3014" i="53"/>
  <c r="ON3015" i="53"/>
  <c r="ON3016" i="53"/>
  <c r="ON3017" i="53"/>
  <c r="ON3018" i="53"/>
  <c r="ON3019" i="53"/>
  <c r="ON3020" i="53"/>
  <c r="ON3021" i="53"/>
  <c r="ON3022" i="53"/>
  <c r="ON3023" i="53"/>
  <c r="ON3024" i="53"/>
  <c r="ON3025" i="53"/>
  <c r="ON3026" i="53"/>
  <c r="ON3027" i="53"/>
  <c r="ON3028" i="53"/>
  <c r="ON3029" i="53"/>
  <c r="ON3031" i="53"/>
  <c r="ON3032" i="53"/>
  <c r="ON3033" i="53"/>
  <c r="ON3034" i="53"/>
  <c r="ON3035" i="53"/>
  <c r="ON3036" i="53"/>
  <c r="ON3037" i="53"/>
  <c r="ON3038" i="53"/>
  <c r="ON3039" i="53"/>
  <c r="ON3040" i="53"/>
  <c r="ON3041" i="53"/>
  <c r="ON3042" i="53"/>
  <c r="ON3043" i="53"/>
  <c r="ON3044" i="53"/>
  <c r="ON3045" i="53"/>
  <c r="ON3046" i="53"/>
  <c r="ON3047" i="53"/>
  <c r="ON3048" i="53"/>
  <c r="ON3049" i="53"/>
  <c r="ON3050" i="53"/>
  <c r="ON3051" i="53"/>
  <c r="ON3052" i="53"/>
  <c r="ON3053" i="53"/>
  <c r="ON3054" i="53"/>
  <c r="ON3055" i="53"/>
  <c r="ON3056" i="53"/>
  <c r="ON3057" i="53"/>
  <c r="ON3058" i="53"/>
  <c r="ON3059" i="53"/>
  <c r="ON3060" i="53"/>
  <c r="ON3061" i="53"/>
  <c r="ON3062" i="53"/>
  <c r="ON3063" i="53"/>
  <c r="ON3064" i="53"/>
  <c r="ON3065" i="53"/>
  <c r="ON3066" i="53"/>
  <c r="ON3067" i="53"/>
  <c r="ON3068" i="53"/>
  <c r="ON3069" i="53"/>
  <c r="ON3070" i="53"/>
  <c r="ON3071" i="53"/>
  <c r="ON3072" i="53"/>
  <c r="ON3073" i="53"/>
  <c r="ON3074" i="53"/>
  <c r="ON3075" i="53"/>
  <c r="ON3076" i="53"/>
  <c r="ON3077" i="53"/>
  <c r="ON3078" i="53"/>
  <c r="ON3079" i="53"/>
  <c r="ON3080" i="53"/>
  <c r="ON3081" i="53"/>
  <c r="ON3082" i="53"/>
  <c r="ON3083" i="53"/>
  <c r="ON3084" i="53"/>
  <c r="ON3085" i="53"/>
  <c r="ON3086" i="53"/>
  <c r="ON3087" i="53"/>
  <c r="ON3088" i="53"/>
  <c r="ON3089" i="53"/>
  <c r="ON3090" i="53"/>
  <c r="ON3091" i="53"/>
  <c r="ON3092" i="53"/>
  <c r="ON3093" i="53"/>
  <c r="ON3094" i="53"/>
  <c r="ON3095" i="53"/>
  <c r="ON3096" i="53"/>
  <c r="ON3098" i="53"/>
  <c r="ON3099" i="53"/>
  <c r="ON3100" i="53"/>
  <c r="ON3101" i="53"/>
  <c r="ON3102" i="53"/>
  <c r="ON3103" i="53"/>
  <c r="ON3104" i="53"/>
  <c r="ON3105" i="53"/>
  <c r="ON3106" i="53"/>
  <c r="ON3107" i="53"/>
  <c r="ON3108" i="53"/>
  <c r="ON3109" i="53"/>
  <c r="ON3110" i="53"/>
  <c r="ON3111" i="53"/>
  <c r="ON3112" i="53"/>
  <c r="ON3113" i="53"/>
  <c r="ON3114" i="53"/>
  <c r="ON3115" i="53"/>
  <c r="ON3116" i="53"/>
  <c r="ON3117" i="53"/>
  <c r="ON3118" i="53"/>
  <c r="ON3119" i="53"/>
  <c r="ON3120" i="53"/>
  <c r="ON3121" i="53"/>
  <c r="ON3122" i="53"/>
  <c r="ON3123" i="53"/>
  <c r="ON3124" i="53"/>
  <c r="ON3125" i="53"/>
  <c r="ON3126" i="53"/>
  <c r="ON3127" i="53"/>
  <c r="ON3128" i="53"/>
  <c r="ON3129" i="53"/>
  <c r="ON3130" i="53"/>
  <c r="ON3131" i="53"/>
  <c r="ON3132" i="53"/>
  <c r="ON3133" i="53"/>
  <c r="ON3134" i="53"/>
  <c r="ON3135" i="53"/>
  <c r="ON3136" i="53"/>
  <c r="ON3137" i="53"/>
  <c r="ON3138" i="53"/>
  <c r="ON3139" i="53"/>
  <c r="ON3140" i="53"/>
  <c r="ON3141" i="53"/>
  <c r="ON3142" i="53"/>
  <c r="ON3143" i="53"/>
  <c r="ON3144" i="53"/>
  <c r="ON3145" i="53"/>
  <c r="ON3146" i="53"/>
  <c r="ON3147" i="53"/>
  <c r="ON3148" i="53"/>
  <c r="ON3149" i="53"/>
  <c r="ON3150" i="53"/>
  <c r="ON3151" i="53"/>
  <c r="ON3152" i="53"/>
  <c r="ON3153" i="53"/>
  <c r="ON3154" i="53"/>
  <c r="ON3155" i="53"/>
  <c r="ON3156" i="53"/>
  <c r="ON3157" i="53"/>
  <c r="ON3158" i="53"/>
  <c r="ON3159" i="53"/>
  <c r="ON3160" i="53"/>
  <c r="ON3161" i="53"/>
  <c r="ON3162" i="53"/>
  <c r="ON3163" i="53"/>
  <c r="ON3164" i="53"/>
  <c r="ON3165" i="53"/>
  <c r="ON3166" i="53"/>
  <c r="ON3167" i="53"/>
  <c r="ON3168" i="53"/>
  <c r="ON3169" i="53"/>
  <c r="ON3170" i="53"/>
  <c r="ON3171" i="53"/>
  <c r="ON3172" i="53"/>
  <c r="ON3173" i="53"/>
  <c r="ON3174" i="53"/>
  <c r="ON3175" i="53"/>
  <c r="ON3176" i="53"/>
  <c r="ON3177" i="53"/>
  <c r="ON3178" i="53"/>
  <c r="ON3179" i="53"/>
  <c r="ON3180" i="53"/>
  <c r="ON3181" i="53"/>
  <c r="ON3182" i="53"/>
  <c r="ON3183" i="53"/>
  <c r="ON3184" i="53"/>
  <c r="ON3185" i="53"/>
  <c r="ON3186" i="53"/>
  <c r="ON3187" i="53"/>
  <c r="ON3188" i="53"/>
  <c r="ON3189" i="53"/>
  <c r="ON3190" i="53"/>
  <c r="ON3191" i="53"/>
  <c r="ON3192" i="53"/>
  <c r="ON3193" i="53"/>
  <c r="ON3194" i="53"/>
  <c r="ON3195" i="53"/>
  <c r="ON3196" i="53"/>
  <c r="ON3197" i="53"/>
  <c r="ON3198" i="53"/>
  <c r="ON3199" i="53"/>
  <c r="ON3200" i="53"/>
  <c r="ON3201" i="53"/>
  <c r="ON3202" i="53"/>
  <c r="ON3203" i="53"/>
  <c r="ON3204" i="53"/>
  <c r="ON3205" i="53"/>
  <c r="ON3206" i="53"/>
  <c r="ON3207" i="53"/>
  <c r="ON3208" i="53"/>
  <c r="ON3209" i="53"/>
  <c r="ON3210" i="53"/>
  <c r="ON3211" i="53"/>
  <c r="ON3212" i="53"/>
  <c r="ON3213" i="53"/>
  <c r="ON3214" i="53"/>
  <c r="ON3215" i="53"/>
  <c r="ON3216" i="53"/>
  <c r="ON3217" i="53"/>
  <c r="ON3218" i="53"/>
  <c r="ON3219" i="53"/>
  <c r="ON3220" i="53"/>
  <c r="ON3221" i="53"/>
  <c r="ON3222" i="53"/>
  <c r="ON3223" i="53"/>
  <c r="ON3224" i="53"/>
  <c r="ON3225" i="53"/>
  <c r="ON3226" i="53"/>
  <c r="ON3227" i="53"/>
  <c r="ON3228" i="53"/>
  <c r="ON3229" i="53"/>
  <c r="ON3230" i="53"/>
  <c r="ON3231" i="53"/>
  <c r="ON3232" i="53"/>
  <c r="ON3233" i="53"/>
  <c r="ON3234" i="53"/>
  <c r="ON3235" i="53"/>
  <c r="ON3236" i="53"/>
  <c r="ON3237" i="53"/>
  <c r="ON3238" i="53"/>
  <c r="ON3239" i="53"/>
  <c r="ON3240" i="53"/>
  <c r="ON3241" i="53"/>
  <c r="ON3242" i="53"/>
  <c r="ON3243" i="53"/>
  <c r="ON3244" i="53"/>
  <c r="ON3245" i="53"/>
  <c r="ON3246" i="53"/>
  <c r="ON3247" i="53"/>
  <c r="ON3248" i="53"/>
  <c r="ON3249" i="53"/>
  <c r="ON3250" i="53"/>
  <c r="ON3251" i="53"/>
  <c r="ON3252" i="53"/>
  <c r="ON3253" i="53"/>
  <c r="ON3254" i="53"/>
  <c r="ON3255" i="53"/>
  <c r="ON3256" i="53"/>
  <c r="ON3257" i="53"/>
  <c r="ON3258" i="53"/>
  <c r="ON3259" i="53"/>
  <c r="ON3260" i="53"/>
  <c r="ON3261" i="53"/>
  <c r="ON3262" i="53"/>
  <c r="ON3263" i="53"/>
  <c r="ON3264" i="53"/>
  <c r="ON3265" i="53"/>
  <c r="ON3266" i="53"/>
  <c r="ON3267" i="53"/>
  <c r="ON3268" i="53"/>
  <c r="ON3269" i="53"/>
  <c r="ON3270" i="53"/>
  <c r="ON3271" i="53"/>
  <c r="ON3272" i="53"/>
  <c r="ON3273" i="53"/>
  <c r="ON3274" i="53"/>
  <c r="ON3275" i="53"/>
  <c r="ON3276" i="53"/>
  <c r="ON3277" i="53"/>
  <c r="ON3278" i="53"/>
  <c r="ON3279" i="53"/>
  <c r="ON3280" i="53"/>
  <c r="ON3281" i="53"/>
  <c r="ON3282" i="53"/>
  <c r="ON3283" i="53"/>
  <c r="ON3284" i="53"/>
  <c r="ON3285" i="53"/>
  <c r="ON3286" i="53"/>
  <c r="ON3287" i="53"/>
  <c r="ON3288" i="53"/>
  <c r="ON3289" i="53"/>
  <c r="ON3290" i="53"/>
  <c r="ON3291" i="53"/>
  <c r="ON3292" i="53"/>
  <c r="ON3293" i="53"/>
  <c r="ON3294" i="53"/>
  <c r="ON3295" i="53"/>
  <c r="ON3296" i="53"/>
  <c r="ON3297" i="53"/>
  <c r="ON3298" i="53"/>
  <c r="ON3299" i="53"/>
  <c r="ON3300" i="53"/>
  <c r="ON3301" i="53"/>
  <c r="ON3302" i="53"/>
  <c r="ON3303" i="53"/>
  <c r="ON3304" i="53"/>
  <c r="ON3305" i="53"/>
  <c r="ON3306" i="53"/>
  <c r="ON3307" i="53"/>
  <c r="ON3308" i="53"/>
  <c r="ON3309" i="53"/>
  <c r="ON3310" i="53"/>
  <c r="ON3311" i="53"/>
  <c r="ON3312" i="53"/>
  <c r="ON3313" i="53"/>
  <c r="ON3314" i="53"/>
  <c r="ON3315" i="53"/>
  <c r="ON3316" i="53"/>
  <c r="ON3317" i="53"/>
  <c r="ON3318" i="53"/>
  <c r="ON3319" i="53"/>
  <c r="ON3320" i="53"/>
  <c r="ON3321" i="53"/>
  <c r="ON3322" i="53"/>
  <c r="ON3323" i="53"/>
  <c r="ON3324" i="53"/>
  <c r="ON3325" i="53"/>
  <c r="ON3326" i="53"/>
  <c r="ON3327" i="53"/>
  <c r="ON3328" i="53"/>
  <c r="ON3329" i="53"/>
  <c r="ON3330" i="53"/>
  <c r="ON3331" i="53"/>
  <c r="ON3332" i="53"/>
  <c r="ON3333" i="53"/>
  <c r="ON3334" i="53"/>
  <c r="ON3335" i="53"/>
  <c r="ON3336" i="53"/>
  <c r="ON3337" i="53"/>
  <c r="ON3338" i="53"/>
  <c r="ON3339" i="53"/>
  <c r="ON3340" i="53"/>
  <c r="ON3341" i="53"/>
  <c r="ON3342" i="53"/>
  <c r="ON3343" i="53"/>
  <c r="ON3344" i="53"/>
  <c r="ON3345" i="53"/>
  <c r="ON3346" i="53"/>
  <c r="ON3347" i="53"/>
  <c r="ON3348" i="53"/>
  <c r="ON3349" i="53"/>
  <c r="ON3350" i="53"/>
  <c r="ON3351" i="53"/>
  <c r="ON3352" i="53"/>
  <c r="ON3353" i="53"/>
  <c r="ON3354" i="53"/>
  <c r="ON3355" i="53"/>
  <c r="ON3356" i="53"/>
  <c r="ON3357" i="53"/>
  <c r="ON3358" i="53"/>
  <c r="ON3359" i="53"/>
  <c r="ON3360" i="53"/>
  <c r="ON3361" i="53"/>
  <c r="ON3362" i="53"/>
  <c r="ON3363" i="53"/>
  <c r="ON3364" i="53"/>
  <c r="ON3365" i="53"/>
  <c r="ON3366" i="53"/>
  <c r="ON3367" i="53"/>
  <c r="ON3368" i="53"/>
  <c r="ON3369" i="53"/>
  <c r="ON3370" i="53"/>
  <c r="ON3371" i="53"/>
  <c r="ON3372" i="53"/>
  <c r="ON3373" i="53"/>
  <c r="ON3374" i="53"/>
  <c r="ON3375" i="53"/>
  <c r="ON3376" i="53"/>
  <c r="ON3377" i="53"/>
  <c r="ON3378" i="53"/>
  <c r="ON3379" i="53"/>
  <c r="ON3380" i="53"/>
  <c r="ON3381" i="53"/>
  <c r="ON3382" i="53"/>
  <c r="ON3383" i="53"/>
  <c r="ON3384" i="53"/>
  <c r="ON3385" i="53"/>
  <c r="ON3386" i="53"/>
  <c r="ON3387" i="53"/>
  <c r="ON3388" i="53"/>
  <c r="ON3389" i="53"/>
  <c r="ON3390" i="53"/>
  <c r="ON3391" i="53"/>
  <c r="ON3392" i="53"/>
  <c r="ON3393" i="53"/>
  <c r="ON3394" i="53"/>
  <c r="ON3395" i="53"/>
  <c r="ON3396" i="53"/>
  <c r="ON3397" i="53"/>
  <c r="ON3398" i="53"/>
  <c r="ON3" i="53"/>
  <c r="CI6" i="54"/>
  <c r="CI7" i="54"/>
  <c r="CI8" i="54"/>
  <c r="CI9" i="54"/>
  <c r="CI10" i="54"/>
  <c r="CI11" i="54"/>
  <c r="CI12" i="54"/>
  <c r="CI13" i="54"/>
  <c r="CI14" i="54"/>
  <c r="CI15" i="54"/>
  <c r="CI16" i="54"/>
  <c r="CI17" i="54"/>
  <c r="CI18" i="54"/>
  <c r="CI19" i="54"/>
  <c r="CI20" i="54"/>
  <c r="CI21" i="54"/>
  <c r="CI22" i="54"/>
  <c r="CI23" i="54"/>
  <c r="CI24" i="54"/>
  <c r="CI25" i="54"/>
  <c r="CI26" i="54"/>
  <c r="CI27" i="54"/>
  <c r="CI28" i="54"/>
  <c r="CI29" i="54"/>
  <c r="CI30" i="54"/>
  <c r="CI31" i="54"/>
  <c r="CI32" i="54"/>
  <c r="CI33" i="54"/>
  <c r="CI34" i="54"/>
  <c r="CI35" i="54"/>
  <c r="CI36" i="54"/>
  <c r="CI37" i="54"/>
  <c r="CI38" i="54"/>
  <c r="CI39" i="54"/>
  <c r="CI40" i="54"/>
  <c r="CI41" i="54"/>
  <c r="CI42" i="54"/>
  <c r="CI43" i="54"/>
  <c r="CI44" i="54"/>
  <c r="CI45" i="54"/>
  <c r="CI46" i="54"/>
  <c r="CI47" i="54"/>
  <c r="CI48" i="54"/>
  <c r="CI49" i="54"/>
  <c r="CI50" i="54"/>
  <c r="CI51" i="54"/>
  <c r="CI52" i="54"/>
  <c r="CI53" i="54"/>
  <c r="CI54" i="54"/>
  <c r="CI55" i="54"/>
  <c r="CI56" i="54"/>
  <c r="CI57" i="54"/>
  <c r="CI58" i="54"/>
  <c r="CI59" i="54"/>
  <c r="CI60" i="54"/>
  <c r="CI61" i="54"/>
  <c r="CI62" i="54"/>
  <c r="CI63" i="54"/>
  <c r="CI64" i="54"/>
  <c r="CI65" i="54"/>
  <c r="CI66" i="54"/>
  <c r="CI67" i="54"/>
  <c r="CI68" i="54"/>
  <c r="CI69" i="54"/>
  <c r="CI70" i="54"/>
  <c r="CI71" i="54"/>
  <c r="CI72" i="54"/>
  <c r="CI73" i="54"/>
  <c r="CI74" i="54"/>
  <c r="CI75" i="54"/>
  <c r="CI76" i="54"/>
  <c r="CI77" i="54"/>
  <c r="CI78" i="54"/>
  <c r="CI79" i="54"/>
  <c r="CI80" i="54"/>
  <c r="CI81" i="54"/>
  <c r="CI82" i="54"/>
  <c r="CI83" i="54"/>
  <c r="CI84" i="54"/>
  <c r="CI85" i="54"/>
  <c r="CI86" i="54"/>
  <c r="CI87" i="54"/>
  <c r="CI88" i="54"/>
  <c r="CI89" i="54"/>
  <c r="CI90" i="54"/>
  <c r="CI91" i="54"/>
  <c r="CI92" i="54"/>
  <c r="CI93" i="54"/>
  <c r="CI94" i="54"/>
  <c r="CI95" i="54"/>
  <c r="CI96" i="54"/>
  <c r="CI97" i="54"/>
  <c r="CI98" i="54"/>
  <c r="CI99" i="54"/>
  <c r="CI100" i="54"/>
  <c r="CI101" i="54"/>
  <c r="CI102" i="54"/>
  <c r="CI103" i="54"/>
  <c r="CI104" i="54"/>
  <c r="CI105" i="54"/>
  <c r="CI106" i="54"/>
  <c r="CI107" i="54"/>
  <c r="CI108" i="54"/>
  <c r="CI109" i="54"/>
  <c r="CI110" i="54"/>
  <c r="CI111" i="54"/>
  <c r="CI112" i="54"/>
  <c r="CI113" i="54"/>
  <c r="CI114" i="54"/>
  <c r="CI115" i="54"/>
  <c r="CI116" i="54"/>
  <c r="CI117" i="54"/>
  <c r="CI118" i="54"/>
  <c r="CI119" i="54"/>
  <c r="CI120" i="54"/>
  <c r="CI121" i="54"/>
  <c r="CI122" i="54"/>
  <c r="CI123" i="54"/>
  <c r="CI124" i="54"/>
  <c r="CI125" i="54"/>
  <c r="CI126" i="54"/>
  <c r="CI127" i="54"/>
  <c r="CI128" i="54"/>
  <c r="CI129" i="54"/>
  <c r="CI130" i="54"/>
  <c r="CI131" i="54"/>
  <c r="CI132" i="54"/>
  <c r="CI133" i="54"/>
  <c r="CI134" i="54"/>
  <c r="CI135" i="54"/>
  <c r="CI136" i="54"/>
  <c r="CI137" i="54"/>
  <c r="CI138" i="54"/>
  <c r="CI139" i="54"/>
  <c r="CI140" i="54"/>
  <c r="CI141" i="54"/>
  <c r="CI142" i="54"/>
  <c r="CI143" i="54"/>
  <c r="CI144" i="54"/>
  <c r="CI145" i="54"/>
  <c r="CI146" i="54"/>
  <c r="CI147" i="54"/>
  <c r="CI148" i="54"/>
  <c r="CI149" i="54"/>
  <c r="CI150" i="54"/>
  <c r="CI151" i="54"/>
  <c r="CI152" i="54"/>
  <c r="CI153" i="54"/>
  <c r="CI154" i="54"/>
  <c r="CI155" i="54"/>
  <c r="CI156" i="54"/>
  <c r="CI157" i="54"/>
  <c r="CI158" i="54"/>
  <c r="CI159" i="54"/>
  <c r="CI160" i="54"/>
  <c r="CI161" i="54"/>
  <c r="CI162" i="54"/>
  <c r="CI163" i="54"/>
  <c r="CI164" i="54"/>
  <c r="CI165" i="54"/>
  <c r="CI166" i="54"/>
  <c r="CI167" i="54"/>
  <c r="CI168" i="54"/>
  <c r="CI169" i="54"/>
  <c r="CI170" i="54"/>
  <c r="CI171" i="54"/>
  <c r="CI172" i="54"/>
  <c r="CI173" i="54"/>
  <c r="CI174" i="54"/>
  <c r="CI175" i="54"/>
  <c r="CI176" i="54"/>
  <c r="CI177" i="54"/>
  <c r="CI178" i="54"/>
  <c r="CI179" i="54"/>
  <c r="CI180" i="54"/>
  <c r="CI181" i="54"/>
  <c r="CI182" i="54"/>
  <c r="CI183" i="54"/>
  <c r="CI184" i="54"/>
  <c r="CI185" i="54"/>
  <c r="CI186" i="54"/>
  <c r="CI187" i="54"/>
  <c r="CI188" i="54"/>
  <c r="CI189" i="54"/>
  <c r="CI190" i="54"/>
  <c r="CI191" i="54"/>
  <c r="CI192" i="54"/>
  <c r="CI193" i="54"/>
  <c r="CI194" i="54"/>
  <c r="CI195" i="54"/>
  <c r="CI196" i="54"/>
  <c r="CI197" i="54"/>
  <c r="CI198" i="54"/>
  <c r="CI199" i="54"/>
  <c r="CI200" i="54"/>
  <c r="CI201" i="54"/>
  <c r="CI202" i="54"/>
  <c r="CI203" i="54"/>
  <c r="CI204" i="54"/>
  <c r="CI205" i="54"/>
  <c r="CI206" i="54"/>
  <c r="CI207" i="54"/>
  <c r="CI208" i="54"/>
  <c r="CI209" i="54"/>
  <c r="CI210" i="54"/>
  <c r="CI211" i="54"/>
  <c r="CI212" i="54"/>
  <c r="CI213" i="54"/>
  <c r="CI214" i="54"/>
  <c r="CI215" i="54"/>
  <c r="CI216" i="54"/>
  <c r="CI217" i="54"/>
  <c r="CI218" i="54"/>
  <c r="CI219" i="54"/>
  <c r="CI220" i="54"/>
  <c r="CI221" i="54"/>
  <c r="CI222" i="54"/>
  <c r="CI223" i="54"/>
  <c r="CI224" i="54"/>
  <c r="CI225" i="54"/>
  <c r="CI226" i="54"/>
  <c r="CI227" i="54"/>
  <c r="CI228" i="54"/>
  <c r="CI229" i="54"/>
  <c r="CI230" i="54"/>
  <c r="CI231" i="54"/>
  <c r="CI232" i="54"/>
  <c r="CI233" i="54"/>
  <c r="CI234" i="54"/>
  <c r="CI235" i="54"/>
  <c r="CI236" i="54"/>
  <c r="CI237" i="54"/>
  <c r="CI238" i="54"/>
  <c r="CI239" i="54"/>
  <c r="CI240" i="54"/>
  <c r="CI241" i="54"/>
  <c r="CI242" i="54"/>
  <c r="CI243" i="54"/>
  <c r="CI244" i="54"/>
  <c r="CI245" i="54"/>
  <c r="CI246" i="54"/>
  <c r="CI247" i="54"/>
  <c r="CI248" i="54"/>
  <c r="CI249" i="54"/>
  <c r="CI250" i="54"/>
  <c r="CI251" i="54"/>
  <c r="CI252" i="54"/>
  <c r="CI253" i="54"/>
  <c r="CI254" i="54"/>
  <c r="CI255" i="54"/>
  <c r="CI256" i="54"/>
  <c r="CI257" i="54"/>
  <c r="CI258" i="54"/>
  <c r="CI259" i="54"/>
  <c r="CI260" i="54"/>
  <c r="CI261" i="54"/>
  <c r="CI262" i="54"/>
  <c r="CI263" i="54"/>
  <c r="CI264" i="54"/>
  <c r="CI265" i="54"/>
  <c r="CI266" i="54"/>
  <c r="CI267" i="54"/>
  <c r="CI268" i="54"/>
  <c r="CI269" i="54"/>
  <c r="CI270" i="54"/>
  <c r="CI271" i="54"/>
  <c r="CI272" i="54"/>
  <c r="CI273" i="54"/>
  <c r="CI274" i="54"/>
  <c r="CI275" i="54"/>
  <c r="CI276" i="54"/>
  <c r="CI277" i="54"/>
  <c r="CI278" i="54"/>
  <c r="CI279" i="54"/>
  <c r="CI280" i="54"/>
  <c r="CI281" i="54"/>
  <c r="CI282" i="54"/>
  <c r="CI283" i="54"/>
  <c r="CI284" i="54"/>
  <c r="CI285" i="54"/>
  <c r="CI286" i="54"/>
  <c r="CI287" i="54"/>
  <c r="CI288" i="54"/>
  <c r="CI289" i="54"/>
  <c r="CI290" i="54"/>
  <c r="CI291" i="54"/>
  <c r="CI292" i="54"/>
  <c r="CI293" i="54"/>
  <c r="CI294" i="54"/>
  <c r="CI295" i="54"/>
  <c r="CI296" i="54"/>
  <c r="CI297" i="54"/>
  <c r="CI298" i="54"/>
  <c r="CI299" i="54"/>
  <c r="CI300" i="54"/>
  <c r="CI301" i="54"/>
  <c r="CI302" i="54"/>
  <c r="CI303" i="54"/>
  <c r="CI304" i="54"/>
  <c r="CI305" i="54"/>
  <c r="CI306" i="54"/>
  <c r="CI307" i="54"/>
  <c r="CI308" i="54"/>
  <c r="CI309" i="54"/>
  <c r="CI310" i="54"/>
  <c r="CI311" i="54"/>
  <c r="CI312" i="54"/>
  <c r="CI313" i="54"/>
  <c r="CI314" i="54"/>
  <c r="CI315" i="54"/>
  <c r="CI316" i="54"/>
  <c r="CI317" i="54"/>
  <c r="CI318" i="54"/>
  <c r="CI319" i="54"/>
  <c r="CI320" i="54"/>
  <c r="CI321" i="54"/>
  <c r="CI322" i="54"/>
  <c r="CI323" i="54"/>
  <c r="CI324" i="54"/>
  <c r="CI325" i="54"/>
  <c r="CI326" i="54"/>
  <c r="CI327" i="54"/>
  <c r="CI328" i="54"/>
  <c r="CI5" i="54"/>
  <c r="F3311" i="53"/>
  <c r="F3131" i="53"/>
  <c r="F3125" i="53"/>
  <c r="F3098" i="53"/>
  <c r="F4" i="55" l="1"/>
  <c r="F5" i="55"/>
  <c r="F6" i="55"/>
  <c r="F7" i="55"/>
  <c r="F8" i="55"/>
  <c r="F9" i="55"/>
  <c r="F10" i="55"/>
  <c r="F11" i="55"/>
  <c r="F12" i="55"/>
  <c r="F13" i="55"/>
  <c r="F14" i="55"/>
  <c r="F15" i="55"/>
  <c r="F16" i="55"/>
  <c r="F17" i="55"/>
  <c r="F18" i="55"/>
  <c r="F19" i="55"/>
  <c r="F20" i="55"/>
  <c r="F21" i="55"/>
  <c r="F22" i="55"/>
  <c r="F23" i="55"/>
  <c r="F24" i="55"/>
  <c r="F25" i="55"/>
  <c r="F26" i="55"/>
  <c r="F27" i="55"/>
  <c r="F28" i="55"/>
  <c r="F29" i="55"/>
  <c r="F3" i="55"/>
  <c r="OM3030" i="53" l="1"/>
  <c r="ON3030" i="53" s="1"/>
  <c r="K3398" i="53" l="1"/>
  <c r="O3398" i="53" s="1"/>
  <c r="J1573" i="53"/>
  <c r="K1572" i="53"/>
  <c r="L1572" i="53" s="1"/>
  <c r="L3398" i="53" l="1"/>
  <c r="K2693" i="53"/>
  <c r="L2693" i="53" s="1"/>
  <c r="K2692" i="53"/>
  <c r="L2692" i="53" s="1"/>
  <c r="K2282" i="53"/>
  <c r="L2282" i="53" s="1"/>
  <c r="K2280" i="53"/>
  <c r="L2280" i="53" s="1"/>
  <c r="K2279" i="53"/>
  <c r="L2279" i="53" s="1"/>
  <c r="OJ3097" i="53" l="1"/>
  <c r="ON3097" i="53" s="1"/>
  <c r="C3397" i="53"/>
  <c r="K3397" i="53"/>
  <c r="L3397" i="53" s="1"/>
  <c r="A3397" i="53"/>
  <c r="K2697" i="53"/>
  <c r="L2697" i="53" s="1"/>
  <c r="O3397" i="53" l="1"/>
  <c r="C3056" i="53" l="1"/>
  <c r="C3057" i="53"/>
  <c r="K3396" i="53"/>
  <c r="L3396" i="53" s="1"/>
  <c r="K3395" i="53"/>
  <c r="L3395" i="53" s="1"/>
  <c r="K3325" i="53"/>
  <c r="L3325" i="53" s="1"/>
  <c r="O3395" i="53"/>
  <c r="C3396" i="53"/>
  <c r="C3395" i="53"/>
  <c r="A3396" i="53"/>
  <c r="A3395" i="53"/>
  <c r="F3394" i="53"/>
  <c r="K3394" i="53"/>
  <c r="L3394" i="53" s="1"/>
  <c r="C3394" i="53"/>
  <c r="A3394" i="53"/>
  <c r="O3325" i="53" l="1"/>
  <c r="O3396" i="53"/>
  <c r="O2783" i="53" l="1"/>
  <c r="O2521" i="53"/>
  <c r="O2520" i="53"/>
  <c r="K2491" i="53" l="1"/>
  <c r="O2491" i="53" s="1"/>
  <c r="L2491" i="53" l="1"/>
  <c r="F3327" i="53" l="1"/>
  <c r="F3302" i="53"/>
  <c r="F3193" i="53"/>
  <c r="F3136" i="53"/>
  <c r="F3053" i="53"/>
  <c r="F2902" i="53"/>
  <c r="F2798" i="53"/>
  <c r="F2782" i="53"/>
  <c r="F2766" i="53"/>
  <c r="F2583" i="53"/>
  <c r="F2495" i="53"/>
  <c r="F2492" i="53"/>
  <c r="K2695" i="53" l="1"/>
  <c r="L2695" i="53" l="1"/>
  <c r="O2695" i="53"/>
  <c r="J328" i="54"/>
  <c r="E328" i="54"/>
  <c r="F328" i="54" s="1"/>
  <c r="E327" i="54"/>
  <c r="F327" i="54" s="1"/>
  <c r="J327" i="54"/>
  <c r="J325" i="54"/>
  <c r="J326" i="54"/>
  <c r="E326" i="54"/>
  <c r="F326" i="54" s="1"/>
  <c r="E315" i="54"/>
  <c r="F315" i="54" s="1"/>
  <c r="J315" i="54"/>
  <c r="E316" i="54"/>
  <c r="F316" i="54" s="1"/>
  <c r="J316" i="54"/>
  <c r="E317" i="54"/>
  <c r="F317" i="54" s="1"/>
  <c r="J317" i="54"/>
  <c r="E318" i="54"/>
  <c r="F318" i="54" s="1"/>
  <c r="J318" i="54"/>
  <c r="E319" i="54"/>
  <c r="F319" i="54" s="1"/>
  <c r="J319" i="54"/>
  <c r="E320" i="54"/>
  <c r="F320" i="54" s="1"/>
  <c r="J320" i="54"/>
  <c r="E321" i="54"/>
  <c r="F321" i="54" s="1"/>
  <c r="J321" i="54"/>
  <c r="E322" i="54"/>
  <c r="F322" i="54" s="1"/>
  <c r="J322" i="54"/>
  <c r="E323" i="54"/>
  <c r="F323" i="54" s="1"/>
  <c r="J323" i="54"/>
  <c r="E324" i="54"/>
  <c r="F324" i="54" s="1"/>
  <c r="J324" i="54"/>
  <c r="E325" i="54"/>
  <c r="F325" i="54" s="1"/>
  <c r="E313" i="54"/>
  <c r="F313" i="54" s="1"/>
  <c r="J313" i="54"/>
  <c r="E314" i="54"/>
  <c r="F314" i="54" s="1"/>
  <c r="J314" i="54"/>
  <c r="E312" i="54"/>
  <c r="F312" i="54" s="1"/>
  <c r="E311" i="54"/>
  <c r="F311" i="54" s="1"/>
  <c r="E310" i="54"/>
  <c r="F310" i="54" s="1"/>
  <c r="E309" i="54"/>
  <c r="F309" i="54" s="1"/>
  <c r="E308" i="54"/>
  <c r="F308" i="54" s="1"/>
  <c r="E307" i="54"/>
  <c r="F307" i="54" s="1"/>
  <c r="E306" i="54"/>
  <c r="F306" i="54" s="1"/>
  <c r="J309" i="54"/>
  <c r="J310" i="54"/>
  <c r="J311" i="54"/>
  <c r="J312" i="54"/>
  <c r="J308" i="54"/>
  <c r="J307" i="54"/>
  <c r="J306" i="54"/>
  <c r="F3393" i="53"/>
  <c r="F3392" i="53"/>
  <c r="K3393" i="53"/>
  <c r="L3393" i="53" s="1"/>
  <c r="K3392" i="53"/>
  <c r="L3392" i="53" s="1"/>
  <c r="A3393" i="53"/>
  <c r="A3392" i="53"/>
  <c r="C3393" i="53"/>
  <c r="C3392" i="53"/>
  <c r="O3392" i="53" l="1"/>
  <c r="O3393" i="53"/>
  <c r="K3309" i="53" l="1"/>
  <c r="K3096" i="53"/>
  <c r="K3026" i="53"/>
  <c r="K2896" i="53"/>
  <c r="K2893" i="53"/>
  <c r="K2843" i="53"/>
  <c r="K2508" i="53"/>
  <c r="K2493" i="53"/>
  <c r="L2493" i="53" l="1"/>
  <c r="O2493" i="53"/>
  <c r="L2843" i="53"/>
  <c r="O2843" i="53"/>
  <c r="L2896" i="53"/>
  <c r="O2896" i="53"/>
  <c r="L3096" i="53"/>
  <c r="O3096" i="53"/>
  <c r="L2508" i="53"/>
  <c r="O2508" i="53"/>
  <c r="L2893" i="53"/>
  <c r="O2893" i="53"/>
  <c r="L3026" i="53"/>
  <c r="O3026" i="53"/>
  <c r="F3340" i="53"/>
  <c r="A3391" i="53"/>
  <c r="C3391" i="53"/>
  <c r="K3391" i="53"/>
  <c r="A3390" i="53"/>
  <c r="K3390" i="53"/>
  <c r="C3390" i="53"/>
  <c r="L3390" i="53" l="1"/>
  <c r="O3390" i="53"/>
  <c r="L3391" i="53"/>
  <c r="O3391" i="53"/>
  <c r="K3389" i="53"/>
  <c r="K3388" i="53"/>
  <c r="O3388" i="53" s="1"/>
  <c r="C3388" i="53"/>
  <c r="C3389" i="53"/>
  <c r="A3388" i="53"/>
  <c r="A3389" i="53"/>
  <c r="C3387" i="53"/>
  <c r="C3386" i="53"/>
  <c r="A3387" i="53"/>
  <c r="A3386" i="53"/>
  <c r="K3387" i="53"/>
  <c r="O3387" i="53" s="1"/>
  <c r="K3386" i="53"/>
  <c r="O3386" i="53" s="1"/>
  <c r="A3385" i="53"/>
  <c r="C3385" i="53"/>
  <c r="C3384" i="53"/>
  <c r="K3384" i="53"/>
  <c r="K3385" i="53"/>
  <c r="A3384" i="53"/>
  <c r="C3383" i="53"/>
  <c r="K3383" i="53"/>
  <c r="A3383" i="53"/>
  <c r="F3381" i="53"/>
  <c r="F3382" i="53"/>
  <c r="F3380" i="53"/>
  <c r="K3382" i="53"/>
  <c r="L3382" i="53" s="1"/>
  <c r="K3381" i="53"/>
  <c r="L3381" i="53" s="1"/>
  <c r="K3380" i="53"/>
  <c r="L3380" i="53" s="1"/>
  <c r="A3382" i="53"/>
  <c r="A3381" i="53"/>
  <c r="A3380" i="53"/>
  <c r="C3382" i="53"/>
  <c r="C3381" i="53"/>
  <c r="C3380" i="53"/>
  <c r="K2968" i="53"/>
  <c r="L3383" i="53" l="1"/>
  <c r="O3383" i="53"/>
  <c r="L3384" i="53"/>
  <c r="O3384" i="53"/>
  <c r="L2968" i="53"/>
  <c r="O2968" i="53"/>
  <c r="L3385" i="53"/>
  <c r="O3385" i="53"/>
  <c r="L3389" i="53"/>
  <c r="O3389" i="53"/>
  <c r="L3386" i="53"/>
  <c r="L3387" i="53"/>
  <c r="L3388" i="53"/>
  <c r="O3382" i="53"/>
  <c r="O3380" i="53"/>
  <c r="O3381" i="53"/>
  <c r="A3378" i="53" l="1"/>
  <c r="C3378" i="53"/>
  <c r="A3379" i="53"/>
  <c r="C3379" i="53"/>
  <c r="K3377" i="53"/>
  <c r="K3378" i="53"/>
  <c r="K3379" i="53"/>
  <c r="A3377" i="53"/>
  <c r="C3377" i="53"/>
  <c r="F3377" i="53"/>
  <c r="F3378" i="53"/>
  <c r="F3379" i="53"/>
  <c r="K3368" i="53"/>
  <c r="K3369" i="53"/>
  <c r="K3370" i="53"/>
  <c r="K3371" i="53"/>
  <c r="K3372" i="53"/>
  <c r="K3373" i="53"/>
  <c r="K3374" i="53"/>
  <c r="K3375" i="53"/>
  <c r="K3376" i="53"/>
  <c r="L3375" i="53" l="1"/>
  <c r="O3375" i="53"/>
  <c r="L3371" i="53"/>
  <c r="O3371" i="53"/>
  <c r="L3369" i="53"/>
  <c r="O3369" i="53"/>
  <c r="L3378" i="53"/>
  <c r="O3378" i="53"/>
  <c r="L3373" i="53"/>
  <c r="O3373" i="53"/>
  <c r="L3376" i="53"/>
  <c r="O3376" i="53"/>
  <c r="L3374" i="53"/>
  <c r="O3374" i="53"/>
  <c r="L3372" i="53"/>
  <c r="O3372" i="53"/>
  <c r="L3370" i="53"/>
  <c r="O3370" i="53"/>
  <c r="L3368" i="53"/>
  <c r="O3368" i="53"/>
  <c r="L3379" i="53"/>
  <c r="O3379" i="53"/>
  <c r="L3377" i="53"/>
  <c r="O3377" i="53"/>
  <c r="F3368" i="53"/>
  <c r="F3369" i="53"/>
  <c r="F3370" i="53"/>
  <c r="F3371" i="53"/>
  <c r="F3372" i="53"/>
  <c r="F3373" i="53"/>
  <c r="F3374" i="53"/>
  <c r="F3375" i="53"/>
  <c r="F3376" i="53"/>
  <c r="C3369" i="53"/>
  <c r="C3370" i="53"/>
  <c r="C3371" i="53"/>
  <c r="C3372" i="53"/>
  <c r="C3373" i="53"/>
  <c r="C3374" i="53"/>
  <c r="C3375" i="53"/>
  <c r="C3376" i="53"/>
  <c r="A3376" i="53"/>
  <c r="A3375" i="53"/>
  <c r="A3374" i="53"/>
  <c r="A3373" i="53"/>
  <c r="A3372" i="53"/>
  <c r="A3371" i="53"/>
  <c r="A3370" i="53"/>
  <c r="A3369" i="53"/>
  <c r="A3368" i="53"/>
  <c r="C3368" i="53"/>
  <c r="K3356" i="53"/>
  <c r="K3357" i="53"/>
  <c r="K3358" i="53"/>
  <c r="K3359" i="53"/>
  <c r="K3360" i="53"/>
  <c r="K3361" i="53"/>
  <c r="K3362" i="53"/>
  <c r="K3363" i="53"/>
  <c r="K3364" i="53"/>
  <c r="K3365" i="53"/>
  <c r="K3366" i="53"/>
  <c r="K3367" i="53"/>
  <c r="F3357" i="53"/>
  <c r="F3358" i="53"/>
  <c r="F3359" i="53"/>
  <c r="F3360" i="53"/>
  <c r="F3361" i="53"/>
  <c r="F3362" i="53"/>
  <c r="F3363" i="53"/>
  <c r="F3364" i="53"/>
  <c r="F3365" i="53"/>
  <c r="F3366" i="53"/>
  <c r="F3367" i="53"/>
  <c r="F3355" i="53"/>
  <c r="F3356" i="53"/>
  <c r="A3363" i="53"/>
  <c r="C3363" i="53"/>
  <c r="A3364" i="53"/>
  <c r="C3364" i="53"/>
  <c r="A3365" i="53"/>
  <c r="C3365" i="53"/>
  <c r="A3366" i="53"/>
  <c r="C3366" i="53"/>
  <c r="A3367" i="53"/>
  <c r="C3367" i="53"/>
  <c r="A3362" i="53"/>
  <c r="C3362" i="53"/>
  <c r="A3357" i="53"/>
  <c r="C3357" i="53"/>
  <c r="A3358" i="53"/>
  <c r="C3358" i="53"/>
  <c r="A3359" i="53"/>
  <c r="C3359" i="53"/>
  <c r="A3360" i="53"/>
  <c r="C3360" i="53"/>
  <c r="A3361" i="53"/>
  <c r="C3361" i="53"/>
  <c r="A3356" i="53"/>
  <c r="C3356" i="53"/>
  <c r="L3366" i="53" l="1"/>
  <c r="O3366" i="53"/>
  <c r="L3364" i="53"/>
  <c r="O3364" i="53"/>
  <c r="L3362" i="53"/>
  <c r="O3362" i="53"/>
  <c r="L3360" i="53"/>
  <c r="O3360" i="53"/>
  <c r="L3358" i="53"/>
  <c r="O3358" i="53"/>
  <c r="L3356" i="53"/>
  <c r="O3356" i="53"/>
  <c r="L3367" i="53"/>
  <c r="O3367" i="53"/>
  <c r="L3365" i="53"/>
  <c r="O3365" i="53"/>
  <c r="L3363" i="53"/>
  <c r="O3363" i="53"/>
  <c r="L3361" i="53"/>
  <c r="O3361" i="53"/>
  <c r="L3359" i="53"/>
  <c r="O3359" i="53"/>
  <c r="L3357" i="53"/>
  <c r="O3357" i="53"/>
  <c r="E305" i="54"/>
  <c r="F305" i="54" s="1"/>
  <c r="E304" i="54"/>
  <c r="F304" i="54" s="1"/>
  <c r="E303" i="54"/>
  <c r="F303" i="54" s="1"/>
  <c r="J305" i="54"/>
  <c r="J304" i="54"/>
  <c r="J303" i="54"/>
  <c r="F3028" i="53" l="1"/>
  <c r="E301" i="54" l="1"/>
  <c r="F301" i="54" s="1"/>
  <c r="E302" i="54"/>
  <c r="F302" i="54" s="1"/>
  <c r="J301" i="54"/>
  <c r="J302" i="54"/>
  <c r="K3310" i="53" l="1"/>
  <c r="K3355" i="53"/>
  <c r="A3355" i="53"/>
  <c r="C3355" i="53"/>
  <c r="F3350" i="53"/>
  <c r="F3351" i="53"/>
  <c r="F3352" i="53"/>
  <c r="F3353" i="53"/>
  <c r="F3354" i="53"/>
  <c r="K3349" i="53"/>
  <c r="K3350" i="53"/>
  <c r="O3350" i="53" s="1"/>
  <c r="K3351" i="53"/>
  <c r="K3352" i="53"/>
  <c r="O3352" i="53" s="1"/>
  <c r="K3353" i="53"/>
  <c r="K3354" i="53"/>
  <c r="O3354" i="53" s="1"/>
  <c r="A3349" i="53"/>
  <c r="A3350" i="53"/>
  <c r="A3351" i="53"/>
  <c r="A3352" i="53"/>
  <c r="A3353" i="53"/>
  <c r="A3354" i="53"/>
  <c r="C3349" i="53"/>
  <c r="C3350" i="53"/>
  <c r="C3351" i="53"/>
  <c r="C3352" i="53"/>
  <c r="C3353" i="53"/>
  <c r="C3354" i="53"/>
  <c r="K3348" i="53"/>
  <c r="K3347" i="53"/>
  <c r="F3349" i="53"/>
  <c r="F3348" i="53"/>
  <c r="F3347" i="53"/>
  <c r="A3348" i="53"/>
  <c r="A3347" i="53"/>
  <c r="C3348" i="53"/>
  <c r="C3347" i="53"/>
  <c r="F3341" i="53"/>
  <c r="F3342" i="53"/>
  <c r="F3343" i="53"/>
  <c r="F3344" i="53"/>
  <c r="F3345" i="53"/>
  <c r="F3346" i="53"/>
  <c r="K3341" i="53"/>
  <c r="K3342" i="53"/>
  <c r="K3343" i="53"/>
  <c r="K3344" i="53"/>
  <c r="K3345" i="53"/>
  <c r="K3346" i="53"/>
  <c r="C3342" i="53"/>
  <c r="C3343" i="53"/>
  <c r="C3344" i="53"/>
  <c r="C3345" i="53"/>
  <c r="C3346" i="53"/>
  <c r="A3342" i="53"/>
  <c r="A3343" i="53"/>
  <c r="A3344" i="53"/>
  <c r="A3345" i="53"/>
  <c r="A3346" i="53"/>
  <c r="A3341" i="53"/>
  <c r="K3338" i="53"/>
  <c r="O3338" i="53" s="1"/>
  <c r="K3339" i="53"/>
  <c r="O3339" i="53" s="1"/>
  <c r="K3340" i="53"/>
  <c r="O3340" i="53" s="1"/>
  <c r="F3339" i="53"/>
  <c r="F3338" i="53"/>
  <c r="C3339" i="53"/>
  <c r="C3340" i="53"/>
  <c r="C3341" i="53"/>
  <c r="A3333" i="53"/>
  <c r="A3334" i="53"/>
  <c r="A3335" i="53"/>
  <c r="A3336" i="53"/>
  <c r="A3337" i="53"/>
  <c r="A3338" i="53"/>
  <c r="A3339" i="53"/>
  <c r="A3340" i="53"/>
  <c r="C3338" i="53"/>
  <c r="L3346" i="53" l="1"/>
  <c r="O3346" i="53"/>
  <c r="L3344" i="53"/>
  <c r="O3344" i="53"/>
  <c r="L3342" i="53"/>
  <c r="O3342" i="53"/>
  <c r="L3348" i="53"/>
  <c r="O3348" i="53"/>
  <c r="L3353" i="53"/>
  <c r="O3353" i="53"/>
  <c r="L3351" i="53"/>
  <c r="O3351" i="53"/>
  <c r="L3349" i="53"/>
  <c r="O3349" i="53"/>
  <c r="L3355" i="53"/>
  <c r="O3355" i="53"/>
  <c r="L3345" i="53"/>
  <c r="O3345" i="53"/>
  <c r="L3343" i="53"/>
  <c r="O3343" i="53"/>
  <c r="L3341" i="53"/>
  <c r="O3341" i="53"/>
  <c r="L3347" i="53"/>
  <c r="O3347" i="53"/>
  <c r="L3310" i="53"/>
  <c r="O3310" i="53"/>
  <c r="L3340" i="53"/>
  <c r="L3339" i="53"/>
  <c r="L3338" i="53"/>
  <c r="L3354" i="53"/>
  <c r="L3352" i="53"/>
  <c r="L3350" i="53"/>
  <c r="E290" i="54" l="1"/>
  <c r="F290" i="54" s="1"/>
  <c r="E291" i="54"/>
  <c r="F291" i="54" s="1"/>
  <c r="E292" i="54"/>
  <c r="F292" i="54" s="1"/>
  <c r="E293" i="54"/>
  <c r="F293" i="54" s="1"/>
  <c r="E294" i="54"/>
  <c r="F294" i="54" s="1"/>
  <c r="E295" i="54"/>
  <c r="F295" i="54" s="1"/>
  <c r="E296" i="54"/>
  <c r="F296" i="54" s="1"/>
  <c r="E297" i="54"/>
  <c r="F297" i="54" s="1"/>
  <c r="E298" i="54"/>
  <c r="F298" i="54" s="1"/>
  <c r="F299" i="54"/>
  <c r="E300" i="54"/>
  <c r="F300" i="54" s="1"/>
  <c r="J290" i="54"/>
  <c r="J291" i="54"/>
  <c r="J292" i="54"/>
  <c r="J293" i="54"/>
  <c r="J294" i="54"/>
  <c r="J295" i="54"/>
  <c r="J296" i="54"/>
  <c r="J297" i="54"/>
  <c r="J298" i="54"/>
  <c r="J299" i="54"/>
  <c r="J300" i="54"/>
  <c r="J282" i="54"/>
  <c r="J283" i="54"/>
  <c r="J284" i="54"/>
  <c r="J285" i="54"/>
  <c r="J286" i="54"/>
  <c r="J287" i="54"/>
  <c r="J288" i="54"/>
  <c r="J289" i="54"/>
  <c r="E283" i="54"/>
  <c r="F283" i="54" s="1"/>
  <c r="E284" i="54"/>
  <c r="F284" i="54" s="1"/>
  <c r="E285" i="54"/>
  <c r="F285" i="54" s="1"/>
  <c r="E286" i="54"/>
  <c r="F286" i="54" s="1"/>
  <c r="E287" i="54"/>
  <c r="F287" i="54" s="1"/>
  <c r="E288" i="54"/>
  <c r="F288" i="54" s="1"/>
  <c r="E289" i="54"/>
  <c r="F289" i="54" s="1"/>
  <c r="E280" i="54"/>
  <c r="F280" i="54" s="1"/>
  <c r="E281" i="54"/>
  <c r="F281" i="54" s="1"/>
  <c r="E282" i="54"/>
  <c r="F282" i="54" s="1"/>
  <c r="J280" i="54"/>
  <c r="J281" i="54"/>
  <c r="J277" i="54"/>
  <c r="J278" i="54"/>
  <c r="J279" i="54"/>
  <c r="E278" i="54"/>
  <c r="F278" i="54" s="1"/>
  <c r="E279" i="54"/>
  <c r="F279" i="54" s="1"/>
  <c r="E277" i="54"/>
  <c r="F277" i="54" s="1"/>
  <c r="E276" i="54"/>
  <c r="F276" i="54" s="1"/>
  <c r="J273" i="54"/>
  <c r="J274" i="54"/>
  <c r="J275" i="54"/>
  <c r="J276" i="54"/>
  <c r="E275" i="54"/>
  <c r="F275" i="54" s="1"/>
  <c r="E274" i="54"/>
  <c r="F274" i="54" s="1"/>
  <c r="K3337" i="53"/>
  <c r="O3337" i="53" s="1"/>
  <c r="C3337" i="53"/>
  <c r="F3337" i="53"/>
  <c r="C3336" i="53"/>
  <c r="K3336" i="53"/>
  <c r="O3336" i="53" s="1"/>
  <c r="F3336" i="53"/>
  <c r="C3331" i="53"/>
  <c r="C3323" i="53"/>
  <c r="K824" i="53"/>
  <c r="F824" i="53"/>
  <c r="C824" i="53"/>
  <c r="A824" i="53"/>
  <c r="L824" i="53" l="1"/>
  <c r="O824" i="53"/>
  <c r="L3336" i="53"/>
  <c r="L3337" i="53"/>
  <c r="C3335" i="53"/>
  <c r="K3335" i="53"/>
  <c r="O3335" i="53" s="1"/>
  <c r="F3335" i="53"/>
  <c r="J2969" i="53"/>
  <c r="J3309" i="53"/>
  <c r="K3334" i="53"/>
  <c r="O3334" i="53" s="1"/>
  <c r="F3334" i="53"/>
  <c r="C3334" i="53"/>
  <c r="L3309" i="53" l="1"/>
  <c r="O3309" i="53"/>
  <c r="L3335" i="53"/>
  <c r="L3334" i="53"/>
  <c r="C3329" i="53" l="1"/>
  <c r="NU2703" i="53" l="1"/>
  <c r="ON2703" i="53" s="1"/>
  <c r="NU2494" i="53"/>
  <c r="ON2494" i="53" s="1"/>
  <c r="NU2064" i="53"/>
  <c r="ON2064" i="53" s="1"/>
  <c r="NU1989" i="53"/>
  <c r="ON1989" i="53" s="1"/>
  <c r="K3332" i="53" l="1"/>
  <c r="K3333" i="53"/>
  <c r="O3333" i="53" s="1"/>
  <c r="F3333" i="53"/>
  <c r="C3333" i="53"/>
  <c r="C3330" i="53"/>
  <c r="A3332" i="53"/>
  <c r="C3332" i="53"/>
  <c r="F3332" i="53"/>
  <c r="K3052" i="53"/>
  <c r="O3052" i="53" s="1"/>
  <c r="K3053" i="53"/>
  <c r="K3054" i="53"/>
  <c r="K3055" i="53"/>
  <c r="K3056" i="53"/>
  <c r="O3056" i="53" s="1"/>
  <c r="K3057" i="53"/>
  <c r="L3057" i="53" l="1"/>
  <c r="O3057" i="53"/>
  <c r="L3055" i="53"/>
  <c r="O3055" i="53"/>
  <c r="L3053" i="53"/>
  <c r="O3053" i="53"/>
  <c r="L3054" i="53"/>
  <c r="O3054" i="53"/>
  <c r="L3333" i="53"/>
  <c r="L3332" i="53"/>
  <c r="O3332" i="53"/>
  <c r="L3056" i="53"/>
  <c r="L3052" i="53"/>
  <c r="C2977" i="53"/>
  <c r="C2976" i="53"/>
  <c r="C2967" i="53"/>
  <c r="C3052" i="53"/>
  <c r="C3053" i="53"/>
  <c r="C3054" i="53"/>
  <c r="C3055" i="53"/>
  <c r="K1992" i="53" l="1"/>
  <c r="L1992" i="53" s="1"/>
  <c r="K1819" i="53"/>
  <c r="K1756" i="53"/>
  <c r="O1756" i="53" s="1"/>
  <c r="K1571" i="53"/>
  <c r="O1571" i="53" s="1"/>
  <c r="A3329" i="53"/>
  <c r="A3330" i="53"/>
  <c r="A3331" i="53"/>
  <c r="A3328" i="53"/>
  <c r="C3328" i="53"/>
  <c r="K3331" i="53"/>
  <c r="O3331" i="53" s="1"/>
  <c r="K3330" i="53"/>
  <c r="O3330" i="53" s="1"/>
  <c r="K3329" i="53"/>
  <c r="O3329" i="53" s="1"/>
  <c r="K3328" i="53"/>
  <c r="O3328" i="53" s="1"/>
  <c r="F3331" i="53"/>
  <c r="F3330" i="53"/>
  <c r="F3329" i="53"/>
  <c r="F3328" i="53"/>
  <c r="L1819" i="53" l="1"/>
  <c r="O1819" i="53"/>
  <c r="L1756" i="53"/>
  <c r="L1571" i="53"/>
  <c r="L3329" i="53"/>
  <c r="L3331" i="53"/>
  <c r="L3328" i="53"/>
  <c r="L3330" i="53"/>
  <c r="C3327" i="53"/>
  <c r="C3326" i="53"/>
  <c r="C3325" i="53"/>
  <c r="C3324" i="53"/>
  <c r="C3322" i="53"/>
  <c r="A3327" i="53"/>
  <c r="A3326" i="53"/>
  <c r="A3325" i="53"/>
  <c r="A3324" i="53"/>
  <c r="A3323" i="53"/>
  <c r="A3322" i="53"/>
  <c r="K3327" i="53"/>
  <c r="O3327" i="53" s="1"/>
  <c r="K3326" i="53"/>
  <c r="O3326" i="53" s="1"/>
  <c r="K3324" i="53"/>
  <c r="O3324" i="53" s="1"/>
  <c r="K3323" i="53"/>
  <c r="O3323" i="53" s="1"/>
  <c r="K3322" i="53"/>
  <c r="O3322" i="53" s="1"/>
  <c r="A3320" i="53"/>
  <c r="C3320" i="53"/>
  <c r="A3321" i="53"/>
  <c r="C3321" i="53"/>
  <c r="A3319" i="53"/>
  <c r="C3319" i="53"/>
  <c r="K3319" i="53"/>
  <c r="O3319" i="53" s="1"/>
  <c r="K3320" i="53"/>
  <c r="O3320" i="53" s="1"/>
  <c r="K3321" i="53"/>
  <c r="O3321" i="53" s="1"/>
  <c r="F3319" i="53"/>
  <c r="F3320" i="53"/>
  <c r="F3321" i="53"/>
  <c r="L3323" i="53" l="1"/>
  <c r="L3327" i="53"/>
  <c r="L3322" i="53"/>
  <c r="L3324" i="53"/>
  <c r="L3326" i="53"/>
  <c r="L3321" i="53"/>
  <c r="L3320" i="53"/>
  <c r="L3319" i="53"/>
  <c r="K3315" i="53" l="1"/>
  <c r="O3315" i="53" s="1"/>
  <c r="K3316" i="53"/>
  <c r="K3317" i="53"/>
  <c r="O3317" i="53" s="1"/>
  <c r="K3318" i="53"/>
  <c r="O3318" i="53" s="1"/>
  <c r="F3315" i="53"/>
  <c r="F3316" i="53"/>
  <c r="F3317" i="53"/>
  <c r="F3318" i="53"/>
  <c r="A3316" i="53"/>
  <c r="C3316" i="53"/>
  <c r="A3317" i="53"/>
  <c r="C3317" i="53"/>
  <c r="A3318" i="53"/>
  <c r="C3318" i="53"/>
  <c r="C3315" i="53"/>
  <c r="A3315" i="53"/>
  <c r="A3314" i="53"/>
  <c r="A3313" i="53"/>
  <c r="A3312" i="53"/>
  <c r="A3311" i="53"/>
  <c r="A3310" i="53"/>
  <c r="C3314" i="53"/>
  <c r="C3313" i="53"/>
  <c r="C3312" i="53"/>
  <c r="C3311" i="53"/>
  <c r="C3310" i="53"/>
  <c r="K3314" i="53"/>
  <c r="K3313" i="53"/>
  <c r="K3312" i="53"/>
  <c r="K3311" i="53"/>
  <c r="F3314" i="53"/>
  <c r="F3313" i="53"/>
  <c r="F3312" i="53"/>
  <c r="F3310" i="53"/>
  <c r="F3265" i="53"/>
  <c r="A3053" i="53"/>
  <c r="L3311" i="53" l="1"/>
  <c r="O3311" i="53"/>
  <c r="L3313" i="53"/>
  <c r="O3313" i="53"/>
  <c r="L3316" i="53"/>
  <c r="O3316" i="53"/>
  <c r="L3312" i="53"/>
  <c r="O3312" i="53"/>
  <c r="L3314" i="53"/>
  <c r="O3314" i="53"/>
  <c r="L3318" i="53"/>
  <c r="L3317" i="53"/>
  <c r="L3315" i="53"/>
  <c r="K2898" i="53"/>
  <c r="O2898" i="53" s="1"/>
  <c r="K3307" i="53" l="1"/>
  <c r="K3308" i="53"/>
  <c r="NN1604" i="53"/>
  <c r="A3307" i="53"/>
  <c r="C3307" i="53"/>
  <c r="A3308" i="53"/>
  <c r="C3308" i="53"/>
  <c r="F3308" i="53"/>
  <c r="F3307" i="53"/>
  <c r="A3062" i="53"/>
  <c r="L3307" i="53" l="1"/>
  <c r="O3307" i="53"/>
  <c r="L3308" i="53"/>
  <c r="O3308" i="53"/>
  <c r="F3306" i="53"/>
  <c r="K3306" i="53"/>
  <c r="A3306" i="53"/>
  <c r="C3306" i="53"/>
  <c r="L3306" i="53" l="1"/>
  <c r="O3306" i="53"/>
  <c r="K2990" i="53"/>
  <c r="L2990" i="53" s="1"/>
  <c r="C2989" i="53" l="1"/>
  <c r="C2988" i="53"/>
  <c r="C2986" i="53"/>
  <c r="C2983" i="53"/>
  <c r="C2982" i="53"/>
  <c r="K2374" i="53"/>
  <c r="L2374" i="53" s="1"/>
  <c r="K2153" i="53"/>
  <c r="L2153" i="53" s="1"/>
  <c r="K2149" i="53"/>
  <c r="L2149" i="53" s="1"/>
  <c r="A3305" i="53"/>
  <c r="A3304" i="53"/>
  <c r="A3303" i="53"/>
  <c r="A3302" i="53"/>
  <c r="C3305" i="53"/>
  <c r="C3304" i="53"/>
  <c r="C3303" i="53"/>
  <c r="C3302" i="53"/>
  <c r="F3303" i="53"/>
  <c r="F3304" i="53"/>
  <c r="F3305" i="53"/>
  <c r="K3305" i="53"/>
  <c r="O3305" i="53" s="1"/>
  <c r="K3304" i="53"/>
  <c r="K3303" i="53"/>
  <c r="K3302" i="53"/>
  <c r="O3302" i="53" s="1"/>
  <c r="L3304" i="53" l="1"/>
  <c r="O3304" i="53"/>
  <c r="L3303" i="53"/>
  <c r="O3303" i="53"/>
  <c r="L3305" i="53"/>
  <c r="L3302" i="53"/>
  <c r="E273" i="54" l="1"/>
  <c r="F273" i="54" s="1"/>
  <c r="E272" i="54"/>
  <c r="F272" i="54" s="1"/>
  <c r="E271" i="54"/>
  <c r="F271" i="54" s="1"/>
  <c r="E270" i="54"/>
  <c r="F270" i="54" s="1"/>
  <c r="E269" i="54"/>
  <c r="F269" i="54" s="1"/>
  <c r="J271" i="54"/>
  <c r="J272" i="54"/>
  <c r="J270" i="54"/>
  <c r="J269" i="54"/>
  <c r="K3282" i="53"/>
  <c r="K3283" i="53"/>
  <c r="K3284" i="53"/>
  <c r="K3285" i="53"/>
  <c r="K3286" i="53"/>
  <c r="K3287" i="53"/>
  <c r="K3288" i="53"/>
  <c r="K3289" i="53"/>
  <c r="K3290" i="53"/>
  <c r="K3291" i="53"/>
  <c r="K3292" i="53"/>
  <c r="K3293" i="53"/>
  <c r="K3294" i="53"/>
  <c r="K3295" i="53"/>
  <c r="K3296" i="53"/>
  <c r="K3297" i="53"/>
  <c r="K3298" i="53"/>
  <c r="K3299" i="53"/>
  <c r="K3300" i="53"/>
  <c r="K3301" i="53"/>
  <c r="A3283" i="53"/>
  <c r="C3283" i="53"/>
  <c r="A3284" i="53"/>
  <c r="C3284" i="53"/>
  <c r="A3285" i="53"/>
  <c r="C3285" i="53"/>
  <c r="A3286" i="53"/>
  <c r="C3286" i="53"/>
  <c r="A3287" i="53"/>
  <c r="C3287" i="53"/>
  <c r="A3288" i="53"/>
  <c r="C3288" i="53"/>
  <c r="A3289" i="53"/>
  <c r="C3289" i="53"/>
  <c r="A3290" i="53"/>
  <c r="C3290" i="53"/>
  <c r="A3291" i="53"/>
  <c r="C3291" i="53"/>
  <c r="A3292" i="53"/>
  <c r="C3292" i="53"/>
  <c r="A3293" i="53"/>
  <c r="C3293" i="53"/>
  <c r="A3294" i="53"/>
  <c r="C3294" i="53"/>
  <c r="A3295" i="53"/>
  <c r="C3295" i="53"/>
  <c r="A3296" i="53"/>
  <c r="C3296" i="53"/>
  <c r="A3297" i="53"/>
  <c r="C3297" i="53"/>
  <c r="A3298" i="53"/>
  <c r="C3298" i="53"/>
  <c r="A3299" i="53"/>
  <c r="C3299" i="53"/>
  <c r="A3300" i="53"/>
  <c r="C3300" i="53"/>
  <c r="A3301" i="53"/>
  <c r="C3301" i="53"/>
  <c r="C3282" i="53"/>
  <c r="F3282" i="53"/>
  <c r="F3283" i="53"/>
  <c r="F3284" i="53"/>
  <c r="F3285" i="53"/>
  <c r="F3286" i="53"/>
  <c r="F3287" i="53"/>
  <c r="F3288" i="53"/>
  <c r="F3289" i="53"/>
  <c r="F3290" i="53"/>
  <c r="F3291" i="53"/>
  <c r="F3292" i="53"/>
  <c r="F3293" i="53"/>
  <c r="F3294" i="53"/>
  <c r="F3295" i="53"/>
  <c r="F3296" i="53"/>
  <c r="F3297" i="53"/>
  <c r="F3298" i="53"/>
  <c r="F3299" i="53"/>
  <c r="F3300" i="53"/>
  <c r="F3301" i="53"/>
  <c r="A3277" i="53"/>
  <c r="C3277" i="53"/>
  <c r="A3278" i="53"/>
  <c r="C3278" i="53"/>
  <c r="A3279" i="53"/>
  <c r="C3279" i="53"/>
  <c r="A3280" i="53"/>
  <c r="C3280" i="53"/>
  <c r="A3281" i="53"/>
  <c r="C3281" i="53"/>
  <c r="A3276" i="53"/>
  <c r="A3282" i="53"/>
  <c r="C3276" i="53"/>
  <c r="F3276" i="53"/>
  <c r="F3277" i="53"/>
  <c r="F3278" i="53"/>
  <c r="F3279" i="53"/>
  <c r="F3280" i="53"/>
  <c r="F3281" i="53"/>
  <c r="K3276" i="53"/>
  <c r="K3277" i="53"/>
  <c r="K3278" i="53"/>
  <c r="K3279" i="53"/>
  <c r="K3280" i="53"/>
  <c r="K3281" i="53"/>
  <c r="A3271" i="53"/>
  <c r="C3271" i="53"/>
  <c r="F3271" i="53"/>
  <c r="K3271" i="53"/>
  <c r="A3273" i="53"/>
  <c r="C3273" i="53"/>
  <c r="A3274" i="53"/>
  <c r="C3274" i="53"/>
  <c r="A3275" i="53"/>
  <c r="C3275" i="53"/>
  <c r="A3272" i="53"/>
  <c r="C3272" i="53"/>
  <c r="K3272" i="53"/>
  <c r="K3273" i="53"/>
  <c r="K3274" i="53"/>
  <c r="K3275" i="53"/>
  <c r="F3272" i="53"/>
  <c r="F3273" i="53"/>
  <c r="F3274" i="53"/>
  <c r="F3275" i="53"/>
  <c r="K3270" i="53"/>
  <c r="A3270" i="53"/>
  <c r="F3270" i="53"/>
  <c r="C3270" i="53"/>
  <c r="L3270" i="53" l="1"/>
  <c r="O3270" i="53"/>
  <c r="L3274" i="53"/>
  <c r="O3274" i="53"/>
  <c r="L3272" i="53"/>
  <c r="O3272" i="53"/>
  <c r="L3280" i="53"/>
  <c r="O3280" i="53"/>
  <c r="L3278" i="53"/>
  <c r="O3278" i="53"/>
  <c r="L3276" i="53"/>
  <c r="O3276" i="53"/>
  <c r="L3300" i="53"/>
  <c r="O3300" i="53"/>
  <c r="L3298" i="53"/>
  <c r="O3298" i="53"/>
  <c r="L3296" i="53"/>
  <c r="O3296" i="53"/>
  <c r="L3294" i="53"/>
  <c r="O3294" i="53"/>
  <c r="L3292" i="53"/>
  <c r="O3292" i="53"/>
  <c r="L3290" i="53"/>
  <c r="O3290" i="53"/>
  <c r="L3288" i="53"/>
  <c r="O3288" i="53"/>
  <c r="L3286" i="53"/>
  <c r="O3286" i="53"/>
  <c r="L3284" i="53"/>
  <c r="O3284" i="53"/>
  <c r="L3282" i="53"/>
  <c r="O3282" i="53"/>
  <c r="L3275" i="53"/>
  <c r="O3275" i="53"/>
  <c r="L3273" i="53"/>
  <c r="O3273" i="53"/>
  <c r="L3271" i="53"/>
  <c r="O3271" i="53"/>
  <c r="L3281" i="53"/>
  <c r="O3281" i="53"/>
  <c r="L3279" i="53"/>
  <c r="O3279" i="53"/>
  <c r="L3277" i="53"/>
  <c r="O3277" i="53"/>
  <c r="L3301" i="53"/>
  <c r="O3301" i="53"/>
  <c r="L3299" i="53"/>
  <c r="O3299" i="53"/>
  <c r="L3297" i="53"/>
  <c r="O3297" i="53"/>
  <c r="L3295" i="53"/>
  <c r="O3295" i="53"/>
  <c r="L3293" i="53"/>
  <c r="O3293" i="53"/>
  <c r="L3291" i="53"/>
  <c r="O3291" i="53"/>
  <c r="L3289" i="53"/>
  <c r="O3289" i="53"/>
  <c r="L3287" i="53"/>
  <c r="O3287" i="53"/>
  <c r="L3285" i="53"/>
  <c r="O3285" i="53"/>
  <c r="L3283" i="53"/>
  <c r="O3283" i="53"/>
  <c r="A3263" i="53"/>
  <c r="C3263" i="53"/>
  <c r="A3264" i="53"/>
  <c r="C3264" i="53"/>
  <c r="A3265" i="53"/>
  <c r="C3265" i="53"/>
  <c r="A3266" i="53"/>
  <c r="C3266" i="53"/>
  <c r="A3267" i="53"/>
  <c r="C3267" i="53"/>
  <c r="A3268" i="53"/>
  <c r="C3268" i="53"/>
  <c r="A3269" i="53"/>
  <c r="C3269" i="53"/>
  <c r="A3262" i="53"/>
  <c r="C3262" i="53"/>
  <c r="K3269" i="53"/>
  <c r="O3269" i="53" s="1"/>
  <c r="K3268" i="53"/>
  <c r="K3267" i="53"/>
  <c r="O3267" i="53" s="1"/>
  <c r="K3266" i="53"/>
  <c r="K3265" i="53"/>
  <c r="O3265" i="53" s="1"/>
  <c r="K3264" i="53"/>
  <c r="K3263" i="53"/>
  <c r="O3263" i="53" s="1"/>
  <c r="K3262" i="53"/>
  <c r="F3262" i="53"/>
  <c r="F3263" i="53"/>
  <c r="F3264" i="53"/>
  <c r="F3266" i="53"/>
  <c r="F3267" i="53"/>
  <c r="F3268" i="53"/>
  <c r="F3269" i="53"/>
  <c r="A3260" i="53"/>
  <c r="A3261" i="53"/>
  <c r="C3261" i="53"/>
  <c r="C3260" i="53"/>
  <c r="K3261" i="53"/>
  <c r="O3261" i="53" s="1"/>
  <c r="F3261" i="53"/>
  <c r="K3260" i="53"/>
  <c r="O3260" i="53" s="1"/>
  <c r="F3260" i="53"/>
  <c r="A3253" i="53"/>
  <c r="C3253" i="53"/>
  <c r="A3254" i="53"/>
  <c r="C3254" i="53"/>
  <c r="A3255" i="53"/>
  <c r="C3255" i="53"/>
  <c r="A3256" i="53"/>
  <c r="C3256" i="53"/>
  <c r="A3257" i="53"/>
  <c r="C3257" i="53"/>
  <c r="A3258" i="53"/>
  <c r="C3258" i="53"/>
  <c r="A3259" i="53"/>
  <c r="C3259" i="53"/>
  <c r="A3252" i="53"/>
  <c r="C3252" i="53"/>
  <c r="F3252" i="53"/>
  <c r="F3253" i="53"/>
  <c r="F3254" i="53"/>
  <c r="F3255" i="53"/>
  <c r="F3256" i="53"/>
  <c r="F3257" i="53"/>
  <c r="F3258" i="53"/>
  <c r="F3259" i="53"/>
  <c r="K3259" i="53"/>
  <c r="L3259" i="53" s="1"/>
  <c r="K3258" i="53"/>
  <c r="O3258" i="53" s="1"/>
  <c r="K3257" i="53"/>
  <c r="K3256" i="53"/>
  <c r="O3256" i="53" s="1"/>
  <c r="K3255" i="53"/>
  <c r="O3255" i="53" s="1"/>
  <c r="K3254" i="53"/>
  <c r="K3253" i="53"/>
  <c r="O3253" i="53" s="1"/>
  <c r="K3252" i="53"/>
  <c r="C3251" i="53"/>
  <c r="A3250" i="53"/>
  <c r="A3251" i="53"/>
  <c r="C3250" i="53"/>
  <c r="K3251" i="53"/>
  <c r="O3251" i="53" s="1"/>
  <c r="F3251" i="53"/>
  <c r="K3250" i="53"/>
  <c r="O3250" i="53" s="1"/>
  <c r="F3250" i="53"/>
  <c r="A3243" i="53"/>
  <c r="A3244" i="53"/>
  <c r="A3245" i="53"/>
  <c r="A3246" i="53"/>
  <c r="A3247" i="53"/>
  <c r="A3248" i="53"/>
  <c r="A3249" i="53"/>
  <c r="A3242" i="53"/>
  <c r="C3249" i="53"/>
  <c r="C3248" i="53"/>
  <c r="C3247" i="53"/>
  <c r="C3246" i="53"/>
  <c r="C3245" i="53"/>
  <c r="C3244" i="53"/>
  <c r="C3243" i="53"/>
  <c r="C3242" i="53"/>
  <c r="F3249" i="53"/>
  <c r="F3248" i="53"/>
  <c r="F3247" i="53"/>
  <c r="F3246" i="53"/>
  <c r="F3245" i="53"/>
  <c r="F3244" i="53"/>
  <c r="F3243" i="53"/>
  <c r="F3242" i="53"/>
  <c r="K3249" i="53"/>
  <c r="O3249" i="53" s="1"/>
  <c r="K3248" i="53"/>
  <c r="K3247" i="53"/>
  <c r="O3247" i="53" s="1"/>
  <c r="K3246" i="53"/>
  <c r="K3245" i="53"/>
  <c r="O3245" i="53" s="1"/>
  <c r="K3244" i="53"/>
  <c r="K3243" i="53"/>
  <c r="O3243" i="53" s="1"/>
  <c r="K3242" i="53"/>
  <c r="F3232" i="53"/>
  <c r="F3233" i="53"/>
  <c r="F3234" i="53"/>
  <c r="F3235" i="53"/>
  <c r="F3236" i="53"/>
  <c r="F3237" i="53"/>
  <c r="F3238" i="53"/>
  <c r="F3239" i="53"/>
  <c r="F3240" i="53"/>
  <c r="F3241" i="53"/>
  <c r="A3233" i="53"/>
  <c r="C3233" i="53"/>
  <c r="A3234" i="53"/>
  <c r="C3234" i="53"/>
  <c r="A3235" i="53"/>
  <c r="C3235" i="53"/>
  <c r="A3236" i="53"/>
  <c r="C3236" i="53"/>
  <c r="A3237" i="53"/>
  <c r="C3237" i="53"/>
  <c r="A3238" i="53"/>
  <c r="C3238" i="53"/>
  <c r="A3239" i="53"/>
  <c r="C3239" i="53"/>
  <c r="A3240" i="53"/>
  <c r="C3240" i="53"/>
  <c r="A3241" i="53"/>
  <c r="C3241" i="53"/>
  <c r="A3232" i="53"/>
  <c r="C3232" i="53"/>
  <c r="K3232" i="53"/>
  <c r="K3233" i="53"/>
  <c r="K3234" i="53"/>
  <c r="K3235" i="53"/>
  <c r="K3236" i="53"/>
  <c r="K3237" i="53"/>
  <c r="K3238" i="53"/>
  <c r="K3239" i="53"/>
  <c r="K3240" i="53"/>
  <c r="K3241" i="53"/>
  <c r="L3241" i="53" s="1"/>
  <c r="J3240" i="53"/>
  <c r="I3240" i="53"/>
  <c r="J3238" i="53"/>
  <c r="I3238" i="53"/>
  <c r="J3236" i="53"/>
  <c r="I3236" i="53"/>
  <c r="J3234" i="53"/>
  <c r="I3234" i="53"/>
  <c r="J3233" i="53"/>
  <c r="I3233" i="53"/>
  <c r="J3232" i="53"/>
  <c r="I3232" i="53"/>
  <c r="F3216" i="53"/>
  <c r="F3217" i="53"/>
  <c r="F3218" i="53"/>
  <c r="F3219" i="53"/>
  <c r="F3220" i="53"/>
  <c r="F3221" i="53"/>
  <c r="F3222" i="53"/>
  <c r="F3223" i="53"/>
  <c r="F3224" i="53"/>
  <c r="F3225" i="53"/>
  <c r="F3226" i="53"/>
  <c r="F3227" i="53"/>
  <c r="F3228" i="53"/>
  <c r="F3229" i="53"/>
  <c r="F3230" i="53"/>
  <c r="A3217" i="53"/>
  <c r="C3217" i="53"/>
  <c r="A3218" i="53"/>
  <c r="C3218" i="53"/>
  <c r="A3219" i="53"/>
  <c r="C3219" i="53"/>
  <c r="A3220" i="53"/>
  <c r="C3220" i="53"/>
  <c r="A3221" i="53"/>
  <c r="C3221" i="53"/>
  <c r="A3222" i="53"/>
  <c r="C3222" i="53"/>
  <c r="A3223" i="53"/>
  <c r="C3223" i="53"/>
  <c r="A3224" i="53"/>
  <c r="C3224" i="53"/>
  <c r="A3225" i="53"/>
  <c r="C3225" i="53"/>
  <c r="A3226" i="53"/>
  <c r="C3226" i="53"/>
  <c r="A3227" i="53"/>
  <c r="C3227" i="53"/>
  <c r="A3228" i="53"/>
  <c r="C3228" i="53"/>
  <c r="A3229" i="53"/>
  <c r="C3229" i="53"/>
  <c r="A3230" i="53"/>
  <c r="C3230" i="53"/>
  <c r="A3216" i="53"/>
  <c r="C3216" i="53"/>
  <c r="K3216" i="53"/>
  <c r="K3217" i="53"/>
  <c r="K3218" i="53"/>
  <c r="K3219" i="53"/>
  <c r="K3220" i="53"/>
  <c r="K3221" i="53"/>
  <c r="K3222" i="53"/>
  <c r="K3223" i="53"/>
  <c r="K3224" i="53"/>
  <c r="K3225" i="53"/>
  <c r="K3226" i="53"/>
  <c r="K3227" i="53"/>
  <c r="K3228" i="53"/>
  <c r="K3229" i="53"/>
  <c r="K3230" i="53"/>
  <c r="C3215" i="53"/>
  <c r="K3215" i="53"/>
  <c r="A3215" i="53"/>
  <c r="F3215" i="53"/>
  <c r="A3204" i="53"/>
  <c r="C3204" i="53"/>
  <c r="A3205" i="53"/>
  <c r="C3205" i="53"/>
  <c r="A3206" i="53"/>
  <c r="C3206" i="53"/>
  <c r="A3207" i="53"/>
  <c r="C3207" i="53"/>
  <c r="A3208" i="53"/>
  <c r="C3208" i="53"/>
  <c r="A3209" i="53"/>
  <c r="C3209" i="53"/>
  <c r="A3210" i="53"/>
  <c r="C3210" i="53"/>
  <c r="A3211" i="53"/>
  <c r="C3211" i="53"/>
  <c r="A3212" i="53"/>
  <c r="C3212" i="53"/>
  <c r="A3213" i="53"/>
  <c r="C3213" i="53"/>
  <c r="A3214" i="53"/>
  <c r="C3214" i="53"/>
  <c r="C3203" i="53"/>
  <c r="A3203" i="53"/>
  <c r="K3203" i="53"/>
  <c r="K3204" i="53"/>
  <c r="K3205" i="53"/>
  <c r="K3206" i="53"/>
  <c r="K3207" i="53"/>
  <c r="K3208" i="53"/>
  <c r="K3209" i="53"/>
  <c r="K3210" i="53"/>
  <c r="K3211" i="53"/>
  <c r="K3212" i="53"/>
  <c r="K3213" i="53"/>
  <c r="K3214" i="53"/>
  <c r="F3214" i="53"/>
  <c r="F3203" i="53"/>
  <c r="F3204" i="53"/>
  <c r="F3205" i="53"/>
  <c r="F3206" i="53"/>
  <c r="F3207" i="53"/>
  <c r="F3208" i="53"/>
  <c r="F3209" i="53"/>
  <c r="F3210" i="53"/>
  <c r="F3211" i="53"/>
  <c r="F3212" i="53"/>
  <c r="F3213" i="53"/>
  <c r="F3197" i="53"/>
  <c r="F3198" i="53"/>
  <c r="F3199" i="53"/>
  <c r="F3200" i="53"/>
  <c r="F3201" i="53"/>
  <c r="F3202" i="53"/>
  <c r="K3196" i="53"/>
  <c r="K3197" i="53"/>
  <c r="K3198" i="53"/>
  <c r="K3199" i="53"/>
  <c r="K3200" i="53"/>
  <c r="L3200" i="53" s="1"/>
  <c r="K3201" i="53"/>
  <c r="L3201" i="53" s="1"/>
  <c r="K3202" i="53"/>
  <c r="L3202" i="53" s="1"/>
  <c r="C3197" i="53"/>
  <c r="C3198" i="53"/>
  <c r="C3199" i="53"/>
  <c r="C3200" i="53"/>
  <c r="C3201" i="53"/>
  <c r="C3202" i="53"/>
  <c r="A3196" i="53"/>
  <c r="A3197" i="53"/>
  <c r="A3198" i="53"/>
  <c r="A3199" i="53"/>
  <c r="A3200" i="53"/>
  <c r="A3201" i="53"/>
  <c r="A3202" i="53"/>
  <c r="C3196" i="53"/>
  <c r="F3196" i="53"/>
  <c r="A3192" i="53"/>
  <c r="C3192" i="53"/>
  <c r="A3193" i="53"/>
  <c r="C3193" i="53"/>
  <c r="A3194" i="53"/>
  <c r="C3194" i="53"/>
  <c r="A3195" i="53"/>
  <c r="C3195" i="53"/>
  <c r="A3191" i="53"/>
  <c r="C3191" i="53"/>
  <c r="K3195" i="53"/>
  <c r="O3195" i="53" s="1"/>
  <c r="K3194" i="53"/>
  <c r="K3193" i="53"/>
  <c r="O3193" i="53" s="1"/>
  <c r="K3192" i="53"/>
  <c r="O3192" i="53" s="1"/>
  <c r="K3191" i="53"/>
  <c r="F3192" i="53"/>
  <c r="F3194" i="53"/>
  <c r="F3195" i="53"/>
  <c r="F3191" i="53"/>
  <c r="O3240" i="53" l="1"/>
  <c r="O3238" i="53"/>
  <c r="O3236" i="53"/>
  <c r="O3234" i="53"/>
  <c r="O3232" i="53"/>
  <c r="O3233" i="53"/>
  <c r="L3198" i="53"/>
  <c r="O3198" i="53"/>
  <c r="L3196" i="53"/>
  <c r="O3196" i="53"/>
  <c r="L3213" i="53"/>
  <c r="O3213" i="53"/>
  <c r="L3211" i="53"/>
  <c r="O3211" i="53"/>
  <c r="L3209" i="53"/>
  <c r="O3209" i="53"/>
  <c r="L3207" i="53"/>
  <c r="O3207" i="53"/>
  <c r="L3205" i="53"/>
  <c r="O3205" i="53"/>
  <c r="L3203" i="53"/>
  <c r="O3203" i="53"/>
  <c r="L3229" i="53"/>
  <c r="O3229" i="53"/>
  <c r="L3227" i="53"/>
  <c r="O3227" i="53"/>
  <c r="L3225" i="53"/>
  <c r="O3225" i="53"/>
  <c r="L3223" i="53"/>
  <c r="O3223" i="53"/>
  <c r="L3221" i="53"/>
  <c r="O3221" i="53"/>
  <c r="L3219" i="53"/>
  <c r="O3219" i="53"/>
  <c r="L3217" i="53"/>
  <c r="O3217" i="53"/>
  <c r="L3257" i="53"/>
  <c r="O3257" i="53"/>
  <c r="L3262" i="53"/>
  <c r="O3262" i="53"/>
  <c r="L3264" i="53"/>
  <c r="O3264" i="53"/>
  <c r="L3266" i="53"/>
  <c r="O3266" i="53"/>
  <c r="L3268" i="53"/>
  <c r="O3268" i="53"/>
  <c r="L3191" i="53"/>
  <c r="O3191" i="53"/>
  <c r="L3192" i="53"/>
  <c r="L3194" i="53"/>
  <c r="O3194" i="53"/>
  <c r="L3199" i="53"/>
  <c r="O3199" i="53"/>
  <c r="L3197" i="53"/>
  <c r="O3197" i="53"/>
  <c r="L3214" i="53"/>
  <c r="O3214" i="53"/>
  <c r="L3212" i="53"/>
  <c r="O3212" i="53"/>
  <c r="L3210" i="53"/>
  <c r="O3210" i="53"/>
  <c r="L3208" i="53"/>
  <c r="O3208" i="53"/>
  <c r="L3206" i="53"/>
  <c r="O3206" i="53"/>
  <c r="L3204" i="53"/>
  <c r="O3204" i="53"/>
  <c r="L3215" i="53"/>
  <c r="O3215" i="53"/>
  <c r="L3230" i="53"/>
  <c r="O3230" i="53"/>
  <c r="L3228" i="53"/>
  <c r="O3228" i="53"/>
  <c r="L3226" i="53"/>
  <c r="O3226" i="53"/>
  <c r="L3224" i="53"/>
  <c r="O3224" i="53"/>
  <c r="L3222" i="53"/>
  <c r="O3222" i="53"/>
  <c r="L3220" i="53"/>
  <c r="O3220" i="53"/>
  <c r="L3218" i="53"/>
  <c r="O3218" i="53"/>
  <c r="L3216" i="53"/>
  <c r="O3216" i="53"/>
  <c r="L3239" i="53"/>
  <c r="O3239" i="53"/>
  <c r="L3237" i="53"/>
  <c r="O3237" i="53"/>
  <c r="L3235" i="53"/>
  <c r="O3235" i="53"/>
  <c r="L3242" i="53"/>
  <c r="O3242" i="53"/>
  <c r="L3244" i="53"/>
  <c r="O3244" i="53"/>
  <c r="L3246" i="53"/>
  <c r="O3246" i="53"/>
  <c r="L3248" i="53"/>
  <c r="O3248" i="53"/>
  <c r="L3252" i="53"/>
  <c r="O3252" i="53"/>
  <c r="L3254" i="53"/>
  <c r="O3254" i="53"/>
  <c r="L3245" i="53"/>
  <c r="L3260" i="53"/>
  <c r="O3200" i="53"/>
  <c r="O3202" i="53"/>
  <c r="L3234" i="53"/>
  <c r="L3250" i="53"/>
  <c r="L3238" i="53"/>
  <c r="L3240" i="53"/>
  <c r="L3236" i="53"/>
  <c r="L3233" i="53"/>
  <c r="L3232" i="53"/>
  <c r="O3259" i="53"/>
  <c r="O3201" i="53"/>
  <c r="O3241" i="53"/>
  <c r="L3243" i="53"/>
  <c r="L3247" i="53"/>
  <c r="L3249" i="53"/>
  <c r="L3251" i="53"/>
  <c r="L3253" i="53"/>
  <c r="L3255" i="53"/>
  <c r="L3256" i="53"/>
  <c r="L3258" i="53"/>
  <c r="L3261" i="53"/>
  <c r="L3263" i="53"/>
  <c r="L3265" i="53"/>
  <c r="L3267" i="53"/>
  <c r="L3269" i="53"/>
  <c r="L3193" i="53"/>
  <c r="L3195" i="53"/>
  <c r="K2494" i="53" l="1"/>
  <c r="K2482" i="53"/>
  <c r="K2481" i="53"/>
  <c r="L2482" i="53" l="1"/>
  <c r="O2482" i="53"/>
  <c r="L2481" i="53"/>
  <c r="O2481" i="53"/>
  <c r="L2494" i="53"/>
  <c r="O2494" i="53"/>
  <c r="F3190" i="53"/>
  <c r="A3190" i="53"/>
  <c r="C3190" i="53"/>
  <c r="K3190" i="53"/>
  <c r="L3190" i="53" s="1"/>
  <c r="C136" i="53" l="1"/>
  <c r="C135" i="53"/>
  <c r="J136" i="53"/>
  <c r="K135" i="53"/>
  <c r="E259" i="54"/>
  <c r="F259" i="54" s="1"/>
  <c r="E260" i="54"/>
  <c r="F260" i="54" s="1"/>
  <c r="E261" i="54"/>
  <c r="F261" i="54" s="1"/>
  <c r="E262" i="54"/>
  <c r="F262" i="54" s="1"/>
  <c r="E263" i="54"/>
  <c r="F263" i="54" s="1"/>
  <c r="E264" i="54"/>
  <c r="F264" i="54" s="1"/>
  <c r="E265" i="54"/>
  <c r="F265" i="54" s="1"/>
  <c r="E266" i="54"/>
  <c r="F266" i="54" s="1"/>
  <c r="E267" i="54"/>
  <c r="F267" i="54" s="1"/>
  <c r="E268" i="54"/>
  <c r="F268" i="54" s="1"/>
  <c r="J259" i="54"/>
  <c r="J260" i="54"/>
  <c r="J261" i="54"/>
  <c r="J262" i="54"/>
  <c r="J263" i="54"/>
  <c r="J264" i="54"/>
  <c r="J265" i="54"/>
  <c r="J266" i="54"/>
  <c r="J267" i="54"/>
  <c r="J268" i="54"/>
  <c r="J257" i="54"/>
  <c r="J258" i="54"/>
  <c r="E256" i="54"/>
  <c r="F256" i="54" s="1"/>
  <c r="E257" i="54"/>
  <c r="F257" i="54" s="1"/>
  <c r="E258" i="54"/>
  <c r="F258" i="54" s="1"/>
  <c r="E251" i="54"/>
  <c r="F251" i="54" s="1"/>
  <c r="E252" i="54"/>
  <c r="F252" i="54" s="1"/>
  <c r="E253" i="54"/>
  <c r="F253" i="54" s="1"/>
  <c r="E254" i="54"/>
  <c r="F254" i="54" s="1"/>
  <c r="E255" i="54"/>
  <c r="F255" i="54" s="1"/>
  <c r="J251" i="54"/>
  <c r="J252" i="54"/>
  <c r="J253" i="54"/>
  <c r="J254" i="54"/>
  <c r="J255" i="54"/>
  <c r="J256" i="54"/>
  <c r="J225" i="54"/>
  <c r="E246" i="54"/>
  <c r="F246" i="54" s="1"/>
  <c r="E247" i="54"/>
  <c r="F247" i="54" s="1"/>
  <c r="E248" i="54"/>
  <c r="F248" i="54" s="1"/>
  <c r="E249" i="54"/>
  <c r="F249" i="54" s="1"/>
  <c r="E250" i="54"/>
  <c r="F250" i="54" s="1"/>
  <c r="J248" i="54"/>
  <c r="J249" i="54"/>
  <c r="J250" i="54"/>
  <c r="J247" i="54"/>
  <c r="J246" i="54"/>
  <c r="E243" i="54"/>
  <c r="F243" i="54" s="1"/>
  <c r="E244" i="54"/>
  <c r="F244" i="54" s="1"/>
  <c r="E245" i="54"/>
  <c r="F245" i="54" s="1"/>
  <c r="J242" i="54"/>
  <c r="J243" i="54"/>
  <c r="J244" i="54"/>
  <c r="J245" i="54"/>
  <c r="E238" i="54"/>
  <c r="F238" i="54" s="1"/>
  <c r="E239" i="54"/>
  <c r="F239" i="54" s="1"/>
  <c r="E240" i="54"/>
  <c r="F240" i="54" s="1"/>
  <c r="E241" i="54"/>
  <c r="F241" i="54" s="1"/>
  <c r="E242" i="54"/>
  <c r="F242" i="54" s="1"/>
  <c r="J238" i="54"/>
  <c r="J239" i="54"/>
  <c r="J240" i="54"/>
  <c r="J241" i="54"/>
  <c r="K2989" i="53"/>
  <c r="K2988" i="53"/>
  <c r="O2988" i="53" s="1"/>
  <c r="K2986" i="53"/>
  <c r="L2986" i="53" s="1"/>
  <c r="J2989" i="53"/>
  <c r="K2982" i="53"/>
  <c r="O2982" i="53" s="1"/>
  <c r="L135" i="53" l="1"/>
  <c r="O135" i="53"/>
  <c r="L2988" i="53"/>
  <c r="L2982" i="53"/>
  <c r="L2989" i="53"/>
  <c r="NE3050" i="53" l="1"/>
  <c r="J2894" i="53" l="1"/>
  <c r="K3184" i="53"/>
  <c r="K3185" i="53"/>
  <c r="K3186" i="53"/>
  <c r="K3187" i="53"/>
  <c r="K3188" i="53"/>
  <c r="K3189" i="53"/>
  <c r="A3183" i="53"/>
  <c r="A3184" i="53"/>
  <c r="A3185" i="53"/>
  <c r="A3186" i="53"/>
  <c r="A3187" i="53"/>
  <c r="A3188" i="53"/>
  <c r="A3189" i="53"/>
  <c r="C3185" i="53"/>
  <c r="C3186" i="53"/>
  <c r="C3187" i="53"/>
  <c r="C3188" i="53"/>
  <c r="C3189" i="53"/>
  <c r="C3184" i="53"/>
  <c r="F3184" i="53"/>
  <c r="F3185" i="53"/>
  <c r="F3186" i="53"/>
  <c r="F3187" i="53"/>
  <c r="F3188" i="53"/>
  <c r="F3189" i="53"/>
  <c r="K3183" i="53"/>
  <c r="L3183" i="53" s="1"/>
  <c r="K3182" i="53"/>
  <c r="K3181" i="53"/>
  <c r="K3180" i="53"/>
  <c r="K3179" i="53"/>
  <c r="L3179" i="53" s="1"/>
  <c r="F3183" i="53"/>
  <c r="F3182" i="53"/>
  <c r="F3181" i="53"/>
  <c r="F3180" i="53"/>
  <c r="F3179" i="53"/>
  <c r="C3183" i="53"/>
  <c r="C3182" i="53"/>
  <c r="C3181" i="53"/>
  <c r="C3180" i="53"/>
  <c r="C3179" i="53"/>
  <c r="A3182" i="53"/>
  <c r="A3181" i="53"/>
  <c r="A3180" i="53"/>
  <c r="A3179" i="53"/>
  <c r="L3180" i="53" l="1"/>
  <c r="O3180" i="53"/>
  <c r="L3182" i="53"/>
  <c r="O3182" i="53"/>
  <c r="L3188" i="53"/>
  <c r="O3188" i="53"/>
  <c r="L3186" i="53"/>
  <c r="O3186" i="53"/>
  <c r="L3184" i="53"/>
  <c r="O3184" i="53"/>
  <c r="L3181" i="53"/>
  <c r="O3181" i="53"/>
  <c r="L3189" i="53"/>
  <c r="O3189" i="53"/>
  <c r="L3187" i="53"/>
  <c r="O3187" i="53"/>
  <c r="L3185" i="53"/>
  <c r="O3185" i="53"/>
  <c r="O3179" i="53"/>
  <c r="O3183" i="53"/>
  <c r="ND2582" i="53" l="1"/>
  <c r="C2898" i="53"/>
  <c r="C1785" i="53"/>
  <c r="C1784" i="53"/>
  <c r="C1782" i="53"/>
  <c r="A3178" i="53"/>
  <c r="K3178" i="53"/>
  <c r="F3178" i="53"/>
  <c r="C3178" i="53"/>
  <c r="K3177" i="53"/>
  <c r="F3177" i="53"/>
  <c r="C3177" i="53"/>
  <c r="A3177" i="53"/>
  <c r="L3178" i="53" l="1"/>
  <c r="O3178" i="53"/>
  <c r="L3177" i="53"/>
  <c r="O3177" i="53"/>
  <c r="E237" i="54" l="1"/>
  <c r="F237" i="54" s="1"/>
  <c r="E236" i="54"/>
  <c r="F236" i="54" s="1"/>
  <c r="E235" i="54"/>
  <c r="F235" i="54" s="1"/>
  <c r="E234" i="54"/>
  <c r="F234" i="54" s="1"/>
  <c r="K3059" i="53"/>
  <c r="L3059" i="53" s="1"/>
  <c r="A3160" i="53"/>
  <c r="A3161" i="53"/>
  <c r="A3162" i="53"/>
  <c r="A3163" i="53"/>
  <c r="A3164" i="53"/>
  <c r="A3165" i="53"/>
  <c r="A3166" i="53"/>
  <c r="A3167" i="53"/>
  <c r="A3168" i="53"/>
  <c r="A3169" i="53"/>
  <c r="A3170" i="53"/>
  <c r="A3171" i="53"/>
  <c r="A3172" i="53"/>
  <c r="A3173" i="53"/>
  <c r="A3174" i="53"/>
  <c r="A3175" i="53"/>
  <c r="A3176" i="53"/>
  <c r="C3174" i="53"/>
  <c r="C3175" i="53"/>
  <c r="C3176" i="53"/>
  <c r="C3161" i="53"/>
  <c r="C3162" i="53"/>
  <c r="C3163" i="53"/>
  <c r="C3164" i="53"/>
  <c r="C3165" i="53"/>
  <c r="C3166" i="53"/>
  <c r="C3167" i="53"/>
  <c r="C3168" i="53"/>
  <c r="C3169" i="53"/>
  <c r="C3170" i="53"/>
  <c r="C3171" i="53"/>
  <c r="C3172" i="53"/>
  <c r="C3173" i="53"/>
  <c r="C3160" i="53"/>
  <c r="K3104" i="53"/>
  <c r="L3104" i="53" s="1"/>
  <c r="K3105" i="53"/>
  <c r="K3106" i="53"/>
  <c r="K3107" i="53"/>
  <c r="K3108" i="53"/>
  <c r="L3108" i="53" s="1"/>
  <c r="K3109" i="53"/>
  <c r="K3110" i="53"/>
  <c r="K3111" i="53"/>
  <c r="K3112" i="53"/>
  <c r="L3112" i="53" s="1"/>
  <c r="K3113" i="53"/>
  <c r="K3114" i="53"/>
  <c r="K3115" i="53"/>
  <c r="K3116" i="53"/>
  <c r="L3116" i="53" s="1"/>
  <c r="K3117" i="53"/>
  <c r="K3118" i="53"/>
  <c r="K3119" i="53"/>
  <c r="K3120" i="53"/>
  <c r="L3120" i="53" s="1"/>
  <c r="K3121" i="53"/>
  <c r="K3122" i="53"/>
  <c r="K3123" i="53"/>
  <c r="K3124" i="53"/>
  <c r="L3124" i="53" s="1"/>
  <c r="K3125" i="53"/>
  <c r="O3125" i="53" s="1"/>
  <c r="K3126" i="53"/>
  <c r="K3127" i="53"/>
  <c r="K3128" i="53"/>
  <c r="L3128" i="53" s="1"/>
  <c r="K3129" i="53"/>
  <c r="K3130" i="53"/>
  <c r="K3131" i="53"/>
  <c r="K3132" i="53"/>
  <c r="L3132" i="53" s="1"/>
  <c r="K3133" i="53"/>
  <c r="K3134" i="53"/>
  <c r="K3135" i="53"/>
  <c r="K3136" i="53"/>
  <c r="K3137" i="53"/>
  <c r="K3138" i="53"/>
  <c r="K3139" i="53"/>
  <c r="K3140" i="53"/>
  <c r="L3140" i="53" s="1"/>
  <c r="K3141" i="53"/>
  <c r="K3142" i="53"/>
  <c r="K3143" i="53"/>
  <c r="K3144" i="53"/>
  <c r="L3144" i="53" s="1"/>
  <c r="K3145" i="53"/>
  <c r="K3146" i="53"/>
  <c r="K3147" i="53"/>
  <c r="K3148" i="53"/>
  <c r="L3148" i="53" s="1"/>
  <c r="K3149" i="53"/>
  <c r="K3150" i="53"/>
  <c r="K3151" i="53"/>
  <c r="K3152" i="53"/>
  <c r="L3152" i="53" s="1"/>
  <c r="K3153" i="53"/>
  <c r="K3154" i="53"/>
  <c r="K3155" i="53"/>
  <c r="K3156" i="53"/>
  <c r="L3156" i="53" s="1"/>
  <c r="K3157" i="53"/>
  <c r="K3158" i="53"/>
  <c r="K3159" i="53"/>
  <c r="K3160" i="53"/>
  <c r="L3160" i="53" s="1"/>
  <c r="K3161" i="53"/>
  <c r="K3162" i="53"/>
  <c r="K3163" i="53"/>
  <c r="K3164" i="53"/>
  <c r="L3164" i="53" s="1"/>
  <c r="K3165" i="53"/>
  <c r="K3166" i="53"/>
  <c r="K3167" i="53"/>
  <c r="K3168" i="53"/>
  <c r="L3168" i="53" s="1"/>
  <c r="K3169" i="53"/>
  <c r="K3170" i="53"/>
  <c r="K3171" i="53"/>
  <c r="K3172" i="53"/>
  <c r="O3172" i="53" s="1"/>
  <c r="K3173" i="53"/>
  <c r="O3173" i="53" s="1"/>
  <c r="K3174" i="53"/>
  <c r="L3174" i="53" s="1"/>
  <c r="K3175" i="53"/>
  <c r="L3175" i="53" s="1"/>
  <c r="K3176" i="53"/>
  <c r="O3176" i="53" s="1"/>
  <c r="A3138" i="53"/>
  <c r="C3138" i="53"/>
  <c r="A3139" i="53"/>
  <c r="C3139" i="53"/>
  <c r="A3140" i="53"/>
  <c r="C3140" i="53"/>
  <c r="A3141" i="53"/>
  <c r="C3141" i="53"/>
  <c r="A3142" i="53"/>
  <c r="C3142" i="53"/>
  <c r="A3143" i="53"/>
  <c r="C3143" i="53"/>
  <c r="A3144" i="53"/>
  <c r="C3144" i="53"/>
  <c r="A3145" i="53"/>
  <c r="C3145" i="53"/>
  <c r="A3146" i="53"/>
  <c r="C3146" i="53"/>
  <c r="A3147" i="53"/>
  <c r="C3147" i="53"/>
  <c r="A3148" i="53"/>
  <c r="C3148" i="53"/>
  <c r="A3149" i="53"/>
  <c r="C3149" i="53"/>
  <c r="A3150" i="53"/>
  <c r="C3150" i="53"/>
  <c r="A3151" i="53"/>
  <c r="C3151" i="53"/>
  <c r="A3152" i="53"/>
  <c r="C3152" i="53"/>
  <c r="A3153" i="53"/>
  <c r="C3153" i="53"/>
  <c r="A3154" i="53"/>
  <c r="C3154" i="53"/>
  <c r="A3155" i="53"/>
  <c r="C3155" i="53"/>
  <c r="A3156" i="53"/>
  <c r="C3156" i="53"/>
  <c r="A3157" i="53"/>
  <c r="C3157" i="53"/>
  <c r="A3158" i="53"/>
  <c r="C3158" i="53"/>
  <c r="A3159" i="53"/>
  <c r="C3159" i="53"/>
  <c r="A3137" i="53"/>
  <c r="C3137" i="53"/>
  <c r="A3112" i="53"/>
  <c r="C3112" i="53"/>
  <c r="A3113" i="53"/>
  <c r="C3113" i="53"/>
  <c r="A3114" i="53"/>
  <c r="C3114" i="53"/>
  <c r="A3115" i="53"/>
  <c r="C3115" i="53"/>
  <c r="A3116" i="53"/>
  <c r="C3116" i="53"/>
  <c r="A3117" i="53"/>
  <c r="C3117" i="53"/>
  <c r="A3118" i="53"/>
  <c r="C3118" i="53"/>
  <c r="A3119" i="53"/>
  <c r="C3119" i="53"/>
  <c r="A3120" i="53"/>
  <c r="C3120" i="53"/>
  <c r="A3121" i="53"/>
  <c r="C3121" i="53"/>
  <c r="A3122" i="53"/>
  <c r="C3122" i="53"/>
  <c r="A3123" i="53"/>
  <c r="C3123" i="53"/>
  <c r="A3124" i="53"/>
  <c r="C3124" i="53"/>
  <c r="A3125" i="53"/>
  <c r="C3125" i="53"/>
  <c r="A3126" i="53"/>
  <c r="C3126" i="53"/>
  <c r="A3127" i="53"/>
  <c r="C3127" i="53"/>
  <c r="A3128" i="53"/>
  <c r="C3128" i="53"/>
  <c r="A3129" i="53"/>
  <c r="C3129" i="53"/>
  <c r="A3130" i="53"/>
  <c r="C3130" i="53"/>
  <c r="A3131" i="53"/>
  <c r="C3131" i="53"/>
  <c r="A3132" i="53"/>
  <c r="C3132" i="53"/>
  <c r="A3133" i="53"/>
  <c r="C3133" i="53"/>
  <c r="A3134" i="53"/>
  <c r="C3134" i="53"/>
  <c r="A3135" i="53"/>
  <c r="C3135" i="53"/>
  <c r="A3136" i="53"/>
  <c r="C3136" i="53"/>
  <c r="A3111" i="53"/>
  <c r="C3111" i="53"/>
  <c r="A3104" i="53"/>
  <c r="C3104" i="53"/>
  <c r="A3105" i="53"/>
  <c r="C3105" i="53"/>
  <c r="A3106" i="53"/>
  <c r="C3106" i="53"/>
  <c r="A3107" i="53"/>
  <c r="C3107" i="53"/>
  <c r="A3108" i="53"/>
  <c r="C3108" i="53"/>
  <c r="A3109" i="53"/>
  <c r="C3109" i="53"/>
  <c r="A3110" i="53"/>
  <c r="C3110" i="53"/>
  <c r="C3102" i="53"/>
  <c r="C3103" i="53"/>
  <c r="A3102" i="53"/>
  <c r="A3101" i="53"/>
  <c r="A3103" i="53"/>
  <c r="C3101" i="53"/>
  <c r="K3101" i="53"/>
  <c r="K3102" i="53"/>
  <c r="K3103" i="53"/>
  <c r="O3103" i="53" s="1"/>
  <c r="F3101" i="53"/>
  <c r="F3102" i="53"/>
  <c r="O2990" i="53"/>
  <c r="O2153" i="53"/>
  <c r="F3078" i="53"/>
  <c r="F3079" i="53"/>
  <c r="F3080" i="53"/>
  <c r="F3081" i="53"/>
  <c r="F3082" i="53"/>
  <c r="F3083" i="53"/>
  <c r="F3084" i="53"/>
  <c r="F3085" i="53"/>
  <c r="F3086" i="53"/>
  <c r="F3087" i="53"/>
  <c r="F3088" i="53"/>
  <c r="F3089" i="53"/>
  <c r="F3090" i="53"/>
  <c r="F3091" i="53"/>
  <c r="F3092" i="53"/>
  <c r="F3093" i="53"/>
  <c r="F3094" i="53"/>
  <c r="F3095" i="53"/>
  <c r="F3096" i="53"/>
  <c r="F3097" i="53"/>
  <c r="F3099" i="53"/>
  <c r="F3100" i="53"/>
  <c r="K3085" i="53"/>
  <c r="O3085" i="53" s="1"/>
  <c r="K3086" i="53"/>
  <c r="O3086" i="53" s="1"/>
  <c r="K3087" i="53"/>
  <c r="O3087" i="53" s="1"/>
  <c r="K3088" i="53"/>
  <c r="O3088" i="53" s="1"/>
  <c r="K3089" i="53"/>
  <c r="O3089" i="53" s="1"/>
  <c r="K3090" i="53"/>
  <c r="O3090" i="53" s="1"/>
  <c r="K3091" i="53"/>
  <c r="O3091" i="53" s="1"/>
  <c r="K3092" i="53"/>
  <c r="O3092" i="53" s="1"/>
  <c r="K3093" i="53"/>
  <c r="O3093" i="53" s="1"/>
  <c r="K3094" i="53"/>
  <c r="O3094" i="53" s="1"/>
  <c r="K3095" i="53"/>
  <c r="O3095" i="53" s="1"/>
  <c r="K3097" i="53"/>
  <c r="O3097" i="53" s="1"/>
  <c r="K3098" i="53"/>
  <c r="O3098" i="53" s="1"/>
  <c r="K3099" i="53"/>
  <c r="O3099" i="53" s="1"/>
  <c r="K3100" i="53"/>
  <c r="A3095" i="53"/>
  <c r="A3096" i="53"/>
  <c r="A3097" i="53"/>
  <c r="A3098" i="53"/>
  <c r="A3099" i="53"/>
  <c r="A3100" i="53"/>
  <c r="C3092" i="53"/>
  <c r="C3093" i="53"/>
  <c r="C3094" i="53"/>
  <c r="C3095" i="53"/>
  <c r="C3096" i="53"/>
  <c r="C3097" i="53"/>
  <c r="C3098" i="53"/>
  <c r="C3099" i="53"/>
  <c r="C3100" i="53"/>
  <c r="K3084" i="53"/>
  <c r="O3084" i="53" s="1"/>
  <c r="C3085" i="53"/>
  <c r="C3086" i="53"/>
  <c r="C3087" i="53"/>
  <c r="C3088" i="53"/>
  <c r="C3089" i="53"/>
  <c r="C3090" i="53"/>
  <c r="C3091" i="53"/>
  <c r="A3084" i="53"/>
  <c r="A3085" i="53"/>
  <c r="A3086" i="53"/>
  <c r="A3087" i="53"/>
  <c r="A3088" i="53"/>
  <c r="A3089" i="53"/>
  <c r="A3090" i="53"/>
  <c r="A3091" i="53"/>
  <c r="A3092" i="53"/>
  <c r="A3093" i="53"/>
  <c r="A3094" i="53"/>
  <c r="C3084" i="53"/>
  <c r="A3071" i="53"/>
  <c r="C3071" i="53"/>
  <c r="A3072" i="53"/>
  <c r="C3072" i="53"/>
  <c r="A3073" i="53"/>
  <c r="C3073" i="53"/>
  <c r="A3074" i="53"/>
  <c r="C3074" i="53"/>
  <c r="A3075" i="53"/>
  <c r="C3075" i="53"/>
  <c r="A3076" i="53"/>
  <c r="C3076" i="53"/>
  <c r="A3077" i="53"/>
  <c r="C3077" i="53"/>
  <c r="A3078" i="53"/>
  <c r="C3078" i="53"/>
  <c r="A3079" i="53"/>
  <c r="C3079" i="53"/>
  <c r="A3080" i="53"/>
  <c r="C3080" i="53"/>
  <c r="A3081" i="53"/>
  <c r="C3081" i="53"/>
  <c r="A3082" i="53"/>
  <c r="C3082" i="53"/>
  <c r="A3083" i="53"/>
  <c r="C3083" i="53"/>
  <c r="A3070" i="53"/>
  <c r="C3070" i="53"/>
  <c r="K3083" i="53"/>
  <c r="K3082" i="53"/>
  <c r="K3081" i="53"/>
  <c r="K3080" i="53"/>
  <c r="K3079" i="53"/>
  <c r="K3078" i="53"/>
  <c r="K3077" i="53"/>
  <c r="K3076" i="53"/>
  <c r="K3075" i="53"/>
  <c r="K3074" i="53"/>
  <c r="K3073" i="53"/>
  <c r="K3072" i="53"/>
  <c r="K3071" i="53"/>
  <c r="K3070" i="53"/>
  <c r="F3070" i="53"/>
  <c r="F3071" i="53"/>
  <c r="F3072" i="53"/>
  <c r="F3073" i="53"/>
  <c r="F3074" i="53"/>
  <c r="F3075" i="53"/>
  <c r="F3076" i="53"/>
  <c r="F3077" i="53"/>
  <c r="F3069" i="53"/>
  <c r="K3069" i="53"/>
  <c r="O3069" i="53" s="1"/>
  <c r="A3069" i="53"/>
  <c r="C3069" i="53"/>
  <c r="K3068" i="53"/>
  <c r="O3068" i="53" s="1"/>
  <c r="A3068" i="53"/>
  <c r="F3068" i="53"/>
  <c r="C3068" i="53"/>
  <c r="F3062" i="53"/>
  <c r="F3063" i="53"/>
  <c r="F3064" i="53"/>
  <c r="F3065" i="53"/>
  <c r="F3066" i="53"/>
  <c r="F3067" i="53"/>
  <c r="A3065" i="53"/>
  <c r="C3065" i="53"/>
  <c r="A3066" i="53"/>
  <c r="C3066" i="53"/>
  <c r="A3067" i="53"/>
  <c r="C3067" i="53"/>
  <c r="A3064" i="53"/>
  <c r="C3064" i="53"/>
  <c r="K3067" i="53"/>
  <c r="O3067" i="53" s="1"/>
  <c r="K3066" i="53"/>
  <c r="O3066" i="53" s="1"/>
  <c r="K3065" i="53"/>
  <c r="O3065" i="53" s="1"/>
  <c r="K3064" i="53"/>
  <c r="O3064" i="53" s="1"/>
  <c r="F3061" i="53"/>
  <c r="A3063" i="53"/>
  <c r="C3063" i="53"/>
  <c r="K3063" i="53"/>
  <c r="O3063" i="53" s="1"/>
  <c r="C3062" i="53"/>
  <c r="C3061" i="53"/>
  <c r="A3061" i="53"/>
  <c r="A3060" i="53"/>
  <c r="F3060" i="53"/>
  <c r="K3062" i="53"/>
  <c r="O3062" i="53" s="1"/>
  <c r="K3061" i="53"/>
  <c r="O3061" i="53" s="1"/>
  <c r="K3060" i="53"/>
  <c r="O3060" i="53" s="1"/>
  <c r="C3060" i="53"/>
  <c r="J237" i="54"/>
  <c r="J235" i="54"/>
  <c r="J236" i="54"/>
  <c r="L3102" i="53" l="1"/>
  <c r="O3102" i="53"/>
  <c r="L3136" i="53"/>
  <c r="O3136" i="53"/>
  <c r="L3101" i="53"/>
  <c r="O3101" i="53"/>
  <c r="O3059" i="53"/>
  <c r="O3168" i="53"/>
  <c r="O3152" i="53"/>
  <c r="O3120" i="53"/>
  <c r="O3104" i="53"/>
  <c r="L3084" i="53"/>
  <c r="L3173" i="53"/>
  <c r="L3172" i="53"/>
  <c r="O3160" i="53"/>
  <c r="O3144" i="53"/>
  <c r="O3128" i="53"/>
  <c r="O3112" i="53"/>
  <c r="O3171" i="53"/>
  <c r="L3171" i="53"/>
  <c r="O3169" i="53"/>
  <c r="L3169" i="53"/>
  <c r="O3167" i="53"/>
  <c r="L3167" i="53"/>
  <c r="O3165" i="53"/>
  <c r="L3165" i="53"/>
  <c r="O3163" i="53"/>
  <c r="L3163" i="53"/>
  <c r="O3161" i="53"/>
  <c r="L3161" i="53"/>
  <c r="O3159" i="53"/>
  <c r="L3159" i="53"/>
  <c r="O3157" i="53"/>
  <c r="L3157" i="53"/>
  <c r="O3155" i="53"/>
  <c r="L3155" i="53"/>
  <c r="O3153" i="53"/>
  <c r="L3153" i="53"/>
  <c r="O3151" i="53"/>
  <c r="L3151" i="53"/>
  <c r="O3149" i="53"/>
  <c r="L3149" i="53"/>
  <c r="O3147" i="53"/>
  <c r="L3147" i="53"/>
  <c r="O3145" i="53"/>
  <c r="L3145" i="53"/>
  <c r="O3143" i="53"/>
  <c r="L3143" i="53"/>
  <c r="O3141" i="53"/>
  <c r="L3141" i="53"/>
  <c r="O3139" i="53"/>
  <c r="L3139" i="53"/>
  <c r="O3137" i="53"/>
  <c r="L3137" i="53"/>
  <c r="O3135" i="53"/>
  <c r="L3135" i="53"/>
  <c r="O3133" i="53"/>
  <c r="L3133" i="53"/>
  <c r="O3131" i="53"/>
  <c r="L3131" i="53"/>
  <c r="O3129" i="53"/>
  <c r="L3129" i="53"/>
  <c r="O3127" i="53"/>
  <c r="L3127" i="53"/>
  <c r="L3125" i="53"/>
  <c r="O3123" i="53"/>
  <c r="L3123" i="53"/>
  <c r="O3121" i="53"/>
  <c r="L3121" i="53"/>
  <c r="O3119" i="53"/>
  <c r="L3119" i="53"/>
  <c r="O3117" i="53"/>
  <c r="L3117" i="53"/>
  <c r="O3115" i="53"/>
  <c r="L3115" i="53"/>
  <c r="O3113" i="53"/>
  <c r="L3113" i="53"/>
  <c r="O3111" i="53"/>
  <c r="L3111" i="53"/>
  <c r="O3109" i="53"/>
  <c r="L3109" i="53"/>
  <c r="O3107" i="53"/>
  <c r="L3107" i="53"/>
  <c r="O3105" i="53"/>
  <c r="L3105" i="53"/>
  <c r="O3170" i="53"/>
  <c r="L3170" i="53"/>
  <c r="O3166" i="53"/>
  <c r="L3166" i="53"/>
  <c r="O3162" i="53"/>
  <c r="L3162" i="53"/>
  <c r="O3158" i="53"/>
  <c r="L3158" i="53"/>
  <c r="O3154" i="53"/>
  <c r="L3154" i="53"/>
  <c r="O3150" i="53"/>
  <c r="L3150" i="53"/>
  <c r="O3146" i="53"/>
  <c r="L3146" i="53"/>
  <c r="O3142" i="53"/>
  <c r="L3142" i="53"/>
  <c r="O3138" i="53"/>
  <c r="L3138" i="53"/>
  <c r="O3134" i="53"/>
  <c r="L3134" i="53"/>
  <c r="O3130" i="53"/>
  <c r="L3130" i="53"/>
  <c r="O3126" i="53"/>
  <c r="L3126" i="53"/>
  <c r="O3122" i="53"/>
  <c r="L3122" i="53"/>
  <c r="O3118" i="53"/>
  <c r="L3118" i="53"/>
  <c r="O3114" i="53"/>
  <c r="L3114" i="53"/>
  <c r="O3110" i="53"/>
  <c r="L3110" i="53"/>
  <c r="O3106" i="53"/>
  <c r="L3106" i="53"/>
  <c r="O3164" i="53"/>
  <c r="O3156" i="53"/>
  <c r="O3148" i="53"/>
  <c r="O3140" i="53"/>
  <c r="O3132" i="53"/>
  <c r="O3124" i="53"/>
  <c r="O3116" i="53"/>
  <c r="O3108" i="53"/>
  <c r="O3175" i="53"/>
  <c r="L3103" i="53"/>
  <c r="L3176" i="53"/>
  <c r="O3174" i="53"/>
  <c r="L3068" i="53"/>
  <c r="L3060" i="53"/>
  <c r="L3061" i="53"/>
  <c r="L3062" i="53"/>
  <c r="L3063" i="53"/>
  <c r="L3064" i="53"/>
  <c r="L3066" i="53"/>
  <c r="L3071" i="53"/>
  <c r="O3071" i="53"/>
  <c r="L3073" i="53"/>
  <c r="O3073" i="53"/>
  <c r="L3075" i="53"/>
  <c r="O3075" i="53"/>
  <c r="L3077" i="53"/>
  <c r="O3077" i="53"/>
  <c r="L3079" i="53"/>
  <c r="O3079" i="53"/>
  <c r="L3081" i="53"/>
  <c r="O3081" i="53"/>
  <c r="L3083" i="53"/>
  <c r="O3083" i="53"/>
  <c r="O3100" i="53"/>
  <c r="L3100" i="53"/>
  <c r="L3098" i="53"/>
  <c r="L3094" i="53"/>
  <c r="L3092" i="53"/>
  <c r="L3069" i="53"/>
  <c r="L3070" i="53"/>
  <c r="O3070" i="53"/>
  <c r="L3072" i="53"/>
  <c r="O3072" i="53"/>
  <c r="L3074" i="53"/>
  <c r="O3074" i="53"/>
  <c r="L3076" i="53"/>
  <c r="O3076" i="53"/>
  <c r="L3078" i="53"/>
  <c r="O3078" i="53"/>
  <c r="L3080" i="53"/>
  <c r="O3080" i="53"/>
  <c r="L3082" i="53"/>
  <c r="O3082" i="53"/>
  <c r="L3099" i="53"/>
  <c r="L3097" i="53"/>
  <c r="L3095" i="53"/>
  <c r="L3093" i="53"/>
  <c r="L3091" i="53"/>
  <c r="L3090" i="53"/>
  <c r="L3089" i="53"/>
  <c r="L3088" i="53"/>
  <c r="L3087" i="53"/>
  <c r="L3086" i="53"/>
  <c r="L3085" i="53"/>
  <c r="L3065" i="53"/>
  <c r="L3067" i="53"/>
  <c r="F3059" i="53"/>
  <c r="C3059" i="53"/>
  <c r="A3059" i="53"/>
  <c r="J234" i="54"/>
  <c r="C2128" i="53"/>
  <c r="C1951" i="53"/>
  <c r="C1793" i="53"/>
  <c r="C1750" i="53"/>
  <c r="C1730" i="53"/>
  <c r="F2985" i="53" l="1"/>
  <c r="F2522" i="53"/>
  <c r="A3032" i="53" l="1"/>
  <c r="A3050" i="53"/>
  <c r="A3051" i="53"/>
  <c r="C3027" i="53"/>
  <c r="C3028" i="53"/>
  <c r="C3029" i="53"/>
  <c r="C3030" i="53"/>
  <c r="C3031" i="53"/>
  <c r="C3032" i="53"/>
  <c r="C3033" i="53"/>
  <c r="C3034" i="53"/>
  <c r="C3035" i="53"/>
  <c r="C3036" i="53"/>
  <c r="C3037" i="53"/>
  <c r="C3038" i="53"/>
  <c r="C3039" i="53"/>
  <c r="C3040" i="53"/>
  <c r="C3041" i="53"/>
  <c r="C3042" i="53"/>
  <c r="C3043" i="53"/>
  <c r="C3044" i="53"/>
  <c r="C3045" i="53"/>
  <c r="C3046" i="53"/>
  <c r="C3047" i="53"/>
  <c r="C3048" i="53"/>
  <c r="C3049" i="53"/>
  <c r="C3050" i="53"/>
  <c r="C3051" i="53"/>
  <c r="C3058" i="53"/>
  <c r="A3029" i="53"/>
  <c r="A3030" i="53"/>
  <c r="A3031" i="53"/>
  <c r="A3033" i="53"/>
  <c r="A3034" i="53"/>
  <c r="A3035" i="53"/>
  <c r="A3036" i="53"/>
  <c r="A3037" i="53"/>
  <c r="A3038" i="53"/>
  <c r="A3039" i="53"/>
  <c r="A3040" i="53"/>
  <c r="A3041" i="53"/>
  <c r="A3042" i="53"/>
  <c r="A3043" i="53"/>
  <c r="A3044" i="53"/>
  <c r="A3045" i="53"/>
  <c r="A3046" i="53"/>
  <c r="A3047" i="53"/>
  <c r="A3048" i="53"/>
  <c r="A3049" i="53"/>
  <c r="A3055" i="53"/>
  <c r="A3057" i="53"/>
  <c r="A3058" i="53"/>
  <c r="F3058" i="53" l="1"/>
  <c r="K3058" i="53"/>
  <c r="O3058" i="53" s="1"/>
  <c r="A3028" i="53"/>
  <c r="L3058" i="53" l="1"/>
  <c r="MU1951" i="53"/>
  <c r="A2842" i="53" l="1"/>
  <c r="K3050" i="53"/>
  <c r="O3050" i="53" s="1"/>
  <c r="K3051" i="53"/>
  <c r="O3051" i="53" s="1"/>
  <c r="A2978" i="53"/>
  <c r="K3049" i="53"/>
  <c r="O3049" i="53" s="1"/>
  <c r="F3057" i="53"/>
  <c r="F3055" i="53"/>
  <c r="F3051" i="53"/>
  <c r="F3049" i="53"/>
  <c r="L3049" i="53" l="1"/>
  <c r="L3050" i="53"/>
  <c r="L3051" i="53"/>
  <c r="M2506" i="53" l="1"/>
  <c r="M2507" i="53"/>
  <c r="M2508" i="53"/>
  <c r="M2509" i="53"/>
  <c r="M2510" i="53"/>
  <c r="M2511" i="53"/>
  <c r="M2512" i="53"/>
  <c r="M2513" i="53"/>
  <c r="M2514" i="53"/>
  <c r="M2515" i="53"/>
  <c r="M2516" i="53"/>
  <c r="M2517" i="53"/>
  <c r="M2518" i="53"/>
  <c r="M2519" i="53"/>
  <c r="M2520" i="53"/>
  <c r="M2521" i="53"/>
  <c r="M2522" i="53"/>
  <c r="M2523" i="53"/>
  <c r="M2524" i="53"/>
  <c r="M2525" i="53"/>
  <c r="M2526" i="53"/>
  <c r="M2527" i="53"/>
  <c r="M2528" i="53"/>
  <c r="M2529" i="53"/>
  <c r="M2530" i="53"/>
  <c r="M2531" i="53"/>
  <c r="M2532" i="53"/>
  <c r="M2533" i="53"/>
  <c r="M2534" i="53"/>
  <c r="M2535" i="53"/>
  <c r="M2536" i="53"/>
  <c r="M2537" i="53"/>
  <c r="M2538" i="53"/>
  <c r="M2539" i="53"/>
  <c r="M2540" i="53"/>
  <c r="M2541" i="53"/>
  <c r="M2542" i="53"/>
  <c r="M2543" i="53"/>
  <c r="M2544" i="53"/>
  <c r="M2545" i="53"/>
  <c r="M2546" i="53"/>
  <c r="M2547" i="53"/>
  <c r="M2548" i="53"/>
  <c r="M2549" i="53"/>
  <c r="M2550" i="53"/>
  <c r="M2551" i="53"/>
  <c r="M2552" i="53"/>
  <c r="M2553" i="53"/>
  <c r="M2554" i="53"/>
  <c r="M2555" i="53"/>
  <c r="M2556" i="53"/>
  <c r="M2557" i="53"/>
  <c r="M2558" i="53"/>
  <c r="M2559" i="53"/>
  <c r="M2560" i="53"/>
  <c r="M2561" i="53"/>
  <c r="M2562" i="53"/>
  <c r="M2563" i="53"/>
  <c r="M2564" i="53"/>
  <c r="M2565" i="53"/>
  <c r="M2566" i="53"/>
  <c r="M2567" i="53"/>
  <c r="M2568" i="53"/>
  <c r="M2569" i="53"/>
  <c r="M2570" i="53"/>
  <c r="M2571" i="53"/>
  <c r="M2572" i="53"/>
  <c r="M2573" i="53"/>
  <c r="M2574" i="53"/>
  <c r="M2575" i="53"/>
  <c r="M2576" i="53"/>
  <c r="M2577" i="53"/>
  <c r="M2578" i="53"/>
  <c r="M2579" i="53"/>
  <c r="M2580" i="53"/>
  <c r="M2581" i="53"/>
  <c r="M2582" i="53"/>
  <c r="M2583" i="53"/>
  <c r="M2584" i="53"/>
  <c r="M2585" i="53"/>
  <c r="M2586" i="53"/>
  <c r="M2587" i="53"/>
  <c r="M2588" i="53"/>
  <c r="M2589" i="53"/>
  <c r="M2590" i="53"/>
  <c r="M2591" i="53"/>
  <c r="M2592" i="53"/>
  <c r="M2593" i="53"/>
  <c r="M2594" i="53"/>
  <c r="M2595" i="53"/>
  <c r="M2596" i="53"/>
  <c r="M2597" i="53"/>
  <c r="M2598" i="53"/>
  <c r="M2599" i="53"/>
  <c r="M2600" i="53"/>
  <c r="M2601" i="53"/>
  <c r="M2602" i="53"/>
  <c r="M2603" i="53"/>
  <c r="M2604" i="53"/>
  <c r="M2605" i="53"/>
  <c r="M2606" i="53"/>
  <c r="M2607" i="53"/>
  <c r="M2608" i="53"/>
  <c r="M2609" i="53"/>
  <c r="M2610" i="53"/>
  <c r="M2611" i="53"/>
  <c r="M2612" i="53"/>
  <c r="M2613" i="53"/>
  <c r="M2614" i="53"/>
  <c r="M2615" i="53"/>
  <c r="M2616" i="53"/>
  <c r="M2617" i="53"/>
  <c r="M2618" i="53"/>
  <c r="M2619" i="53"/>
  <c r="M2620" i="53"/>
  <c r="M2621" i="53"/>
  <c r="M2622" i="53"/>
  <c r="M2623" i="53"/>
  <c r="M2624" i="53"/>
  <c r="M2625" i="53"/>
  <c r="M2626" i="53"/>
  <c r="M2627" i="53"/>
  <c r="M2628" i="53"/>
  <c r="M2629" i="53"/>
  <c r="M2630" i="53"/>
  <c r="M2631" i="53"/>
  <c r="M2632" i="53"/>
  <c r="M2633" i="53"/>
  <c r="M2634" i="53"/>
  <c r="M2635" i="53"/>
  <c r="M2636" i="53"/>
  <c r="M2637" i="53"/>
  <c r="M2638" i="53"/>
  <c r="M2639" i="53"/>
  <c r="M2640" i="53"/>
  <c r="M2641" i="53"/>
  <c r="M2642" i="53"/>
  <c r="M2643" i="53"/>
  <c r="M2644" i="53"/>
  <c r="M2645" i="53"/>
  <c r="M2646" i="53"/>
  <c r="M2647" i="53"/>
  <c r="M2648" i="53"/>
  <c r="M2649" i="53"/>
  <c r="M2650" i="53"/>
  <c r="M2651" i="53"/>
  <c r="M2652" i="53"/>
  <c r="M2653" i="53"/>
  <c r="M2654" i="53"/>
  <c r="M2655" i="53"/>
  <c r="M2656" i="53"/>
  <c r="M2657" i="53"/>
  <c r="M2658" i="53"/>
  <c r="M2659" i="53"/>
  <c r="M2660" i="53"/>
  <c r="M2661" i="53"/>
  <c r="M2662" i="53"/>
  <c r="M2663" i="53"/>
  <c r="M2664" i="53"/>
  <c r="M2665" i="53"/>
  <c r="M2666" i="53"/>
  <c r="M2667" i="53"/>
  <c r="M2668" i="53"/>
  <c r="M2669" i="53"/>
  <c r="M2670" i="53"/>
  <c r="M2671" i="53"/>
  <c r="M2672" i="53"/>
  <c r="M2673" i="53"/>
  <c r="M2674" i="53"/>
  <c r="M2675" i="53"/>
  <c r="M2676" i="53"/>
  <c r="M2677" i="53"/>
  <c r="M2678" i="53"/>
  <c r="M2679" i="53"/>
  <c r="M2680" i="53"/>
  <c r="M2681" i="53"/>
  <c r="M2682" i="53"/>
  <c r="M2683" i="53"/>
  <c r="M2684" i="53"/>
  <c r="M2685" i="53"/>
  <c r="M2686" i="53"/>
  <c r="M2687" i="53"/>
  <c r="M2688" i="53"/>
  <c r="M2689" i="53"/>
  <c r="M2690" i="53"/>
  <c r="M2691" i="53"/>
  <c r="M2692" i="53"/>
  <c r="M2693" i="53"/>
  <c r="M2694" i="53"/>
  <c r="M2695" i="53"/>
  <c r="M2696" i="53"/>
  <c r="M2698" i="53"/>
  <c r="M2699" i="53"/>
  <c r="M2700" i="53"/>
  <c r="M2701" i="53"/>
  <c r="M2702" i="53"/>
  <c r="M2703" i="53"/>
  <c r="M2704" i="53"/>
  <c r="M2705" i="53"/>
  <c r="M2706" i="53"/>
  <c r="M2707" i="53"/>
  <c r="M2708" i="53"/>
  <c r="M2709" i="53"/>
  <c r="M2710" i="53"/>
  <c r="M2711" i="53"/>
  <c r="M2712" i="53"/>
  <c r="M2713" i="53"/>
  <c r="M2714" i="53"/>
  <c r="M2715" i="53"/>
  <c r="M2716" i="53"/>
  <c r="M2717" i="53"/>
  <c r="M2718" i="53"/>
  <c r="M2719" i="53"/>
  <c r="M2720" i="53"/>
  <c r="M2721" i="53"/>
  <c r="M2722" i="53"/>
  <c r="M2723" i="53"/>
  <c r="M2724" i="53"/>
  <c r="M2725" i="53"/>
  <c r="M2726" i="53"/>
  <c r="M2727" i="53"/>
  <c r="M2728" i="53"/>
  <c r="M2729" i="53"/>
  <c r="M2730" i="53"/>
  <c r="M2731" i="53"/>
  <c r="M2732" i="53"/>
  <c r="M2733" i="53"/>
  <c r="M2734" i="53"/>
  <c r="M2735" i="53"/>
  <c r="M2736" i="53"/>
  <c r="M2737" i="53"/>
  <c r="M2738" i="53"/>
  <c r="M2739" i="53"/>
  <c r="M2740" i="53"/>
  <c r="M2741" i="53"/>
  <c r="M2742" i="53"/>
  <c r="M2743" i="53"/>
  <c r="M2744" i="53"/>
  <c r="M2745" i="53"/>
  <c r="M2746" i="53"/>
  <c r="M2747" i="53"/>
  <c r="M2748" i="53"/>
  <c r="M2749" i="53"/>
  <c r="M2750" i="53"/>
  <c r="M2751" i="53"/>
  <c r="M2752" i="53"/>
  <c r="M2753" i="53"/>
  <c r="M2754" i="53"/>
  <c r="M2755" i="53"/>
  <c r="M2756" i="53"/>
  <c r="M2757" i="53"/>
  <c r="M2758" i="53"/>
  <c r="M2759" i="53"/>
  <c r="M2760" i="53"/>
  <c r="M2761" i="53"/>
  <c r="M2762" i="53"/>
  <c r="M2763" i="53"/>
  <c r="M2764" i="53"/>
  <c r="M2765" i="53"/>
  <c r="M2766" i="53"/>
  <c r="M2767" i="53"/>
  <c r="M2768" i="53"/>
  <c r="M2769" i="53"/>
  <c r="M2770" i="53"/>
  <c r="M2771" i="53"/>
  <c r="M2772" i="53"/>
  <c r="M2773" i="53"/>
  <c r="M2774" i="53"/>
  <c r="M2775" i="53"/>
  <c r="M2776" i="53"/>
  <c r="M2777" i="53"/>
  <c r="M2778" i="53"/>
  <c r="M2779" i="53"/>
  <c r="M2780" i="53"/>
  <c r="M2781" i="53"/>
  <c r="M2782" i="53"/>
  <c r="M2783" i="53"/>
  <c r="M2784" i="53"/>
  <c r="M2785" i="53"/>
  <c r="M2786" i="53"/>
  <c r="M2787" i="53"/>
  <c r="M2788" i="53"/>
  <c r="M2789" i="53"/>
  <c r="M2790" i="53"/>
  <c r="M2791" i="53"/>
  <c r="M2792" i="53"/>
  <c r="M2793" i="53"/>
  <c r="M2794" i="53"/>
  <c r="M2795" i="53"/>
  <c r="M2796" i="53"/>
  <c r="M2797" i="53"/>
  <c r="M2798" i="53"/>
  <c r="M2799" i="53"/>
  <c r="M2800" i="53"/>
  <c r="M2801" i="53"/>
  <c r="M2802" i="53"/>
  <c r="M2803" i="53"/>
  <c r="M2804" i="53"/>
  <c r="M2805" i="53"/>
  <c r="M2806" i="53"/>
  <c r="M2807" i="53"/>
  <c r="M2808" i="53"/>
  <c r="M2809" i="53"/>
  <c r="M2810" i="53"/>
  <c r="M2811" i="53"/>
  <c r="M2812" i="53"/>
  <c r="M2813" i="53"/>
  <c r="M2814" i="53"/>
  <c r="M2815" i="53"/>
  <c r="M2816" i="53"/>
  <c r="M2817" i="53"/>
  <c r="M2818" i="53"/>
  <c r="M2819" i="53"/>
  <c r="M2820" i="53"/>
  <c r="M2821" i="53"/>
  <c r="M2822" i="53"/>
  <c r="M2823" i="53"/>
  <c r="M2824" i="53"/>
  <c r="M2825" i="53"/>
  <c r="M2826" i="53"/>
  <c r="M2827" i="53"/>
  <c r="M2828" i="53"/>
  <c r="M2829" i="53"/>
  <c r="M2830" i="53"/>
  <c r="M2831" i="53"/>
  <c r="M2832" i="53"/>
  <c r="M2833" i="53"/>
  <c r="M2834" i="53"/>
  <c r="M2835" i="53"/>
  <c r="M2836" i="53"/>
  <c r="M2837" i="53"/>
  <c r="M2838" i="53"/>
  <c r="M2839" i="53"/>
  <c r="M2840" i="53"/>
  <c r="M2841" i="53"/>
  <c r="M2842" i="53"/>
  <c r="M2843" i="53"/>
  <c r="M2844" i="53"/>
  <c r="M2845" i="53"/>
  <c r="M2846" i="53"/>
  <c r="M2847" i="53"/>
  <c r="M2848" i="53"/>
  <c r="M2849" i="53"/>
  <c r="M2850" i="53"/>
  <c r="M2851" i="53"/>
  <c r="M2852" i="53"/>
  <c r="M2853" i="53"/>
  <c r="M2854" i="53"/>
  <c r="M2855" i="53"/>
  <c r="M2856" i="53"/>
  <c r="M2857" i="53"/>
  <c r="M2858" i="53"/>
  <c r="M2859" i="53"/>
  <c r="M2860" i="53"/>
  <c r="M2861" i="53"/>
  <c r="M2862" i="53"/>
  <c r="M2863" i="53"/>
  <c r="M2864" i="53"/>
  <c r="M2865" i="53"/>
  <c r="M2866" i="53"/>
  <c r="M2867" i="53"/>
  <c r="M2868" i="53"/>
  <c r="M2869" i="53"/>
  <c r="M2870" i="53"/>
  <c r="M2871" i="53"/>
  <c r="M2872" i="53"/>
  <c r="M2873" i="53"/>
  <c r="M2874" i="53"/>
  <c r="M2875" i="53"/>
  <c r="M2876" i="53"/>
  <c r="M2877" i="53"/>
  <c r="M2878" i="53"/>
  <c r="M2879" i="53"/>
  <c r="M2880" i="53"/>
  <c r="M2881" i="53"/>
  <c r="M2882" i="53"/>
  <c r="M2883" i="53"/>
  <c r="M2884" i="53"/>
  <c r="M2885" i="53"/>
  <c r="M2886" i="53"/>
  <c r="M2887" i="53"/>
  <c r="M2888" i="53"/>
  <c r="M2889" i="53"/>
  <c r="M2890" i="53"/>
  <c r="M2891" i="53"/>
  <c r="M2892" i="53"/>
  <c r="M2894" i="53"/>
  <c r="M2895" i="53"/>
  <c r="M2896" i="53"/>
  <c r="M2897" i="53"/>
  <c r="M2898" i="53"/>
  <c r="M2899" i="53"/>
  <c r="M2900" i="53"/>
  <c r="M2901" i="53"/>
  <c r="M2902" i="53"/>
  <c r="M2903" i="53"/>
  <c r="M2904" i="53"/>
  <c r="M2905" i="53"/>
  <c r="M2906" i="53"/>
  <c r="M2907" i="53"/>
  <c r="M2908" i="53"/>
  <c r="M2909" i="53"/>
  <c r="M2910" i="53"/>
  <c r="M2911" i="53"/>
  <c r="M2912" i="53"/>
  <c r="M2913" i="53"/>
  <c r="M2914" i="53"/>
  <c r="M2915" i="53"/>
  <c r="M2916" i="53"/>
  <c r="M2917" i="53"/>
  <c r="M2918" i="53"/>
  <c r="M2919" i="53"/>
  <c r="M2920" i="53"/>
  <c r="M2921" i="53"/>
  <c r="M2922" i="53"/>
  <c r="M2923" i="53"/>
  <c r="M2924" i="53"/>
  <c r="M2925" i="53"/>
  <c r="M2926" i="53"/>
  <c r="M2927" i="53"/>
  <c r="M2928" i="53"/>
  <c r="M2929" i="53"/>
  <c r="M2930" i="53"/>
  <c r="M2931" i="53"/>
  <c r="M2932" i="53"/>
  <c r="M2933" i="53"/>
  <c r="M2934" i="53"/>
  <c r="M2935" i="53"/>
  <c r="M2936" i="53"/>
  <c r="M2937" i="53"/>
  <c r="M2938" i="53"/>
  <c r="M2939" i="53"/>
  <c r="M2940" i="53"/>
  <c r="M2941" i="53"/>
  <c r="M2942" i="53"/>
  <c r="M2943" i="53"/>
  <c r="M2944" i="53"/>
  <c r="M2945" i="53"/>
  <c r="M2946" i="53"/>
  <c r="M2947" i="53"/>
  <c r="M2948" i="53"/>
  <c r="M2949" i="53"/>
  <c r="M2950" i="53"/>
  <c r="M2951" i="53"/>
  <c r="M2952" i="53"/>
  <c r="M2953" i="53"/>
  <c r="M2954" i="53"/>
  <c r="M2955" i="53"/>
  <c r="M2956" i="53"/>
  <c r="M2957" i="53"/>
  <c r="M2958" i="53"/>
  <c r="M2959" i="53"/>
  <c r="M2960" i="53"/>
  <c r="M2961" i="53"/>
  <c r="M2962" i="53"/>
  <c r="M2963" i="53"/>
  <c r="M2964" i="53"/>
  <c r="M2965" i="53"/>
  <c r="M2966" i="53"/>
  <c r="M2967" i="53"/>
  <c r="M2969" i="53"/>
  <c r="M2970" i="53"/>
  <c r="M2971" i="53"/>
  <c r="M2972" i="53"/>
  <c r="M2973" i="53"/>
  <c r="M2974" i="53"/>
  <c r="M2975" i="53"/>
  <c r="M2976" i="53"/>
  <c r="M2977" i="53"/>
  <c r="M2978" i="53"/>
  <c r="M2979" i="53"/>
  <c r="M2980" i="53"/>
  <c r="M2981" i="53"/>
  <c r="M2983" i="53"/>
  <c r="M2984" i="53"/>
  <c r="M2985" i="53"/>
  <c r="M2986" i="53"/>
  <c r="M2987" i="53"/>
  <c r="M2989" i="53"/>
  <c r="M2990" i="53"/>
  <c r="M2991" i="53"/>
  <c r="M2992" i="53"/>
  <c r="M2993" i="53"/>
  <c r="M2994" i="53"/>
  <c r="M2995" i="53"/>
  <c r="M2996" i="53"/>
  <c r="M2997" i="53"/>
  <c r="M2998" i="53"/>
  <c r="M2999" i="53"/>
  <c r="M3000" i="53"/>
  <c r="M3001" i="53"/>
  <c r="M3002" i="53"/>
  <c r="M3003" i="53"/>
  <c r="M3004" i="53"/>
  <c r="M3005" i="53"/>
  <c r="M3006" i="53"/>
  <c r="M3007" i="53"/>
  <c r="M3008" i="53"/>
  <c r="M3009" i="53"/>
  <c r="M3010" i="53"/>
  <c r="M3011" i="53"/>
  <c r="M3012" i="53"/>
  <c r="M3013" i="53"/>
  <c r="M3014" i="53"/>
  <c r="M3015" i="53"/>
  <c r="M3016" i="53"/>
  <c r="M3017" i="53"/>
  <c r="M3018" i="53"/>
  <c r="M3019" i="53"/>
  <c r="M3020" i="53"/>
  <c r="M3021" i="53"/>
  <c r="M3022" i="53"/>
  <c r="M3023" i="53"/>
  <c r="M3024" i="53"/>
  <c r="M3025" i="53"/>
  <c r="M3026" i="53"/>
  <c r="M3027" i="53"/>
  <c r="M3028" i="53"/>
  <c r="M3029" i="53"/>
  <c r="M3030" i="53"/>
  <c r="M3031" i="53"/>
  <c r="M3032" i="53"/>
  <c r="M3033" i="53"/>
  <c r="M3034" i="53"/>
  <c r="M3035" i="53"/>
  <c r="M3036" i="53"/>
  <c r="M3037" i="53"/>
  <c r="M3038" i="53"/>
  <c r="M3039" i="53"/>
  <c r="M3040" i="53"/>
  <c r="M3041" i="53"/>
  <c r="M3042" i="53"/>
  <c r="M3043" i="53"/>
  <c r="M3044" i="53"/>
  <c r="M3045" i="53"/>
  <c r="M3046" i="53"/>
  <c r="M3047" i="53"/>
  <c r="M3048" i="53"/>
  <c r="M2477" i="53"/>
  <c r="M2474" i="53"/>
  <c r="M1844" i="53"/>
  <c r="M1845" i="53"/>
  <c r="M1846" i="53"/>
  <c r="M1847" i="53"/>
  <c r="M1848" i="53"/>
  <c r="M1849" i="53"/>
  <c r="M1850" i="53"/>
  <c r="M1851" i="53"/>
  <c r="M1852" i="53"/>
  <c r="M1853" i="53"/>
  <c r="M1854" i="53"/>
  <c r="M1855" i="53"/>
  <c r="M1856" i="53"/>
  <c r="M1857" i="53"/>
  <c r="M1858" i="53"/>
  <c r="M1859" i="53"/>
  <c r="M1860" i="53"/>
  <c r="M1861" i="53"/>
  <c r="M1862" i="53"/>
  <c r="M1863" i="53"/>
  <c r="M1864" i="53"/>
  <c r="M1865" i="53"/>
  <c r="M1866" i="53"/>
  <c r="M1867" i="53"/>
  <c r="M1868" i="53"/>
  <c r="M1869" i="53"/>
  <c r="M1870" i="53"/>
  <c r="M1871" i="53"/>
  <c r="M1872" i="53"/>
  <c r="M1873" i="53"/>
  <c r="M1874" i="53"/>
  <c r="M1875" i="53"/>
  <c r="M1876" i="53"/>
  <c r="M1877" i="53"/>
  <c r="M1878" i="53"/>
  <c r="M1879" i="53"/>
  <c r="M1880" i="53"/>
  <c r="M1881" i="53"/>
  <c r="M1882" i="53"/>
  <c r="M1883" i="53"/>
  <c r="M1884" i="53"/>
  <c r="M1885" i="53"/>
  <c r="M1886" i="53"/>
  <c r="M1887" i="53"/>
  <c r="M1888" i="53"/>
  <c r="M1889" i="53"/>
  <c r="M1890" i="53"/>
  <c r="M1891" i="53"/>
  <c r="M1892" i="53"/>
  <c r="M1893" i="53"/>
  <c r="M1894" i="53"/>
  <c r="M1895" i="53"/>
  <c r="M1896" i="53"/>
  <c r="M1897" i="53"/>
  <c r="M1898" i="53"/>
  <c r="M1899" i="53"/>
  <c r="M1900" i="53"/>
  <c r="M1901" i="53"/>
  <c r="M1902" i="53"/>
  <c r="M1903" i="53"/>
  <c r="M1904" i="53"/>
  <c r="M1905" i="53"/>
  <c r="M1906" i="53"/>
  <c r="M1907" i="53"/>
  <c r="M1908" i="53"/>
  <c r="M1909" i="53"/>
  <c r="M1910" i="53"/>
  <c r="M1911" i="53"/>
  <c r="M1912" i="53"/>
  <c r="M1913" i="53"/>
  <c r="M1914" i="53"/>
  <c r="M1915" i="53"/>
  <c r="M1916" i="53"/>
  <c r="M1917" i="53"/>
  <c r="M1918" i="53"/>
  <c r="M1919" i="53"/>
  <c r="M1920" i="53"/>
  <c r="M1921" i="53"/>
  <c r="M1922" i="53"/>
  <c r="M1923" i="53"/>
  <c r="M1924" i="53"/>
  <c r="M1925" i="53"/>
  <c r="M1926" i="53"/>
  <c r="M1927" i="53"/>
  <c r="M1928" i="53"/>
  <c r="M1929" i="53"/>
  <c r="M1930" i="53"/>
  <c r="M1931" i="53"/>
  <c r="M1932" i="53"/>
  <c r="M1933" i="53"/>
  <c r="M1934" i="53"/>
  <c r="M1935" i="53"/>
  <c r="M1936" i="53"/>
  <c r="M1937" i="53"/>
  <c r="M1938" i="53"/>
  <c r="M1939" i="53"/>
  <c r="M1940" i="53"/>
  <c r="M1941" i="53"/>
  <c r="M1942" i="53"/>
  <c r="M1943" i="53"/>
  <c r="M1944" i="53"/>
  <c r="M1945" i="53"/>
  <c r="M1946" i="53"/>
  <c r="M1947" i="53"/>
  <c r="M1948" i="53"/>
  <c r="M1949" i="53"/>
  <c r="M1950" i="53"/>
  <c r="M1951" i="53"/>
  <c r="M1952" i="53"/>
  <c r="M1953" i="53"/>
  <c r="M1954" i="53"/>
  <c r="M1955" i="53"/>
  <c r="M1956" i="53"/>
  <c r="M1957" i="53"/>
  <c r="M1958" i="53"/>
  <c r="M1959" i="53"/>
  <c r="M1960" i="53"/>
  <c r="M1961" i="53"/>
  <c r="M1962" i="53"/>
  <c r="M1963" i="53"/>
  <c r="M1964" i="53"/>
  <c r="M1965" i="53"/>
  <c r="M1966" i="53"/>
  <c r="M1967" i="53"/>
  <c r="M1968" i="53"/>
  <c r="M1969" i="53"/>
  <c r="M1970" i="53"/>
  <c r="M1971" i="53"/>
  <c r="M1972" i="53"/>
  <c r="M1973" i="53"/>
  <c r="M1974" i="53"/>
  <c r="M1975" i="53"/>
  <c r="M1976" i="53"/>
  <c r="M1977" i="53"/>
  <c r="M1978" i="53"/>
  <c r="M1979" i="53"/>
  <c r="M1980" i="53"/>
  <c r="M1981" i="53"/>
  <c r="M1982" i="53"/>
  <c r="M1983" i="53"/>
  <c r="M1984" i="53"/>
  <c r="M1985" i="53"/>
  <c r="M1986" i="53"/>
  <c r="M1987" i="53"/>
  <c r="M1988" i="53"/>
  <c r="M1989" i="53"/>
  <c r="M1990" i="53"/>
  <c r="M1991" i="53"/>
  <c r="M1992" i="53"/>
  <c r="M1993" i="53"/>
  <c r="M1994" i="53"/>
  <c r="M1995" i="53"/>
  <c r="M1996" i="53"/>
  <c r="M1997" i="53"/>
  <c r="M1998" i="53"/>
  <c r="M1999" i="53"/>
  <c r="M2000" i="53"/>
  <c r="M2001" i="53"/>
  <c r="M2002" i="53"/>
  <c r="M2003" i="53"/>
  <c r="M2004" i="53"/>
  <c r="M2005" i="53"/>
  <c r="M2006" i="53"/>
  <c r="M2007" i="53"/>
  <c r="M2008" i="53"/>
  <c r="M2009" i="53"/>
  <c r="M2010" i="53"/>
  <c r="M2011" i="53"/>
  <c r="M2012" i="53"/>
  <c r="M2013" i="53"/>
  <c r="M2014" i="53"/>
  <c r="M119" i="53"/>
  <c r="M120" i="53"/>
  <c r="M121" i="53"/>
  <c r="M122" i="53"/>
  <c r="M123" i="53"/>
  <c r="M124" i="53"/>
  <c r="M125" i="53"/>
  <c r="M126" i="53"/>
  <c r="M127" i="53"/>
  <c r="M128" i="53"/>
  <c r="M129" i="53"/>
  <c r="M130" i="53"/>
  <c r="M131" i="53"/>
  <c r="M132" i="53"/>
  <c r="M133" i="53"/>
  <c r="M134" i="53"/>
  <c r="M135" i="53"/>
  <c r="M136" i="53"/>
  <c r="M137" i="53"/>
  <c r="M138" i="53"/>
  <c r="M139" i="53"/>
  <c r="M140" i="53"/>
  <c r="M141" i="53"/>
  <c r="M142" i="53"/>
  <c r="M143" i="53"/>
  <c r="M144" i="53"/>
  <c r="M145" i="53"/>
  <c r="M146" i="53"/>
  <c r="M147" i="53"/>
  <c r="M148" i="53"/>
  <c r="M149" i="53"/>
  <c r="M150" i="53"/>
  <c r="M151" i="53"/>
  <c r="M152" i="53"/>
  <c r="M153" i="53"/>
  <c r="M154" i="53"/>
  <c r="M155" i="53"/>
  <c r="M156" i="53"/>
  <c r="M157" i="53"/>
  <c r="M158" i="53"/>
  <c r="M159" i="53"/>
  <c r="M160" i="53"/>
  <c r="M161" i="53"/>
  <c r="M162" i="53"/>
  <c r="M163" i="53"/>
  <c r="M164" i="53"/>
  <c r="M165" i="53"/>
  <c r="M166" i="53"/>
  <c r="M167" i="53"/>
  <c r="M168" i="53"/>
  <c r="M169" i="53"/>
  <c r="M170" i="53"/>
  <c r="M171" i="53"/>
  <c r="M172" i="53"/>
  <c r="M173" i="53"/>
  <c r="M174" i="53"/>
  <c r="M175" i="53"/>
  <c r="M176" i="53"/>
  <c r="M177" i="53"/>
  <c r="M178" i="53"/>
  <c r="M179" i="53"/>
  <c r="M180" i="53"/>
  <c r="M181" i="53"/>
  <c r="M182" i="53"/>
  <c r="M183" i="53"/>
  <c r="M184" i="53"/>
  <c r="M185" i="53"/>
  <c r="M186" i="53"/>
  <c r="M187" i="53"/>
  <c r="M188" i="53"/>
  <c r="M189" i="53"/>
  <c r="M190" i="53"/>
  <c r="M191" i="53"/>
  <c r="M192" i="53"/>
  <c r="M193" i="53"/>
  <c r="M194" i="53"/>
  <c r="M195" i="53"/>
  <c r="M196" i="53"/>
  <c r="M197" i="53"/>
  <c r="M198" i="53"/>
  <c r="M199" i="53"/>
  <c r="M200" i="53"/>
  <c r="M201" i="53"/>
  <c r="M202" i="53"/>
  <c r="M203" i="53"/>
  <c r="M204" i="53"/>
  <c r="M205" i="53"/>
  <c r="M206" i="53"/>
  <c r="M207" i="53"/>
  <c r="M208" i="53"/>
  <c r="M209" i="53"/>
  <c r="M210" i="53"/>
  <c r="M211" i="53"/>
  <c r="M212" i="53"/>
  <c r="M213" i="53"/>
  <c r="M214" i="53"/>
  <c r="M215" i="53"/>
  <c r="M216" i="53"/>
  <c r="M217" i="53"/>
  <c r="M218" i="53"/>
  <c r="M219" i="53"/>
  <c r="M220" i="53"/>
  <c r="M221" i="53"/>
  <c r="M222" i="53"/>
  <c r="M223" i="53"/>
  <c r="M224" i="53"/>
  <c r="M225" i="53"/>
  <c r="M226" i="53"/>
  <c r="M227" i="53"/>
  <c r="M228" i="53"/>
  <c r="M229" i="53"/>
  <c r="M230" i="53"/>
  <c r="M231" i="53"/>
  <c r="M232" i="53"/>
  <c r="M233" i="53"/>
  <c r="M234" i="53"/>
  <c r="M235" i="53"/>
  <c r="M236" i="53"/>
  <c r="M237" i="53"/>
  <c r="M238" i="53"/>
  <c r="M239" i="53"/>
  <c r="M240" i="53"/>
  <c r="M241" i="53"/>
  <c r="M242" i="53"/>
  <c r="M243" i="53"/>
  <c r="M244" i="53"/>
  <c r="M245" i="53"/>
  <c r="M246" i="53"/>
  <c r="M247" i="53"/>
  <c r="M248" i="53"/>
  <c r="M249" i="53"/>
  <c r="M250" i="53"/>
  <c r="M251" i="53"/>
  <c r="M252" i="53"/>
  <c r="M253" i="53"/>
  <c r="M254" i="53"/>
  <c r="M255" i="53"/>
  <c r="M256" i="53"/>
  <c r="M257" i="53"/>
  <c r="M258" i="53"/>
  <c r="M259" i="53"/>
  <c r="M260" i="53"/>
  <c r="M261" i="53"/>
  <c r="M262" i="53"/>
  <c r="M263" i="53"/>
  <c r="M264" i="53"/>
  <c r="M265" i="53"/>
  <c r="M266" i="53"/>
  <c r="M267" i="53"/>
  <c r="M268" i="53"/>
  <c r="M269" i="53"/>
  <c r="M270" i="53"/>
  <c r="M271" i="53"/>
  <c r="M272" i="53"/>
  <c r="M273" i="53"/>
  <c r="M274" i="53"/>
  <c r="M275" i="53"/>
  <c r="M276" i="53"/>
  <c r="M277" i="53"/>
  <c r="M278" i="53"/>
  <c r="M279" i="53"/>
  <c r="M280" i="53"/>
  <c r="M281" i="53"/>
  <c r="M282" i="53"/>
  <c r="M283" i="53"/>
  <c r="M284" i="53"/>
  <c r="M285" i="53"/>
  <c r="M286" i="53"/>
  <c r="M287" i="53"/>
  <c r="M288" i="53"/>
  <c r="M289" i="53"/>
  <c r="M290" i="53"/>
  <c r="M291" i="53"/>
  <c r="M292" i="53"/>
  <c r="M293" i="53"/>
  <c r="M294" i="53"/>
  <c r="M295" i="53"/>
  <c r="M296" i="53"/>
  <c r="M297" i="53"/>
  <c r="M298" i="53"/>
  <c r="M299" i="53"/>
  <c r="M300" i="53"/>
  <c r="M301" i="53"/>
  <c r="M302" i="53"/>
  <c r="M303" i="53"/>
  <c r="M304" i="53"/>
  <c r="M305" i="53"/>
  <c r="M306" i="53"/>
  <c r="M307" i="53"/>
  <c r="M308" i="53"/>
  <c r="M309" i="53"/>
  <c r="M310" i="53"/>
  <c r="M311" i="53"/>
  <c r="M312" i="53"/>
  <c r="M313" i="53"/>
  <c r="M314" i="53"/>
  <c r="M315" i="53"/>
  <c r="M316" i="53"/>
  <c r="M317" i="53"/>
  <c r="M318" i="53"/>
  <c r="M319" i="53"/>
  <c r="M320" i="53"/>
  <c r="M321" i="53"/>
  <c r="M322" i="53"/>
  <c r="M323" i="53"/>
  <c r="M324" i="53"/>
  <c r="M325" i="53"/>
  <c r="M326" i="53"/>
  <c r="M327" i="53"/>
  <c r="M328" i="53"/>
  <c r="M329" i="53"/>
  <c r="M330" i="53"/>
  <c r="M331" i="53"/>
  <c r="M332" i="53"/>
  <c r="M333" i="53"/>
  <c r="M334" i="53"/>
  <c r="M335" i="53"/>
  <c r="M336" i="53"/>
  <c r="M337" i="53"/>
  <c r="M338" i="53"/>
  <c r="M339" i="53"/>
  <c r="M340" i="53"/>
  <c r="M341" i="53"/>
  <c r="M342" i="53"/>
  <c r="M343" i="53"/>
  <c r="M344" i="53"/>
  <c r="M345" i="53"/>
  <c r="M346" i="53"/>
  <c r="M347" i="53"/>
  <c r="M348" i="53"/>
  <c r="M349" i="53"/>
  <c r="M350" i="53"/>
  <c r="M351" i="53"/>
  <c r="M352" i="53"/>
  <c r="M353" i="53"/>
  <c r="M354" i="53"/>
  <c r="M355" i="53"/>
  <c r="M356" i="53"/>
  <c r="M357" i="53"/>
  <c r="M358" i="53"/>
  <c r="M359" i="53"/>
  <c r="M360" i="53"/>
  <c r="M361" i="53"/>
  <c r="M362" i="53"/>
  <c r="M363" i="53"/>
  <c r="M364" i="53"/>
  <c r="M365" i="53"/>
  <c r="M366" i="53"/>
  <c r="M367" i="53"/>
  <c r="M368" i="53"/>
  <c r="M369" i="53"/>
  <c r="M370" i="53"/>
  <c r="M371" i="53"/>
  <c r="M372" i="53"/>
  <c r="M373" i="53"/>
  <c r="M374" i="53"/>
  <c r="M375" i="53"/>
  <c r="M376" i="53"/>
  <c r="M377" i="53"/>
  <c r="M378" i="53"/>
  <c r="M379" i="53"/>
  <c r="M380" i="53"/>
  <c r="M381" i="53"/>
  <c r="M382" i="53"/>
  <c r="M383" i="53"/>
  <c r="M384" i="53"/>
  <c r="M385" i="53"/>
  <c r="M386" i="53"/>
  <c r="M387" i="53"/>
  <c r="M388" i="53"/>
  <c r="M389" i="53"/>
  <c r="M390" i="53"/>
  <c r="M391" i="53"/>
  <c r="M392" i="53"/>
  <c r="M393" i="53"/>
  <c r="M394" i="53"/>
  <c r="M395" i="53"/>
  <c r="M396" i="53"/>
  <c r="M397" i="53"/>
  <c r="M398" i="53"/>
  <c r="M399" i="53"/>
  <c r="M400" i="53"/>
  <c r="M401" i="53"/>
  <c r="M402" i="53"/>
  <c r="M403" i="53"/>
  <c r="M404" i="53"/>
  <c r="M405" i="53"/>
  <c r="M406" i="53"/>
  <c r="M407" i="53"/>
  <c r="M408" i="53"/>
  <c r="M409" i="53"/>
  <c r="M410" i="53"/>
  <c r="M411" i="53"/>
  <c r="M412" i="53"/>
  <c r="M413" i="53"/>
  <c r="M414" i="53"/>
  <c r="M415" i="53"/>
  <c r="M417" i="53"/>
  <c r="M418" i="53"/>
  <c r="M419" i="53"/>
  <c r="M420" i="53"/>
  <c r="M421" i="53"/>
  <c r="M422" i="53"/>
  <c r="M423" i="53"/>
  <c r="M424" i="53"/>
  <c r="M425" i="53"/>
  <c r="M426" i="53"/>
  <c r="M427" i="53"/>
  <c r="M428" i="53"/>
  <c r="M429" i="53"/>
  <c r="M430" i="53"/>
  <c r="M431" i="53"/>
  <c r="M432" i="53"/>
  <c r="M433" i="53"/>
  <c r="M434" i="53"/>
  <c r="M435" i="53"/>
  <c r="M436" i="53"/>
  <c r="M437" i="53"/>
  <c r="M438" i="53"/>
  <c r="M439" i="53"/>
  <c r="M440" i="53"/>
  <c r="M441" i="53"/>
  <c r="M442" i="53"/>
  <c r="M443" i="53"/>
  <c r="M444" i="53"/>
  <c r="M445" i="53"/>
  <c r="M446" i="53"/>
  <c r="M447" i="53"/>
  <c r="M448" i="53"/>
  <c r="M449" i="53"/>
  <c r="M450" i="53"/>
  <c r="M451" i="53"/>
  <c r="M452" i="53"/>
  <c r="M453" i="53"/>
  <c r="M454" i="53"/>
  <c r="M455" i="53"/>
  <c r="M456" i="53"/>
  <c r="M457" i="53"/>
  <c r="M458" i="53"/>
  <c r="M459" i="53"/>
  <c r="M460" i="53"/>
  <c r="M461" i="53"/>
  <c r="M462" i="53"/>
  <c r="M463" i="53"/>
  <c r="M464" i="53"/>
  <c r="M465" i="53"/>
  <c r="M466" i="53"/>
  <c r="M467" i="53"/>
  <c r="M468" i="53"/>
  <c r="M469" i="53"/>
  <c r="M470" i="53"/>
  <c r="M471" i="53"/>
  <c r="M472" i="53"/>
  <c r="M473" i="53"/>
  <c r="M474" i="53"/>
  <c r="M475" i="53"/>
  <c r="M476" i="53"/>
  <c r="M477" i="53"/>
  <c r="M478" i="53"/>
  <c r="M479" i="53"/>
  <c r="M480" i="53"/>
  <c r="M481" i="53"/>
  <c r="M482" i="53"/>
  <c r="M483" i="53"/>
  <c r="M484" i="53"/>
  <c r="M485" i="53"/>
  <c r="M486" i="53"/>
  <c r="M487" i="53"/>
  <c r="M488" i="53"/>
  <c r="M489" i="53"/>
  <c r="M490" i="53"/>
  <c r="M491" i="53"/>
  <c r="M492" i="53"/>
  <c r="M493" i="53"/>
  <c r="M494" i="53"/>
  <c r="M495" i="53"/>
  <c r="M496" i="53"/>
  <c r="M497" i="53"/>
  <c r="M498" i="53"/>
  <c r="M499" i="53"/>
  <c r="M500" i="53"/>
  <c r="M501" i="53"/>
  <c r="M502" i="53"/>
  <c r="M503" i="53"/>
  <c r="M504" i="53"/>
  <c r="M505" i="53"/>
  <c r="M506" i="53"/>
  <c r="M507" i="53"/>
  <c r="M508" i="53"/>
  <c r="M509" i="53"/>
  <c r="M510" i="53"/>
  <c r="M511" i="53"/>
  <c r="M512" i="53"/>
  <c r="M513" i="53"/>
  <c r="M514" i="53"/>
  <c r="M515" i="53"/>
  <c r="M516" i="53"/>
  <c r="M517" i="53"/>
  <c r="M518" i="53"/>
  <c r="M519" i="53"/>
  <c r="M520" i="53"/>
  <c r="M521" i="53"/>
  <c r="M522" i="53"/>
  <c r="M523" i="53"/>
  <c r="M524" i="53"/>
  <c r="M525" i="53"/>
  <c r="M526" i="53"/>
  <c r="M527" i="53"/>
  <c r="M528" i="53"/>
  <c r="M529" i="53"/>
  <c r="M530" i="53"/>
  <c r="M531" i="53"/>
  <c r="M532" i="53"/>
  <c r="M533" i="53"/>
  <c r="M534" i="53"/>
  <c r="M535" i="53"/>
  <c r="M536" i="53"/>
  <c r="M537" i="53"/>
  <c r="M538" i="53"/>
  <c r="M539" i="53"/>
  <c r="M540" i="53"/>
  <c r="M541" i="53"/>
  <c r="M542" i="53"/>
  <c r="M543" i="53"/>
  <c r="M544" i="53"/>
  <c r="M545" i="53"/>
  <c r="M546" i="53"/>
  <c r="M547" i="53"/>
  <c r="M548" i="53"/>
  <c r="M549" i="53"/>
  <c r="M550" i="53"/>
  <c r="M551" i="53"/>
  <c r="M552" i="53"/>
  <c r="M553" i="53"/>
  <c r="M554" i="53"/>
  <c r="M555" i="53"/>
  <c r="M556" i="53"/>
  <c r="M557" i="53"/>
  <c r="M558" i="53"/>
  <c r="M559" i="53"/>
  <c r="M560" i="53"/>
  <c r="M561" i="53"/>
  <c r="M562" i="53"/>
  <c r="M563" i="53"/>
  <c r="M564" i="53"/>
  <c r="M565" i="53"/>
  <c r="M566" i="53"/>
  <c r="M567" i="53"/>
  <c r="M568" i="53"/>
  <c r="M569" i="53"/>
  <c r="M570" i="53"/>
  <c r="M571" i="53"/>
  <c r="M572" i="53"/>
  <c r="M573" i="53"/>
  <c r="M574" i="53"/>
  <c r="M575" i="53"/>
  <c r="M576" i="53"/>
  <c r="M577" i="53"/>
  <c r="M578" i="53"/>
  <c r="M579" i="53"/>
  <c r="M580" i="53"/>
  <c r="M581" i="53"/>
  <c r="M582" i="53"/>
  <c r="M583" i="53"/>
  <c r="M584" i="53"/>
  <c r="M585" i="53"/>
  <c r="M586" i="53"/>
  <c r="M587" i="53"/>
  <c r="M588" i="53"/>
  <c r="M589" i="53"/>
  <c r="M590" i="53"/>
  <c r="M591" i="53"/>
  <c r="M592" i="53"/>
  <c r="M593" i="53"/>
  <c r="M594" i="53"/>
  <c r="M595" i="53"/>
  <c r="M596" i="53"/>
  <c r="M597" i="53"/>
  <c r="M598" i="53"/>
  <c r="M599" i="53"/>
  <c r="M600" i="53"/>
  <c r="M601" i="53"/>
  <c r="M602" i="53"/>
  <c r="M603" i="53"/>
  <c r="M604" i="53"/>
  <c r="M605" i="53"/>
  <c r="M606" i="53"/>
  <c r="M607" i="53"/>
  <c r="M608" i="53"/>
  <c r="M609" i="53"/>
  <c r="M610" i="53"/>
  <c r="M611" i="53"/>
  <c r="M612" i="53"/>
  <c r="M613" i="53"/>
  <c r="M614" i="53"/>
  <c r="M615" i="53"/>
  <c r="M616" i="53"/>
  <c r="M617" i="53"/>
  <c r="M618" i="53"/>
  <c r="M619" i="53"/>
  <c r="M620" i="53"/>
  <c r="M621" i="53"/>
  <c r="M622" i="53"/>
  <c r="M623" i="53"/>
  <c r="M624" i="53"/>
  <c r="M625" i="53"/>
  <c r="M626" i="53"/>
  <c r="M627" i="53"/>
  <c r="M628" i="53"/>
  <c r="M629" i="53"/>
  <c r="M630" i="53"/>
  <c r="M631" i="53"/>
  <c r="M632" i="53"/>
  <c r="M633" i="53"/>
  <c r="M634" i="53"/>
  <c r="M635" i="53"/>
  <c r="M636" i="53"/>
  <c r="M637" i="53"/>
  <c r="M638" i="53"/>
  <c r="M639" i="53"/>
  <c r="M640" i="53"/>
  <c r="M641" i="53"/>
  <c r="M642" i="53"/>
  <c r="M643" i="53"/>
  <c r="M644" i="53"/>
  <c r="M645" i="53"/>
  <c r="M646" i="53"/>
  <c r="M647" i="53"/>
  <c r="M648" i="53"/>
  <c r="M649" i="53"/>
  <c r="M650" i="53"/>
  <c r="M651" i="53"/>
  <c r="M652" i="53"/>
  <c r="M653" i="53"/>
  <c r="M654" i="53"/>
  <c r="M655" i="53"/>
  <c r="M656" i="53"/>
  <c r="M657" i="53"/>
  <c r="M658" i="53"/>
  <c r="M659" i="53"/>
  <c r="M660" i="53"/>
  <c r="M661" i="53"/>
  <c r="M662" i="53"/>
  <c r="M663" i="53"/>
  <c r="M664" i="53"/>
  <c r="M665" i="53"/>
  <c r="M666" i="53"/>
  <c r="M667" i="53"/>
  <c r="M668" i="53"/>
  <c r="M669" i="53"/>
  <c r="M670" i="53"/>
  <c r="M671" i="53"/>
  <c r="M672" i="53"/>
  <c r="M673" i="53"/>
  <c r="M674" i="53"/>
  <c r="M675" i="53"/>
  <c r="M676" i="53"/>
  <c r="M677" i="53"/>
  <c r="M678" i="53"/>
  <c r="M679" i="53"/>
  <c r="M680" i="53"/>
  <c r="M681" i="53"/>
  <c r="M682" i="53"/>
  <c r="M683" i="53"/>
  <c r="M684" i="53"/>
  <c r="M685" i="53"/>
  <c r="M686" i="53"/>
  <c r="M687" i="53"/>
  <c r="M688" i="53"/>
  <c r="M689" i="53"/>
  <c r="M690" i="53"/>
  <c r="M691" i="53"/>
  <c r="M692" i="53"/>
  <c r="M693" i="53"/>
  <c r="M694" i="53"/>
  <c r="M695" i="53"/>
  <c r="M696" i="53"/>
  <c r="M697" i="53"/>
  <c r="M698" i="53"/>
  <c r="M699" i="53"/>
  <c r="M700" i="53"/>
  <c r="M701" i="53"/>
  <c r="M702" i="53"/>
  <c r="M703" i="53"/>
  <c r="M704" i="53"/>
  <c r="M705" i="53"/>
  <c r="M706" i="53"/>
  <c r="M707" i="53"/>
  <c r="M708" i="53"/>
  <c r="M709" i="53"/>
  <c r="M710" i="53"/>
  <c r="M711" i="53"/>
  <c r="M712" i="53"/>
  <c r="M713" i="53"/>
  <c r="M714" i="53"/>
  <c r="M715" i="53"/>
  <c r="M716" i="53"/>
  <c r="M717" i="53"/>
  <c r="M718" i="53"/>
  <c r="M719" i="53"/>
  <c r="M720" i="53"/>
  <c r="M721" i="53"/>
  <c r="M722" i="53"/>
  <c r="M723" i="53"/>
  <c r="M724" i="53"/>
  <c r="M725" i="53"/>
  <c r="M726" i="53"/>
  <c r="M727" i="53"/>
  <c r="M728" i="53"/>
  <c r="M729" i="53"/>
  <c r="M730" i="53"/>
  <c r="M731" i="53"/>
  <c r="M732" i="53"/>
  <c r="M733" i="53"/>
  <c r="M734" i="53"/>
  <c r="M735" i="53"/>
  <c r="M736" i="53"/>
  <c r="M737" i="53"/>
  <c r="M738" i="53"/>
  <c r="M739" i="53"/>
  <c r="M740" i="53"/>
  <c r="M741" i="53"/>
  <c r="M742" i="53"/>
  <c r="M743" i="53"/>
  <c r="M744" i="53"/>
  <c r="M745" i="53"/>
  <c r="M746" i="53"/>
  <c r="M747" i="53"/>
  <c r="M748" i="53"/>
  <c r="M749" i="53"/>
  <c r="M750" i="53"/>
  <c r="M63" i="53"/>
  <c r="M64" i="53"/>
  <c r="M65" i="53"/>
  <c r="M66" i="53"/>
  <c r="M67" i="53"/>
  <c r="M68" i="53"/>
  <c r="M69" i="53"/>
  <c r="M70" i="53"/>
  <c r="M71" i="53"/>
  <c r="M72" i="53"/>
  <c r="M73" i="53"/>
  <c r="M74" i="53"/>
  <c r="M75" i="53"/>
  <c r="M76" i="53"/>
  <c r="M77" i="53"/>
  <c r="M78" i="53"/>
  <c r="M79" i="53"/>
  <c r="M80" i="53"/>
  <c r="M81" i="53"/>
  <c r="M82" i="53"/>
  <c r="M83" i="53"/>
  <c r="M84" i="53"/>
  <c r="M85" i="53"/>
  <c r="M86" i="53"/>
  <c r="M87" i="53"/>
  <c r="M88" i="53"/>
  <c r="M89" i="53"/>
  <c r="M90" i="53"/>
  <c r="M91" i="53"/>
  <c r="M92" i="53"/>
  <c r="M93" i="53"/>
  <c r="M94" i="53"/>
  <c r="M95" i="53"/>
  <c r="M96" i="53"/>
  <c r="M97" i="53"/>
  <c r="M98" i="53"/>
  <c r="M99" i="53"/>
  <c r="M100" i="53"/>
  <c r="M101" i="53"/>
  <c r="M102" i="53"/>
  <c r="M103" i="53"/>
  <c r="M104" i="53"/>
  <c r="M105" i="53"/>
  <c r="M106" i="53"/>
  <c r="M107" i="53"/>
  <c r="M108" i="53"/>
  <c r="M109" i="53"/>
  <c r="M110" i="53"/>
  <c r="M111" i="53"/>
  <c r="M112" i="53"/>
  <c r="M113" i="53"/>
  <c r="M114" i="53"/>
  <c r="M115" i="53"/>
  <c r="M116" i="53"/>
  <c r="M117" i="53"/>
  <c r="M118" i="53"/>
  <c r="M42" i="53"/>
  <c r="M43" i="53"/>
  <c r="M44" i="53"/>
  <c r="M45" i="53"/>
  <c r="M46" i="53"/>
  <c r="M47" i="53"/>
  <c r="M48" i="53"/>
  <c r="M49" i="53"/>
  <c r="M50" i="53"/>
  <c r="M51" i="53"/>
  <c r="M52" i="53"/>
  <c r="M53" i="53"/>
  <c r="M54" i="53"/>
  <c r="M55" i="53"/>
  <c r="M56" i="53"/>
  <c r="M57" i="53"/>
  <c r="M58" i="53"/>
  <c r="M59" i="53"/>
  <c r="M60" i="53"/>
  <c r="M61" i="53"/>
  <c r="M62" i="53"/>
  <c r="K3048" i="53"/>
  <c r="L3048" i="53" s="1"/>
  <c r="F3048" i="53"/>
  <c r="O3048" i="53" l="1"/>
  <c r="F3047" i="53"/>
  <c r="F3046" i="53"/>
  <c r="K3047" i="53"/>
  <c r="O3047" i="53" s="1"/>
  <c r="K3046" i="53"/>
  <c r="O3046" i="53" s="1"/>
  <c r="J233" i="54"/>
  <c r="E233" i="54"/>
  <c r="F233" i="54" s="1"/>
  <c r="J232" i="54"/>
  <c r="E232" i="54"/>
  <c r="F232" i="54" s="1"/>
  <c r="J231" i="54"/>
  <c r="E231" i="54"/>
  <c r="F231" i="54" s="1"/>
  <c r="J230" i="54"/>
  <c r="E230" i="54"/>
  <c r="F230" i="54" s="1"/>
  <c r="J229" i="54"/>
  <c r="E229" i="54"/>
  <c r="F229" i="54" s="1"/>
  <c r="J228" i="54"/>
  <c r="E228" i="54"/>
  <c r="F228" i="54" s="1"/>
  <c r="J227" i="54"/>
  <c r="E227" i="54"/>
  <c r="F227" i="54" s="1"/>
  <c r="J226" i="54"/>
  <c r="E226" i="54"/>
  <c r="F226" i="54" s="1"/>
  <c r="E225" i="54"/>
  <c r="F225" i="54" s="1"/>
  <c r="J224" i="54"/>
  <c r="E224" i="54"/>
  <c r="F224" i="54" s="1"/>
  <c r="J223" i="54"/>
  <c r="E223" i="54"/>
  <c r="F223" i="54" s="1"/>
  <c r="J222" i="54"/>
  <c r="E222" i="54"/>
  <c r="F222" i="54" s="1"/>
  <c r="J221" i="54"/>
  <c r="E221" i="54"/>
  <c r="F221" i="54" s="1"/>
  <c r="J220" i="54"/>
  <c r="E220" i="54"/>
  <c r="F220" i="54" s="1"/>
  <c r="J219" i="54"/>
  <c r="E219" i="54"/>
  <c r="F219" i="54" s="1"/>
  <c r="L3046" i="53" l="1"/>
  <c r="L3047" i="53"/>
  <c r="K2987" i="53"/>
  <c r="K2985" i="53"/>
  <c r="K2984" i="53"/>
  <c r="O2984" i="53" s="1"/>
  <c r="K2970" i="53"/>
  <c r="O2970" i="53" s="1"/>
  <c r="L2985" i="53" l="1"/>
  <c r="O2985" i="53"/>
  <c r="L2970" i="53"/>
  <c r="L2984" i="53"/>
  <c r="L2987" i="53"/>
  <c r="O2987" i="53"/>
  <c r="MQ1899" i="53"/>
  <c r="K3045" i="53" l="1"/>
  <c r="O3045" i="53" s="1"/>
  <c r="K3044" i="53"/>
  <c r="O3044" i="53" s="1"/>
  <c r="K3043" i="53"/>
  <c r="O3043" i="53" s="1"/>
  <c r="K3042" i="53"/>
  <c r="O3042" i="53" s="1"/>
  <c r="K3041" i="53"/>
  <c r="O3041" i="53" s="1"/>
  <c r="F3042" i="53"/>
  <c r="F3043" i="53"/>
  <c r="F3044" i="53"/>
  <c r="F3045" i="53"/>
  <c r="F3041" i="53"/>
  <c r="L3041" i="53" l="1"/>
  <c r="L3042" i="53"/>
  <c r="L3043" i="53"/>
  <c r="L3044" i="53"/>
  <c r="L3045" i="53"/>
  <c r="K3040" i="53" l="1"/>
  <c r="O3040" i="53" s="1"/>
  <c r="F3040" i="53"/>
  <c r="L3040" i="53" l="1"/>
  <c r="MP2977" i="53" l="1"/>
  <c r="K1750" i="53" l="1"/>
  <c r="K1733" i="53"/>
  <c r="K1731" i="53"/>
  <c r="K1730" i="53"/>
  <c r="K1729" i="53"/>
  <c r="O1729" i="53" s="1"/>
  <c r="K1520" i="53"/>
  <c r="O1520" i="53" s="1"/>
  <c r="K616" i="53"/>
  <c r="K110" i="53"/>
  <c r="L110" i="53" s="1"/>
  <c r="L1730" i="53" l="1"/>
  <c r="O1730" i="53"/>
  <c r="L1733" i="53"/>
  <c r="O1733" i="53"/>
  <c r="L616" i="53"/>
  <c r="O616" i="53"/>
  <c r="L1731" i="53"/>
  <c r="O1731" i="53"/>
  <c r="L1750" i="53"/>
  <c r="O1750" i="53"/>
  <c r="L1520" i="53"/>
  <c r="L1729" i="53"/>
  <c r="J212" i="54"/>
  <c r="J213" i="54"/>
  <c r="J214" i="54"/>
  <c r="J215" i="54"/>
  <c r="J216" i="54"/>
  <c r="J217" i="54"/>
  <c r="J218" i="54"/>
  <c r="E210" i="54"/>
  <c r="F210" i="54" s="1"/>
  <c r="E211" i="54"/>
  <c r="F211" i="54" s="1"/>
  <c r="E212" i="54"/>
  <c r="F212" i="54" s="1"/>
  <c r="E213" i="54"/>
  <c r="F213" i="54" s="1"/>
  <c r="E214" i="54"/>
  <c r="F214" i="54" s="1"/>
  <c r="E215" i="54"/>
  <c r="F215" i="54" s="1"/>
  <c r="E216" i="54"/>
  <c r="F216" i="54" s="1"/>
  <c r="E217" i="54"/>
  <c r="F217" i="54" s="1"/>
  <c r="E218" i="54"/>
  <c r="F218" i="54" s="1"/>
  <c r="J209" i="54"/>
  <c r="J210" i="54"/>
  <c r="J211" i="54"/>
  <c r="E207" i="54"/>
  <c r="F207" i="54" s="1"/>
  <c r="E208" i="54"/>
  <c r="F208" i="54" s="1"/>
  <c r="E209" i="54"/>
  <c r="F209" i="54" s="1"/>
  <c r="J203" i="54"/>
  <c r="J204" i="54"/>
  <c r="J205" i="54"/>
  <c r="J206" i="54"/>
  <c r="J207" i="54"/>
  <c r="J208" i="54"/>
  <c r="E206" i="54"/>
  <c r="F206" i="54" s="1"/>
  <c r="E205" i="54"/>
  <c r="F205" i="54" s="1"/>
  <c r="E204" i="54"/>
  <c r="F204" i="54" s="1"/>
  <c r="E203" i="54"/>
  <c r="F203" i="54" s="1"/>
  <c r="E202" i="54"/>
  <c r="F202" i="54" s="1"/>
  <c r="E201" i="54"/>
  <c r="F201" i="54" s="1"/>
  <c r="E200" i="54"/>
  <c r="F200" i="54" s="1"/>
  <c r="J201" i="54"/>
  <c r="J202" i="54"/>
  <c r="E199" i="54"/>
  <c r="F199" i="54" s="1"/>
  <c r="J196" i="54"/>
  <c r="J197" i="54"/>
  <c r="J198" i="54"/>
  <c r="J199" i="54"/>
  <c r="J200" i="54"/>
  <c r="E198" i="54"/>
  <c r="F198" i="54" s="1"/>
  <c r="E196" i="54"/>
  <c r="F196" i="54" s="1"/>
  <c r="E197" i="54"/>
  <c r="F197" i="54" s="1"/>
  <c r="E191" i="54"/>
  <c r="F191" i="54" s="1"/>
  <c r="E192" i="54"/>
  <c r="F192" i="54" s="1"/>
  <c r="E193" i="54"/>
  <c r="F193" i="54" s="1"/>
  <c r="E194" i="54"/>
  <c r="F194" i="54" s="1"/>
  <c r="E195" i="54"/>
  <c r="F195" i="54" s="1"/>
  <c r="J191" i="54"/>
  <c r="J192" i="54"/>
  <c r="J193" i="54"/>
  <c r="J194" i="54"/>
  <c r="J195" i="54"/>
  <c r="K3039" i="53"/>
  <c r="O3039" i="53" s="1"/>
  <c r="K3038" i="53"/>
  <c r="K3037" i="53"/>
  <c r="O3037" i="53" s="1"/>
  <c r="K3036" i="53"/>
  <c r="F3035" i="53"/>
  <c r="F3036" i="53"/>
  <c r="F3037" i="53"/>
  <c r="F3038" i="53"/>
  <c r="F3039" i="53"/>
  <c r="F3034" i="53"/>
  <c r="K3035" i="53"/>
  <c r="O3035" i="53" s="1"/>
  <c r="K3034" i="53"/>
  <c r="K3033" i="53"/>
  <c r="O3033" i="53" s="1"/>
  <c r="F3033" i="53"/>
  <c r="K3032" i="53"/>
  <c r="O3032" i="53" s="1"/>
  <c r="F3032" i="53"/>
  <c r="K3031" i="53"/>
  <c r="F3031" i="53"/>
  <c r="A3027" i="53"/>
  <c r="F3030" i="53"/>
  <c r="F3029" i="53"/>
  <c r="F3027" i="53"/>
  <c r="K3030" i="53"/>
  <c r="O3030" i="53" s="1"/>
  <c r="K3029" i="53"/>
  <c r="K3028" i="53"/>
  <c r="O3028" i="53" s="1"/>
  <c r="K3027" i="53"/>
  <c r="O3027" i="53" s="1"/>
  <c r="A3026" i="53"/>
  <c r="C3026" i="53"/>
  <c r="F3026" i="53"/>
  <c r="K2942" i="53"/>
  <c r="O2942" i="53" s="1"/>
  <c r="L3029" i="53" l="1"/>
  <c r="O3029" i="53"/>
  <c r="L3034" i="53"/>
  <c r="O3034" i="53"/>
  <c r="L3036" i="53"/>
  <c r="O3036" i="53"/>
  <c r="L3038" i="53"/>
  <c r="O3038" i="53"/>
  <c r="L3031" i="53"/>
  <c r="O3031" i="53"/>
  <c r="L3027" i="53"/>
  <c r="L3033" i="53"/>
  <c r="L3035" i="53"/>
  <c r="L3037" i="53"/>
  <c r="L3039" i="53"/>
  <c r="L3032" i="53"/>
  <c r="L3028" i="53"/>
  <c r="L3030" i="53"/>
  <c r="K544" i="53"/>
  <c r="L544" i="53" s="1"/>
  <c r="K537" i="53"/>
  <c r="L537" i="53" s="1"/>
  <c r="C3025" i="53"/>
  <c r="A3025" i="53"/>
  <c r="K3025" i="53"/>
  <c r="O3025" i="53" s="1"/>
  <c r="F3025" i="53"/>
  <c r="K1647" i="53"/>
  <c r="O1647" i="53" s="1"/>
  <c r="MO2358" i="53"/>
  <c r="MO2023" i="53"/>
  <c r="C3024" i="53"/>
  <c r="A3024" i="53"/>
  <c r="K3024" i="53"/>
  <c r="O3024" i="53" s="1"/>
  <c r="F3024" i="53"/>
  <c r="L1647" i="53" l="1"/>
  <c r="L3025" i="53"/>
  <c r="L3024" i="53"/>
  <c r="F2993" i="53" l="1"/>
  <c r="F2979" i="53"/>
  <c r="F2972" i="53"/>
  <c r="F2844" i="53"/>
  <c r="F2750" i="53"/>
  <c r="F2749" i="53"/>
  <c r="F2743" i="53"/>
  <c r="F2651" i="53"/>
  <c r="F2539" i="53"/>
  <c r="F2504" i="53"/>
  <c r="F2503" i="53"/>
  <c r="F2451" i="53"/>
  <c r="F2167" i="53"/>
  <c r="F2166" i="53"/>
  <c r="F2113" i="53"/>
  <c r="F2022" i="53"/>
  <c r="F1951" i="53"/>
  <c r="F1750" i="53"/>
  <c r="F1733" i="53"/>
  <c r="F1731" i="53"/>
  <c r="F1544" i="53"/>
  <c r="F1520" i="53"/>
  <c r="F624" i="53"/>
  <c r="F616" i="53"/>
  <c r="K2868" i="53"/>
  <c r="K2844" i="53"/>
  <c r="K1951" i="53"/>
  <c r="O1951" i="53" s="1"/>
  <c r="L2868" i="53" l="1"/>
  <c r="O2868" i="53"/>
  <c r="L2844" i="53"/>
  <c r="O2844" i="53"/>
  <c r="L1951" i="53"/>
  <c r="K2977" i="53"/>
  <c r="K2974" i="53"/>
  <c r="L2974" i="53" s="1"/>
  <c r="K2971" i="53"/>
  <c r="O2971" i="53" s="1"/>
  <c r="K2892" i="53"/>
  <c r="O2892" i="53" s="1"/>
  <c r="MM2068" i="53"/>
  <c r="K2537" i="53"/>
  <c r="L2977" i="53" l="1"/>
  <c r="O2977" i="53"/>
  <c r="L2537" i="53"/>
  <c r="O2537" i="53"/>
  <c r="L2892" i="53"/>
  <c r="L2971" i="53"/>
  <c r="K3023" i="53"/>
  <c r="O3023" i="53" s="1"/>
  <c r="F3023" i="53"/>
  <c r="C3023" i="53"/>
  <c r="A3023" i="53"/>
  <c r="K3022" i="53"/>
  <c r="L3022" i="53" s="1"/>
  <c r="F3022" i="53"/>
  <c r="C3022" i="53"/>
  <c r="A3022" i="53"/>
  <c r="K3021" i="53"/>
  <c r="O3021" i="53" s="1"/>
  <c r="F3021" i="53"/>
  <c r="C3021" i="53"/>
  <c r="A3021" i="53"/>
  <c r="ML1133" i="53"/>
  <c r="O3022" i="53" l="1"/>
  <c r="L3021" i="53"/>
  <c r="L3023" i="53"/>
  <c r="ML2504" i="53"/>
  <c r="K2167" i="53"/>
  <c r="K2166" i="53"/>
  <c r="L2167" i="53" l="1"/>
  <c r="O2167" i="53"/>
  <c r="L2166" i="53"/>
  <c r="O2166" i="53"/>
  <c r="K3017" i="53"/>
  <c r="O3017" i="53" s="1"/>
  <c r="K3018" i="53"/>
  <c r="O3018" i="53" s="1"/>
  <c r="K3019" i="53"/>
  <c r="O3019" i="53" s="1"/>
  <c r="K3020" i="53"/>
  <c r="O3020" i="53" s="1"/>
  <c r="F3017" i="53"/>
  <c r="F3018" i="53"/>
  <c r="F3019" i="53"/>
  <c r="F3020" i="53"/>
  <c r="A3017" i="53"/>
  <c r="C3017" i="53"/>
  <c r="A3018" i="53"/>
  <c r="C3018" i="53"/>
  <c r="A3019" i="53"/>
  <c r="C3019" i="53"/>
  <c r="A3020" i="53"/>
  <c r="C3020" i="53"/>
  <c r="F3016" i="53"/>
  <c r="F3015" i="53"/>
  <c r="F3014" i="53"/>
  <c r="K3016" i="53"/>
  <c r="O3016" i="53" s="1"/>
  <c r="K3015" i="53"/>
  <c r="O3015" i="53" s="1"/>
  <c r="K3014" i="53"/>
  <c r="O3014" i="53" s="1"/>
  <c r="K2997" i="53"/>
  <c r="A3016" i="53"/>
  <c r="A3015" i="53"/>
  <c r="A3014" i="53"/>
  <c r="C3016" i="53"/>
  <c r="C3015" i="53"/>
  <c r="C3014" i="53"/>
  <c r="K3013" i="53"/>
  <c r="O3013" i="53" s="1"/>
  <c r="F3013" i="53"/>
  <c r="K3012" i="53"/>
  <c r="O3012" i="53" s="1"/>
  <c r="F3012" i="53"/>
  <c r="A3013" i="53"/>
  <c r="C3013" i="53"/>
  <c r="A3012" i="53"/>
  <c r="C3012" i="53"/>
  <c r="K2956" i="53"/>
  <c r="K2955" i="53"/>
  <c r="O2955" i="53" s="1"/>
  <c r="K2954" i="53"/>
  <c r="K2953" i="53"/>
  <c r="O2953" i="53" s="1"/>
  <c r="K2952" i="53"/>
  <c r="K2951" i="53"/>
  <c r="O2951" i="53" s="1"/>
  <c r="K2950" i="53"/>
  <c r="K2949" i="53"/>
  <c r="K2948" i="53"/>
  <c r="K2945" i="53"/>
  <c r="K2943" i="53"/>
  <c r="L2942" i="53"/>
  <c r="K2941" i="53"/>
  <c r="O2941" i="53" s="1"/>
  <c r="K2940" i="53"/>
  <c r="O2940" i="53" s="1"/>
  <c r="K2939" i="53"/>
  <c r="O2939" i="53" s="1"/>
  <c r="K2938" i="53"/>
  <c r="O2938" i="53" s="1"/>
  <c r="K2937" i="53"/>
  <c r="O2937" i="53" s="1"/>
  <c r="K2936" i="53"/>
  <c r="O2936" i="53" s="1"/>
  <c r="K2935" i="53"/>
  <c r="O2935" i="53" s="1"/>
  <c r="K2934" i="53"/>
  <c r="O2934" i="53" s="1"/>
  <c r="K2933" i="53"/>
  <c r="O2933" i="53" s="1"/>
  <c r="K2932" i="53"/>
  <c r="O2932" i="53" s="1"/>
  <c r="K2931" i="53"/>
  <c r="O2931" i="53" s="1"/>
  <c r="K2930" i="53"/>
  <c r="O2930" i="53" s="1"/>
  <c r="K2929" i="53"/>
  <c r="O2929" i="53" s="1"/>
  <c r="K2928" i="53"/>
  <c r="O2928" i="53" s="1"/>
  <c r="K2927" i="53"/>
  <c r="O2927" i="53" s="1"/>
  <c r="K2926" i="53"/>
  <c r="O2926" i="53" s="1"/>
  <c r="K2925" i="53"/>
  <c r="O2925" i="53" s="1"/>
  <c r="K2924" i="53"/>
  <c r="O2924" i="53" s="1"/>
  <c r="K2923" i="53"/>
  <c r="O2923" i="53" s="1"/>
  <c r="K2922" i="53"/>
  <c r="O2922" i="53" s="1"/>
  <c r="K2921" i="53"/>
  <c r="O2921" i="53" s="1"/>
  <c r="K2920" i="53"/>
  <c r="O2920" i="53" s="1"/>
  <c r="K2919" i="53"/>
  <c r="O2919" i="53" s="1"/>
  <c r="K2918" i="53"/>
  <c r="O2918" i="53" s="1"/>
  <c r="K2917" i="53"/>
  <c r="O2917" i="53" s="1"/>
  <c r="K2916" i="53"/>
  <c r="O2916" i="53" s="1"/>
  <c r="K2915" i="53"/>
  <c r="O2915" i="53" s="1"/>
  <c r="K2914" i="53"/>
  <c r="O2914" i="53" s="1"/>
  <c r="K2913" i="53"/>
  <c r="O2913" i="53" s="1"/>
  <c r="C2351" i="53"/>
  <c r="C2350" i="53"/>
  <c r="L2943" i="53" l="1"/>
  <c r="O2943" i="53"/>
  <c r="L2948" i="53"/>
  <c r="O2948" i="53"/>
  <c r="L2950" i="53"/>
  <c r="O2950" i="53"/>
  <c r="L2952" i="53"/>
  <c r="O2952" i="53"/>
  <c r="L2954" i="53"/>
  <c r="O2954" i="53"/>
  <c r="L2956" i="53"/>
  <c r="O2956" i="53"/>
  <c r="L2949" i="53"/>
  <c r="O2949" i="53"/>
  <c r="L2997" i="53"/>
  <c r="O2997" i="53"/>
  <c r="L2955" i="53"/>
  <c r="L2915" i="53"/>
  <c r="L2923" i="53"/>
  <c r="L2929" i="53"/>
  <c r="L2935" i="53"/>
  <c r="L2939" i="53"/>
  <c r="L2941" i="53"/>
  <c r="L3014" i="53"/>
  <c r="L3016" i="53"/>
  <c r="L3020" i="53"/>
  <c r="L2913" i="53"/>
  <c r="L2917" i="53"/>
  <c r="L2919" i="53"/>
  <c r="L2921" i="53"/>
  <c r="L2925" i="53"/>
  <c r="L2927" i="53"/>
  <c r="L2931" i="53"/>
  <c r="L2933" i="53"/>
  <c r="L2937" i="53"/>
  <c r="L2914" i="53"/>
  <c r="L2916" i="53"/>
  <c r="L2918" i="53"/>
  <c r="L2920" i="53"/>
  <c r="L2922" i="53"/>
  <c r="L2924" i="53"/>
  <c r="L2926" i="53"/>
  <c r="L2928" i="53"/>
  <c r="L2930" i="53"/>
  <c r="L2932" i="53"/>
  <c r="L2934" i="53"/>
  <c r="L2936" i="53"/>
  <c r="L2938" i="53"/>
  <c r="L2940" i="53"/>
  <c r="L2951" i="53"/>
  <c r="L2953" i="53"/>
  <c r="L3015" i="53"/>
  <c r="L3019" i="53"/>
  <c r="L3017" i="53"/>
  <c r="L3018" i="53"/>
  <c r="L3012" i="53"/>
  <c r="L3013" i="53"/>
  <c r="A2999" i="53" l="1"/>
  <c r="C2999" i="53"/>
  <c r="A3000" i="53"/>
  <c r="C3000" i="53"/>
  <c r="A3001" i="53"/>
  <c r="C3001" i="53"/>
  <c r="A3002" i="53"/>
  <c r="C3002" i="53"/>
  <c r="A3003" i="53"/>
  <c r="C3003" i="53"/>
  <c r="A3004" i="53"/>
  <c r="C3004" i="53"/>
  <c r="A3005" i="53"/>
  <c r="C3005" i="53"/>
  <c r="A3006" i="53"/>
  <c r="C3006" i="53"/>
  <c r="A3007" i="53"/>
  <c r="C3007" i="53"/>
  <c r="A3008" i="53"/>
  <c r="C3008" i="53"/>
  <c r="A3009" i="53"/>
  <c r="C3009" i="53"/>
  <c r="A3010" i="53"/>
  <c r="C3010" i="53"/>
  <c r="A3011" i="53"/>
  <c r="C3011" i="53"/>
  <c r="C2998" i="53"/>
  <c r="A2998" i="53"/>
  <c r="F3011" i="53"/>
  <c r="F3010" i="53"/>
  <c r="F3009" i="53"/>
  <c r="F3008" i="53"/>
  <c r="F3007" i="53"/>
  <c r="F3006" i="53"/>
  <c r="F3005" i="53"/>
  <c r="F3004" i="53"/>
  <c r="F3003" i="53"/>
  <c r="F3002" i="53"/>
  <c r="F3001" i="53"/>
  <c r="F3000" i="53"/>
  <c r="F2999" i="53"/>
  <c r="F2998" i="53"/>
  <c r="F2890" i="53"/>
  <c r="K3011" i="53"/>
  <c r="O3011" i="53" s="1"/>
  <c r="K3010" i="53"/>
  <c r="O3010" i="53" s="1"/>
  <c r="K3009" i="53"/>
  <c r="O3009" i="53" s="1"/>
  <c r="K3008" i="53"/>
  <c r="K3007" i="53"/>
  <c r="O3007" i="53" s="1"/>
  <c r="K3006" i="53"/>
  <c r="O3006" i="53" s="1"/>
  <c r="K3005" i="53"/>
  <c r="O3005" i="53" s="1"/>
  <c r="K3004" i="53"/>
  <c r="K3003" i="53"/>
  <c r="O3003" i="53" s="1"/>
  <c r="K3002" i="53"/>
  <c r="O3002" i="53" s="1"/>
  <c r="K3001" i="53"/>
  <c r="O3001" i="53" s="1"/>
  <c r="K3000" i="53"/>
  <c r="K2999" i="53"/>
  <c r="O2999" i="53" s="1"/>
  <c r="K2998" i="53"/>
  <c r="O2998" i="53" s="1"/>
  <c r="F1170" i="53"/>
  <c r="L3000" i="53" l="1"/>
  <c r="O3000" i="53"/>
  <c r="L3004" i="53"/>
  <c r="O3004" i="53"/>
  <c r="L3008" i="53"/>
  <c r="O3008" i="53"/>
  <c r="L3001" i="53"/>
  <c r="L3002" i="53"/>
  <c r="L3003" i="53"/>
  <c r="L3005" i="53"/>
  <c r="L3006" i="53"/>
  <c r="L3007" i="53"/>
  <c r="L3009" i="53"/>
  <c r="L3010" i="53"/>
  <c r="L3011" i="53"/>
  <c r="L2998" i="53"/>
  <c r="L2999" i="53"/>
  <c r="F2997" i="53" l="1"/>
  <c r="F2996" i="53"/>
  <c r="F2995" i="53"/>
  <c r="F2989" i="53"/>
  <c r="F2986" i="53"/>
  <c r="F2842" i="53"/>
  <c r="F2752" i="53"/>
  <c r="F2748" i="53"/>
  <c r="F2747" i="53"/>
  <c r="F2480" i="53"/>
  <c r="F2251" i="53"/>
  <c r="C624" i="53" l="1"/>
  <c r="K2996" i="53"/>
  <c r="A2997" i="53"/>
  <c r="C2997" i="53"/>
  <c r="A2996" i="53"/>
  <c r="C2996" i="53"/>
  <c r="K2995" i="53"/>
  <c r="C2995" i="53"/>
  <c r="A2995" i="53"/>
  <c r="MK1145" i="53"/>
  <c r="K2994" i="53"/>
  <c r="O2994" i="53" s="1"/>
  <c r="F2994" i="53"/>
  <c r="C2994" i="53"/>
  <c r="K2979" i="53"/>
  <c r="K2980" i="53"/>
  <c r="L2980" i="53" s="1"/>
  <c r="K2981" i="53"/>
  <c r="L2981" i="53" l="1"/>
  <c r="O2981" i="53"/>
  <c r="L2979" i="53"/>
  <c r="O2979" i="53"/>
  <c r="L2996" i="53"/>
  <c r="O2996" i="53"/>
  <c r="L2995" i="53"/>
  <c r="O2995" i="53"/>
  <c r="L2994" i="53"/>
  <c r="J187" i="54" l="1"/>
  <c r="J188" i="54"/>
  <c r="J189" i="54"/>
  <c r="J190" i="54"/>
  <c r="E178" i="54"/>
  <c r="F178" i="54" s="1"/>
  <c r="E179" i="54"/>
  <c r="F179" i="54" s="1"/>
  <c r="E180" i="54"/>
  <c r="F180" i="54" s="1"/>
  <c r="E181" i="54"/>
  <c r="F181" i="54" s="1"/>
  <c r="E182" i="54"/>
  <c r="F182" i="54" s="1"/>
  <c r="E183" i="54"/>
  <c r="F183" i="54" s="1"/>
  <c r="E184" i="54"/>
  <c r="F184" i="54" s="1"/>
  <c r="E185" i="54"/>
  <c r="F185" i="54" s="1"/>
  <c r="E186" i="54"/>
  <c r="F186" i="54" s="1"/>
  <c r="E187" i="54"/>
  <c r="F187" i="54" s="1"/>
  <c r="E188" i="54"/>
  <c r="F188" i="54" s="1"/>
  <c r="E189" i="54"/>
  <c r="F189" i="54" s="1"/>
  <c r="E190" i="54"/>
  <c r="F190" i="54" s="1"/>
  <c r="E177" i="54"/>
  <c r="F177" i="54" s="1"/>
  <c r="J180" i="54"/>
  <c r="J181" i="54"/>
  <c r="J182" i="54"/>
  <c r="J183" i="54"/>
  <c r="J184" i="54"/>
  <c r="J185" i="54"/>
  <c r="J186" i="54"/>
  <c r="E174" i="54"/>
  <c r="F174" i="54" s="1"/>
  <c r="E175" i="54"/>
  <c r="F175" i="54" s="1"/>
  <c r="E176" i="54"/>
  <c r="F176" i="54" s="1"/>
  <c r="J175" i="54"/>
  <c r="J176" i="54"/>
  <c r="J177" i="54"/>
  <c r="J178" i="54"/>
  <c r="J179" i="54"/>
  <c r="J174" i="54"/>
  <c r="E171" i="54"/>
  <c r="F171" i="54" s="1"/>
  <c r="E172" i="54"/>
  <c r="F172" i="54" s="1"/>
  <c r="E173" i="54"/>
  <c r="F173" i="54" s="1"/>
  <c r="J173" i="54"/>
  <c r="E170" i="54" l="1"/>
  <c r="F170" i="54" s="1"/>
  <c r="J170" i="54"/>
  <c r="J171" i="54"/>
  <c r="J172" i="54"/>
  <c r="E166" i="54"/>
  <c r="F166" i="54" s="1"/>
  <c r="E167" i="54"/>
  <c r="F167" i="54" s="1"/>
  <c r="E168" i="54"/>
  <c r="F168" i="54" s="1"/>
  <c r="E169" i="54"/>
  <c r="F169" i="54" s="1"/>
  <c r="J167" i="54"/>
  <c r="J168" i="54"/>
  <c r="J169" i="54"/>
  <c r="E164" i="54"/>
  <c r="F164" i="54" s="1"/>
  <c r="E165" i="54"/>
  <c r="F165" i="54" s="1"/>
  <c r="J162" i="54"/>
  <c r="J163" i="54"/>
  <c r="J164" i="54"/>
  <c r="J165" i="54"/>
  <c r="J166" i="54"/>
  <c r="J161" i="54"/>
  <c r="E163" i="54"/>
  <c r="F163" i="54" s="1"/>
  <c r="E162" i="54"/>
  <c r="F162" i="54" s="1"/>
  <c r="E161" i="54"/>
  <c r="F161" i="54" s="1"/>
  <c r="A2068" i="53"/>
  <c r="A2069" i="53"/>
  <c r="J2972" i="53" l="1"/>
  <c r="K2285" i="53" l="1"/>
  <c r="O2285" i="53" s="1"/>
  <c r="J1952" i="53"/>
  <c r="K2983" i="53"/>
  <c r="C2023" i="53"/>
  <c r="C2022" i="53"/>
  <c r="J1648" i="53"/>
  <c r="K2487" i="53"/>
  <c r="O2487" i="53" s="1"/>
  <c r="K2475" i="53"/>
  <c r="K2474" i="53"/>
  <c r="O2474" i="53" s="1"/>
  <c r="J2475" i="53"/>
  <c r="O2475" i="53" l="1"/>
  <c r="L2983" i="53"/>
  <c r="O2983" i="53"/>
  <c r="L2474" i="53"/>
  <c r="L2487" i="53"/>
  <c r="L2475" i="53"/>
  <c r="C2938" i="53"/>
  <c r="C2939" i="53"/>
  <c r="C2940" i="53"/>
  <c r="C2941" i="53"/>
  <c r="C2942" i="53"/>
  <c r="C2943" i="53"/>
  <c r="C2944" i="53"/>
  <c r="C2945" i="53"/>
  <c r="C2946" i="53"/>
  <c r="C2947" i="53"/>
  <c r="C2948" i="53"/>
  <c r="C2949" i="53"/>
  <c r="C2950" i="53"/>
  <c r="C2951" i="53"/>
  <c r="C2952" i="53"/>
  <c r="C2953" i="53"/>
  <c r="C2954" i="53"/>
  <c r="C2955" i="53"/>
  <c r="C2956" i="53"/>
  <c r="C2957" i="53"/>
  <c r="C2958" i="53"/>
  <c r="C2959" i="53"/>
  <c r="C2960" i="53"/>
  <c r="C2961" i="53"/>
  <c r="C2962" i="53"/>
  <c r="C2963" i="53"/>
  <c r="C2964" i="53"/>
  <c r="C2965" i="53"/>
  <c r="C2966" i="53"/>
  <c r="C2969" i="53"/>
  <c r="C2970" i="53"/>
  <c r="C2972" i="53"/>
  <c r="C2973" i="53"/>
  <c r="C2974" i="53"/>
  <c r="C2975" i="53"/>
  <c r="C2978" i="53"/>
  <c r="C2979" i="53"/>
  <c r="C2980" i="53"/>
  <c r="C2981" i="53"/>
  <c r="C2985" i="53"/>
  <c r="C2990" i="53"/>
  <c r="C2991" i="53"/>
  <c r="C2992" i="53"/>
  <c r="C2993" i="53"/>
  <c r="C2879" i="53"/>
  <c r="A2993" i="53"/>
  <c r="K2993" i="53"/>
  <c r="K2992" i="53"/>
  <c r="O2992" i="53" s="1"/>
  <c r="K2991" i="53"/>
  <c r="A2992" i="53"/>
  <c r="A2991" i="53"/>
  <c r="F2992" i="53"/>
  <c r="F2991" i="53"/>
  <c r="J2991" i="53"/>
  <c r="O2980" i="53"/>
  <c r="O2986" i="53"/>
  <c r="A2980" i="53"/>
  <c r="A2981" i="53"/>
  <c r="A2983" i="53"/>
  <c r="A2985" i="53"/>
  <c r="A2986" i="53"/>
  <c r="A2989" i="53"/>
  <c r="A2990" i="53"/>
  <c r="A2979" i="53"/>
  <c r="F2980" i="53"/>
  <c r="F2981" i="53"/>
  <c r="F2983" i="53"/>
  <c r="F2990" i="53"/>
  <c r="K2976" i="53"/>
  <c r="O2976" i="53" s="1"/>
  <c r="K2978" i="53"/>
  <c r="O2978" i="53" s="1"/>
  <c r="F2976" i="53"/>
  <c r="F2977" i="53"/>
  <c r="F2978" i="53"/>
  <c r="A2977" i="53"/>
  <c r="A2976" i="53"/>
  <c r="O2991" i="53" l="1"/>
  <c r="L2993" i="53"/>
  <c r="O2993" i="53"/>
  <c r="L2992" i="53"/>
  <c r="L2991" i="53"/>
  <c r="L2978" i="53"/>
  <c r="L2976" i="53"/>
  <c r="K2967" i="53" l="1"/>
  <c r="O2967" i="53" s="1"/>
  <c r="K2969" i="53"/>
  <c r="O2969" i="53" s="1"/>
  <c r="K2972" i="53"/>
  <c r="O2972" i="53" s="1"/>
  <c r="K2973" i="53"/>
  <c r="O2973" i="53" s="1"/>
  <c r="O2974" i="53"/>
  <c r="K2975" i="53"/>
  <c r="O2975" i="53" s="1"/>
  <c r="F2969" i="53"/>
  <c r="F2970" i="53"/>
  <c r="F2973" i="53"/>
  <c r="F2974" i="53"/>
  <c r="F2975" i="53"/>
  <c r="A2969" i="53"/>
  <c r="A2970" i="53"/>
  <c r="A2972" i="53"/>
  <c r="A2973" i="53"/>
  <c r="A2974" i="53"/>
  <c r="A2975" i="53"/>
  <c r="A2967" i="53"/>
  <c r="F2967" i="53"/>
  <c r="L2967" i="53" l="1"/>
  <c r="L2975" i="53"/>
  <c r="L2973" i="53"/>
  <c r="L2972" i="53"/>
  <c r="L2969" i="53"/>
  <c r="A2966" i="53"/>
  <c r="A2965" i="53"/>
  <c r="A2686" i="53"/>
  <c r="A2685" i="53"/>
  <c r="F2966" i="53"/>
  <c r="F2965" i="53"/>
  <c r="K2966" i="53"/>
  <c r="O2966" i="53" s="1"/>
  <c r="K2965" i="53"/>
  <c r="L2966" i="53" l="1"/>
  <c r="L2965" i="53"/>
  <c r="O2965" i="53"/>
  <c r="E159" i="54"/>
  <c r="F159" i="54" s="1"/>
  <c r="E160" i="54"/>
  <c r="F160" i="54" s="1"/>
  <c r="E155" i="54"/>
  <c r="F155" i="54" s="1"/>
  <c r="E156" i="54"/>
  <c r="F156" i="54" s="1"/>
  <c r="E157" i="54"/>
  <c r="F157" i="54" s="1"/>
  <c r="E158" i="54"/>
  <c r="F158" i="54" s="1"/>
  <c r="J155" i="54"/>
  <c r="J156" i="54"/>
  <c r="J157" i="54"/>
  <c r="J158" i="54"/>
  <c r="J159" i="54"/>
  <c r="J160" i="54"/>
  <c r="E154" i="54"/>
  <c r="F154" i="54" s="1"/>
  <c r="E153" i="54"/>
  <c r="F153" i="54" s="1"/>
  <c r="E152" i="54"/>
  <c r="F152" i="54" s="1"/>
  <c r="E151" i="54"/>
  <c r="F151" i="54" s="1"/>
  <c r="J154" i="54"/>
  <c r="J153" i="54"/>
  <c r="J152" i="54"/>
  <c r="J151" i="54"/>
  <c r="J2023" i="53" l="1"/>
  <c r="K2023" i="53"/>
  <c r="K2022" i="53"/>
  <c r="O2022" i="53" s="1"/>
  <c r="MD2009" i="53"/>
  <c r="A2964" i="53"/>
  <c r="K2964" i="53"/>
  <c r="O2964" i="53" s="1"/>
  <c r="F2964" i="53"/>
  <c r="O2023" i="53" l="1"/>
  <c r="L2022" i="53"/>
  <c r="L2023" i="53"/>
  <c r="L2964" i="53"/>
  <c r="E147" i="54" l="1"/>
  <c r="F147" i="54" s="1"/>
  <c r="E148" i="54"/>
  <c r="F148" i="54" s="1"/>
  <c r="E149" i="54"/>
  <c r="F149" i="54" s="1"/>
  <c r="E150" i="54"/>
  <c r="F150" i="54" s="1"/>
  <c r="J148" i="54"/>
  <c r="J149" i="54"/>
  <c r="J150" i="54"/>
  <c r="E146" i="54"/>
  <c r="F146" i="54" s="1"/>
  <c r="E145" i="54"/>
  <c r="F145" i="54" s="1"/>
  <c r="E144" i="54"/>
  <c r="F144" i="54" s="1"/>
  <c r="J147" i="54"/>
  <c r="J146" i="54"/>
  <c r="J145" i="54"/>
  <c r="J144" i="54"/>
  <c r="MA624" i="53" l="1"/>
  <c r="F2867" i="53" l="1"/>
  <c r="E142" i="54" l="1"/>
  <c r="F142" i="54" s="1"/>
  <c r="J142" i="54"/>
  <c r="E143" i="54"/>
  <c r="F143" i="54" s="1"/>
  <c r="J143" i="54"/>
  <c r="E141" i="54"/>
  <c r="F141" i="54" s="1"/>
  <c r="J141" i="54"/>
  <c r="E137" i="54"/>
  <c r="F137" i="54" s="1"/>
  <c r="E138" i="54"/>
  <c r="F138" i="54" s="1"/>
  <c r="E139" i="54"/>
  <c r="F139" i="54" s="1"/>
  <c r="E140" i="54"/>
  <c r="F140" i="54" s="1"/>
  <c r="J130" i="54"/>
  <c r="J131" i="54"/>
  <c r="J132" i="54"/>
  <c r="J133" i="54"/>
  <c r="J134" i="54"/>
  <c r="J135" i="54"/>
  <c r="J136" i="54"/>
  <c r="J137" i="54"/>
  <c r="J138" i="54"/>
  <c r="J139" i="54"/>
  <c r="J140" i="54"/>
  <c r="E127" i="54"/>
  <c r="F127" i="54" s="1"/>
  <c r="J127" i="54"/>
  <c r="E128" i="54"/>
  <c r="F128" i="54" s="1"/>
  <c r="J128" i="54"/>
  <c r="E129" i="54"/>
  <c r="F129" i="54" s="1"/>
  <c r="J129" i="54"/>
  <c r="E130" i="54"/>
  <c r="F130" i="54" s="1"/>
  <c r="E131" i="54"/>
  <c r="F131" i="54" s="1"/>
  <c r="E132" i="54"/>
  <c r="F132" i="54" s="1"/>
  <c r="E133" i="54"/>
  <c r="F133" i="54" s="1"/>
  <c r="E134" i="54"/>
  <c r="F134" i="54" s="1"/>
  <c r="E135" i="54"/>
  <c r="F135" i="54" s="1"/>
  <c r="E136" i="54"/>
  <c r="F136" i="54" s="1"/>
  <c r="E122" i="54"/>
  <c r="F122" i="54" s="1"/>
  <c r="J122" i="54"/>
  <c r="E123" i="54"/>
  <c r="F123" i="54" s="1"/>
  <c r="J123" i="54"/>
  <c r="E124" i="54"/>
  <c r="F124" i="54" s="1"/>
  <c r="J124" i="54"/>
  <c r="E125" i="54"/>
  <c r="F125" i="54" s="1"/>
  <c r="J125" i="54"/>
  <c r="E126" i="54"/>
  <c r="F126" i="54" s="1"/>
  <c r="J126" i="54"/>
  <c r="E121" i="54"/>
  <c r="F121" i="54" s="1"/>
  <c r="J121" i="54"/>
  <c r="F2960" i="53" l="1"/>
  <c r="F2961" i="53"/>
  <c r="F2962" i="53"/>
  <c r="F2963" i="53"/>
  <c r="K2960" i="53"/>
  <c r="O2960" i="53" s="1"/>
  <c r="K2961" i="53"/>
  <c r="O2961" i="53" s="1"/>
  <c r="K2962" i="53"/>
  <c r="O2962" i="53" s="1"/>
  <c r="K2963" i="53"/>
  <c r="O2963" i="53" s="1"/>
  <c r="A2961" i="53"/>
  <c r="A2962" i="53"/>
  <c r="A2963" i="53"/>
  <c r="A2960" i="53"/>
  <c r="K2957" i="53"/>
  <c r="O2957" i="53" s="1"/>
  <c r="K2958" i="53"/>
  <c r="O2958" i="53" s="1"/>
  <c r="K2959" i="53"/>
  <c r="O2959" i="53" s="1"/>
  <c r="F2951" i="53"/>
  <c r="F2952" i="53"/>
  <c r="F2953" i="53"/>
  <c r="F2954" i="53"/>
  <c r="F2955" i="53"/>
  <c r="F2956" i="53"/>
  <c r="F2957" i="53"/>
  <c r="F2958" i="53"/>
  <c r="F2959" i="53"/>
  <c r="A2959" i="53"/>
  <c r="A2952" i="53"/>
  <c r="A2953" i="53"/>
  <c r="A2954" i="53"/>
  <c r="A2955" i="53"/>
  <c r="A2956" i="53"/>
  <c r="A2957" i="53"/>
  <c r="A2958" i="53"/>
  <c r="A2951" i="53"/>
  <c r="A2948" i="53"/>
  <c r="A2949" i="53"/>
  <c r="A2950" i="53"/>
  <c r="F2950" i="53"/>
  <c r="F2949" i="53"/>
  <c r="F2948" i="53"/>
  <c r="F2947" i="53"/>
  <c r="F2946" i="53"/>
  <c r="F2945" i="53"/>
  <c r="K2947" i="53"/>
  <c r="O2947" i="53" s="1"/>
  <c r="K2946" i="53"/>
  <c r="J2945" i="53"/>
  <c r="A2946" i="53"/>
  <c r="A2947" i="53"/>
  <c r="A2945" i="53"/>
  <c r="L2945" i="53" l="1"/>
  <c r="O2945" i="53"/>
  <c r="L2946" i="53"/>
  <c r="O2946" i="53"/>
  <c r="L2958" i="53"/>
  <c r="L2962" i="53"/>
  <c r="L2961" i="53"/>
  <c r="L2960" i="53"/>
  <c r="L2963" i="53"/>
  <c r="L2957" i="53"/>
  <c r="L2947" i="53"/>
  <c r="L2959" i="53"/>
  <c r="E120" i="54" l="1"/>
  <c r="F120" i="54" s="1"/>
  <c r="J120" i="54"/>
  <c r="J119" i="54"/>
  <c r="E119" i="54"/>
  <c r="F119" i="54" s="1"/>
  <c r="LZ730" i="53"/>
  <c r="K2944" i="53"/>
  <c r="O2944" i="53" s="1"/>
  <c r="F2944" i="53"/>
  <c r="A2944" i="53"/>
  <c r="L2944" i="53" l="1"/>
  <c r="K2195" i="53" l="1"/>
  <c r="K2182" i="53"/>
  <c r="K2177" i="53"/>
  <c r="O2177" i="53" s="1"/>
  <c r="K2157" i="53"/>
  <c r="L2157" i="53" s="1"/>
  <c r="L2182" i="53" l="1"/>
  <c r="O2182" i="53"/>
  <c r="L2177" i="53"/>
  <c r="L2195" i="53"/>
  <c r="O2195" i="53"/>
  <c r="K32" i="53" l="1"/>
  <c r="K31" i="53"/>
  <c r="K2480" i="53"/>
  <c r="K2477" i="53"/>
  <c r="O2477" i="53" s="1"/>
  <c r="K2036" i="53"/>
  <c r="K2037" i="53"/>
  <c r="J2037" i="53"/>
  <c r="C2044" i="53"/>
  <c r="C1911" i="53"/>
  <c r="C1906" i="53"/>
  <c r="C1733" i="53"/>
  <c r="C1731" i="53"/>
  <c r="C1711" i="53"/>
  <c r="C1544" i="53"/>
  <c r="C1492" i="53"/>
  <c r="L31" i="53" l="1"/>
  <c r="O31" i="53"/>
  <c r="L2480" i="53"/>
  <c r="O2480" i="53"/>
  <c r="L32" i="53"/>
  <c r="O32" i="53"/>
  <c r="L2477" i="53"/>
  <c r="L2036" i="53"/>
  <c r="O2036" i="53"/>
  <c r="L2037" i="53"/>
  <c r="A2918" i="53"/>
  <c r="C2918" i="53"/>
  <c r="A2919" i="53"/>
  <c r="C2919" i="53"/>
  <c r="A2920" i="53"/>
  <c r="C2920" i="53"/>
  <c r="A2921" i="53"/>
  <c r="C2921" i="53"/>
  <c r="A2922" i="53"/>
  <c r="C2922" i="53"/>
  <c r="A2923" i="53"/>
  <c r="C2923" i="53"/>
  <c r="A2924" i="53"/>
  <c r="C2924" i="53"/>
  <c r="A2925" i="53"/>
  <c r="C2925" i="53"/>
  <c r="A2926" i="53"/>
  <c r="C2926" i="53"/>
  <c r="A2927" i="53"/>
  <c r="C2927" i="53"/>
  <c r="A2928" i="53"/>
  <c r="C2928" i="53"/>
  <c r="A2929" i="53"/>
  <c r="C2929" i="53"/>
  <c r="A2930" i="53"/>
  <c r="C2930" i="53"/>
  <c r="A2931" i="53"/>
  <c r="C2931" i="53"/>
  <c r="A2932" i="53"/>
  <c r="C2932" i="53"/>
  <c r="A2933" i="53"/>
  <c r="C2933" i="53"/>
  <c r="A2934" i="53"/>
  <c r="C2934" i="53"/>
  <c r="A2935" i="53"/>
  <c r="C2935" i="53"/>
  <c r="A2936" i="53"/>
  <c r="C2936" i="53"/>
  <c r="A2937" i="53"/>
  <c r="C2937" i="53"/>
  <c r="A2938" i="53"/>
  <c r="A2939" i="53"/>
  <c r="A2940" i="53"/>
  <c r="A2941" i="53"/>
  <c r="A2942" i="53"/>
  <c r="A2917" i="53"/>
  <c r="C2917" i="53"/>
  <c r="A2908" i="53"/>
  <c r="C2908" i="53"/>
  <c r="A2909" i="53"/>
  <c r="C2909" i="53"/>
  <c r="A2910" i="53"/>
  <c r="C2910" i="53"/>
  <c r="A2911" i="53"/>
  <c r="C2911" i="53"/>
  <c r="A2912" i="53"/>
  <c r="C2912" i="53"/>
  <c r="A2913" i="53"/>
  <c r="C2913" i="53"/>
  <c r="A2914" i="53"/>
  <c r="C2914" i="53"/>
  <c r="A2915" i="53"/>
  <c r="C2915" i="53"/>
  <c r="A2916" i="53"/>
  <c r="C2916" i="53"/>
  <c r="A2907" i="53"/>
  <c r="C2907" i="53"/>
  <c r="K2912" i="53"/>
  <c r="O2912" i="53" s="1"/>
  <c r="K2911" i="53"/>
  <c r="O2911" i="53" s="1"/>
  <c r="K2910" i="53"/>
  <c r="O2910" i="53" s="1"/>
  <c r="K2909" i="53"/>
  <c r="O2909" i="53" s="1"/>
  <c r="K2908" i="53"/>
  <c r="O2908" i="53" s="1"/>
  <c r="K2907" i="53"/>
  <c r="O2907" i="53" s="1"/>
  <c r="A2899" i="53"/>
  <c r="C2899" i="53"/>
  <c r="A2900" i="53"/>
  <c r="C2900" i="53"/>
  <c r="A2901" i="53"/>
  <c r="C2901" i="53"/>
  <c r="A2902" i="53"/>
  <c r="C2902" i="53"/>
  <c r="A2903" i="53"/>
  <c r="C2903" i="53"/>
  <c r="A2904" i="53"/>
  <c r="C2904" i="53"/>
  <c r="A2905" i="53"/>
  <c r="C2905" i="53"/>
  <c r="A2906" i="53"/>
  <c r="C2906" i="53"/>
  <c r="A2898" i="53"/>
  <c r="K2906" i="53"/>
  <c r="O2906" i="53" s="1"/>
  <c r="K2905" i="53"/>
  <c r="O2905" i="53" s="1"/>
  <c r="K2904" i="53"/>
  <c r="O2904" i="53" s="1"/>
  <c r="K2903" i="53"/>
  <c r="O2903" i="53" s="1"/>
  <c r="K2902" i="53"/>
  <c r="O2902" i="53" s="1"/>
  <c r="K2901" i="53"/>
  <c r="O2901" i="53" s="1"/>
  <c r="K2900" i="53"/>
  <c r="O2900" i="53" s="1"/>
  <c r="K2899" i="53"/>
  <c r="C2883" i="53"/>
  <c r="C2884" i="53"/>
  <c r="C2885" i="53"/>
  <c r="C2886" i="53"/>
  <c r="C2887" i="53"/>
  <c r="C2888" i="53"/>
  <c r="C2889" i="53"/>
  <c r="C2890" i="53"/>
  <c r="C2891" i="53"/>
  <c r="C2892" i="53"/>
  <c r="C2894" i="53"/>
  <c r="C2895" i="53"/>
  <c r="C2896" i="53"/>
  <c r="C2897" i="53"/>
  <c r="K2895" i="53"/>
  <c r="K2897" i="53"/>
  <c r="O2897" i="53" s="1"/>
  <c r="A2896" i="53"/>
  <c r="A2897" i="53"/>
  <c r="A2883" i="53"/>
  <c r="A2884" i="53"/>
  <c r="A2885" i="53"/>
  <c r="A2886" i="53"/>
  <c r="A2887" i="53"/>
  <c r="A2888" i="53"/>
  <c r="A2889" i="53"/>
  <c r="A2890" i="53"/>
  <c r="A2891" i="53"/>
  <c r="A2892" i="53"/>
  <c r="A2894" i="53"/>
  <c r="A2895" i="53"/>
  <c r="K2894" i="53"/>
  <c r="O2894" i="53" s="1"/>
  <c r="K2891" i="53"/>
  <c r="O2891" i="53" s="1"/>
  <c r="K2890" i="53"/>
  <c r="O2890" i="53" s="1"/>
  <c r="K2889" i="53"/>
  <c r="O2889" i="53" s="1"/>
  <c r="K2888" i="53"/>
  <c r="K2887" i="53"/>
  <c r="O2887" i="53" s="1"/>
  <c r="K2886" i="53"/>
  <c r="O2886" i="53" s="1"/>
  <c r="K2885" i="53"/>
  <c r="O2885" i="53" s="1"/>
  <c r="K2884" i="53"/>
  <c r="F2884" i="53"/>
  <c r="F2885" i="53"/>
  <c r="F2886" i="53"/>
  <c r="F2887" i="53"/>
  <c r="F2888" i="53"/>
  <c r="F2889" i="53"/>
  <c r="F2891" i="53"/>
  <c r="F2892" i="53"/>
  <c r="F2894" i="53"/>
  <c r="F2895" i="53"/>
  <c r="K2883" i="53"/>
  <c r="O2883" i="53" s="1"/>
  <c r="F2883" i="53"/>
  <c r="C2882" i="53"/>
  <c r="F2881" i="53"/>
  <c r="F2882" i="53"/>
  <c r="K2881" i="53"/>
  <c r="K2882" i="53"/>
  <c r="A2881" i="53"/>
  <c r="A2882" i="53"/>
  <c r="C2881" i="53"/>
  <c r="K2880" i="53"/>
  <c r="O2880" i="53" s="1"/>
  <c r="C2880" i="53"/>
  <c r="A2880" i="53"/>
  <c r="F2880" i="53"/>
  <c r="A2874" i="53"/>
  <c r="A2875" i="53"/>
  <c r="K2874" i="53"/>
  <c r="K2875" i="53"/>
  <c r="K2876" i="53"/>
  <c r="K2877" i="53"/>
  <c r="K2878" i="53"/>
  <c r="K2879" i="53"/>
  <c r="F2874" i="53"/>
  <c r="F2875" i="53"/>
  <c r="F2876" i="53"/>
  <c r="F2877" i="53"/>
  <c r="F2878" i="53"/>
  <c r="F2879" i="53"/>
  <c r="C2875" i="53"/>
  <c r="A2876" i="53"/>
  <c r="C2876" i="53"/>
  <c r="A2877" i="53"/>
  <c r="C2877" i="53"/>
  <c r="A2878" i="53"/>
  <c r="C2878" i="53"/>
  <c r="A2879" i="53"/>
  <c r="C2874" i="53"/>
  <c r="A2873" i="53"/>
  <c r="C2873" i="53"/>
  <c r="K2873" i="53"/>
  <c r="O2873" i="53" s="1"/>
  <c r="F2872" i="53"/>
  <c r="F2873" i="53"/>
  <c r="A2872" i="53"/>
  <c r="C2872" i="53"/>
  <c r="A2867" i="53"/>
  <c r="C2867" i="53"/>
  <c r="A2868" i="53"/>
  <c r="C2868" i="53"/>
  <c r="A2869" i="53"/>
  <c r="C2869" i="53"/>
  <c r="A2870" i="53"/>
  <c r="C2870" i="53"/>
  <c r="A2871" i="53"/>
  <c r="C2871" i="53"/>
  <c r="C2866" i="53"/>
  <c r="A2866" i="53"/>
  <c r="F2871" i="53"/>
  <c r="F2870" i="53"/>
  <c r="F2869" i="53"/>
  <c r="F2868" i="53"/>
  <c r="F2866" i="53"/>
  <c r="K2869" i="53"/>
  <c r="K2870" i="53"/>
  <c r="K2871" i="53"/>
  <c r="O2871" i="53" s="1"/>
  <c r="K2872" i="53"/>
  <c r="K2867" i="53"/>
  <c r="O2867" i="53" s="1"/>
  <c r="K2866" i="53"/>
  <c r="L2866" i="53" l="1"/>
  <c r="O2866" i="53"/>
  <c r="L2872" i="53"/>
  <c r="O2872" i="53"/>
  <c r="L2870" i="53"/>
  <c r="O2870" i="53"/>
  <c r="L2878" i="53"/>
  <c r="O2878" i="53"/>
  <c r="L2876" i="53"/>
  <c r="O2876" i="53"/>
  <c r="L2874" i="53"/>
  <c r="O2874" i="53"/>
  <c r="L2882" i="53"/>
  <c r="O2882" i="53"/>
  <c r="L2899" i="53"/>
  <c r="O2899" i="53"/>
  <c r="L2869" i="53"/>
  <c r="O2869" i="53"/>
  <c r="L2879" i="53"/>
  <c r="O2879" i="53"/>
  <c r="L2877" i="53"/>
  <c r="O2877" i="53"/>
  <c r="L2875" i="53"/>
  <c r="O2875" i="53"/>
  <c r="L2881" i="53"/>
  <c r="O2881" i="53"/>
  <c r="L2884" i="53"/>
  <c r="O2884" i="53"/>
  <c r="L2895" i="53"/>
  <c r="O2895" i="53"/>
  <c r="L2903" i="53"/>
  <c r="L2907" i="53"/>
  <c r="L2909" i="53"/>
  <c r="L2911" i="53"/>
  <c r="L2886" i="53"/>
  <c r="L2888" i="53"/>
  <c r="O2888" i="53"/>
  <c r="L2890" i="53"/>
  <c r="L2897" i="53"/>
  <c r="L2871" i="53"/>
  <c r="L2880" i="53"/>
  <c r="L2883" i="53"/>
  <c r="L2898" i="53"/>
  <c r="L2900" i="53"/>
  <c r="L2901" i="53"/>
  <c r="L2902" i="53"/>
  <c r="L2904" i="53"/>
  <c r="L2905" i="53"/>
  <c r="L2906" i="53"/>
  <c r="L2885" i="53"/>
  <c r="L2887" i="53"/>
  <c r="L2889" i="53"/>
  <c r="L2891" i="53"/>
  <c r="L2894" i="53"/>
  <c r="L2908" i="53"/>
  <c r="L2910" i="53"/>
  <c r="L2912" i="53"/>
  <c r="L2867" i="53"/>
  <c r="L2873" i="53"/>
  <c r="K2865" i="53"/>
  <c r="F2865" i="53"/>
  <c r="A2865" i="53"/>
  <c r="C2865" i="53"/>
  <c r="A2863" i="53"/>
  <c r="C2863" i="53"/>
  <c r="A2864" i="53"/>
  <c r="C2864" i="53"/>
  <c r="A2862" i="53"/>
  <c r="C2862" i="53"/>
  <c r="K2862" i="53"/>
  <c r="O2862" i="53" s="1"/>
  <c r="K2863" i="53"/>
  <c r="O2863" i="53" s="1"/>
  <c r="K2864" i="53"/>
  <c r="O2864" i="53" s="1"/>
  <c r="F2862" i="53"/>
  <c r="F2863" i="53"/>
  <c r="F2864" i="53"/>
  <c r="L2865" i="53" l="1"/>
  <c r="O2865" i="53"/>
  <c r="L2864" i="53"/>
  <c r="L2863" i="53"/>
  <c r="L2862" i="53"/>
  <c r="K985" i="53" l="1"/>
  <c r="K984" i="53"/>
  <c r="C2861" i="53"/>
  <c r="A2861" i="53"/>
  <c r="K2861" i="53"/>
  <c r="O2861" i="53" s="1"/>
  <c r="F2861" i="53"/>
  <c r="E118" i="54"/>
  <c r="F118" i="54" s="1"/>
  <c r="E117" i="54"/>
  <c r="F117" i="54" s="1"/>
  <c r="E116" i="54"/>
  <c r="F116" i="54" s="1"/>
  <c r="E115" i="54"/>
  <c r="F115" i="54" s="1"/>
  <c r="J118" i="54"/>
  <c r="J117" i="54"/>
  <c r="J116" i="54"/>
  <c r="J115" i="54"/>
  <c r="C1668" i="53"/>
  <c r="C1660" i="53"/>
  <c r="C2860" i="53"/>
  <c r="A2860" i="53"/>
  <c r="C2859" i="53"/>
  <c r="A2859" i="53"/>
  <c r="F2860" i="53"/>
  <c r="F2859" i="53"/>
  <c r="K2859" i="53"/>
  <c r="K2860" i="53"/>
  <c r="O2860" i="53" s="1"/>
  <c r="L984" i="53" l="1"/>
  <c r="O984" i="53"/>
  <c r="L2859" i="53"/>
  <c r="O2859" i="53"/>
  <c r="L985" i="53"/>
  <c r="O985" i="53"/>
  <c r="L2861" i="53"/>
  <c r="L2860" i="53"/>
  <c r="A2858" i="53" l="1"/>
  <c r="A2857" i="53"/>
  <c r="F2858" i="53"/>
  <c r="F2857" i="53"/>
  <c r="C2858" i="53"/>
  <c r="K2858" i="53"/>
  <c r="O2858" i="53" s="1"/>
  <c r="K2857" i="53"/>
  <c r="C2857" i="53"/>
  <c r="K2849" i="53"/>
  <c r="K2850" i="53"/>
  <c r="K2851" i="53"/>
  <c r="K2852" i="53"/>
  <c r="K2853" i="53"/>
  <c r="K2854" i="53"/>
  <c r="L2854" i="53" s="1"/>
  <c r="K2855" i="53"/>
  <c r="L2855" i="53" s="1"/>
  <c r="K2856" i="53"/>
  <c r="L2856" i="53" s="1"/>
  <c r="F2849" i="53"/>
  <c r="F2850" i="53"/>
  <c r="F2851" i="53"/>
  <c r="F2852" i="53"/>
  <c r="F2853" i="53"/>
  <c r="F2854" i="53"/>
  <c r="F2855" i="53"/>
  <c r="F2856" i="53"/>
  <c r="A2850" i="53"/>
  <c r="C2850" i="53"/>
  <c r="A2851" i="53"/>
  <c r="C2851" i="53"/>
  <c r="A2852" i="53"/>
  <c r="C2852" i="53"/>
  <c r="A2853" i="53"/>
  <c r="C2853" i="53"/>
  <c r="A2854" i="53"/>
  <c r="C2854" i="53"/>
  <c r="A2855" i="53"/>
  <c r="C2855" i="53"/>
  <c r="A2856" i="53"/>
  <c r="C2856" i="53"/>
  <c r="A2849" i="53"/>
  <c r="C2849" i="53"/>
  <c r="K2834" i="53"/>
  <c r="L2852" i="53" l="1"/>
  <c r="O2852" i="53"/>
  <c r="L2850" i="53"/>
  <c r="O2850" i="53"/>
  <c r="L2853" i="53"/>
  <c r="O2853" i="53"/>
  <c r="L2851" i="53"/>
  <c r="O2851" i="53"/>
  <c r="L2849" i="53"/>
  <c r="O2849" i="53"/>
  <c r="L2857" i="53"/>
  <c r="O2857" i="53"/>
  <c r="L2834" i="53"/>
  <c r="O2834" i="53"/>
  <c r="O2855" i="53"/>
  <c r="O2856" i="53"/>
  <c r="L2858" i="53"/>
  <c r="O2854" i="53"/>
  <c r="E113" i="54" l="1"/>
  <c r="F113" i="54" s="1"/>
  <c r="J113" i="54"/>
  <c r="E114" i="54"/>
  <c r="F114" i="54" s="1"/>
  <c r="J114" i="54"/>
  <c r="E106" i="54"/>
  <c r="F106" i="54" s="1"/>
  <c r="J106" i="54"/>
  <c r="E107" i="54"/>
  <c r="F107" i="54" s="1"/>
  <c r="J107" i="54"/>
  <c r="E108" i="54"/>
  <c r="F108" i="54" s="1"/>
  <c r="J108" i="54"/>
  <c r="E109" i="54"/>
  <c r="F109" i="54" s="1"/>
  <c r="J109" i="54"/>
  <c r="E110" i="54"/>
  <c r="F110" i="54" s="1"/>
  <c r="J110" i="54"/>
  <c r="E111" i="54"/>
  <c r="F111" i="54" s="1"/>
  <c r="J111" i="54"/>
  <c r="E112" i="54"/>
  <c r="F112" i="54" s="1"/>
  <c r="J112" i="54"/>
  <c r="E105" i="54"/>
  <c r="F105" i="54" s="1"/>
  <c r="E104" i="54"/>
  <c r="F104" i="54" s="1"/>
  <c r="E103" i="54"/>
  <c r="F103" i="54" s="1"/>
  <c r="E102" i="54"/>
  <c r="F102" i="54" s="1"/>
  <c r="E101" i="54"/>
  <c r="F101" i="54" s="1"/>
  <c r="E100" i="54"/>
  <c r="F100" i="54" s="1"/>
  <c r="E99" i="54"/>
  <c r="F99" i="54" s="1"/>
  <c r="J100" i="54"/>
  <c r="J101" i="54"/>
  <c r="J102" i="54"/>
  <c r="J103" i="54"/>
  <c r="J104" i="54"/>
  <c r="J105" i="54"/>
  <c r="J99" i="54"/>
  <c r="A2848" i="53" l="1"/>
  <c r="C2848" i="53"/>
  <c r="K2848" i="53"/>
  <c r="O2848" i="53" s="1"/>
  <c r="F2848" i="53"/>
  <c r="L2848" i="53" l="1"/>
  <c r="K2847" i="53"/>
  <c r="K2846" i="53"/>
  <c r="F2755" i="53"/>
  <c r="F2847" i="53"/>
  <c r="F2846" i="53"/>
  <c r="A2847" i="53"/>
  <c r="C2847" i="53"/>
  <c r="A2846" i="53"/>
  <c r="C2846" i="53"/>
  <c r="L2847" i="53" l="1"/>
  <c r="O2847" i="53"/>
  <c r="L2846" i="53"/>
  <c r="O2846" i="53"/>
  <c r="K2747" i="53"/>
  <c r="K2746" i="53"/>
  <c r="E98" i="54"/>
  <c r="F98" i="54" s="1"/>
  <c r="J98" i="54"/>
  <c r="E97" i="54"/>
  <c r="F97" i="54" s="1"/>
  <c r="J97" i="54"/>
  <c r="L2747" i="53" l="1"/>
  <c r="O2747" i="53"/>
  <c r="L2746" i="53"/>
  <c r="O2746" i="53"/>
  <c r="F2843" i="53" l="1"/>
  <c r="F2845" i="53"/>
  <c r="K2842" i="53"/>
  <c r="K2845" i="53"/>
  <c r="O2845" i="53" s="1"/>
  <c r="A2843" i="53"/>
  <c r="C2843" i="53"/>
  <c r="A2845" i="53"/>
  <c r="C2845" i="53"/>
  <c r="C2842" i="53"/>
  <c r="F2287" i="53"/>
  <c r="L2842" i="53" l="1"/>
  <c r="O2842" i="53"/>
  <c r="L2845" i="53"/>
  <c r="E95" i="54"/>
  <c r="F95" i="54" s="1"/>
  <c r="E96" i="54"/>
  <c r="F96" i="54" s="1"/>
  <c r="J95" i="54"/>
  <c r="J96" i="54"/>
  <c r="C2813" i="53"/>
  <c r="C2775" i="53"/>
  <c r="C2774" i="53"/>
  <c r="C2773" i="53"/>
  <c r="C2772" i="53"/>
  <c r="C2771" i="53"/>
  <c r="C2770" i="53"/>
  <c r="E90" i="54" l="1"/>
  <c r="F90" i="54" s="1"/>
  <c r="E91" i="54"/>
  <c r="F91" i="54" s="1"/>
  <c r="E92" i="54"/>
  <c r="F92" i="54" s="1"/>
  <c r="E93" i="54"/>
  <c r="F93" i="54" s="1"/>
  <c r="E94" i="54"/>
  <c r="F94" i="54" s="1"/>
  <c r="E89" i="54"/>
  <c r="F89" i="54" s="1"/>
  <c r="J89" i="54"/>
  <c r="J90" i="54"/>
  <c r="J91" i="54"/>
  <c r="J92" i="54"/>
  <c r="J93" i="54"/>
  <c r="J94" i="54"/>
  <c r="E84" i="54"/>
  <c r="F84" i="54" s="1"/>
  <c r="E85" i="54"/>
  <c r="F85" i="54" s="1"/>
  <c r="E86" i="54"/>
  <c r="F86" i="54" s="1"/>
  <c r="E87" i="54"/>
  <c r="F87" i="54" s="1"/>
  <c r="E88" i="54"/>
  <c r="F88" i="54" s="1"/>
  <c r="J84" i="54"/>
  <c r="J85" i="54"/>
  <c r="J86" i="54"/>
  <c r="J87" i="54"/>
  <c r="J88" i="54"/>
  <c r="E79" i="54"/>
  <c r="F79" i="54" s="1"/>
  <c r="E80" i="54"/>
  <c r="F80" i="54" s="1"/>
  <c r="E81" i="54"/>
  <c r="F81" i="54" s="1"/>
  <c r="E82" i="54"/>
  <c r="F82" i="54" s="1"/>
  <c r="E83" i="54"/>
  <c r="F83" i="54" s="1"/>
  <c r="J79" i="54"/>
  <c r="J80" i="54"/>
  <c r="J81" i="54"/>
  <c r="J82" i="54"/>
  <c r="J83" i="54"/>
  <c r="E74" i="54"/>
  <c r="F74" i="54" s="1"/>
  <c r="E75" i="54"/>
  <c r="F75" i="54" s="1"/>
  <c r="E76" i="54"/>
  <c r="F76" i="54" s="1"/>
  <c r="E77" i="54"/>
  <c r="F77" i="54" s="1"/>
  <c r="E78" i="54"/>
  <c r="F78" i="54" s="1"/>
  <c r="E70" i="54"/>
  <c r="F70" i="54" s="1"/>
  <c r="E71" i="54"/>
  <c r="F71" i="54" s="1"/>
  <c r="E72" i="54"/>
  <c r="F72" i="54" s="1"/>
  <c r="E73" i="54"/>
  <c r="F73" i="54" s="1"/>
  <c r="J70" i="54"/>
  <c r="J71" i="54"/>
  <c r="J72" i="54"/>
  <c r="J73" i="54"/>
  <c r="J74" i="54"/>
  <c r="J75" i="54"/>
  <c r="J76" i="54"/>
  <c r="J77" i="54"/>
  <c r="J78" i="54"/>
  <c r="J2352" i="53" l="1"/>
  <c r="K2351" i="53"/>
  <c r="O2351" i="53" s="1"/>
  <c r="F2351" i="53"/>
  <c r="F2350" i="53"/>
  <c r="F1435" i="53"/>
  <c r="F859" i="53"/>
  <c r="F858" i="53"/>
  <c r="K2841" i="53"/>
  <c r="O2841" i="53" s="1"/>
  <c r="F2841" i="53"/>
  <c r="K2840" i="53"/>
  <c r="L2840" i="53" s="1"/>
  <c r="F2840" i="53"/>
  <c r="K2839" i="53"/>
  <c r="O2839" i="53" s="1"/>
  <c r="F2839" i="53"/>
  <c r="A2839" i="53"/>
  <c r="A2840" i="53"/>
  <c r="A2841" i="53"/>
  <c r="C2840" i="53"/>
  <c r="C2841" i="53"/>
  <c r="C2839" i="53"/>
  <c r="K2838" i="53"/>
  <c r="O2838" i="53" s="1"/>
  <c r="C2838" i="53"/>
  <c r="A2838" i="53"/>
  <c r="F2838" i="53"/>
  <c r="K2044" i="53"/>
  <c r="E69" i="54"/>
  <c r="F69" i="54" s="1"/>
  <c r="E68" i="54"/>
  <c r="F68" i="54" s="1"/>
  <c r="J69" i="54"/>
  <c r="J68" i="54"/>
  <c r="C2837" i="53"/>
  <c r="A2837" i="53"/>
  <c r="K2837" i="53"/>
  <c r="O2837" i="53" s="1"/>
  <c r="F2837" i="53"/>
  <c r="A2747" i="53"/>
  <c r="C2201" i="53"/>
  <c r="C2197" i="53"/>
  <c r="C2195" i="53"/>
  <c r="C2191" i="53"/>
  <c r="C2182" i="53"/>
  <c r="C2177" i="53"/>
  <c r="C2126" i="53"/>
  <c r="K50" i="53"/>
  <c r="K51" i="53"/>
  <c r="O51" i="53" s="1"/>
  <c r="K52" i="53"/>
  <c r="L52" i="53" l="1"/>
  <c r="O52" i="53"/>
  <c r="L50" i="53"/>
  <c r="O50" i="53"/>
  <c r="L51" i="53"/>
  <c r="L2044" i="53"/>
  <c r="O2044" i="53"/>
  <c r="L2351" i="53"/>
  <c r="L2838" i="53"/>
  <c r="O2840" i="53"/>
  <c r="L2841" i="53"/>
  <c r="L2839" i="53"/>
  <c r="L2837" i="53"/>
  <c r="C1321" i="53"/>
  <c r="C1320" i="53"/>
  <c r="E66" i="54" l="1"/>
  <c r="F66" i="54" s="1"/>
  <c r="E67" i="54"/>
  <c r="F67" i="54" s="1"/>
  <c r="E65" i="54"/>
  <c r="F65" i="54" s="1"/>
  <c r="J67" i="54"/>
  <c r="J66" i="54"/>
  <c r="J65" i="54"/>
  <c r="F2836" i="53"/>
  <c r="F2835" i="53"/>
  <c r="K2836" i="53"/>
  <c r="O2836" i="53" s="1"/>
  <c r="K2835" i="53"/>
  <c r="A2836" i="53"/>
  <c r="A2835" i="53"/>
  <c r="C2835" i="53"/>
  <c r="L2835" i="53" l="1"/>
  <c r="O2835" i="53"/>
  <c r="L2836" i="53"/>
  <c r="E56" i="54"/>
  <c r="F56" i="54" s="1"/>
  <c r="E57" i="54"/>
  <c r="F57" i="54" s="1"/>
  <c r="E58" i="54"/>
  <c r="F58" i="54" s="1"/>
  <c r="E59" i="54"/>
  <c r="F59" i="54" s="1"/>
  <c r="E60" i="54"/>
  <c r="F60" i="54" s="1"/>
  <c r="E61" i="54"/>
  <c r="F61" i="54" s="1"/>
  <c r="E62" i="54"/>
  <c r="F62" i="54" s="1"/>
  <c r="E63" i="54"/>
  <c r="F63" i="54" s="1"/>
  <c r="E64" i="54"/>
  <c r="F64" i="54" s="1"/>
  <c r="J57" i="54"/>
  <c r="J58" i="54"/>
  <c r="J59" i="54"/>
  <c r="J60" i="54"/>
  <c r="J61" i="54"/>
  <c r="J62" i="54"/>
  <c r="J63" i="54"/>
  <c r="J64" i="54"/>
  <c r="J56" i="54"/>
  <c r="J54" i="54"/>
  <c r="J55" i="54"/>
  <c r="E50" i="54"/>
  <c r="F50" i="54" s="1"/>
  <c r="E51" i="54"/>
  <c r="F51" i="54" s="1"/>
  <c r="E52" i="54"/>
  <c r="F52" i="54" s="1"/>
  <c r="E53" i="54"/>
  <c r="F53" i="54" s="1"/>
  <c r="E54" i="54"/>
  <c r="F54" i="54" s="1"/>
  <c r="E55" i="54"/>
  <c r="F55" i="54" s="1"/>
  <c r="E47" i="54"/>
  <c r="F47" i="54" s="1"/>
  <c r="E48" i="54"/>
  <c r="F48" i="54" s="1"/>
  <c r="E49" i="54"/>
  <c r="F49" i="54" s="1"/>
  <c r="J46" i="54"/>
  <c r="J47" i="54"/>
  <c r="J48" i="54"/>
  <c r="J49" i="54"/>
  <c r="J50" i="54"/>
  <c r="J51" i="54"/>
  <c r="J52" i="54"/>
  <c r="J53" i="54"/>
  <c r="E42" i="54"/>
  <c r="F42" i="54" s="1"/>
  <c r="E43" i="54"/>
  <c r="F43" i="54" s="1"/>
  <c r="E44" i="54"/>
  <c r="F44" i="54" s="1"/>
  <c r="E45" i="54"/>
  <c r="F45" i="54" s="1"/>
  <c r="E46" i="54"/>
  <c r="F46" i="54" s="1"/>
  <c r="J42" i="54"/>
  <c r="J43" i="54"/>
  <c r="J44" i="54"/>
  <c r="J45" i="54"/>
  <c r="E33" i="54"/>
  <c r="F33" i="54" s="1"/>
  <c r="E34" i="54"/>
  <c r="F34" i="54" s="1"/>
  <c r="E35" i="54"/>
  <c r="F35" i="54" s="1"/>
  <c r="E36" i="54"/>
  <c r="F36" i="54" s="1"/>
  <c r="E37" i="54"/>
  <c r="F37" i="54" s="1"/>
  <c r="E38" i="54"/>
  <c r="F38" i="54" s="1"/>
  <c r="E39" i="54"/>
  <c r="F39" i="54" s="1"/>
  <c r="E40" i="54"/>
  <c r="F40" i="54" s="1"/>
  <c r="E41" i="54"/>
  <c r="F41" i="54" s="1"/>
  <c r="J33" i="54"/>
  <c r="J34" i="54"/>
  <c r="J35" i="54"/>
  <c r="J36" i="54"/>
  <c r="J37" i="54"/>
  <c r="J38" i="54"/>
  <c r="J39" i="54"/>
  <c r="J40" i="54"/>
  <c r="J41" i="54"/>
  <c r="C2265" i="53"/>
  <c r="C2260" i="53"/>
  <c r="C1716" i="53"/>
  <c r="C1599" i="53"/>
  <c r="C1559" i="53"/>
  <c r="C1477" i="53"/>
  <c r="C2037" i="53" l="1"/>
  <c r="A2834" i="53"/>
  <c r="C2834" i="53"/>
  <c r="F2827" i="53"/>
  <c r="F2828" i="53"/>
  <c r="F2829" i="53"/>
  <c r="F2830" i="53"/>
  <c r="F2831" i="53"/>
  <c r="F2832" i="53"/>
  <c r="F2833" i="53"/>
  <c r="F2834" i="53"/>
  <c r="K2833" i="53"/>
  <c r="O2833" i="53" s="1"/>
  <c r="K2832" i="53"/>
  <c r="O2832" i="53" s="1"/>
  <c r="K2831" i="53"/>
  <c r="O2831" i="53" s="1"/>
  <c r="K2830" i="53"/>
  <c r="K2829" i="53"/>
  <c r="O2829" i="53" s="1"/>
  <c r="K2828" i="53"/>
  <c r="O2828" i="53" s="1"/>
  <c r="K2827" i="53"/>
  <c r="O2827" i="53" s="1"/>
  <c r="A2828" i="53"/>
  <c r="C2828" i="53"/>
  <c r="A2829" i="53"/>
  <c r="C2829" i="53"/>
  <c r="A2830" i="53"/>
  <c r="C2830" i="53"/>
  <c r="A2831" i="53"/>
  <c r="C2831" i="53"/>
  <c r="A2832" i="53"/>
  <c r="C2832" i="53"/>
  <c r="A2833" i="53"/>
  <c r="C2833" i="53"/>
  <c r="A2827" i="53"/>
  <c r="C2827" i="53"/>
  <c r="C2826" i="53"/>
  <c r="K2826" i="53"/>
  <c r="O2826" i="53" s="1"/>
  <c r="A2826" i="53"/>
  <c r="F2826" i="53"/>
  <c r="F2823" i="53"/>
  <c r="F2824" i="53"/>
  <c r="F2825" i="53"/>
  <c r="K2825" i="53"/>
  <c r="O2825" i="53" s="1"/>
  <c r="K2824" i="53"/>
  <c r="K2823" i="53"/>
  <c r="O2823" i="53" s="1"/>
  <c r="A2823" i="53"/>
  <c r="C2823" i="53"/>
  <c r="A2824" i="53"/>
  <c r="C2824" i="53"/>
  <c r="A2825" i="53"/>
  <c r="C2825" i="53"/>
  <c r="K2822" i="53"/>
  <c r="K2821" i="53"/>
  <c r="K2820" i="53"/>
  <c r="K2819" i="53"/>
  <c r="K2818" i="53"/>
  <c r="K2817" i="53"/>
  <c r="F2818" i="53"/>
  <c r="F2819" i="53"/>
  <c r="F2820" i="53"/>
  <c r="F2821" i="53"/>
  <c r="F2822" i="53"/>
  <c r="F2817" i="53"/>
  <c r="A2818" i="53"/>
  <c r="C2818" i="53"/>
  <c r="A2819" i="53"/>
  <c r="C2819" i="53"/>
  <c r="A2820" i="53"/>
  <c r="C2820" i="53"/>
  <c r="A2821" i="53"/>
  <c r="C2821" i="53"/>
  <c r="A2822" i="53"/>
  <c r="C2822" i="53"/>
  <c r="A2817" i="53"/>
  <c r="C2817" i="53"/>
  <c r="L2817" i="53" l="1"/>
  <c r="O2817" i="53"/>
  <c r="L2821" i="53"/>
  <c r="O2821" i="53"/>
  <c r="L2819" i="53"/>
  <c r="O2819" i="53"/>
  <c r="L2818" i="53"/>
  <c r="O2818" i="53"/>
  <c r="L2820" i="53"/>
  <c r="O2820" i="53"/>
  <c r="L2822" i="53"/>
  <c r="O2822" i="53"/>
  <c r="L2824" i="53"/>
  <c r="O2824" i="53"/>
  <c r="L2830" i="53"/>
  <c r="O2830" i="53"/>
  <c r="L2827" i="53"/>
  <c r="L2828" i="53"/>
  <c r="L2829" i="53"/>
  <c r="L2831" i="53"/>
  <c r="L2832" i="53"/>
  <c r="L2833" i="53"/>
  <c r="L2823" i="53"/>
  <c r="L2825" i="53"/>
  <c r="L2826" i="53"/>
  <c r="J32" i="54"/>
  <c r="E31" i="54"/>
  <c r="F31" i="54" s="1"/>
  <c r="E32" i="54"/>
  <c r="F32" i="54" s="1"/>
  <c r="J31" i="54"/>
  <c r="K2816" i="53"/>
  <c r="O2816" i="53" s="1"/>
  <c r="C2816" i="53"/>
  <c r="A2816" i="53"/>
  <c r="F2816" i="53"/>
  <c r="L2816" i="53" l="1"/>
  <c r="K2178" i="53" l="1"/>
  <c r="LG891" i="53"/>
  <c r="C2815" i="53"/>
  <c r="A2815" i="53"/>
  <c r="A2814" i="53"/>
  <c r="C2814" i="53"/>
  <c r="K2815" i="53"/>
  <c r="O2815" i="53" s="1"/>
  <c r="F2815" i="53"/>
  <c r="K2814" i="53"/>
  <c r="F2814" i="53"/>
  <c r="A2813" i="53"/>
  <c r="K2813" i="53"/>
  <c r="O2813" i="53" s="1"/>
  <c r="F2813" i="53"/>
  <c r="LG2021" i="53"/>
  <c r="L2814" i="53" l="1"/>
  <c r="O2814" i="53"/>
  <c r="L2178" i="53"/>
  <c r="O2178" i="53"/>
  <c r="L2815" i="53"/>
  <c r="L2813" i="53"/>
  <c r="K65" i="53" l="1"/>
  <c r="L65" i="53" s="1"/>
  <c r="K56" i="53"/>
  <c r="K53" i="53"/>
  <c r="O53" i="53" s="1"/>
  <c r="K41" i="53"/>
  <c r="K40" i="53"/>
  <c r="L40" i="53" s="1"/>
  <c r="K39" i="53"/>
  <c r="L39" i="53" s="1"/>
  <c r="K629" i="53"/>
  <c r="K628" i="53"/>
  <c r="K624" i="53"/>
  <c r="O624" i="53" s="1"/>
  <c r="C2812" i="53"/>
  <c r="K2812" i="53"/>
  <c r="O2812" i="53" s="1"/>
  <c r="A2812" i="53"/>
  <c r="F2812" i="53"/>
  <c r="K2356" i="53"/>
  <c r="K2350" i="53"/>
  <c r="O2350" i="53" s="1"/>
  <c r="K2347" i="53"/>
  <c r="K2284" i="53"/>
  <c r="K2260" i="53"/>
  <c r="C2811" i="53"/>
  <c r="A2811" i="53"/>
  <c r="F2811" i="53"/>
  <c r="K2811" i="53"/>
  <c r="F2810" i="53"/>
  <c r="C2810" i="53"/>
  <c r="K2810" i="53"/>
  <c r="O2810" i="53" s="1"/>
  <c r="A2810" i="53"/>
  <c r="L2811" i="53" l="1"/>
  <c r="O2811" i="53"/>
  <c r="L2260" i="53"/>
  <c r="O2260" i="53"/>
  <c r="L2347" i="53"/>
  <c r="O2347" i="53"/>
  <c r="L2356" i="53"/>
  <c r="O2356" i="53"/>
  <c r="L2284" i="53"/>
  <c r="O2284" i="53"/>
  <c r="L629" i="53"/>
  <c r="O629" i="53"/>
  <c r="L2350" i="53"/>
  <c r="L624" i="53"/>
  <c r="L41" i="53"/>
  <c r="O41" i="53"/>
  <c r="L56" i="53"/>
  <c r="O56" i="53"/>
  <c r="L53" i="53"/>
  <c r="L2812" i="53"/>
  <c r="L2810" i="53"/>
  <c r="K2542" i="53"/>
  <c r="O2542" i="53" s="1"/>
  <c r="K2539" i="53"/>
  <c r="K892" i="53"/>
  <c r="K891" i="53"/>
  <c r="L891" i="53" l="1"/>
  <c r="O891" i="53"/>
  <c r="L2539" i="53"/>
  <c r="O2539" i="53"/>
  <c r="L2542" i="53"/>
  <c r="K968" i="53"/>
  <c r="O968" i="53" s="1"/>
  <c r="C2809" i="53"/>
  <c r="A2809" i="53"/>
  <c r="K2809" i="53"/>
  <c r="O2809" i="53" s="1"/>
  <c r="F2809" i="53"/>
  <c r="L2809" i="53" l="1"/>
  <c r="K2691" i="53"/>
  <c r="O2691" i="53" s="1"/>
  <c r="K2690" i="53"/>
  <c r="L2690" i="53" l="1"/>
  <c r="O2690" i="53"/>
  <c r="L2691" i="53"/>
  <c r="E6" i="54"/>
  <c r="F6" i="54" s="1"/>
  <c r="E7" i="54"/>
  <c r="F7" i="54" s="1"/>
  <c r="E8" i="54"/>
  <c r="F8" i="54" s="1"/>
  <c r="E9" i="54"/>
  <c r="F9" i="54" s="1"/>
  <c r="E10" i="54"/>
  <c r="F10" i="54" s="1"/>
  <c r="E11" i="54"/>
  <c r="F11" i="54" s="1"/>
  <c r="E12" i="54"/>
  <c r="F12" i="54" s="1"/>
  <c r="E13" i="54"/>
  <c r="F13" i="54" s="1"/>
  <c r="E14" i="54"/>
  <c r="F14" i="54" s="1"/>
  <c r="E15" i="54"/>
  <c r="F15" i="54" s="1"/>
  <c r="E16" i="54"/>
  <c r="F16" i="54" s="1"/>
  <c r="E17" i="54"/>
  <c r="F17" i="54" s="1"/>
  <c r="E18" i="54"/>
  <c r="F18" i="54" s="1"/>
  <c r="E19" i="54"/>
  <c r="F19" i="54" s="1"/>
  <c r="E20" i="54"/>
  <c r="F20" i="54" s="1"/>
  <c r="E21" i="54"/>
  <c r="F21" i="54" s="1"/>
  <c r="E22" i="54"/>
  <c r="F22" i="54" s="1"/>
  <c r="E23" i="54"/>
  <c r="F23" i="54" s="1"/>
  <c r="E24" i="54"/>
  <c r="F24" i="54" s="1"/>
  <c r="E25" i="54"/>
  <c r="F25" i="54" s="1"/>
  <c r="E26" i="54"/>
  <c r="F26" i="54" s="1"/>
  <c r="E27" i="54"/>
  <c r="F27" i="54" s="1"/>
  <c r="E28" i="54"/>
  <c r="F28" i="54" s="1"/>
  <c r="E29" i="54"/>
  <c r="F29" i="54" s="1"/>
  <c r="E30" i="54"/>
  <c r="F30" i="54" s="1"/>
  <c r="J6" i="54"/>
  <c r="J7" i="54"/>
  <c r="J8" i="54"/>
  <c r="J9" i="54"/>
  <c r="J10" i="54"/>
  <c r="J11" i="54"/>
  <c r="J12" i="54"/>
  <c r="J13" i="54"/>
  <c r="J14" i="54"/>
  <c r="J15" i="54"/>
  <c r="J16" i="54"/>
  <c r="J17" i="54"/>
  <c r="J18" i="54"/>
  <c r="J19" i="54"/>
  <c r="J20" i="54"/>
  <c r="J21" i="54"/>
  <c r="J22" i="54"/>
  <c r="J23" i="54"/>
  <c r="J24" i="54"/>
  <c r="J25" i="54"/>
  <c r="J26" i="54"/>
  <c r="J27" i="54"/>
  <c r="J28" i="54"/>
  <c r="J29" i="54"/>
  <c r="J30" i="54"/>
  <c r="J5" i="54"/>
  <c r="K2802" i="53"/>
  <c r="O2802" i="53" s="1"/>
  <c r="K2803" i="53"/>
  <c r="O2803" i="53" s="1"/>
  <c r="K2804" i="53"/>
  <c r="O2804" i="53" s="1"/>
  <c r="K2805" i="53"/>
  <c r="O2805" i="53" s="1"/>
  <c r="K2806" i="53"/>
  <c r="O2806" i="53" s="1"/>
  <c r="K2807" i="53"/>
  <c r="O2807" i="53" s="1"/>
  <c r="K2808" i="53"/>
  <c r="O2808" i="53" s="1"/>
  <c r="F2802" i="53"/>
  <c r="F2803" i="53"/>
  <c r="F2804" i="53"/>
  <c r="F2805" i="53"/>
  <c r="F2806" i="53"/>
  <c r="F2807" i="53"/>
  <c r="F2808" i="53"/>
  <c r="A2804" i="53"/>
  <c r="C2804" i="53"/>
  <c r="A2805" i="53"/>
  <c r="C2805" i="53"/>
  <c r="A2806" i="53"/>
  <c r="C2806" i="53"/>
  <c r="A2807" i="53"/>
  <c r="C2807" i="53"/>
  <c r="A2808" i="53"/>
  <c r="C2808" i="53"/>
  <c r="A2803" i="53"/>
  <c r="C2803" i="53"/>
  <c r="A2802" i="53"/>
  <c r="C2802" i="53"/>
  <c r="A2801" i="53"/>
  <c r="C2801" i="53"/>
  <c r="F2801" i="53"/>
  <c r="K2801" i="53"/>
  <c r="A2799" i="53"/>
  <c r="C2799" i="53"/>
  <c r="A2800" i="53"/>
  <c r="C2800" i="53"/>
  <c r="F2799" i="53"/>
  <c r="F2800" i="53"/>
  <c r="K2799" i="53"/>
  <c r="O2799" i="53" s="1"/>
  <c r="K2800" i="53"/>
  <c r="O2800" i="53" s="1"/>
  <c r="A2778" i="53"/>
  <c r="C2778" i="53"/>
  <c r="A2779" i="53"/>
  <c r="C2779" i="53"/>
  <c r="A2780" i="53"/>
  <c r="C2780" i="53"/>
  <c r="A2781" i="53"/>
  <c r="C2781" i="53"/>
  <c r="A2782" i="53"/>
  <c r="C2782" i="53"/>
  <c r="A2784" i="53"/>
  <c r="C2784" i="53"/>
  <c r="A2785" i="53"/>
  <c r="C2785" i="53"/>
  <c r="A2786" i="53"/>
  <c r="C2786" i="53"/>
  <c r="A2787" i="53"/>
  <c r="C2787" i="53"/>
  <c r="A2788" i="53"/>
  <c r="C2788" i="53"/>
  <c r="A2789" i="53"/>
  <c r="C2789" i="53"/>
  <c r="A2790" i="53"/>
  <c r="C2790" i="53"/>
  <c r="A2791" i="53"/>
  <c r="C2791" i="53"/>
  <c r="A2792" i="53"/>
  <c r="C2792" i="53"/>
  <c r="A2793" i="53"/>
  <c r="C2793" i="53"/>
  <c r="A2794" i="53"/>
  <c r="C2794" i="53"/>
  <c r="A2795" i="53"/>
  <c r="C2795" i="53"/>
  <c r="A2796" i="53"/>
  <c r="C2796" i="53"/>
  <c r="A2797" i="53"/>
  <c r="C2797" i="53"/>
  <c r="A2798" i="53"/>
  <c r="C2798" i="53"/>
  <c r="K2779" i="53"/>
  <c r="O2779" i="53" s="1"/>
  <c r="K2780" i="53"/>
  <c r="O2780" i="53" s="1"/>
  <c r="K2781" i="53"/>
  <c r="O2781" i="53" s="1"/>
  <c r="K2782" i="53"/>
  <c r="O2782" i="53" s="1"/>
  <c r="K2784" i="53"/>
  <c r="K2785" i="53"/>
  <c r="O2785" i="53" s="1"/>
  <c r="K2786" i="53"/>
  <c r="O2786" i="53" s="1"/>
  <c r="K2787" i="53"/>
  <c r="O2787" i="53" s="1"/>
  <c r="K2788" i="53"/>
  <c r="O2788" i="53" s="1"/>
  <c r="K2789" i="53"/>
  <c r="O2789" i="53" s="1"/>
  <c r="K2790" i="53"/>
  <c r="O2790" i="53" s="1"/>
  <c r="K2791" i="53"/>
  <c r="O2791" i="53" s="1"/>
  <c r="K2792" i="53"/>
  <c r="O2792" i="53" s="1"/>
  <c r="K2793" i="53"/>
  <c r="O2793" i="53" s="1"/>
  <c r="K2794" i="53"/>
  <c r="O2794" i="53" s="1"/>
  <c r="K2795" i="53"/>
  <c r="O2795" i="53" s="1"/>
  <c r="K2796" i="53"/>
  <c r="O2796" i="53" s="1"/>
  <c r="K2797" i="53"/>
  <c r="O2797" i="53" s="1"/>
  <c r="K2798" i="53"/>
  <c r="O2798" i="53" s="1"/>
  <c r="K2778" i="53"/>
  <c r="O2778" i="53" s="1"/>
  <c r="F2779" i="53"/>
  <c r="F2780" i="53"/>
  <c r="F2781" i="53"/>
  <c r="F2784" i="53"/>
  <c r="F2785" i="53"/>
  <c r="F2786" i="53"/>
  <c r="F2787" i="53"/>
  <c r="F2788" i="53"/>
  <c r="F2789" i="53"/>
  <c r="F2790" i="53"/>
  <c r="F2791" i="53"/>
  <c r="F2792" i="53"/>
  <c r="F2793" i="53"/>
  <c r="F2794" i="53"/>
  <c r="F2795" i="53"/>
  <c r="F2796" i="53"/>
  <c r="F2797" i="53"/>
  <c r="F2778" i="53"/>
  <c r="J54" i="53"/>
  <c r="A54" i="53"/>
  <c r="C54" i="53"/>
  <c r="F54" i="53"/>
  <c r="K54" i="53"/>
  <c r="L54" i="53" l="1"/>
  <c r="O54" i="53"/>
  <c r="L2801" i="53"/>
  <c r="O2801" i="53"/>
  <c r="L2797" i="53"/>
  <c r="L2795" i="53"/>
  <c r="L2793" i="53"/>
  <c r="L2791" i="53"/>
  <c r="L2789" i="53"/>
  <c r="L2787" i="53"/>
  <c r="L2785" i="53"/>
  <c r="L2782" i="53"/>
  <c r="L2780" i="53"/>
  <c r="L2800" i="53"/>
  <c r="L2799" i="53"/>
  <c r="L2808" i="53"/>
  <c r="L2806" i="53"/>
  <c r="L2804" i="53"/>
  <c r="L2798" i="53"/>
  <c r="L2796" i="53"/>
  <c r="L2794" i="53"/>
  <c r="L2792" i="53"/>
  <c r="L2790" i="53"/>
  <c r="L2788" i="53"/>
  <c r="L2786" i="53"/>
  <c r="L2784" i="53"/>
  <c r="O2784" i="53"/>
  <c r="L2781" i="53"/>
  <c r="L2779" i="53"/>
  <c r="L2807" i="53"/>
  <c r="L2805" i="53"/>
  <c r="L2803" i="53"/>
  <c r="L2802" i="53"/>
  <c r="L2778" i="53"/>
  <c r="A2777" i="53" l="1"/>
  <c r="K2777" i="53"/>
  <c r="O2777" i="53" s="1"/>
  <c r="F2777" i="53"/>
  <c r="C2777" i="53"/>
  <c r="L2777" i="53" l="1"/>
  <c r="C2776" i="53"/>
  <c r="A2776" i="53"/>
  <c r="K2776" i="53"/>
  <c r="O2776" i="53" s="1"/>
  <c r="F2776" i="53"/>
  <c r="K2034" i="53"/>
  <c r="K2020" i="53"/>
  <c r="O2020" i="53" s="1"/>
  <c r="K1954" i="53"/>
  <c r="O1954" i="53" s="1"/>
  <c r="K2775" i="53"/>
  <c r="O2775" i="53" s="1"/>
  <c r="F2775" i="53"/>
  <c r="A2775" i="53"/>
  <c r="K2774" i="53"/>
  <c r="A2774" i="53"/>
  <c r="F2774" i="53"/>
  <c r="K2773" i="53"/>
  <c r="K2772" i="53"/>
  <c r="K2771" i="53"/>
  <c r="L2771" i="53" s="1"/>
  <c r="F2773" i="53"/>
  <c r="F2772" i="53"/>
  <c r="F2771" i="53"/>
  <c r="A2773" i="53"/>
  <c r="A2772" i="53"/>
  <c r="A2771" i="53"/>
  <c r="A2770" i="53"/>
  <c r="K2770" i="53"/>
  <c r="J625" i="53"/>
  <c r="K1906" i="53"/>
  <c r="O1906" i="53" s="1"/>
  <c r="K1907" i="53"/>
  <c r="K1908" i="53"/>
  <c r="K1909" i="53"/>
  <c r="L1909" i="53" s="1"/>
  <c r="K1910" i="53"/>
  <c r="L1910" i="53" s="1"/>
  <c r="K1911" i="53"/>
  <c r="K1912" i="53"/>
  <c r="L1912" i="53" s="1"/>
  <c r="K1913" i="53"/>
  <c r="L1913" i="53" s="1"/>
  <c r="K89" i="53"/>
  <c r="L89" i="53" s="1"/>
  <c r="K87" i="53"/>
  <c r="L87" i="53" s="1"/>
  <c r="L1907" i="53" l="1"/>
  <c r="O1907" i="53"/>
  <c r="L2772" i="53"/>
  <c r="O2772" i="53"/>
  <c r="L2034" i="53"/>
  <c r="O2034" i="53"/>
  <c r="L1908" i="53"/>
  <c r="O1908" i="53"/>
  <c r="L2773" i="53"/>
  <c r="O2773" i="53"/>
  <c r="L2774" i="53"/>
  <c r="O2774" i="53"/>
  <c r="L1954" i="53"/>
  <c r="L2770" i="53"/>
  <c r="O2770" i="53"/>
  <c r="L1906" i="53"/>
  <c r="L1911" i="53"/>
  <c r="O1911" i="53"/>
  <c r="L2020" i="53"/>
  <c r="L2776" i="53"/>
  <c r="L2775" i="53"/>
  <c r="O2771" i="53"/>
  <c r="A2769" i="53" l="1"/>
  <c r="F2769" i="53"/>
  <c r="C2769" i="53"/>
  <c r="K2769" i="53"/>
  <c r="O2769" i="53" s="1"/>
  <c r="F2768" i="53"/>
  <c r="A2768" i="53"/>
  <c r="C2768" i="53"/>
  <c r="K2768" i="53"/>
  <c r="O2768" i="53" s="1"/>
  <c r="L2769" i="53" l="1"/>
  <c r="L2768" i="53"/>
  <c r="K2767" i="53" l="1"/>
  <c r="O2767" i="53" s="1"/>
  <c r="K2766" i="53"/>
  <c r="O2766" i="53" s="1"/>
  <c r="K2765" i="53"/>
  <c r="O2765" i="53" s="1"/>
  <c r="K2764" i="53"/>
  <c r="O2764" i="53" s="1"/>
  <c r="K2763" i="53"/>
  <c r="O2763" i="53" s="1"/>
  <c r="F2767" i="53"/>
  <c r="F2765" i="53"/>
  <c r="F2764" i="53"/>
  <c r="F2763" i="53"/>
  <c r="A2764" i="53"/>
  <c r="C2764" i="53"/>
  <c r="A2765" i="53"/>
  <c r="C2765" i="53"/>
  <c r="A2766" i="53"/>
  <c r="C2766" i="53"/>
  <c r="A2767" i="53"/>
  <c r="C2767" i="53"/>
  <c r="C2763" i="53"/>
  <c r="A2763" i="53"/>
  <c r="K2290" i="53"/>
  <c r="K2081" i="53"/>
  <c r="L2290" i="53" l="1"/>
  <c r="O2290" i="53"/>
  <c r="L2081" i="53"/>
  <c r="O2081" i="53"/>
  <c r="L2766" i="53"/>
  <c r="L2763" i="53"/>
  <c r="L2764" i="53"/>
  <c r="L2765" i="53"/>
  <c r="L2767" i="53"/>
  <c r="K1127" i="53"/>
  <c r="O1127" i="53" s="1"/>
  <c r="K1126" i="53"/>
  <c r="F1126" i="53"/>
  <c r="C1126" i="53"/>
  <c r="A1126" i="53"/>
  <c r="L1126" i="53" l="1"/>
  <c r="O1126" i="53"/>
  <c r="L1127" i="53"/>
  <c r="C732" i="53"/>
  <c r="K88" i="53" l="1"/>
  <c r="F2759" i="53"/>
  <c r="F2760" i="53"/>
  <c r="F2761" i="53"/>
  <c r="F2762" i="53"/>
  <c r="A2760" i="53"/>
  <c r="C2760" i="53"/>
  <c r="A2761" i="53"/>
  <c r="C2761" i="53"/>
  <c r="A2762" i="53"/>
  <c r="C2762" i="53"/>
  <c r="A2759" i="53"/>
  <c r="C2759" i="53"/>
  <c r="K2762" i="53"/>
  <c r="O2762" i="53" s="1"/>
  <c r="K2761" i="53"/>
  <c r="O2761" i="53" s="1"/>
  <c r="K2760" i="53"/>
  <c r="O2760" i="53" s="1"/>
  <c r="K2759" i="53"/>
  <c r="O2759" i="53" s="1"/>
  <c r="K2742" i="53"/>
  <c r="K2743" i="53"/>
  <c r="K2744" i="53"/>
  <c r="K2745" i="53"/>
  <c r="K2748" i="53"/>
  <c r="K2749" i="53"/>
  <c r="K2750" i="53"/>
  <c r="K2751" i="53"/>
  <c r="O2751" i="53" s="1"/>
  <c r="K2752" i="53"/>
  <c r="K2753" i="53"/>
  <c r="K2754" i="53"/>
  <c r="O2754" i="53" s="1"/>
  <c r="K2755" i="53"/>
  <c r="O2755" i="53" s="1"/>
  <c r="K2756" i="53"/>
  <c r="O2756" i="53" s="1"/>
  <c r="K2757" i="53"/>
  <c r="O2757" i="53" s="1"/>
  <c r="K2758" i="53"/>
  <c r="O2758" i="53" s="1"/>
  <c r="F2754" i="53"/>
  <c r="F2756" i="53"/>
  <c r="F2757" i="53"/>
  <c r="F2758" i="53"/>
  <c r="A2755" i="53"/>
  <c r="C2755" i="53"/>
  <c r="A2756" i="53"/>
  <c r="C2756" i="53"/>
  <c r="A2757" i="53"/>
  <c r="C2757" i="53"/>
  <c r="A2758" i="53"/>
  <c r="C2758" i="53"/>
  <c r="A2754" i="53"/>
  <c r="C2754" i="53"/>
  <c r="C2742" i="53"/>
  <c r="C2743" i="53"/>
  <c r="C2744" i="53"/>
  <c r="C2745" i="53"/>
  <c r="C2746" i="53"/>
  <c r="C2747" i="53"/>
  <c r="C2748" i="53"/>
  <c r="C2749" i="53"/>
  <c r="C2750" i="53"/>
  <c r="C2751" i="53"/>
  <c r="C2752" i="53"/>
  <c r="C2753" i="53"/>
  <c r="A2742" i="53"/>
  <c r="A2743" i="53"/>
  <c r="A2744" i="53"/>
  <c r="A2745" i="53"/>
  <c r="A2746" i="53"/>
  <c r="A2748" i="53"/>
  <c r="A2749" i="53"/>
  <c r="A2750" i="53"/>
  <c r="A2751" i="53"/>
  <c r="A2752" i="53"/>
  <c r="A2753" i="53"/>
  <c r="F2742" i="53"/>
  <c r="F2744" i="53"/>
  <c r="F2745" i="53"/>
  <c r="F2746" i="53"/>
  <c r="F2751" i="53"/>
  <c r="F2753" i="53"/>
  <c r="A2741" i="53"/>
  <c r="C2741" i="53"/>
  <c r="F2741" i="53"/>
  <c r="K2741" i="53"/>
  <c r="O2741" i="53" s="1"/>
  <c r="K2735" i="53"/>
  <c r="O2735" i="53" s="1"/>
  <c r="K2736" i="53"/>
  <c r="K2737" i="53"/>
  <c r="O2737" i="53" s="1"/>
  <c r="K2738" i="53"/>
  <c r="O2738" i="53" s="1"/>
  <c r="K2739" i="53"/>
  <c r="O2739" i="53" s="1"/>
  <c r="K2740" i="53"/>
  <c r="O2740" i="53" s="1"/>
  <c r="F2735" i="53"/>
  <c r="F2736" i="53"/>
  <c r="F2737" i="53"/>
  <c r="F2738" i="53"/>
  <c r="F2739" i="53"/>
  <c r="F2740" i="53"/>
  <c r="A2736" i="53"/>
  <c r="C2736" i="53"/>
  <c r="A2737" i="53"/>
  <c r="C2737" i="53"/>
  <c r="A2738" i="53"/>
  <c r="C2738" i="53"/>
  <c r="A2739" i="53"/>
  <c r="C2739" i="53"/>
  <c r="A2740" i="53"/>
  <c r="C2740" i="53"/>
  <c r="A2735" i="53"/>
  <c r="C2735" i="53"/>
  <c r="F2726" i="53"/>
  <c r="F2727" i="53"/>
  <c r="F2728" i="53"/>
  <c r="F2729" i="53"/>
  <c r="F2730" i="53"/>
  <c r="F2731" i="53"/>
  <c r="F2732" i="53"/>
  <c r="F2733" i="53"/>
  <c r="F2734" i="53"/>
  <c r="A2727" i="53"/>
  <c r="C2727" i="53"/>
  <c r="A2728" i="53"/>
  <c r="C2728" i="53"/>
  <c r="A2729" i="53"/>
  <c r="C2729" i="53"/>
  <c r="A2730" i="53"/>
  <c r="C2730" i="53"/>
  <c r="A2731" i="53"/>
  <c r="C2731" i="53"/>
  <c r="A2732" i="53"/>
  <c r="C2732" i="53"/>
  <c r="A2733" i="53"/>
  <c r="C2733" i="53"/>
  <c r="A2734" i="53"/>
  <c r="C2734" i="53"/>
  <c r="A2726" i="53"/>
  <c r="C2726" i="53"/>
  <c r="K2734" i="53"/>
  <c r="K2733" i="53"/>
  <c r="O2733" i="53" s="1"/>
  <c r="K2732" i="53"/>
  <c r="O2732" i="53" s="1"/>
  <c r="K2731" i="53"/>
  <c r="K2730" i="53"/>
  <c r="O2730" i="53" s="1"/>
  <c r="K2729" i="53"/>
  <c r="O2729" i="53" s="1"/>
  <c r="K2728" i="53"/>
  <c r="O2728" i="53" s="1"/>
  <c r="K2727" i="53"/>
  <c r="K2726" i="53"/>
  <c r="O2726" i="53" s="1"/>
  <c r="F2725" i="53"/>
  <c r="F2724" i="53"/>
  <c r="K2725" i="53"/>
  <c r="O2725" i="53" s="1"/>
  <c r="K2724" i="53"/>
  <c r="A2725" i="53"/>
  <c r="C2725" i="53"/>
  <c r="A2724" i="53"/>
  <c r="C2724" i="53"/>
  <c r="L2727" i="53" l="1"/>
  <c r="O2727" i="53"/>
  <c r="L2731" i="53"/>
  <c r="O2731" i="53"/>
  <c r="L2752" i="53"/>
  <c r="O2752" i="53"/>
  <c r="L2750" i="53"/>
  <c r="O2750" i="53"/>
  <c r="L2748" i="53"/>
  <c r="O2748" i="53"/>
  <c r="L2744" i="53"/>
  <c r="O2744" i="53"/>
  <c r="L2742" i="53"/>
  <c r="O2742" i="53"/>
  <c r="L2724" i="53"/>
  <c r="O2724" i="53"/>
  <c r="L2734" i="53"/>
  <c r="O2734" i="53"/>
  <c r="L2736" i="53"/>
  <c r="O2736" i="53"/>
  <c r="L2753" i="53"/>
  <c r="O2753" i="53"/>
  <c r="L2749" i="53"/>
  <c r="O2749" i="53"/>
  <c r="L2745" i="53"/>
  <c r="O2745" i="53"/>
  <c r="L2743" i="53"/>
  <c r="O2743" i="53"/>
  <c r="L2758" i="53"/>
  <c r="L2756" i="53"/>
  <c r="L2754" i="53"/>
  <c r="L2739" i="53"/>
  <c r="L2737" i="53"/>
  <c r="L2757" i="53"/>
  <c r="L2755" i="53"/>
  <c r="L2751" i="53"/>
  <c r="L2759" i="53"/>
  <c r="L2761" i="53"/>
  <c r="L88" i="53"/>
  <c r="O88" i="53"/>
  <c r="L2728" i="53"/>
  <c r="L2729" i="53"/>
  <c r="L2730" i="53"/>
  <c r="L2732" i="53"/>
  <c r="L2733" i="53"/>
  <c r="L2741" i="53"/>
  <c r="L2726" i="53"/>
  <c r="L2740" i="53"/>
  <c r="L2738" i="53"/>
  <c r="L2735" i="53"/>
  <c r="L2760" i="53"/>
  <c r="L2762" i="53"/>
  <c r="L2725" i="53"/>
  <c r="K1321" i="53" l="1"/>
  <c r="K1320" i="53"/>
  <c r="O1320" i="53" s="1"/>
  <c r="K1319" i="53"/>
  <c r="O1319" i="53" s="1"/>
  <c r="K1318" i="53"/>
  <c r="O1318" i="53" s="1"/>
  <c r="K1686" i="53"/>
  <c r="O1686" i="53" s="1"/>
  <c r="F1686" i="53"/>
  <c r="C1686" i="53"/>
  <c r="A1686" i="53"/>
  <c r="K1681" i="53"/>
  <c r="O1681" i="53" s="1"/>
  <c r="F1681" i="53"/>
  <c r="C1681" i="53"/>
  <c r="A1681" i="53"/>
  <c r="K59" i="53"/>
  <c r="O59" i="53" s="1"/>
  <c r="F59" i="53"/>
  <c r="C59" i="53"/>
  <c r="A59" i="53"/>
  <c r="A2723" i="53"/>
  <c r="C2723" i="53"/>
  <c r="K2723" i="53"/>
  <c r="O2723" i="53" s="1"/>
  <c r="F2723" i="53"/>
  <c r="L1321" i="53" l="1"/>
  <c r="O1321" i="53"/>
  <c r="L1319" i="53"/>
  <c r="L1318" i="53"/>
  <c r="L1320" i="53"/>
  <c r="L2723" i="53"/>
  <c r="L1686" i="53"/>
  <c r="L1681" i="53"/>
  <c r="L59" i="53"/>
  <c r="K1082" i="53" l="1"/>
  <c r="K929" i="53"/>
  <c r="K1716" i="53"/>
  <c r="O1716" i="53" s="1"/>
  <c r="K2722" i="53"/>
  <c r="K2721" i="53"/>
  <c r="L2721" i="53" s="1"/>
  <c r="C2720" i="53"/>
  <c r="C2721" i="53"/>
  <c r="C2722" i="53"/>
  <c r="L2722" i="53" l="1"/>
  <c r="O2722" i="53"/>
  <c r="L929" i="53"/>
  <c r="O929" i="53"/>
  <c r="L1082" i="53"/>
  <c r="O1082" i="53"/>
  <c r="L1716" i="53"/>
  <c r="F1954" i="53"/>
  <c r="C1954" i="53"/>
  <c r="A1954" i="53"/>
  <c r="K2467" i="53" l="1"/>
  <c r="O2467" i="53" s="1"/>
  <c r="K1516" i="53" l="1"/>
  <c r="O1516" i="53" s="1"/>
  <c r="L1516" i="53" l="1"/>
  <c r="K2353" i="53"/>
  <c r="O2353" i="53" s="1"/>
  <c r="K2346" i="53"/>
  <c r="L2346" i="53" l="1"/>
  <c r="O2346" i="53"/>
  <c r="K2720" i="53"/>
  <c r="K2719" i="53"/>
  <c r="A2722" i="53"/>
  <c r="A2721" i="53"/>
  <c r="A2720" i="53"/>
  <c r="A2719" i="53"/>
  <c r="C2719" i="53"/>
  <c r="F2722" i="53"/>
  <c r="F2721" i="53"/>
  <c r="F2720" i="53"/>
  <c r="F2719" i="53"/>
  <c r="L2719" i="53" l="1"/>
  <c r="O2719" i="53"/>
  <c r="L2720" i="53"/>
  <c r="O2720" i="53"/>
  <c r="O2721" i="53"/>
  <c r="F2711" i="53" l="1"/>
  <c r="F2712" i="53"/>
  <c r="F2713" i="53"/>
  <c r="F2714" i="53"/>
  <c r="F2715" i="53"/>
  <c r="F2716" i="53"/>
  <c r="F2717" i="53"/>
  <c r="F2718" i="53"/>
  <c r="K2711" i="53"/>
  <c r="O2711" i="53" s="1"/>
  <c r="K2712" i="53"/>
  <c r="O2712" i="53" s="1"/>
  <c r="K2713" i="53"/>
  <c r="O2713" i="53" s="1"/>
  <c r="K2714" i="53"/>
  <c r="O2714" i="53" s="1"/>
  <c r="K2715" i="53"/>
  <c r="O2715" i="53" s="1"/>
  <c r="K2716" i="53"/>
  <c r="O2716" i="53" s="1"/>
  <c r="K2717" i="53"/>
  <c r="O2717" i="53" s="1"/>
  <c r="K2718" i="53"/>
  <c r="O2718" i="53" s="1"/>
  <c r="C2712" i="53"/>
  <c r="C2713" i="53"/>
  <c r="C2714" i="53"/>
  <c r="C2715" i="53"/>
  <c r="C2716" i="53"/>
  <c r="C2717" i="53"/>
  <c r="C2718" i="53"/>
  <c r="A2711" i="53"/>
  <c r="A2712" i="53"/>
  <c r="A2713" i="53"/>
  <c r="A2714" i="53"/>
  <c r="A2715" i="53"/>
  <c r="A2716" i="53"/>
  <c r="A2717" i="53"/>
  <c r="A2718" i="53"/>
  <c r="C2711" i="53"/>
  <c r="K2709" i="53"/>
  <c r="O2709" i="53" s="1"/>
  <c r="K2710" i="53"/>
  <c r="F2708" i="53"/>
  <c r="F2709" i="53"/>
  <c r="F2710" i="53"/>
  <c r="A2710" i="53"/>
  <c r="C2710" i="53"/>
  <c r="A2708" i="53"/>
  <c r="A2709" i="53"/>
  <c r="C2709" i="53"/>
  <c r="C2706" i="53"/>
  <c r="C2707" i="53"/>
  <c r="C2708" i="53"/>
  <c r="C2705" i="53"/>
  <c r="K2707" i="53"/>
  <c r="O2707" i="53" s="1"/>
  <c r="K2708" i="53"/>
  <c r="O2708" i="53" s="1"/>
  <c r="C2704" i="53"/>
  <c r="K2704" i="53"/>
  <c r="F2707" i="53"/>
  <c r="F2706" i="53"/>
  <c r="F2705" i="53"/>
  <c r="F2704" i="53"/>
  <c r="F2541" i="53"/>
  <c r="A2707" i="53"/>
  <c r="A2706" i="53"/>
  <c r="A2705" i="53"/>
  <c r="A2704" i="53"/>
  <c r="K2706" i="53"/>
  <c r="K2705" i="53"/>
  <c r="L2704" i="53" l="1"/>
  <c r="O2704" i="53"/>
  <c r="L2710" i="53"/>
  <c r="O2710" i="53"/>
  <c r="L2706" i="53"/>
  <c r="O2706" i="53"/>
  <c r="L2705" i="53"/>
  <c r="O2705" i="53"/>
  <c r="L2716" i="53"/>
  <c r="L2708" i="53"/>
  <c r="L2707" i="53"/>
  <c r="L2709" i="53"/>
  <c r="L2718" i="53"/>
  <c r="L2717" i="53"/>
  <c r="L2715" i="53"/>
  <c r="L2714" i="53"/>
  <c r="L2713" i="53"/>
  <c r="L2712" i="53"/>
  <c r="L2711" i="53"/>
  <c r="K1609" i="53" l="1"/>
  <c r="O1609" i="53" s="1"/>
  <c r="K2394" i="53" l="1"/>
  <c r="K1143" i="53" l="1"/>
  <c r="O1143" i="53" s="1"/>
  <c r="L2353" i="53"/>
  <c r="F30" i="53"/>
  <c r="F29" i="53"/>
  <c r="F23" i="53"/>
  <c r="C52" i="53"/>
  <c r="L1143" i="53" l="1"/>
  <c r="F2703" i="53"/>
  <c r="K2703" i="53"/>
  <c r="O2703" i="53" s="1"/>
  <c r="A2703" i="53"/>
  <c r="C2703" i="53"/>
  <c r="F2702" i="53"/>
  <c r="F2701" i="53"/>
  <c r="F2700" i="53"/>
  <c r="F2699" i="53"/>
  <c r="F2698" i="53"/>
  <c r="F2696" i="53"/>
  <c r="F2695" i="53"/>
  <c r="F2694" i="53"/>
  <c r="F2693" i="53"/>
  <c r="F2692" i="53"/>
  <c r="A2693" i="53"/>
  <c r="C2693" i="53"/>
  <c r="A2694" i="53"/>
  <c r="C2694" i="53"/>
  <c r="A2695" i="53"/>
  <c r="C2695" i="53"/>
  <c r="A2696" i="53"/>
  <c r="C2696" i="53"/>
  <c r="A2698" i="53"/>
  <c r="C2698" i="53"/>
  <c r="A2699" i="53"/>
  <c r="C2699" i="53"/>
  <c r="A2700" i="53"/>
  <c r="C2700" i="53"/>
  <c r="A2701" i="53"/>
  <c r="C2701" i="53"/>
  <c r="A2702" i="53"/>
  <c r="C2702" i="53"/>
  <c r="A2692" i="53"/>
  <c r="C2692" i="53"/>
  <c r="K2702" i="53"/>
  <c r="O2702" i="53" s="1"/>
  <c r="K2701" i="53"/>
  <c r="O2701" i="53" s="1"/>
  <c r="K2700" i="53"/>
  <c r="O2700" i="53" s="1"/>
  <c r="K2699" i="53"/>
  <c r="O2699" i="53" s="1"/>
  <c r="K2698" i="53"/>
  <c r="O2698" i="53" s="1"/>
  <c r="K2696" i="53"/>
  <c r="O2696" i="53" s="1"/>
  <c r="K2694" i="53"/>
  <c r="O2694" i="53" s="1"/>
  <c r="O2693" i="53"/>
  <c r="O2692" i="53"/>
  <c r="A2683" i="53"/>
  <c r="C2683" i="53"/>
  <c r="A2684" i="53"/>
  <c r="C2684" i="53"/>
  <c r="C2685" i="53"/>
  <c r="C2686" i="53"/>
  <c r="A2687" i="53"/>
  <c r="C2687" i="53"/>
  <c r="A2688" i="53"/>
  <c r="C2688" i="53"/>
  <c r="A2689" i="53"/>
  <c r="C2689" i="53"/>
  <c r="A2690" i="53"/>
  <c r="C2690" i="53"/>
  <c r="A2691" i="53"/>
  <c r="C2691" i="53"/>
  <c r="A2682" i="53"/>
  <c r="C2682" i="53"/>
  <c r="F2691" i="53"/>
  <c r="F2690" i="53"/>
  <c r="F2689" i="53"/>
  <c r="F2688" i="53"/>
  <c r="F2687" i="53"/>
  <c r="F2686" i="53"/>
  <c r="F2685" i="53"/>
  <c r="F2684" i="53"/>
  <c r="F2683" i="53"/>
  <c r="F2682" i="53"/>
  <c r="K2689" i="53"/>
  <c r="O2689" i="53" s="1"/>
  <c r="K2688" i="53"/>
  <c r="O2688" i="53" s="1"/>
  <c r="K2687" i="53"/>
  <c r="O2687" i="53" s="1"/>
  <c r="K2686" i="53"/>
  <c r="O2686" i="53" s="1"/>
  <c r="K2685" i="53"/>
  <c r="O2685" i="53" s="1"/>
  <c r="K2684" i="53"/>
  <c r="O2684" i="53" s="1"/>
  <c r="K2683" i="53"/>
  <c r="O2683" i="53" s="1"/>
  <c r="K2682" i="53"/>
  <c r="O2682" i="53" s="1"/>
  <c r="L2694" i="53" l="1"/>
  <c r="L2696" i="53"/>
  <c r="L2701" i="53"/>
  <c r="L2703" i="53"/>
  <c r="L2686" i="53"/>
  <c r="L2687" i="53"/>
  <c r="L2688" i="53"/>
  <c r="L2689" i="53"/>
  <c r="L2682" i="53"/>
  <c r="L2683" i="53"/>
  <c r="L2684" i="53"/>
  <c r="L2698" i="53"/>
  <c r="L2699" i="53"/>
  <c r="L2700" i="53"/>
  <c r="L2702" i="53"/>
  <c r="L2685" i="53"/>
  <c r="K2680" i="53" l="1"/>
  <c r="O2680" i="53" s="1"/>
  <c r="K2681" i="53"/>
  <c r="O2681" i="53" s="1"/>
  <c r="C2681" i="53"/>
  <c r="C2680" i="53"/>
  <c r="C2679" i="53"/>
  <c r="C2678" i="53"/>
  <c r="C2677" i="53"/>
  <c r="C2676" i="53"/>
  <c r="C2675" i="53"/>
  <c r="C2674" i="53"/>
  <c r="C2673" i="53"/>
  <c r="C2672" i="53"/>
  <c r="C2671" i="53"/>
  <c r="C2670" i="53"/>
  <c r="C2669" i="53"/>
  <c r="C2668" i="53"/>
  <c r="C2667" i="53"/>
  <c r="C2666" i="53"/>
  <c r="C2665" i="53"/>
  <c r="C2664" i="53"/>
  <c r="C2663" i="53"/>
  <c r="C2662" i="53"/>
  <c r="C2661" i="53"/>
  <c r="C2660" i="53"/>
  <c r="C1142" i="53"/>
  <c r="C1141" i="53"/>
  <c r="C1140" i="53"/>
  <c r="K2674" i="53"/>
  <c r="O2674" i="53" s="1"/>
  <c r="K2675" i="53"/>
  <c r="O2675" i="53" s="1"/>
  <c r="K2676" i="53"/>
  <c r="O2676" i="53" s="1"/>
  <c r="K2677" i="53"/>
  <c r="O2677" i="53" s="1"/>
  <c r="K2678" i="53"/>
  <c r="O2678" i="53" s="1"/>
  <c r="K2679" i="53"/>
  <c r="O2679" i="53" s="1"/>
  <c r="K2666" i="53"/>
  <c r="O2666" i="53" s="1"/>
  <c r="K2667" i="53"/>
  <c r="O2667" i="53" s="1"/>
  <c r="K2668" i="53"/>
  <c r="O2668" i="53" s="1"/>
  <c r="K2669" i="53"/>
  <c r="O2669" i="53" s="1"/>
  <c r="K2670" i="53"/>
  <c r="O2670" i="53" s="1"/>
  <c r="K2671" i="53"/>
  <c r="O2671" i="53" s="1"/>
  <c r="K2672" i="53"/>
  <c r="O2672" i="53" s="1"/>
  <c r="K2673" i="53"/>
  <c r="O2673" i="53" s="1"/>
  <c r="K2665" i="53"/>
  <c r="O2665" i="53" s="1"/>
  <c r="K2664" i="53"/>
  <c r="O2664" i="53" s="1"/>
  <c r="K2663" i="53"/>
  <c r="O2663" i="53" s="1"/>
  <c r="K2662" i="53"/>
  <c r="O2662" i="53" s="1"/>
  <c r="K2661" i="53"/>
  <c r="O2661" i="53" s="1"/>
  <c r="K2660" i="53"/>
  <c r="O2660" i="53" s="1"/>
  <c r="F1141" i="53"/>
  <c r="F1140" i="53"/>
  <c r="K1142" i="53"/>
  <c r="O1142" i="53" s="1"/>
  <c r="K1141" i="53"/>
  <c r="K1140" i="53"/>
  <c r="L2661" i="53" l="1"/>
  <c r="L2663" i="53"/>
  <c r="L2665" i="53"/>
  <c r="L2668" i="53"/>
  <c r="L2666" i="53"/>
  <c r="L2678" i="53"/>
  <c r="L2674" i="53"/>
  <c r="L2660" i="53"/>
  <c r="L2662" i="53"/>
  <c r="L2664" i="53"/>
  <c r="L2669" i="53"/>
  <c r="L2667" i="53"/>
  <c r="L2679" i="53"/>
  <c r="L2677" i="53"/>
  <c r="L2675" i="53"/>
  <c r="L1140" i="53"/>
  <c r="O1140" i="53"/>
  <c r="L1142" i="53"/>
  <c r="L1141" i="53"/>
  <c r="O1141" i="53"/>
  <c r="L2672" i="53"/>
  <c r="L2670" i="53"/>
  <c r="L2676" i="53"/>
  <c r="L2681" i="53"/>
  <c r="L2673" i="53"/>
  <c r="L2671" i="53"/>
  <c r="L2680" i="53"/>
  <c r="K2196" i="53" l="1"/>
  <c r="O2196" i="53" s="1"/>
  <c r="L2196" i="53" l="1"/>
  <c r="F2657" i="53"/>
  <c r="F2658" i="53"/>
  <c r="F2659" i="53"/>
  <c r="K2656" i="53"/>
  <c r="O2656" i="53" s="1"/>
  <c r="K2657" i="53"/>
  <c r="K2658" i="53"/>
  <c r="O2658" i="53" s="1"/>
  <c r="K2659" i="53"/>
  <c r="F2656" i="53"/>
  <c r="C2657" i="53"/>
  <c r="C2658" i="53"/>
  <c r="C2659" i="53"/>
  <c r="A2656" i="53"/>
  <c r="A2657" i="53"/>
  <c r="A2658" i="53"/>
  <c r="A2659" i="53"/>
  <c r="C2656" i="53"/>
  <c r="L2659" i="53" l="1"/>
  <c r="O2659" i="53"/>
  <c r="L2657" i="53"/>
  <c r="O2657" i="53"/>
  <c r="L2658" i="53"/>
  <c r="L2656" i="53"/>
  <c r="K1709" i="53" l="1"/>
  <c r="O1709" i="53" s="1"/>
  <c r="L1709" i="53" l="1"/>
  <c r="K2336" i="53"/>
  <c r="J892" i="53"/>
  <c r="F2655" i="53"/>
  <c r="F2654" i="53"/>
  <c r="F2653" i="53"/>
  <c r="F2652" i="53"/>
  <c r="F2650" i="53"/>
  <c r="K2655" i="53"/>
  <c r="K2654" i="53"/>
  <c r="K2653" i="53"/>
  <c r="K2652" i="53"/>
  <c r="K2651" i="53"/>
  <c r="K2650" i="53"/>
  <c r="A2651" i="53"/>
  <c r="C2651" i="53"/>
  <c r="A2652" i="53"/>
  <c r="C2652" i="53"/>
  <c r="A2653" i="53"/>
  <c r="C2653" i="53"/>
  <c r="A2654" i="53"/>
  <c r="C2654" i="53"/>
  <c r="A2655" i="53"/>
  <c r="C2655" i="53"/>
  <c r="A2650" i="53"/>
  <c r="C2650" i="53"/>
  <c r="L2652" i="53" l="1"/>
  <c r="O2652" i="53"/>
  <c r="L2654" i="53"/>
  <c r="O2654" i="53"/>
  <c r="L2336" i="53"/>
  <c r="O2336" i="53"/>
  <c r="L2650" i="53"/>
  <c r="O2650" i="53"/>
  <c r="L2651" i="53"/>
  <c r="O2651" i="53"/>
  <c r="L2653" i="53"/>
  <c r="O2653" i="53"/>
  <c r="L2655" i="53"/>
  <c r="O2655" i="53"/>
  <c r="L892" i="53"/>
  <c r="O892" i="53"/>
  <c r="K881" i="53"/>
  <c r="L881" i="53" l="1"/>
  <c r="O881" i="53"/>
  <c r="A2297" i="53"/>
  <c r="A2259" i="53"/>
  <c r="A2034" i="53"/>
  <c r="A2003" i="53"/>
  <c r="A1955" i="53"/>
  <c r="A1779" i="53"/>
  <c r="C2368" i="53"/>
  <c r="C2367" i="53"/>
  <c r="C2366" i="53"/>
  <c r="C2365" i="53"/>
  <c r="C2364" i="53"/>
  <c r="C2363" i="53"/>
  <c r="C2362" i="53"/>
  <c r="C2361" i="53"/>
  <c r="C1483" i="53"/>
  <c r="C1482" i="53"/>
  <c r="C1463" i="53"/>
  <c r="C1327" i="53"/>
  <c r="C1326" i="53"/>
  <c r="C1107" i="53"/>
  <c r="C1099" i="53"/>
  <c r="C969" i="53"/>
  <c r="C50" i="53"/>
  <c r="C49" i="53"/>
  <c r="C48" i="53"/>
  <c r="C47" i="53"/>
  <c r="C882" i="53"/>
  <c r="C881" i="53"/>
  <c r="K47" i="53"/>
  <c r="C100" i="53"/>
  <c r="L47" i="53" l="1"/>
  <c r="O47" i="53"/>
  <c r="F2649" i="53"/>
  <c r="F2648" i="53"/>
  <c r="F2647" i="53"/>
  <c r="F2646" i="53"/>
  <c r="F2645" i="53"/>
  <c r="F2644" i="53"/>
  <c r="F2643" i="53"/>
  <c r="K2649" i="53"/>
  <c r="K2648" i="53"/>
  <c r="L2648" i="53" s="1"/>
  <c r="K2647" i="53"/>
  <c r="L2647" i="53" s="1"/>
  <c r="K2646" i="53"/>
  <c r="L2646" i="53" s="1"/>
  <c r="K2645" i="53"/>
  <c r="K2644" i="53"/>
  <c r="L2644" i="53" s="1"/>
  <c r="K2643" i="53"/>
  <c r="A2644" i="53"/>
  <c r="C2644" i="53"/>
  <c r="A2645" i="53"/>
  <c r="C2645" i="53"/>
  <c r="A2646" i="53"/>
  <c r="C2646" i="53"/>
  <c r="A2647" i="53"/>
  <c r="C2647" i="53"/>
  <c r="A2648" i="53"/>
  <c r="C2648" i="53"/>
  <c r="A2649" i="53"/>
  <c r="C2649" i="53"/>
  <c r="A2643" i="53"/>
  <c r="C2643" i="53"/>
  <c r="L2643" i="53" l="1"/>
  <c r="O2643" i="53"/>
  <c r="L2645" i="53"/>
  <c r="O2645" i="53"/>
  <c r="O2648" i="53"/>
  <c r="L2649" i="53"/>
  <c r="O2649" i="53"/>
  <c r="O2646" i="53"/>
  <c r="O2644" i="53"/>
  <c r="O2647" i="53"/>
  <c r="A2628" i="53"/>
  <c r="C2628" i="53"/>
  <c r="A2629" i="53"/>
  <c r="C2629" i="53"/>
  <c r="A2630" i="53"/>
  <c r="C2630" i="53"/>
  <c r="A2631" i="53"/>
  <c r="C2631" i="53"/>
  <c r="A2632" i="53"/>
  <c r="C2632" i="53"/>
  <c r="A2633" i="53"/>
  <c r="C2633" i="53"/>
  <c r="A2634" i="53"/>
  <c r="C2634" i="53"/>
  <c r="A2635" i="53"/>
  <c r="C2635" i="53"/>
  <c r="A2636" i="53"/>
  <c r="C2636" i="53"/>
  <c r="A2637" i="53"/>
  <c r="C2637" i="53"/>
  <c r="A2638" i="53"/>
  <c r="C2638" i="53"/>
  <c r="A2639" i="53"/>
  <c r="C2639" i="53"/>
  <c r="A2640" i="53"/>
  <c r="C2640" i="53"/>
  <c r="A2641" i="53"/>
  <c r="C2641" i="53"/>
  <c r="A2642" i="53"/>
  <c r="C2642" i="53"/>
  <c r="F2627" i="53"/>
  <c r="K2627" i="53"/>
  <c r="O2627" i="53" s="1"/>
  <c r="F2628" i="53"/>
  <c r="K2628" i="53"/>
  <c r="O2628" i="53" s="1"/>
  <c r="F2629" i="53"/>
  <c r="K2629" i="53"/>
  <c r="O2629" i="53" s="1"/>
  <c r="F2630" i="53"/>
  <c r="K2630" i="53"/>
  <c r="O2630" i="53" s="1"/>
  <c r="F2631" i="53"/>
  <c r="K2631" i="53"/>
  <c r="O2631" i="53" s="1"/>
  <c r="F2632" i="53"/>
  <c r="K2632" i="53"/>
  <c r="O2632" i="53" s="1"/>
  <c r="F2633" i="53"/>
  <c r="K2633" i="53"/>
  <c r="O2633" i="53" s="1"/>
  <c r="F2634" i="53"/>
  <c r="K2634" i="53"/>
  <c r="O2634" i="53" s="1"/>
  <c r="F2635" i="53"/>
  <c r="K2635" i="53"/>
  <c r="O2635" i="53" s="1"/>
  <c r="F2636" i="53"/>
  <c r="K2636" i="53"/>
  <c r="O2636" i="53" s="1"/>
  <c r="F2637" i="53"/>
  <c r="K2637" i="53"/>
  <c r="O2637" i="53" s="1"/>
  <c r="F2638" i="53"/>
  <c r="K2638" i="53"/>
  <c r="O2638" i="53" s="1"/>
  <c r="F2639" i="53"/>
  <c r="K2639" i="53"/>
  <c r="O2639" i="53" s="1"/>
  <c r="F2640" i="53"/>
  <c r="K2640" i="53"/>
  <c r="O2640" i="53" s="1"/>
  <c r="F2641" i="53"/>
  <c r="K2641" i="53"/>
  <c r="O2641" i="53" s="1"/>
  <c r="F2642" i="53"/>
  <c r="K2642" i="53"/>
  <c r="O2642" i="53" s="1"/>
  <c r="C2627" i="53"/>
  <c r="A2627" i="53"/>
  <c r="K2626" i="53"/>
  <c r="O2626" i="53" s="1"/>
  <c r="F2626" i="53"/>
  <c r="C2626" i="53"/>
  <c r="A2626" i="53"/>
  <c r="C2609" i="53"/>
  <c r="C2610" i="53"/>
  <c r="C2611" i="53"/>
  <c r="C2612" i="53"/>
  <c r="C2613" i="53"/>
  <c r="C2614" i="53"/>
  <c r="C2615" i="53"/>
  <c r="C2616" i="53"/>
  <c r="C2617" i="53"/>
  <c r="C2618" i="53"/>
  <c r="C2619" i="53"/>
  <c r="C2620" i="53"/>
  <c r="C2621" i="53"/>
  <c r="C2622" i="53"/>
  <c r="C2623" i="53"/>
  <c r="C2624" i="53"/>
  <c r="L2630" i="53" l="1"/>
  <c r="L2638" i="53"/>
  <c r="L2626" i="53"/>
  <c r="L2634" i="53"/>
  <c r="L2641" i="53"/>
  <c r="L2636" i="53"/>
  <c r="L2632" i="53"/>
  <c r="L2628" i="53"/>
  <c r="L2642" i="53"/>
  <c r="L2640" i="53"/>
  <c r="L2637" i="53"/>
  <c r="L2635" i="53"/>
  <c r="L2633" i="53"/>
  <c r="L2631" i="53"/>
  <c r="L2629" i="53"/>
  <c r="L2627" i="53"/>
  <c r="L2639" i="53"/>
  <c r="C2369" i="53" l="1"/>
  <c r="F2625" i="53" l="1"/>
  <c r="F2624" i="53"/>
  <c r="F2623" i="53"/>
  <c r="F2622" i="53"/>
  <c r="F2464" i="53"/>
  <c r="K2625" i="53"/>
  <c r="O2625" i="53" s="1"/>
  <c r="K2624" i="53"/>
  <c r="O2624" i="53" s="1"/>
  <c r="K2623" i="53"/>
  <c r="O2623" i="53" s="1"/>
  <c r="K2622" i="53"/>
  <c r="O2622" i="53" s="1"/>
  <c r="A2625" i="53"/>
  <c r="A2624" i="53"/>
  <c r="A2623" i="53"/>
  <c r="A2622" i="53"/>
  <c r="A2464" i="53"/>
  <c r="C2625" i="53"/>
  <c r="K572" i="53"/>
  <c r="L572" i="53" s="1"/>
  <c r="K521" i="53"/>
  <c r="L521" i="53" s="1"/>
  <c r="C2353" i="53"/>
  <c r="C2196" i="53"/>
  <c r="C2178" i="53"/>
  <c r="C2034" i="53"/>
  <c r="C1928" i="53"/>
  <c r="C1727" i="53"/>
  <c r="C1709" i="53"/>
  <c r="C1707" i="53"/>
  <c r="C1693" i="53"/>
  <c r="A2618" i="53"/>
  <c r="K2618" i="53"/>
  <c r="O2618" i="53" s="1"/>
  <c r="F2621" i="53"/>
  <c r="F2620" i="53"/>
  <c r="K2621" i="53"/>
  <c r="O2621" i="53" s="1"/>
  <c r="K2620" i="53"/>
  <c r="O2620" i="53" s="1"/>
  <c r="A2621" i="53"/>
  <c r="A2620" i="53"/>
  <c r="A2619" i="53"/>
  <c r="K2619" i="53"/>
  <c r="O2619" i="53" s="1"/>
  <c r="F2619" i="53"/>
  <c r="L2620" i="53" l="1"/>
  <c r="L2618" i="53"/>
  <c r="L2623" i="53"/>
  <c r="L2625" i="53"/>
  <c r="L2622" i="53"/>
  <c r="L2624" i="53"/>
  <c r="L2619" i="53"/>
  <c r="L2621" i="53"/>
  <c r="F2618" i="53" l="1"/>
  <c r="F2617" i="53"/>
  <c r="F2616" i="53"/>
  <c r="F2615" i="53"/>
  <c r="K2617" i="53"/>
  <c r="O2617" i="53" s="1"/>
  <c r="K2616" i="53"/>
  <c r="O2616" i="53" s="1"/>
  <c r="K2615" i="53"/>
  <c r="O2615" i="53" s="1"/>
  <c r="A2617" i="53"/>
  <c r="A2616" i="53"/>
  <c r="A2615" i="53"/>
  <c r="L2615" i="53" l="1"/>
  <c r="L2616" i="53"/>
  <c r="L2617" i="53"/>
  <c r="A2614" i="53" l="1"/>
  <c r="K2614" i="53"/>
  <c r="F2614" i="53"/>
  <c r="L2614" i="53" l="1"/>
  <c r="O2614" i="53"/>
  <c r="J1474" i="53"/>
  <c r="K2613" i="53" l="1"/>
  <c r="K2575" i="53"/>
  <c r="F2613" i="53"/>
  <c r="L2575" i="53" l="1"/>
  <c r="O2575" i="53"/>
  <c r="L2613" i="53"/>
  <c r="O2613" i="53"/>
  <c r="K1119" i="53"/>
  <c r="O1119" i="53" s="1"/>
  <c r="F1119" i="53"/>
  <c r="C1119" i="53"/>
  <c r="A1119" i="53"/>
  <c r="J1710" i="53"/>
  <c r="K1711" i="53"/>
  <c r="O1711" i="53" s="1"/>
  <c r="A2612" i="53"/>
  <c r="K2612" i="53"/>
  <c r="O2612" i="53" s="1"/>
  <c r="J100" i="53"/>
  <c r="L1119" i="53" l="1"/>
  <c r="L2612" i="53"/>
  <c r="J1473" i="53" l="1"/>
  <c r="A2611" i="53"/>
  <c r="K2611" i="53"/>
  <c r="O2611" i="53" s="1"/>
  <c r="F2611" i="53"/>
  <c r="L2611" i="53" l="1"/>
  <c r="K2610" i="53" l="1"/>
  <c r="O2610" i="53" s="1"/>
  <c r="K2609" i="53"/>
  <c r="O2609" i="53" s="1"/>
  <c r="K2608" i="53"/>
  <c r="O2608" i="53" s="1"/>
  <c r="F2610" i="53"/>
  <c r="F2609" i="53"/>
  <c r="F2608" i="53"/>
  <c r="A2610" i="53"/>
  <c r="A2609" i="53"/>
  <c r="A2608" i="53"/>
  <c r="C2608" i="53"/>
  <c r="A2607" i="53"/>
  <c r="A2606" i="53"/>
  <c r="C2607" i="53"/>
  <c r="C2606" i="53"/>
  <c r="K2607" i="53"/>
  <c r="O2607" i="53" s="1"/>
  <c r="F2607" i="53"/>
  <c r="K2606" i="53"/>
  <c r="O2606" i="53" s="1"/>
  <c r="F2606" i="53"/>
  <c r="L2609" i="53" l="1"/>
  <c r="L2608" i="53"/>
  <c r="L2610" i="53"/>
  <c r="L2606" i="53"/>
  <c r="L2607" i="53"/>
  <c r="F2601" i="53" l="1"/>
  <c r="F2602" i="53"/>
  <c r="F2603" i="53"/>
  <c r="F2604" i="53"/>
  <c r="F2605" i="53"/>
  <c r="A2601" i="53"/>
  <c r="C2601" i="53"/>
  <c r="A2602" i="53"/>
  <c r="C2602" i="53"/>
  <c r="A2603" i="53"/>
  <c r="C2603" i="53"/>
  <c r="A2604" i="53"/>
  <c r="C2604" i="53"/>
  <c r="A2605" i="53"/>
  <c r="C2605" i="53"/>
  <c r="K2601" i="53"/>
  <c r="K2602" i="53"/>
  <c r="K2603" i="53"/>
  <c r="K2604" i="53"/>
  <c r="K2605" i="53"/>
  <c r="K2600" i="53"/>
  <c r="K2599" i="53"/>
  <c r="K2598" i="53"/>
  <c r="K2597" i="53"/>
  <c r="F2600" i="53"/>
  <c r="F2599" i="53"/>
  <c r="F2598" i="53"/>
  <c r="F2597" i="53"/>
  <c r="A2598" i="53"/>
  <c r="C2598" i="53"/>
  <c r="A2599" i="53"/>
  <c r="C2599" i="53"/>
  <c r="A2600" i="53"/>
  <c r="C2600" i="53"/>
  <c r="A2597" i="53"/>
  <c r="C2597" i="53"/>
  <c r="C2596" i="53"/>
  <c r="C2595" i="53"/>
  <c r="C2594" i="53"/>
  <c r="C2593" i="53"/>
  <c r="C2592" i="53"/>
  <c r="C2591" i="53"/>
  <c r="C2590" i="53"/>
  <c r="C2589" i="53"/>
  <c r="C2588" i="53"/>
  <c r="C2587" i="53"/>
  <c r="C2586" i="53"/>
  <c r="C2585" i="53"/>
  <c r="A2596" i="53"/>
  <c r="A2595" i="53"/>
  <c r="A2594" i="53"/>
  <c r="A2593" i="53"/>
  <c r="A2592" i="53"/>
  <c r="A2591" i="53"/>
  <c r="A2590" i="53"/>
  <c r="A2589" i="53"/>
  <c r="A2588" i="53"/>
  <c r="A2587" i="53"/>
  <c r="A2586" i="53"/>
  <c r="A2585" i="53"/>
  <c r="K2596" i="53"/>
  <c r="K2595" i="53"/>
  <c r="K2594" i="53"/>
  <c r="K2593" i="53"/>
  <c r="K2592" i="53"/>
  <c r="K2591" i="53"/>
  <c r="K2590" i="53"/>
  <c r="K2589" i="53"/>
  <c r="K2588" i="53"/>
  <c r="K2587" i="53"/>
  <c r="K2586" i="53"/>
  <c r="K2585" i="53"/>
  <c r="L2585" i="53" s="1"/>
  <c r="F2596" i="53"/>
  <c r="F2595" i="53"/>
  <c r="F2594" i="53"/>
  <c r="F2593" i="53"/>
  <c r="F2592" i="53"/>
  <c r="F2591" i="53"/>
  <c r="F2590" i="53"/>
  <c r="F2589" i="53"/>
  <c r="F2588" i="53"/>
  <c r="F2587" i="53"/>
  <c r="F2586" i="53"/>
  <c r="F2585" i="53"/>
  <c r="L2587" i="53" l="1"/>
  <c r="O2587" i="53"/>
  <c r="L2589" i="53"/>
  <c r="O2589" i="53"/>
  <c r="L2591" i="53"/>
  <c r="O2591" i="53"/>
  <c r="L2593" i="53"/>
  <c r="O2593" i="53"/>
  <c r="L2595" i="53"/>
  <c r="O2595" i="53"/>
  <c r="L2597" i="53"/>
  <c r="O2597" i="53"/>
  <c r="L2599" i="53"/>
  <c r="O2599" i="53"/>
  <c r="L2605" i="53"/>
  <c r="O2605" i="53"/>
  <c r="L2603" i="53"/>
  <c r="O2603" i="53"/>
  <c r="L2601" i="53"/>
  <c r="O2601" i="53"/>
  <c r="L2586" i="53"/>
  <c r="O2586" i="53"/>
  <c r="L2590" i="53"/>
  <c r="O2590" i="53"/>
  <c r="L2592" i="53"/>
  <c r="O2592" i="53"/>
  <c r="L2594" i="53"/>
  <c r="O2594" i="53"/>
  <c r="L2596" i="53"/>
  <c r="O2596" i="53"/>
  <c r="L2598" i="53"/>
  <c r="O2598" i="53"/>
  <c r="L2600" i="53"/>
  <c r="O2600" i="53"/>
  <c r="L2604" i="53"/>
  <c r="O2604" i="53"/>
  <c r="L2602" i="53"/>
  <c r="O2602" i="53"/>
  <c r="L2588" i="53"/>
  <c r="O2588" i="53"/>
  <c r="O2585" i="53"/>
  <c r="K2579" i="53"/>
  <c r="O2579" i="53" s="1"/>
  <c r="K2580" i="53"/>
  <c r="O2580" i="53" s="1"/>
  <c r="K2581" i="53"/>
  <c r="O2581" i="53" s="1"/>
  <c r="K2582" i="53"/>
  <c r="O2582" i="53" s="1"/>
  <c r="K2583" i="53"/>
  <c r="O2583" i="53" s="1"/>
  <c r="K2584" i="53"/>
  <c r="O2584" i="53" s="1"/>
  <c r="L2581" i="53"/>
  <c r="A2582" i="53"/>
  <c r="C2582" i="53"/>
  <c r="A2583" i="53"/>
  <c r="C2583" i="53"/>
  <c r="A2584" i="53"/>
  <c r="C2584" i="53"/>
  <c r="F2581" i="53"/>
  <c r="C3" i="53"/>
  <c r="C4" i="53"/>
  <c r="C5" i="53"/>
  <c r="C6" i="53"/>
  <c r="C7" i="53"/>
  <c r="C8" i="53"/>
  <c r="C9" i="53"/>
  <c r="C10" i="53"/>
  <c r="C11" i="53"/>
  <c r="C12" i="53"/>
  <c r="C13" i="53"/>
  <c r="C14" i="53"/>
  <c r="C15" i="53"/>
  <c r="C16" i="53"/>
  <c r="C17" i="53"/>
  <c r="C18" i="53"/>
  <c r="C19" i="53"/>
  <c r="C20" i="53"/>
  <c r="C21" i="53"/>
  <c r="C22" i="53"/>
  <c r="C23" i="53"/>
  <c r="C24" i="53"/>
  <c r="C25" i="53"/>
  <c r="C26" i="53"/>
  <c r="C27" i="53"/>
  <c r="C28" i="53"/>
  <c r="C29" i="53"/>
  <c r="C30" i="53"/>
  <c r="C31" i="53"/>
  <c r="C32" i="53"/>
  <c r="C33" i="53"/>
  <c r="C34" i="53"/>
  <c r="C35" i="53"/>
  <c r="C36" i="53"/>
  <c r="C37" i="53"/>
  <c r="C38" i="53"/>
  <c r="C39" i="53"/>
  <c r="C40" i="53"/>
  <c r="C41" i="53"/>
  <c r="C42" i="53"/>
  <c r="C43" i="53"/>
  <c r="C44" i="53"/>
  <c r="C45" i="53"/>
  <c r="C46" i="53"/>
  <c r="C55" i="53"/>
  <c r="C56" i="53"/>
  <c r="C57" i="53"/>
  <c r="C58" i="53"/>
  <c r="C60" i="53"/>
  <c r="C61" i="53"/>
  <c r="C62" i="53"/>
  <c r="C63" i="53"/>
  <c r="C64" i="53"/>
  <c r="C65" i="53"/>
  <c r="C66" i="53"/>
  <c r="C67" i="53"/>
  <c r="C68" i="53"/>
  <c r="C69" i="53"/>
  <c r="C70" i="53"/>
  <c r="C71" i="53"/>
  <c r="C72" i="53"/>
  <c r="C73" i="53"/>
  <c r="C74" i="53"/>
  <c r="C75" i="53"/>
  <c r="C76" i="53"/>
  <c r="C77" i="53"/>
  <c r="C78" i="53"/>
  <c r="C79" i="53"/>
  <c r="C80" i="53"/>
  <c r="C81" i="53"/>
  <c r="C82" i="53"/>
  <c r="C83" i="53"/>
  <c r="C84" i="53"/>
  <c r="C85" i="53"/>
  <c r="C86" i="53"/>
  <c r="C87" i="53"/>
  <c r="C89" i="53"/>
  <c r="C90" i="53"/>
  <c r="C91" i="53"/>
  <c r="C92" i="53"/>
  <c r="C93" i="53"/>
  <c r="C94" i="53"/>
  <c r="C95" i="53"/>
  <c r="C96" i="53"/>
  <c r="C97" i="53"/>
  <c r="C98" i="53"/>
  <c r="C99" i="53"/>
  <c r="C101" i="53"/>
  <c r="C102" i="53"/>
  <c r="C103" i="53"/>
  <c r="C104" i="53"/>
  <c r="C105" i="53"/>
  <c r="C106" i="53"/>
  <c r="C107" i="53"/>
  <c r="C108" i="53"/>
  <c r="C109" i="53"/>
  <c r="C110" i="53"/>
  <c r="C111" i="53"/>
  <c r="C112" i="53"/>
  <c r="C113" i="53"/>
  <c r="C114" i="53"/>
  <c r="C115" i="53"/>
  <c r="C116" i="53"/>
  <c r="C117" i="53"/>
  <c r="C118" i="53"/>
  <c r="C119" i="53"/>
  <c r="C120" i="53"/>
  <c r="C121" i="53"/>
  <c r="C122" i="53"/>
  <c r="C123" i="53"/>
  <c r="C124" i="53"/>
  <c r="C125" i="53"/>
  <c r="C126" i="53"/>
  <c r="C127" i="53"/>
  <c r="C128" i="53"/>
  <c r="C129" i="53"/>
  <c r="C130" i="53"/>
  <c r="C131" i="53"/>
  <c r="C132" i="53"/>
  <c r="C133" i="53"/>
  <c r="C134" i="53"/>
  <c r="C137" i="53"/>
  <c r="C138" i="53"/>
  <c r="C139" i="53"/>
  <c r="C140" i="53"/>
  <c r="C142" i="53"/>
  <c r="C143" i="53"/>
  <c r="C144" i="53"/>
  <c r="C145" i="53"/>
  <c r="C146" i="53"/>
  <c r="C147" i="53"/>
  <c r="C148" i="53"/>
  <c r="C149" i="53"/>
  <c r="C150" i="53"/>
  <c r="C151" i="53"/>
  <c r="C152" i="53"/>
  <c r="C153" i="53"/>
  <c r="C154" i="53"/>
  <c r="C155" i="53"/>
  <c r="C156" i="53"/>
  <c r="C157" i="53"/>
  <c r="C158" i="53"/>
  <c r="C159" i="53"/>
  <c r="C160" i="53"/>
  <c r="C161" i="53"/>
  <c r="C162" i="53"/>
  <c r="C163" i="53"/>
  <c r="C164" i="53"/>
  <c r="C165" i="53"/>
  <c r="C166" i="53"/>
  <c r="C167" i="53"/>
  <c r="C168" i="53"/>
  <c r="C169" i="53"/>
  <c r="C170" i="53"/>
  <c r="C171" i="53"/>
  <c r="C172" i="53"/>
  <c r="C173" i="53"/>
  <c r="C174" i="53"/>
  <c r="C175" i="53"/>
  <c r="C176" i="53"/>
  <c r="C177" i="53"/>
  <c r="C178" i="53"/>
  <c r="C179" i="53"/>
  <c r="C180" i="53"/>
  <c r="C181" i="53"/>
  <c r="C182" i="53"/>
  <c r="C183" i="53"/>
  <c r="C184" i="53"/>
  <c r="C185" i="53"/>
  <c r="C186" i="53"/>
  <c r="C187" i="53"/>
  <c r="C188" i="53"/>
  <c r="C189" i="53"/>
  <c r="C190" i="53"/>
  <c r="C191" i="53"/>
  <c r="C192" i="53"/>
  <c r="C193" i="53"/>
  <c r="C194" i="53"/>
  <c r="C195" i="53"/>
  <c r="C196" i="53"/>
  <c r="C197" i="53"/>
  <c r="C198" i="53"/>
  <c r="C199" i="53"/>
  <c r="C200" i="53"/>
  <c r="C201" i="53"/>
  <c r="C202" i="53"/>
  <c r="C203" i="53"/>
  <c r="C204" i="53"/>
  <c r="C205" i="53"/>
  <c r="C206" i="53"/>
  <c r="C207" i="53"/>
  <c r="C208" i="53"/>
  <c r="C209" i="53"/>
  <c r="C210" i="53"/>
  <c r="C211" i="53"/>
  <c r="C212" i="53"/>
  <c r="C213" i="53"/>
  <c r="C214" i="53"/>
  <c r="C215" i="53"/>
  <c r="C216" i="53"/>
  <c r="C217" i="53"/>
  <c r="C218" i="53"/>
  <c r="C219" i="53"/>
  <c r="C220" i="53"/>
  <c r="C221" i="53"/>
  <c r="C222" i="53"/>
  <c r="C223" i="53"/>
  <c r="C224" i="53"/>
  <c r="C225" i="53"/>
  <c r="C226" i="53"/>
  <c r="C227" i="53"/>
  <c r="C228" i="53"/>
  <c r="C229" i="53"/>
  <c r="C230" i="53"/>
  <c r="C231" i="53"/>
  <c r="C232" i="53"/>
  <c r="C233" i="53"/>
  <c r="C234" i="53"/>
  <c r="C235" i="53"/>
  <c r="C236" i="53"/>
  <c r="C237" i="53"/>
  <c r="C238" i="53"/>
  <c r="C239" i="53"/>
  <c r="C240" i="53"/>
  <c r="C241" i="53"/>
  <c r="C242" i="53"/>
  <c r="C243" i="53"/>
  <c r="C244" i="53"/>
  <c r="C245" i="53"/>
  <c r="C246" i="53"/>
  <c r="C247" i="53"/>
  <c r="C248" i="53"/>
  <c r="C249" i="53"/>
  <c r="C250" i="53"/>
  <c r="C251" i="53"/>
  <c r="C252" i="53"/>
  <c r="C253" i="53"/>
  <c r="C254" i="53"/>
  <c r="C255" i="53"/>
  <c r="C256" i="53"/>
  <c r="C257" i="53"/>
  <c r="C258" i="53"/>
  <c r="C260" i="53"/>
  <c r="C261" i="53"/>
  <c r="C262" i="53"/>
  <c r="C263" i="53"/>
  <c r="C265" i="53"/>
  <c r="C266" i="53"/>
  <c r="C267" i="53"/>
  <c r="C268" i="53"/>
  <c r="C269" i="53"/>
  <c r="C270" i="53"/>
  <c r="C271" i="53"/>
  <c r="C272" i="53"/>
  <c r="C273" i="53"/>
  <c r="C274" i="53"/>
  <c r="C275" i="53"/>
  <c r="C276" i="53"/>
  <c r="C277" i="53"/>
  <c r="C278" i="53"/>
  <c r="C279" i="53"/>
  <c r="C280" i="53"/>
  <c r="C281" i="53"/>
  <c r="C282" i="53"/>
  <c r="C283" i="53"/>
  <c r="C284" i="53"/>
  <c r="C285" i="53"/>
  <c r="C286" i="53"/>
  <c r="C287" i="53"/>
  <c r="C288" i="53"/>
  <c r="C289" i="53"/>
  <c r="C290" i="53"/>
  <c r="C291" i="53"/>
  <c r="C292" i="53"/>
  <c r="C293" i="53"/>
  <c r="C294" i="53"/>
  <c r="C295" i="53"/>
  <c r="C296" i="53"/>
  <c r="C297" i="53"/>
  <c r="C298" i="53"/>
  <c r="C299" i="53"/>
  <c r="C300" i="53"/>
  <c r="C301" i="53"/>
  <c r="C302" i="53"/>
  <c r="C303" i="53"/>
  <c r="C304" i="53"/>
  <c r="C305" i="53"/>
  <c r="C306" i="53"/>
  <c r="C307" i="53"/>
  <c r="C308" i="53"/>
  <c r="C309" i="53"/>
  <c r="C310" i="53"/>
  <c r="C311" i="53"/>
  <c r="C312" i="53"/>
  <c r="C313" i="53"/>
  <c r="C314" i="53"/>
  <c r="C315" i="53"/>
  <c r="C316" i="53"/>
  <c r="C317" i="53"/>
  <c r="C318" i="53"/>
  <c r="C319" i="53"/>
  <c r="C320" i="53"/>
  <c r="C321" i="53"/>
  <c r="C322" i="53"/>
  <c r="C323" i="53"/>
  <c r="C324" i="53"/>
  <c r="C325" i="53"/>
  <c r="C326" i="53"/>
  <c r="C327" i="53"/>
  <c r="C328" i="53"/>
  <c r="C329" i="53"/>
  <c r="C330" i="53"/>
  <c r="C331" i="53"/>
  <c r="C332" i="53"/>
  <c r="C333" i="53"/>
  <c r="C334" i="53"/>
  <c r="C335" i="53"/>
  <c r="C336" i="53"/>
  <c r="C337" i="53"/>
  <c r="C338" i="53"/>
  <c r="C339" i="53"/>
  <c r="C340" i="53"/>
  <c r="C341" i="53"/>
  <c r="C342" i="53"/>
  <c r="C343" i="53"/>
  <c r="C344" i="53"/>
  <c r="C345" i="53"/>
  <c r="C346" i="53"/>
  <c r="C347" i="53"/>
  <c r="C348" i="53"/>
  <c r="C349" i="53"/>
  <c r="C350" i="53"/>
  <c r="C351" i="53"/>
  <c r="C352" i="53"/>
  <c r="C353" i="53"/>
  <c r="C354" i="53"/>
  <c r="C355" i="53"/>
  <c r="C356" i="53"/>
  <c r="C357" i="53"/>
  <c r="C358" i="53"/>
  <c r="C359" i="53"/>
  <c r="C360" i="53"/>
  <c r="C361" i="53"/>
  <c r="C362" i="53"/>
  <c r="C363" i="53"/>
  <c r="C364" i="53"/>
  <c r="C365" i="53"/>
  <c r="C367" i="53"/>
  <c r="C368" i="53"/>
  <c r="C369" i="53"/>
  <c r="C370" i="53"/>
  <c r="C371" i="53"/>
  <c r="C372" i="53"/>
  <c r="C373" i="53"/>
  <c r="C374" i="53"/>
  <c r="C375" i="53"/>
  <c r="C376" i="53"/>
  <c r="C377" i="53"/>
  <c r="C378" i="53"/>
  <c r="C379" i="53"/>
  <c r="C380" i="53"/>
  <c r="C381" i="53"/>
  <c r="C382" i="53"/>
  <c r="C383" i="53"/>
  <c r="C384" i="53"/>
  <c r="C385" i="53"/>
  <c r="C386" i="53"/>
  <c r="C387" i="53"/>
  <c r="C388" i="53"/>
  <c r="C389" i="53"/>
  <c r="C390" i="53"/>
  <c r="C391" i="53"/>
  <c r="C392" i="53"/>
  <c r="C393" i="53"/>
  <c r="C394" i="53"/>
  <c r="C395" i="53"/>
  <c r="C396" i="53"/>
  <c r="C397" i="53"/>
  <c r="C398" i="53"/>
  <c r="C399" i="53"/>
  <c r="C400" i="53"/>
  <c r="C401" i="53"/>
  <c r="C402" i="53"/>
  <c r="C403" i="53"/>
  <c r="C404" i="53"/>
  <c r="C405" i="53"/>
  <c r="C406" i="53"/>
  <c r="C407" i="53"/>
  <c r="C408" i="53"/>
  <c r="C409" i="53"/>
  <c r="C410" i="53"/>
  <c r="C411" i="53"/>
  <c r="C412" i="53"/>
  <c r="C413" i="53"/>
  <c r="C414" i="53"/>
  <c r="C415" i="53"/>
  <c r="C417" i="53"/>
  <c r="C418" i="53"/>
  <c r="C419" i="53"/>
  <c r="C420" i="53"/>
  <c r="C421" i="53"/>
  <c r="C422" i="53"/>
  <c r="C423" i="53"/>
  <c r="C424" i="53"/>
  <c r="C425" i="53"/>
  <c r="C426" i="53"/>
  <c r="C427" i="53"/>
  <c r="C428" i="53"/>
  <c r="C429" i="53"/>
  <c r="C430" i="53"/>
  <c r="C431" i="53"/>
  <c r="C432" i="53"/>
  <c r="C433" i="53"/>
  <c r="C434" i="53"/>
  <c r="C435" i="53"/>
  <c r="C436" i="53"/>
  <c r="C437" i="53"/>
  <c r="C438" i="53"/>
  <c r="C439" i="53"/>
  <c r="C440" i="53"/>
  <c r="C441" i="53"/>
  <c r="C442" i="53"/>
  <c r="C443" i="53"/>
  <c r="C444" i="53"/>
  <c r="C445" i="53"/>
  <c r="C446" i="53"/>
  <c r="C447" i="53"/>
  <c r="C448" i="53"/>
  <c r="C449" i="53"/>
  <c r="C450" i="53"/>
  <c r="C451" i="53"/>
  <c r="C452" i="53"/>
  <c r="C453" i="53"/>
  <c r="C454" i="53"/>
  <c r="C455" i="53"/>
  <c r="C456" i="53"/>
  <c r="C457" i="53"/>
  <c r="C458" i="53"/>
  <c r="C459" i="53"/>
  <c r="C460" i="53"/>
  <c r="C461" i="53"/>
  <c r="C462" i="53"/>
  <c r="C463" i="53"/>
  <c r="C464" i="53"/>
  <c r="C465" i="53"/>
  <c r="C466" i="53"/>
  <c r="C467" i="53"/>
  <c r="C468" i="53"/>
  <c r="C469" i="53"/>
  <c r="C471" i="53"/>
  <c r="C472" i="53"/>
  <c r="C473" i="53"/>
  <c r="C474" i="53"/>
  <c r="C475" i="53"/>
  <c r="C476" i="53"/>
  <c r="C477" i="53"/>
  <c r="C478" i="53"/>
  <c r="C479" i="53"/>
  <c r="C480" i="53"/>
  <c r="C481" i="53"/>
  <c r="C482" i="53"/>
  <c r="C483" i="53"/>
  <c r="C484" i="53"/>
  <c r="C485" i="53"/>
  <c r="C486" i="53"/>
  <c r="C487" i="53"/>
  <c r="C488" i="53"/>
  <c r="C489" i="53"/>
  <c r="C490" i="53"/>
  <c r="C491" i="53"/>
  <c r="C492" i="53"/>
  <c r="C493" i="53"/>
  <c r="C494" i="53"/>
  <c r="C495" i="53"/>
  <c r="C496" i="53"/>
  <c r="C497" i="53"/>
  <c r="C498" i="53"/>
  <c r="C499" i="53"/>
  <c r="C500" i="53"/>
  <c r="C501" i="53"/>
  <c r="C502" i="53"/>
  <c r="C503" i="53"/>
  <c r="C505" i="53"/>
  <c r="C506" i="53"/>
  <c r="C507" i="53"/>
  <c r="C508" i="53"/>
  <c r="C509" i="53"/>
  <c r="C510" i="53"/>
  <c r="C511" i="53"/>
  <c r="C512" i="53"/>
  <c r="C513" i="53"/>
  <c r="C514" i="53"/>
  <c r="C515" i="53"/>
  <c r="C516" i="53"/>
  <c r="C517" i="53"/>
  <c r="C518" i="53"/>
  <c r="C519" i="53"/>
  <c r="C520" i="53"/>
  <c r="C521" i="53"/>
  <c r="C522" i="53"/>
  <c r="C523" i="53"/>
  <c r="C524" i="53"/>
  <c r="C525" i="53"/>
  <c r="C526" i="53"/>
  <c r="C527" i="53"/>
  <c r="C528" i="53"/>
  <c r="C529" i="53"/>
  <c r="C530" i="53"/>
  <c r="C531" i="53"/>
  <c r="C532" i="53"/>
  <c r="C533" i="53"/>
  <c r="C534" i="53"/>
  <c r="C535" i="53"/>
  <c r="C536" i="53"/>
  <c r="C537" i="53"/>
  <c r="C538" i="53"/>
  <c r="C539" i="53"/>
  <c r="C540" i="53"/>
  <c r="C541" i="53"/>
  <c r="C542" i="53"/>
  <c r="C543" i="53"/>
  <c r="C544" i="53"/>
  <c r="C545" i="53"/>
  <c r="C546" i="53"/>
  <c r="C547" i="53"/>
  <c r="C548" i="53"/>
  <c r="C549" i="53"/>
  <c r="C550" i="53"/>
  <c r="C551" i="53"/>
  <c r="C552" i="53"/>
  <c r="C553" i="53"/>
  <c r="C554" i="53"/>
  <c r="C555" i="53"/>
  <c r="C556" i="53"/>
  <c r="C557" i="53"/>
  <c r="C558" i="53"/>
  <c r="C559" i="53"/>
  <c r="C560" i="53"/>
  <c r="C561" i="53"/>
  <c r="C562" i="53"/>
  <c r="C563" i="53"/>
  <c r="C564" i="53"/>
  <c r="C565" i="53"/>
  <c r="C566" i="53"/>
  <c r="C567" i="53"/>
  <c r="C568" i="53"/>
  <c r="C569" i="53"/>
  <c r="C570" i="53"/>
  <c r="C571" i="53"/>
  <c r="C572" i="53"/>
  <c r="C573" i="53"/>
  <c r="C574" i="53"/>
  <c r="C575" i="53"/>
  <c r="C576" i="53"/>
  <c r="C577" i="53"/>
  <c r="C578" i="53"/>
  <c r="C579" i="53"/>
  <c r="C580" i="53"/>
  <c r="C581" i="53"/>
  <c r="C582" i="53"/>
  <c r="C583" i="53"/>
  <c r="C584" i="53"/>
  <c r="C585" i="53"/>
  <c r="C586" i="53"/>
  <c r="C587" i="53"/>
  <c r="C588" i="53"/>
  <c r="C589" i="53"/>
  <c r="C590" i="53"/>
  <c r="C591" i="53"/>
  <c r="C592" i="53"/>
  <c r="C593" i="53"/>
  <c r="C594" i="53"/>
  <c r="C595" i="53"/>
  <c r="C596" i="53"/>
  <c r="C597" i="53"/>
  <c r="C598" i="53"/>
  <c r="C599" i="53"/>
  <c r="C600" i="53"/>
  <c r="C601" i="53"/>
  <c r="C602" i="53"/>
  <c r="C603" i="53"/>
  <c r="C604" i="53"/>
  <c r="C605" i="53"/>
  <c r="C606" i="53"/>
  <c r="C607" i="53"/>
  <c r="C608" i="53"/>
  <c r="C609" i="53"/>
  <c r="C610" i="53"/>
  <c r="C611" i="53"/>
  <c r="C612" i="53"/>
  <c r="C613" i="53"/>
  <c r="C614" i="53"/>
  <c r="C615" i="53"/>
  <c r="C616" i="53"/>
  <c r="C617" i="53"/>
  <c r="C618" i="53"/>
  <c r="C619" i="53"/>
  <c r="C620" i="53"/>
  <c r="C621" i="53"/>
  <c r="C625" i="53"/>
  <c r="C627" i="53"/>
  <c r="C628" i="53"/>
  <c r="C629" i="53"/>
  <c r="C630" i="53"/>
  <c r="C631" i="53"/>
  <c r="C632" i="53"/>
  <c r="C634" i="53"/>
  <c r="C635" i="53"/>
  <c r="C636" i="53"/>
  <c r="C637" i="53"/>
  <c r="C638" i="53"/>
  <c r="C639" i="53"/>
  <c r="C640" i="53"/>
  <c r="C641" i="53"/>
  <c r="C642" i="53"/>
  <c r="C643" i="53"/>
  <c r="C644" i="53"/>
  <c r="C645" i="53"/>
  <c r="C646" i="53"/>
  <c r="C647" i="53"/>
  <c r="C648" i="53"/>
  <c r="C649" i="53"/>
  <c r="C650" i="53"/>
  <c r="C651" i="53"/>
  <c r="C652" i="53"/>
  <c r="C653" i="53"/>
  <c r="C654" i="53"/>
  <c r="C655" i="53"/>
  <c r="C656" i="53"/>
  <c r="C657" i="53"/>
  <c r="C658" i="53"/>
  <c r="C659" i="53"/>
  <c r="C660" i="53"/>
  <c r="C661" i="53"/>
  <c r="C662" i="53"/>
  <c r="C663" i="53"/>
  <c r="C664" i="53"/>
  <c r="C665" i="53"/>
  <c r="C666" i="53"/>
  <c r="C667" i="53"/>
  <c r="C668" i="53"/>
  <c r="C669" i="53"/>
  <c r="C670" i="53"/>
  <c r="C671" i="53"/>
  <c r="C672" i="53"/>
  <c r="C673" i="53"/>
  <c r="C674" i="53"/>
  <c r="C675" i="53"/>
  <c r="C676" i="53"/>
  <c r="C677" i="53"/>
  <c r="C678" i="53"/>
  <c r="C679" i="53"/>
  <c r="C680" i="53"/>
  <c r="C681" i="53"/>
  <c r="C682" i="53"/>
  <c r="C683" i="53"/>
  <c r="C684" i="53"/>
  <c r="C685" i="53"/>
  <c r="C686" i="53"/>
  <c r="C687" i="53"/>
  <c r="C688" i="53"/>
  <c r="C689" i="53"/>
  <c r="C690" i="53"/>
  <c r="C691" i="53"/>
  <c r="C692" i="53"/>
  <c r="C693" i="53"/>
  <c r="C694" i="53"/>
  <c r="C695" i="53"/>
  <c r="C696" i="53"/>
  <c r="C697" i="53"/>
  <c r="C698" i="53"/>
  <c r="C699" i="53"/>
  <c r="C700" i="53"/>
  <c r="C701" i="53"/>
  <c r="C702" i="53"/>
  <c r="C703" i="53"/>
  <c r="C704" i="53"/>
  <c r="C705" i="53"/>
  <c r="C706" i="53"/>
  <c r="C707" i="53"/>
  <c r="C708" i="53"/>
  <c r="C709" i="53"/>
  <c r="C710" i="53"/>
  <c r="C711" i="53"/>
  <c r="C712" i="53"/>
  <c r="C713" i="53"/>
  <c r="C714" i="53"/>
  <c r="C715" i="53"/>
  <c r="C716" i="53"/>
  <c r="C717" i="53"/>
  <c r="C718" i="53"/>
  <c r="C719" i="53"/>
  <c r="C720" i="53"/>
  <c r="C721" i="53"/>
  <c r="C722" i="53"/>
  <c r="C723" i="53"/>
  <c r="C724" i="53"/>
  <c r="C725" i="53"/>
  <c r="C726" i="53"/>
  <c r="C727" i="53"/>
  <c r="C728" i="53"/>
  <c r="C729" i="53"/>
  <c r="C730" i="53"/>
  <c r="C731" i="53"/>
  <c r="C733" i="53"/>
  <c r="C734" i="53"/>
  <c r="C735" i="53"/>
  <c r="C736" i="53"/>
  <c r="C737" i="53"/>
  <c r="C738" i="53"/>
  <c r="C739" i="53"/>
  <c r="C740" i="53"/>
  <c r="C741" i="53"/>
  <c r="C742" i="53"/>
  <c r="C743" i="53"/>
  <c r="C744" i="53"/>
  <c r="C745" i="53"/>
  <c r="C746" i="53"/>
  <c r="C747" i="53"/>
  <c r="C748" i="53"/>
  <c r="C749" i="53"/>
  <c r="C750" i="53"/>
  <c r="C751" i="53"/>
  <c r="C752" i="53"/>
  <c r="C753" i="53"/>
  <c r="C754" i="53"/>
  <c r="C755" i="53"/>
  <c r="C756" i="53"/>
  <c r="C757" i="53"/>
  <c r="C758" i="53"/>
  <c r="C759" i="53"/>
  <c r="C760" i="53"/>
  <c r="C761" i="53"/>
  <c r="C762" i="53"/>
  <c r="C763" i="53"/>
  <c r="C764" i="53"/>
  <c r="C765" i="53"/>
  <c r="C766" i="53"/>
  <c r="C767" i="53"/>
  <c r="C768" i="53"/>
  <c r="C769" i="53"/>
  <c r="C770" i="53"/>
  <c r="C771" i="53"/>
  <c r="C772" i="53"/>
  <c r="C773" i="53"/>
  <c r="C774" i="53"/>
  <c r="C775" i="53"/>
  <c r="C776" i="53"/>
  <c r="C777" i="53"/>
  <c r="C778" i="53"/>
  <c r="C779" i="53"/>
  <c r="C780" i="53"/>
  <c r="C781" i="53"/>
  <c r="C782" i="53"/>
  <c r="C783" i="53"/>
  <c r="C784" i="53"/>
  <c r="C785" i="53"/>
  <c r="C786" i="53"/>
  <c r="C787" i="53"/>
  <c r="C788" i="53"/>
  <c r="C789" i="53"/>
  <c r="C790" i="53"/>
  <c r="C791" i="53"/>
  <c r="C792" i="53"/>
  <c r="C793" i="53"/>
  <c r="C794" i="53"/>
  <c r="C795" i="53"/>
  <c r="C796" i="53"/>
  <c r="C797" i="53"/>
  <c r="C798" i="53"/>
  <c r="C799" i="53"/>
  <c r="C800" i="53"/>
  <c r="C801" i="53"/>
  <c r="C802" i="53"/>
  <c r="C803" i="53"/>
  <c r="C804" i="53"/>
  <c r="C805" i="53"/>
  <c r="C806" i="53"/>
  <c r="C807" i="53"/>
  <c r="C808" i="53"/>
  <c r="C809" i="53"/>
  <c r="C810" i="53"/>
  <c r="C811" i="53"/>
  <c r="C812" i="53"/>
  <c r="C813" i="53"/>
  <c r="C814" i="53"/>
  <c r="C815" i="53"/>
  <c r="C816" i="53"/>
  <c r="C817" i="53"/>
  <c r="C818" i="53"/>
  <c r="C819" i="53"/>
  <c r="C820" i="53"/>
  <c r="C821" i="53"/>
  <c r="C822" i="53"/>
  <c r="C823" i="53"/>
  <c r="C825" i="53"/>
  <c r="C826" i="53"/>
  <c r="C827" i="53"/>
  <c r="C828" i="53"/>
  <c r="C829" i="53"/>
  <c r="C830" i="53"/>
  <c r="C831" i="53"/>
  <c r="C832" i="53"/>
  <c r="C833" i="53"/>
  <c r="C834" i="53"/>
  <c r="C835" i="53"/>
  <c r="C836" i="53"/>
  <c r="C837" i="53"/>
  <c r="C838" i="53"/>
  <c r="C839" i="53"/>
  <c r="C840" i="53"/>
  <c r="C841" i="53"/>
  <c r="C842" i="53"/>
  <c r="C843" i="53"/>
  <c r="C844" i="53"/>
  <c r="C845" i="53"/>
  <c r="C846" i="53"/>
  <c r="C847" i="53"/>
  <c r="C848" i="53"/>
  <c r="C849" i="53"/>
  <c r="C850" i="53"/>
  <c r="C851" i="53"/>
  <c r="C852" i="53"/>
  <c r="C853" i="53"/>
  <c r="C854" i="53"/>
  <c r="C855" i="53"/>
  <c r="C856" i="53"/>
  <c r="C857" i="53"/>
  <c r="C858" i="53"/>
  <c r="C859" i="53"/>
  <c r="C860" i="53"/>
  <c r="C861" i="53"/>
  <c r="C862" i="53"/>
  <c r="C863" i="53"/>
  <c r="C864" i="53"/>
  <c r="C865" i="53"/>
  <c r="C866" i="53"/>
  <c r="C867" i="53"/>
  <c r="C868" i="53"/>
  <c r="C869" i="53"/>
  <c r="C870" i="53"/>
  <c r="C871" i="53"/>
  <c r="C872" i="53"/>
  <c r="C873" i="53"/>
  <c r="C874" i="53"/>
  <c r="C875" i="53"/>
  <c r="C876" i="53"/>
  <c r="C877" i="53"/>
  <c r="C878" i="53"/>
  <c r="C879" i="53"/>
  <c r="C880" i="53"/>
  <c r="C883" i="53"/>
  <c r="C884" i="53"/>
  <c r="C885" i="53"/>
  <c r="C886" i="53"/>
  <c r="C887" i="53"/>
  <c r="C888" i="53"/>
  <c r="C893" i="53"/>
  <c r="C894" i="53"/>
  <c r="C895" i="53"/>
  <c r="C896" i="53"/>
  <c r="C897" i="53"/>
  <c r="C898" i="53"/>
  <c r="C899" i="53"/>
  <c r="C900" i="53"/>
  <c r="C901" i="53"/>
  <c r="C902" i="53"/>
  <c r="C903" i="53"/>
  <c r="C904" i="53"/>
  <c r="C905" i="53"/>
  <c r="C906" i="53"/>
  <c r="C907" i="53"/>
  <c r="C909" i="53"/>
  <c r="C910" i="53"/>
  <c r="C911" i="53"/>
  <c r="C912" i="53"/>
  <c r="C913" i="53"/>
  <c r="C914" i="53"/>
  <c r="C915" i="53"/>
  <c r="C916" i="53"/>
  <c r="C918" i="53"/>
  <c r="C919" i="53"/>
  <c r="C920" i="53"/>
  <c r="C921" i="53"/>
  <c r="C922" i="53"/>
  <c r="C923" i="53"/>
  <c r="C924" i="53"/>
  <c r="C925" i="53"/>
  <c r="C926" i="53"/>
  <c r="C927" i="53"/>
  <c r="C928" i="53"/>
  <c r="C929" i="53"/>
  <c r="C930" i="53"/>
  <c r="C931" i="53"/>
  <c r="C932" i="53"/>
  <c r="C933" i="53"/>
  <c r="C934" i="53"/>
  <c r="C935" i="53"/>
  <c r="C936" i="53"/>
  <c r="C937" i="53"/>
  <c r="C938" i="53"/>
  <c r="C939" i="53"/>
  <c r="C940" i="53"/>
  <c r="C941" i="53"/>
  <c r="C942" i="53"/>
  <c r="C943" i="53"/>
  <c r="C944" i="53"/>
  <c r="C945" i="53"/>
  <c r="C946" i="53"/>
  <c r="C947" i="53"/>
  <c r="C948" i="53"/>
  <c r="C949" i="53"/>
  <c r="C950" i="53"/>
  <c r="C951" i="53"/>
  <c r="C952" i="53"/>
  <c r="C953" i="53"/>
  <c r="C954" i="53"/>
  <c r="C955" i="53"/>
  <c r="C956" i="53"/>
  <c r="C957" i="53"/>
  <c r="C958" i="53"/>
  <c r="C959" i="53"/>
  <c r="C960" i="53"/>
  <c r="C961" i="53"/>
  <c r="C962" i="53"/>
  <c r="C963" i="53"/>
  <c r="C964" i="53"/>
  <c r="C965" i="53"/>
  <c r="C966" i="53"/>
  <c r="C967" i="53"/>
  <c r="C968" i="53"/>
  <c r="C970" i="53"/>
  <c r="C971" i="53"/>
  <c r="C972" i="53"/>
  <c r="C973" i="53"/>
  <c r="C974" i="53"/>
  <c r="C975" i="53"/>
  <c r="C976" i="53"/>
  <c r="C977" i="53"/>
  <c r="C978" i="53"/>
  <c r="C979" i="53"/>
  <c r="C980" i="53"/>
  <c r="C981" i="53"/>
  <c r="C982" i="53"/>
  <c r="C983" i="53"/>
  <c r="C984" i="53"/>
  <c r="C985" i="53"/>
  <c r="C986" i="53"/>
  <c r="C987" i="53"/>
  <c r="C988" i="53"/>
  <c r="C989" i="53"/>
  <c r="C990" i="53"/>
  <c r="C991" i="53"/>
  <c r="C992" i="53"/>
  <c r="C993" i="53"/>
  <c r="C994" i="53"/>
  <c r="C995" i="53"/>
  <c r="C996" i="53"/>
  <c r="C997" i="53"/>
  <c r="C998" i="53"/>
  <c r="C999" i="53"/>
  <c r="C1000" i="53"/>
  <c r="C1001" i="53"/>
  <c r="C1002" i="53"/>
  <c r="C1003" i="53"/>
  <c r="C1004" i="53"/>
  <c r="C1005" i="53"/>
  <c r="C1006" i="53"/>
  <c r="C1007" i="53"/>
  <c r="C1008" i="53"/>
  <c r="C1009" i="53"/>
  <c r="C1010" i="53"/>
  <c r="C1011" i="53"/>
  <c r="C1012" i="53"/>
  <c r="C1013" i="53"/>
  <c r="C1014" i="53"/>
  <c r="C1015" i="53"/>
  <c r="C1016" i="53"/>
  <c r="C1017" i="53"/>
  <c r="C1018" i="53"/>
  <c r="C1019" i="53"/>
  <c r="C1020" i="53"/>
  <c r="C1021" i="53"/>
  <c r="C1022" i="53"/>
  <c r="C1023" i="53"/>
  <c r="C1024" i="53"/>
  <c r="C1025" i="53"/>
  <c r="C1026" i="53"/>
  <c r="C1027" i="53"/>
  <c r="C1028" i="53"/>
  <c r="C1029" i="53"/>
  <c r="C1030" i="53"/>
  <c r="C1031" i="53"/>
  <c r="C1032" i="53"/>
  <c r="C1033" i="53"/>
  <c r="C1034" i="53"/>
  <c r="C1035" i="53"/>
  <c r="C1036" i="53"/>
  <c r="C1037" i="53"/>
  <c r="C1038" i="53"/>
  <c r="C1039" i="53"/>
  <c r="C1040" i="53"/>
  <c r="C1041" i="53"/>
  <c r="C1042" i="53"/>
  <c r="C1043" i="53"/>
  <c r="C1044" i="53"/>
  <c r="C1045" i="53"/>
  <c r="C1046" i="53"/>
  <c r="C1047" i="53"/>
  <c r="C1048" i="53"/>
  <c r="C1049" i="53"/>
  <c r="C1051" i="53"/>
  <c r="C1054" i="53"/>
  <c r="C1055" i="53"/>
  <c r="C1056" i="53"/>
  <c r="C1057" i="53"/>
  <c r="C1058" i="53"/>
  <c r="C1059" i="53"/>
  <c r="C1060" i="53"/>
  <c r="C1061" i="53"/>
  <c r="C1062" i="53"/>
  <c r="C1063" i="53"/>
  <c r="C1064" i="53"/>
  <c r="C1065" i="53"/>
  <c r="C1066" i="53"/>
  <c r="C1067" i="53"/>
  <c r="C1068" i="53"/>
  <c r="C1069" i="53"/>
  <c r="C1070" i="53"/>
  <c r="C1071" i="53"/>
  <c r="C1072" i="53"/>
  <c r="C1073" i="53"/>
  <c r="C1074" i="53"/>
  <c r="C1075" i="53"/>
  <c r="C1076" i="53"/>
  <c r="C1077" i="53"/>
  <c r="C1078" i="53"/>
  <c r="C1079" i="53"/>
  <c r="C1080" i="53"/>
  <c r="C1081" i="53"/>
  <c r="C1082" i="53"/>
  <c r="C1083" i="53"/>
  <c r="C1084" i="53"/>
  <c r="C1085" i="53"/>
  <c r="C1086" i="53"/>
  <c r="C1087" i="53"/>
  <c r="C1088" i="53"/>
  <c r="C1089" i="53"/>
  <c r="C1090" i="53"/>
  <c r="C1091" i="53"/>
  <c r="C1092" i="53"/>
  <c r="C1093" i="53"/>
  <c r="C1094" i="53"/>
  <c r="C1095" i="53"/>
  <c r="C1096" i="53"/>
  <c r="C1097" i="53"/>
  <c r="C1098" i="53"/>
  <c r="C1100" i="53"/>
  <c r="C1101" i="53"/>
  <c r="C1102" i="53"/>
  <c r="C1103" i="53"/>
  <c r="C1104" i="53"/>
  <c r="C1105" i="53"/>
  <c r="C1106" i="53"/>
  <c r="C1108" i="53"/>
  <c r="C1109" i="53"/>
  <c r="C1110" i="53"/>
  <c r="C1111" i="53"/>
  <c r="C1112" i="53"/>
  <c r="C1113" i="53"/>
  <c r="C1114" i="53"/>
  <c r="C1115" i="53"/>
  <c r="C1116" i="53"/>
  <c r="C1117" i="53"/>
  <c r="C1118" i="53"/>
  <c r="C1120" i="53"/>
  <c r="C1121" i="53"/>
  <c r="C1122" i="53"/>
  <c r="C1123" i="53"/>
  <c r="C1124" i="53"/>
  <c r="C1125" i="53"/>
  <c r="C1127" i="53"/>
  <c r="C1128" i="53"/>
  <c r="C1129" i="53"/>
  <c r="C1130" i="53"/>
  <c r="C1131" i="53"/>
  <c r="C1132" i="53"/>
  <c r="C1133" i="53"/>
  <c r="C1134" i="53"/>
  <c r="C1135" i="53"/>
  <c r="C1136" i="53"/>
  <c r="C1137" i="53"/>
  <c r="C1138" i="53"/>
  <c r="C1139" i="53"/>
  <c r="C1143" i="53"/>
  <c r="C1144" i="53"/>
  <c r="C1145" i="53"/>
  <c r="C1146" i="53"/>
  <c r="C1147" i="53"/>
  <c r="C1148" i="53"/>
  <c r="C1149" i="53"/>
  <c r="C1150" i="53"/>
  <c r="C1151" i="53"/>
  <c r="C1152" i="53"/>
  <c r="C1153" i="53"/>
  <c r="C1154" i="53"/>
  <c r="C1155" i="53"/>
  <c r="C1156" i="53"/>
  <c r="C1157" i="53"/>
  <c r="C1158" i="53"/>
  <c r="C1159" i="53"/>
  <c r="C1160" i="53"/>
  <c r="C1161" i="53"/>
  <c r="C1162" i="53"/>
  <c r="C1163" i="53"/>
  <c r="C1164" i="53"/>
  <c r="C1165" i="53"/>
  <c r="C1166" i="53"/>
  <c r="C1167" i="53"/>
  <c r="C1168" i="53"/>
  <c r="C1169" i="53"/>
  <c r="C1170" i="53"/>
  <c r="C1171" i="53"/>
  <c r="C1172" i="53"/>
  <c r="C1173" i="53"/>
  <c r="C1174" i="53"/>
  <c r="C1175" i="53"/>
  <c r="C1176" i="53"/>
  <c r="C1177" i="53"/>
  <c r="C1178" i="53"/>
  <c r="C1179" i="53"/>
  <c r="C1180" i="53"/>
  <c r="C1181" i="53"/>
  <c r="C1182" i="53"/>
  <c r="C1183" i="53"/>
  <c r="C1184" i="53"/>
  <c r="C1185" i="53"/>
  <c r="C1186" i="53"/>
  <c r="C1187" i="53"/>
  <c r="C1188" i="53"/>
  <c r="C1189" i="53"/>
  <c r="C1190" i="53"/>
  <c r="C1191" i="53"/>
  <c r="C1192" i="53"/>
  <c r="C1193" i="53"/>
  <c r="C1194" i="53"/>
  <c r="C1195" i="53"/>
  <c r="C1196" i="53"/>
  <c r="C1197" i="53"/>
  <c r="C1198" i="53"/>
  <c r="C1199" i="53"/>
  <c r="C1200" i="53"/>
  <c r="C1201" i="53"/>
  <c r="C1202" i="53"/>
  <c r="C1203" i="53"/>
  <c r="C1204" i="53"/>
  <c r="C1205" i="53"/>
  <c r="C1206" i="53"/>
  <c r="C1207" i="53"/>
  <c r="C1208" i="53"/>
  <c r="C1209" i="53"/>
  <c r="C1210" i="53"/>
  <c r="C1211" i="53"/>
  <c r="C1212" i="53"/>
  <c r="C1213" i="53"/>
  <c r="C1214" i="53"/>
  <c r="C1215" i="53"/>
  <c r="C1216" i="53"/>
  <c r="C1217" i="53"/>
  <c r="C1218" i="53"/>
  <c r="C1219" i="53"/>
  <c r="C1220" i="53"/>
  <c r="C1221" i="53"/>
  <c r="C1222" i="53"/>
  <c r="C1223" i="53"/>
  <c r="C1224" i="53"/>
  <c r="C1225" i="53"/>
  <c r="C1226" i="53"/>
  <c r="C1227" i="53"/>
  <c r="C1228" i="53"/>
  <c r="C1229" i="53"/>
  <c r="C1230" i="53"/>
  <c r="C1231" i="53"/>
  <c r="C1232" i="53"/>
  <c r="C1233" i="53"/>
  <c r="C1234" i="53"/>
  <c r="C1235" i="53"/>
  <c r="C1236" i="53"/>
  <c r="C1237" i="53"/>
  <c r="C1238" i="53"/>
  <c r="C1239" i="53"/>
  <c r="C1240" i="53"/>
  <c r="C1241" i="53"/>
  <c r="C1242" i="53"/>
  <c r="C1243" i="53"/>
  <c r="C1244" i="53"/>
  <c r="C1245" i="53"/>
  <c r="C1246" i="53"/>
  <c r="C1247" i="53"/>
  <c r="C1248" i="53"/>
  <c r="C1249" i="53"/>
  <c r="C1250" i="53"/>
  <c r="C1251" i="53"/>
  <c r="C1252" i="53"/>
  <c r="C1253" i="53"/>
  <c r="C1254" i="53"/>
  <c r="C1255" i="53"/>
  <c r="C1256" i="53"/>
  <c r="C1257" i="53"/>
  <c r="C1258" i="53"/>
  <c r="C1259" i="53"/>
  <c r="C1260" i="53"/>
  <c r="C1261" i="53"/>
  <c r="C1262" i="53"/>
  <c r="C1263" i="53"/>
  <c r="C1264" i="53"/>
  <c r="C1265" i="53"/>
  <c r="C1266" i="53"/>
  <c r="C1267" i="53"/>
  <c r="C1268" i="53"/>
  <c r="C1269" i="53"/>
  <c r="C1270" i="53"/>
  <c r="C1271" i="53"/>
  <c r="C1272" i="53"/>
  <c r="C1273" i="53"/>
  <c r="C1274" i="53"/>
  <c r="C1275" i="53"/>
  <c r="C1276" i="53"/>
  <c r="C1277" i="53"/>
  <c r="C1278" i="53"/>
  <c r="C1279" i="53"/>
  <c r="C1280" i="53"/>
  <c r="C1281" i="53"/>
  <c r="C1282" i="53"/>
  <c r="C1283" i="53"/>
  <c r="C1284" i="53"/>
  <c r="C1285" i="53"/>
  <c r="C1286" i="53"/>
  <c r="C1287" i="53"/>
  <c r="C1288" i="53"/>
  <c r="C1289" i="53"/>
  <c r="C1290" i="53"/>
  <c r="C1291" i="53"/>
  <c r="C1292" i="53"/>
  <c r="C1293" i="53"/>
  <c r="C1294" i="53"/>
  <c r="C1295" i="53"/>
  <c r="C1296" i="53"/>
  <c r="C1297" i="53"/>
  <c r="C1298" i="53"/>
  <c r="C1299" i="53"/>
  <c r="C1300" i="53"/>
  <c r="C1301" i="53"/>
  <c r="C1302" i="53"/>
  <c r="C1303" i="53"/>
  <c r="C1304" i="53"/>
  <c r="C1305" i="53"/>
  <c r="C1306" i="53"/>
  <c r="C1307" i="53"/>
  <c r="C1308" i="53"/>
  <c r="C1309" i="53"/>
  <c r="C1310" i="53"/>
  <c r="C1311" i="53"/>
  <c r="C1312" i="53"/>
  <c r="C1313" i="53"/>
  <c r="C1314" i="53"/>
  <c r="C1315" i="53"/>
  <c r="C1316" i="53"/>
  <c r="C1317" i="53"/>
  <c r="C1322" i="53"/>
  <c r="C1323" i="53"/>
  <c r="C1324" i="53"/>
  <c r="C1325" i="53"/>
  <c r="C1328" i="53"/>
  <c r="C1329" i="53"/>
  <c r="C1330" i="53"/>
  <c r="C1331" i="53"/>
  <c r="C1332" i="53"/>
  <c r="C1333" i="53"/>
  <c r="C1334" i="53"/>
  <c r="C1335" i="53"/>
  <c r="C1336" i="53"/>
  <c r="C1337" i="53"/>
  <c r="C1338" i="53"/>
  <c r="C1339" i="53"/>
  <c r="C1342" i="53"/>
  <c r="C1343" i="53"/>
  <c r="C1344" i="53"/>
  <c r="C1345" i="53"/>
  <c r="C1346" i="53"/>
  <c r="C1347" i="53"/>
  <c r="C1348" i="53"/>
  <c r="C1349" i="53"/>
  <c r="C1350" i="53"/>
  <c r="C1351" i="53"/>
  <c r="C1352" i="53"/>
  <c r="C1353" i="53"/>
  <c r="C1354" i="53"/>
  <c r="C1355" i="53"/>
  <c r="C1356" i="53"/>
  <c r="C1357" i="53"/>
  <c r="C1358" i="53"/>
  <c r="C1359" i="53"/>
  <c r="C1360" i="53"/>
  <c r="C1361" i="53"/>
  <c r="C1362" i="53"/>
  <c r="C1363" i="53"/>
  <c r="C1364" i="53"/>
  <c r="C1365" i="53"/>
  <c r="C1366" i="53"/>
  <c r="C1367" i="53"/>
  <c r="C1368" i="53"/>
  <c r="C1369" i="53"/>
  <c r="C1370" i="53"/>
  <c r="C1371" i="53"/>
  <c r="C1372" i="53"/>
  <c r="C1373" i="53"/>
  <c r="C1374" i="53"/>
  <c r="C1375" i="53"/>
  <c r="C1376" i="53"/>
  <c r="C1377" i="53"/>
  <c r="C1378" i="53"/>
  <c r="C1379" i="53"/>
  <c r="C1380" i="53"/>
  <c r="C1381" i="53"/>
  <c r="C1382" i="53"/>
  <c r="C1383" i="53"/>
  <c r="C1384" i="53"/>
  <c r="C1385" i="53"/>
  <c r="C1386" i="53"/>
  <c r="C1387" i="53"/>
  <c r="C1388" i="53"/>
  <c r="C1389" i="53"/>
  <c r="C1390" i="53"/>
  <c r="C1391" i="53"/>
  <c r="C1392" i="53"/>
  <c r="C1393" i="53"/>
  <c r="C1394" i="53"/>
  <c r="C1395" i="53"/>
  <c r="C1396" i="53"/>
  <c r="C1397" i="53"/>
  <c r="C1398" i="53"/>
  <c r="C1399" i="53"/>
  <c r="C1400" i="53"/>
  <c r="C1401" i="53"/>
  <c r="C1402" i="53"/>
  <c r="C1403" i="53"/>
  <c r="C1404" i="53"/>
  <c r="C1405" i="53"/>
  <c r="C1406" i="53"/>
  <c r="C1407" i="53"/>
  <c r="C1408" i="53"/>
  <c r="C1409" i="53"/>
  <c r="C1410" i="53"/>
  <c r="C1411" i="53"/>
  <c r="C1412" i="53"/>
  <c r="C1413" i="53"/>
  <c r="C1414" i="53"/>
  <c r="C1415" i="53"/>
  <c r="C1416" i="53"/>
  <c r="C1417" i="53"/>
  <c r="C1418" i="53"/>
  <c r="C1419" i="53"/>
  <c r="C1420" i="53"/>
  <c r="C1421" i="53"/>
  <c r="C1422" i="53"/>
  <c r="C1423" i="53"/>
  <c r="C1424" i="53"/>
  <c r="C1425" i="53"/>
  <c r="C1426" i="53"/>
  <c r="C1427" i="53"/>
  <c r="C1428" i="53"/>
  <c r="C1429" i="53"/>
  <c r="C1430" i="53"/>
  <c r="C1431" i="53"/>
  <c r="C1432" i="53"/>
  <c r="C1433" i="53"/>
  <c r="C1434" i="53"/>
  <c r="C1435" i="53"/>
  <c r="C1436" i="53"/>
  <c r="C1438" i="53"/>
  <c r="C1439" i="53"/>
  <c r="C1440" i="53"/>
  <c r="C1441" i="53"/>
  <c r="C1442" i="53"/>
  <c r="C1443" i="53"/>
  <c r="C1444" i="53"/>
  <c r="C1445" i="53"/>
  <c r="C1446" i="53"/>
  <c r="C1447" i="53"/>
  <c r="C1448" i="53"/>
  <c r="C1449" i="53"/>
  <c r="C1450" i="53"/>
  <c r="C1451" i="53"/>
  <c r="C1452" i="53"/>
  <c r="C1453" i="53"/>
  <c r="C1454" i="53"/>
  <c r="C1455" i="53"/>
  <c r="C1456" i="53"/>
  <c r="C1457" i="53"/>
  <c r="C1458" i="53"/>
  <c r="C1459" i="53"/>
  <c r="C1460" i="53"/>
  <c r="C1461" i="53"/>
  <c r="C1462" i="53"/>
  <c r="C1464" i="53"/>
  <c r="C1465" i="53"/>
  <c r="C1466" i="53"/>
  <c r="C1467" i="53"/>
  <c r="C1468" i="53"/>
  <c r="C1469" i="53"/>
  <c r="C1470" i="53"/>
  <c r="C1471" i="53"/>
  <c r="C1472" i="53"/>
  <c r="C1474" i="53"/>
  <c r="C1475" i="53"/>
  <c r="C1476" i="53"/>
  <c r="C1478" i="53"/>
  <c r="C1479" i="53"/>
  <c r="C1480" i="53"/>
  <c r="C1481" i="53"/>
  <c r="C1484" i="53"/>
  <c r="C1485" i="53"/>
  <c r="C1486" i="53"/>
  <c r="C1487" i="53"/>
  <c r="C1488" i="53"/>
  <c r="C1489" i="53"/>
  <c r="C1490" i="53"/>
  <c r="C1491" i="53"/>
  <c r="C1493" i="53"/>
  <c r="C1494" i="53"/>
  <c r="C1495" i="53"/>
  <c r="C1496" i="53"/>
  <c r="C1497" i="53"/>
  <c r="C1498" i="53"/>
  <c r="C1499" i="53"/>
  <c r="C1500" i="53"/>
  <c r="C1501" i="53"/>
  <c r="C1502" i="53"/>
  <c r="C1503" i="53"/>
  <c r="C1504" i="53"/>
  <c r="C1505" i="53"/>
  <c r="C1506" i="53"/>
  <c r="C1507" i="53"/>
  <c r="C1508" i="53"/>
  <c r="C1509" i="53"/>
  <c r="C1510" i="53"/>
  <c r="C1511" i="53"/>
  <c r="C1512" i="53"/>
  <c r="C1513" i="53"/>
  <c r="C1514" i="53"/>
  <c r="C1515" i="53"/>
  <c r="C1516" i="53"/>
  <c r="C1517" i="53"/>
  <c r="C1518" i="53"/>
  <c r="C1519" i="53"/>
  <c r="C1521" i="53"/>
  <c r="C1522" i="53"/>
  <c r="C1523" i="53"/>
  <c r="C1524" i="53"/>
  <c r="C1525" i="53"/>
  <c r="C1526" i="53"/>
  <c r="C1527" i="53"/>
  <c r="C1528" i="53"/>
  <c r="C1529" i="53"/>
  <c r="C1530" i="53"/>
  <c r="C1531" i="53"/>
  <c r="C1532" i="53"/>
  <c r="C1533" i="53"/>
  <c r="C1534" i="53"/>
  <c r="C1535" i="53"/>
  <c r="C1536" i="53"/>
  <c r="C1537" i="53"/>
  <c r="C1538" i="53"/>
  <c r="C1539" i="53"/>
  <c r="C1540" i="53"/>
  <c r="C1541" i="53"/>
  <c r="C1542" i="53"/>
  <c r="C1543" i="53"/>
  <c r="C1545" i="53"/>
  <c r="C1546" i="53"/>
  <c r="C1547" i="53"/>
  <c r="C1548" i="53"/>
  <c r="C1549" i="53"/>
  <c r="C1550" i="53"/>
  <c r="C1551" i="53"/>
  <c r="C1552" i="53"/>
  <c r="C1553" i="53"/>
  <c r="C1554" i="53"/>
  <c r="C1555" i="53"/>
  <c r="C1556" i="53"/>
  <c r="C1557" i="53"/>
  <c r="C1558" i="53"/>
  <c r="C1560" i="53"/>
  <c r="C1561" i="53"/>
  <c r="C1562" i="53"/>
  <c r="C1563" i="53"/>
  <c r="C1564" i="53"/>
  <c r="C1565" i="53"/>
  <c r="C1566" i="53"/>
  <c r="C1567" i="53"/>
  <c r="C1568" i="53"/>
  <c r="C1569" i="53"/>
  <c r="C1570" i="53"/>
  <c r="C1573" i="53"/>
  <c r="C1574" i="53"/>
  <c r="C1575" i="53"/>
  <c r="C1576" i="53"/>
  <c r="C1577" i="53"/>
  <c r="C1578" i="53"/>
  <c r="C1579" i="53"/>
  <c r="C1580" i="53"/>
  <c r="C1581" i="53"/>
  <c r="C1582" i="53"/>
  <c r="C1583" i="53"/>
  <c r="C1584" i="53"/>
  <c r="C1585" i="53"/>
  <c r="C1586" i="53"/>
  <c r="C1587" i="53"/>
  <c r="C1588" i="53"/>
  <c r="C1589" i="53"/>
  <c r="C1590" i="53"/>
  <c r="C1591" i="53"/>
  <c r="C1592" i="53"/>
  <c r="C1593" i="53"/>
  <c r="C1594" i="53"/>
  <c r="C1595" i="53"/>
  <c r="C1596" i="53"/>
  <c r="C1597" i="53"/>
  <c r="C1598" i="53"/>
  <c r="C1600" i="53"/>
  <c r="C1601" i="53"/>
  <c r="C1602" i="53"/>
  <c r="C1603" i="53"/>
  <c r="C1604" i="53"/>
  <c r="C1605" i="53"/>
  <c r="C1606" i="53"/>
  <c r="C1607" i="53"/>
  <c r="C1608" i="53"/>
  <c r="C1609" i="53"/>
  <c r="C1610" i="53"/>
  <c r="C1611" i="53"/>
  <c r="C1612" i="53"/>
  <c r="C1613" i="53"/>
  <c r="C1614" i="53"/>
  <c r="C1615" i="53"/>
  <c r="C1616" i="53"/>
  <c r="C1617" i="53"/>
  <c r="C1618" i="53"/>
  <c r="C1619" i="53"/>
  <c r="C1620" i="53"/>
  <c r="C1621" i="53"/>
  <c r="C1622" i="53"/>
  <c r="C1623" i="53"/>
  <c r="C1624" i="53"/>
  <c r="C1625" i="53"/>
  <c r="C1626" i="53"/>
  <c r="C1627" i="53"/>
  <c r="C1628" i="53"/>
  <c r="C1629" i="53"/>
  <c r="C1630" i="53"/>
  <c r="C1631" i="53"/>
  <c r="C1632" i="53"/>
  <c r="C1633" i="53"/>
  <c r="C1634" i="53"/>
  <c r="C1635" i="53"/>
  <c r="C1636" i="53"/>
  <c r="C1637" i="53"/>
  <c r="C1638" i="53"/>
  <c r="C1639" i="53"/>
  <c r="C1640" i="53"/>
  <c r="C1641" i="53"/>
  <c r="C1642" i="53"/>
  <c r="C1643" i="53"/>
  <c r="C1644" i="53"/>
  <c r="C1645" i="53"/>
  <c r="C1646" i="53"/>
  <c r="C1648" i="53"/>
  <c r="C1649" i="53"/>
  <c r="C1650" i="53"/>
  <c r="C1651" i="53"/>
  <c r="C1652" i="53"/>
  <c r="C1653" i="53"/>
  <c r="C1654" i="53"/>
  <c r="C1655" i="53"/>
  <c r="C1656" i="53"/>
  <c r="C1657" i="53"/>
  <c r="C1658" i="53"/>
  <c r="C1659" i="53"/>
  <c r="C1661" i="53"/>
  <c r="C1662" i="53"/>
  <c r="C1663" i="53"/>
  <c r="C1664" i="53"/>
  <c r="C1665" i="53"/>
  <c r="C1666" i="53"/>
  <c r="C1667" i="53"/>
  <c r="C1669" i="53"/>
  <c r="C1670" i="53"/>
  <c r="C1671" i="53"/>
  <c r="C1672" i="53"/>
  <c r="C1673" i="53"/>
  <c r="C1674" i="53"/>
  <c r="C1675" i="53"/>
  <c r="C1676" i="53"/>
  <c r="C1677" i="53"/>
  <c r="C1678" i="53"/>
  <c r="C1679" i="53"/>
  <c r="C1680" i="53"/>
  <c r="C1682" i="53"/>
  <c r="C1683" i="53"/>
  <c r="C1684" i="53"/>
  <c r="C1685" i="53"/>
  <c r="C1687" i="53"/>
  <c r="C1688" i="53"/>
  <c r="C1689" i="53"/>
  <c r="C1690" i="53"/>
  <c r="C1691" i="53"/>
  <c r="C1692" i="53"/>
  <c r="C1694" i="53"/>
  <c r="C1695" i="53"/>
  <c r="C1696" i="53"/>
  <c r="C1697" i="53"/>
  <c r="C1698" i="53"/>
  <c r="C1699" i="53"/>
  <c r="C1700" i="53"/>
  <c r="C1701" i="53"/>
  <c r="C1702" i="53"/>
  <c r="C1703" i="53"/>
  <c r="C1704" i="53"/>
  <c r="C1706" i="53"/>
  <c r="C1708" i="53"/>
  <c r="C1710" i="53"/>
  <c r="C1712" i="53"/>
  <c r="C1713" i="53"/>
  <c r="C1714" i="53"/>
  <c r="C1715" i="53"/>
  <c r="C1717" i="53"/>
  <c r="C1718" i="53"/>
  <c r="C1719" i="53"/>
  <c r="C1720" i="53"/>
  <c r="C1721" i="53"/>
  <c r="C1722" i="53"/>
  <c r="C1723" i="53"/>
  <c r="C1724" i="53"/>
  <c r="C1725" i="53"/>
  <c r="C1726" i="53"/>
  <c r="C1728" i="53"/>
  <c r="C1729" i="53"/>
  <c r="C1732" i="53"/>
  <c r="C1734" i="53"/>
  <c r="C1735" i="53"/>
  <c r="C1736" i="53"/>
  <c r="C1737" i="53"/>
  <c r="C1738" i="53"/>
  <c r="C1739" i="53"/>
  <c r="C1740" i="53"/>
  <c r="C1741" i="53"/>
  <c r="C1742" i="53"/>
  <c r="C1743" i="53"/>
  <c r="C1744" i="53"/>
  <c r="C1745" i="53"/>
  <c r="C1746" i="53"/>
  <c r="C1747" i="53"/>
  <c r="C1748" i="53"/>
  <c r="C1749" i="53"/>
  <c r="C1751" i="53"/>
  <c r="C1752" i="53"/>
  <c r="C1753" i="53"/>
  <c r="C1754" i="53"/>
  <c r="C1755" i="53"/>
  <c r="C1756" i="53"/>
  <c r="C1757" i="53"/>
  <c r="C1758" i="53"/>
  <c r="C1759" i="53"/>
  <c r="C1760" i="53"/>
  <c r="C1761" i="53"/>
  <c r="C1762" i="53"/>
  <c r="C1763" i="53"/>
  <c r="C1764" i="53"/>
  <c r="C1765" i="53"/>
  <c r="C1766" i="53"/>
  <c r="C1767" i="53"/>
  <c r="C1768" i="53"/>
  <c r="C1769" i="53"/>
  <c r="C1770" i="53"/>
  <c r="C1771" i="53"/>
  <c r="C1772" i="53"/>
  <c r="C1773" i="53"/>
  <c r="C1775" i="53"/>
  <c r="C1776" i="53"/>
  <c r="C1777" i="53"/>
  <c r="C1778" i="53"/>
  <c r="C1779" i="53"/>
  <c r="C1780" i="53"/>
  <c r="C1781" i="53"/>
  <c r="C1783" i="53"/>
  <c r="C1786" i="53"/>
  <c r="C1787" i="53"/>
  <c r="C1788" i="53"/>
  <c r="C1789" i="53"/>
  <c r="C1790" i="53"/>
  <c r="C1791" i="53"/>
  <c r="C1792" i="53"/>
  <c r="C1794" i="53"/>
  <c r="C1795" i="53"/>
  <c r="C1796" i="53"/>
  <c r="C1797" i="53"/>
  <c r="C1798" i="53"/>
  <c r="C1799" i="53"/>
  <c r="C1800" i="53"/>
  <c r="C1801" i="53"/>
  <c r="C1802" i="53"/>
  <c r="C1803" i="53"/>
  <c r="C1804" i="53"/>
  <c r="C1805" i="53"/>
  <c r="C1806" i="53"/>
  <c r="C1807" i="53"/>
  <c r="C1808" i="53"/>
  <c r="C1809" i="53"/>
  <c r="C1810" i="53"/>
  <c r="C1811" i="53"/>
  <c r="C1812" i="53"/>
  <c r="C1813" i="53"/>
  <c r="C1814" i="53"/>
  <c r="C1815" i="53"/>
  <c r="C1816" i="53"/>
  <c r="C1817" i="53"/>
  <c r="C1818" i="53"/>
  <c r="C1819" i="53"/>
  <c r="C1820" i="53"/>
  <c r="C1821" i="53"/>
  <c r="C1822" i="53"/>
  <c r="C1823" i="53"/>
  <c r="C1824" i="53"/>
  <c r="C1825" i="53"/>
  <c r="C1826" i="53"/>
  <c r="C1827" i="53"/>
  <c r="C1828" i="53"/>
  <c r="C1829" i="53"/>
  <c r="C1830" i="53"/>
  <c r="C1831" i="53"/>
  <c r="C1832" i="53"/>
  <c r="C1833" i="53"/>
  <c r="C1834" i="53"/>
  <c r="C1835" i="53"/>
  <c r="C1836" i="53"/>
  <c r="C1837" i="53"/>
  <c r="C1838" i="53"/>
  <c r="C1839" i="53"/>
  <c r="C1840" i="53"/>
  <c r="C1841" i="53"/>
  <c r="C1842" i="53"/>
  <c r="C1843" i="53"/>
  <c r="C1844" i="53"/>
  <c r="C1845" i="53"/>
  <c r="C1846" i="53"/>
  <c r="C1847" i="53"/>
  <c r="C1848" i="53"/>
  <c r="C1849" i="53"/>
  <c r="C1850" i="53"/>
  <c r="C1851" i="53"/>
  <c r="C1852" i="53"/>
  <c r="C1853" i="53"/>
  <c r="C1854" i="53"/>
  <c r="C1855" i="53"/>
  <c r="C1856" i="53"/>
  <c r="C1857" i="53"/>
  <c r="C1858" i="53"/>
  <c r="C1859" i="53"/>
  <c r="C1860" i="53"/>
  <c r="C1861" i="53"/>
  <c r="C1862" i="53"/>
  <c r="C1863" i="53"/>
  <c r="C1864" i="53"/>
  <c r="C1865" i="53"/>
  <c r="C1866" i="53"/>
  <c r="C1867" i="53"/>
  <c r="C1868" i="53"/>
  <c r="C1869" i="53"/>
  <c r="C1870" i="53"/>
  <c r="C1871" i="53"/>
  <c r="C1872" i="53"/>
  <c r="C1873" i="53"/>
  <c r="C1874" i="53"/>
  <c r="C1875" i="53"/>
  <c r="C1876" i="53"/>
  <c r="C1877" i="53"/>
  <c r="C1878" i="53"/>
  <c r="C1879" i="53"/>
  <c r="C1880" i="53"/>
  <c r="C1881" i="53"/>
  <c r="C1882" i="53"/>
  <c r="C1883" i="53"/>
  <c r="C1884" i="53"/>
  <c r="C1885" i="53"/>
  <c r="C1886" i="53"/>
  <c r="C1887" i="53"/>
  <c r="C1888" i="53"/>
  <c r="C1889" i="53"/>
  <c r="C1890" i="53"/>
  <c r="C1891" i="53"/>
  <c r="C1892" i="53"/>
  <c r="C1893" i="53"/>
  <c r="C1894" i="53"/>
  <c r="C1895" i="53"/>
  <c r="C1896" i="53"/>
  <c r="C1897" i="53"/>
  <c r="C1898" i="53"/>
  <c r="C1899" i="53"/>
  <c r="C1900" i="53"/>
  <c r="C1901" i="53"/>
  <c r="C1902" i="53"/>
  <c r="C1903" i="53"/>
  <c r="C1904" i="53"/>
  <c r="C1905" i="53"/>
  <c r="C1907" i="53"/>
  <c r="C1908" i="53"/>
  <c r="C1909" i="53"/>
  <c r="C1910" i="53"/>
  <c r="C1912" i="53"/>
  <c r="C1913" i="53"/>
  <c r="C1914" i="53"/>
  <c r="C1915" i="53"/>
  <c r="C1916" i="53"/>
  <c r="C1917" i="53"/>
  <c r="C1918" i="53"/>
  <c r="C1919" i="53"/>
  <c r="C1920" i="53"/>
  <c r="C1921" i="53"/>
  <c r="C1922" i="53"/>
  <c r="C1923" i="53"/>
  <c r="C1924" i="53"/>
  <c r="C1925" i="53"/>
  <c r="C1926" i="53"/>
  <c r="C1927" i="53"/>
  <c r="C1929" i="53"/>
  <c r="C1930" i="53"/>
  <c r="C1931" i="53"/>
  <c r="C1932" i="53"/>
  <c r="C1933" i="53"/>
  <c r="C1934" i="53"/>
  <c r="C1935" i="53"/>
  <c r="C1936" i="53"/>
  <c r="C1937" i="53"/>
  <c r="C1938" i="53"/>
  <c r="C1939" i="53"/>
  <c r="C1940" i="53"/>
  <c r="C1941" i="53"/>
  <c r="C1942" i="53"/>
  <c r="C1943" i="53"/>
  <c r="C1944" i="53"/>
  <c r="C1945" i="53"/>
  <c r="C1946" i="53"/>
  <c r="C1947" i="53"/>
  <c r="C1948" i="53"/>
  <c r="C1949" i="53"/>
  <c r="C1950" i="53"/>
  <c r="C1952" i="53"/>
  <c r="C1953" i="53"/>
  <c r="C1955" i="53"/>
  <c r="C1956" i="53"/>
  <c r="C1957" i="53"/>
  <c r="C1958" i="53"/>
  <c r="C1959" i="53"/>
  <c r="C1960" i="53"/>
  <c r="C1961" i="53"/>
  <c r="C1962" i="53"/>
  <c r="C1963" i="53"/>
  <c r="C1964" i="53"/>
  <c r="C1965" i="53"/>
  <c r="C1966" i="53"/>
  <c r="C1967" i="53"/>
  <c r="C1968" i="53"/>
  <c r="C1969" i="53"/>
  <c r="C1970" i="53"/>
  <c r="C1971" i="53"/>
  <c r="C1972" i="53"/>
  <c r="C1973" i="53"/>
  <c r="C1974" i="53"/>
  <c r="C1975" i="53"/>
  <c r="C1976" i="53"/>
  <c r="C1977" i="53"/>
  <c r="C1978" i="53"/>
  <c r="C1979" i="53"/>
  <c r="C1980" i="53"/>
  <c r="C1981" i="53"/>
  <c r="C1982" i="53"/>
  <c r="C1983" i="53"/>
  <c r="C1984" i="53"/>
  <c r="C1985" i="53"/>
  <c r="C1986" i="53"/>
  <c r="C1987" i="53"/>
  <c r="C1988" i="53"/>
  <c r="C1989" i="53"/>
  <c r="C1990" i="53"/>
  <c r="C1991" i="53"/>
  <c r="C1992" i="53"/>
  <c r="C1993" i="53"/>
  <c r="C1994" i="53"/>
  <c r="C1995" i="53"/>
  <c r="C1996" i="53"/>
  <c r="C1997" i="53"/>
  <c r="C1998" i="53"/>
  <c r="C1999" i="53"/>
  <c r="C2000" i="53"/>
  <c r="C2001" i="53"/>
  <c r="C2002" i="53"/>
  <c r="C2003" i="53"/>
  <c r="C2004" i="53"/>
  <c r="C2005" i="53"/>
  <c r="C2006" i="53"/>
  <c r="C2007" i="53"/>
  <c r="C2008" i="53"/>
  <c r="C2009" i="53"/>
  <c r="C2010" i="53"/>
  <c r="C2011" i="53"/>
  <c r="C2012" i="53"/>
  <c r="C2013" i="53"/>
  <c r="C2014" i="53"/>
  <c r="C2015" i="53"/>
  <c r="C2016" i="53"/>
  <c r="C2017" i="53"/>
  <c r="C2018" i="53"/>
  <c r="C2019" i="53"/>
  <c r="C2021" i="53"/>
  <c r="C2024" i="53"/>
  <c r="C2026" i="53"/>
  <c r="C2027" i="53"/>
  <c r="C2028" i="53"/>
  <c r="C2029" i="53"/>
  <c r="C2030" i="53"/>
  <c r="C2031" i="53"/>
  <c r="C2032" i="53"/>
  <c r="C2033" i="53"/>
  <c r="C2035" i="53"/>
  <c r="C2038" i="53"/>
  <c r="C2039" i="53"/>
  <c r="C2040" i="53"/>
  <c r="C2041" i="53"/>
  <c r="C2042" i="53"/>
  <c r="C2043" i="53"/>
  <c r="C2045" i="53"/>
  <c r="C2046" i="53"/>
  <c r="C2047" i="53"/>
  <c r="C2048" i="53"/>
  <c r="C2049" i="53"/>
  <c r="C2050" i="53"/>
  <c r="C2051" i="53"/>
  <c r="C2052" i="53"/>
  <c r="C2053" i="53"/>
  <c r="C2054" i="53"/>
  <c r="C2055" i="53"/>
  <c r="C2056" i="53"/>
  <c r="C2057" i="53"/>
  <c r="C2058" i="53"/>
  <c r="C2059" i="53"/>
  <c r="C2060" i="53"/>
  <c r="C2061" i="53"/>
  <c r="C2062" i="53"/>
  <c r="C2063" i="53"/>
  <c r="C2064" i="53"/>
  <c r="C2065" i="53"/>
  <c r="C2066" i="53"/>
  <c r="C2067" i="53"/>
  <c r="C2068" i="53"/>
  <c r="C2069" i="53"/>
  <c r="C2070" i="53"/>
  <c r="C2071" i="53"/>
  <c r="C2072" i="53"/>
  <c r="C2073" i="53"/>
  <c r="C2074" i="53"/>
  <c r="C2075" i="53"/>
  <c r="C2076" i="53"/>
  <c r="C2077" i="53"/>
  <c r="C2078" i="53"/>
  <c r="C2079" i="53"/>
  <c r="C2080" i="53"/>
  <c r="C2081" i="53"/>
  <c r="C2082" i="53"/>
  <c r="C2083" i="53"/>
  <c r="C2084" i="53"/>
  <c r="C2085" i="53"/>
  <c r="C2086" i="53"/>
  <c r="C2087" i="53"/>
  <c r="C2088" i="53"/>
  <c r="C2089" i="53"/>
  <c r="C2090" i="53"/>
  <c r="C2091" i="53"/>
  <c r="C2092" i="53"/>
  <c r="C2093" i="53"/>
  <c r="C2094" i="53"/>
  <c r="C2095" i="53"/>
  <c r="C2096" i="53"/>
  <c r="C2097" i="53"/>
  <c r="C2098" i="53"/>
  <c r="C2099" i="53"/>
  <c r="C2100" i="53"/>
  <c r="C2101" i="53"/>
  <c r="C2102" i="53"/>
  <c r="C2103" i="53"/>
  <c r="C2104" i="53"/>
  <c r="C2105" i="53"/>
  <c r="C2106" i="53"/>
  <c r="C2107" i="53"/>
  <c r="C2108" i="53"/>
  <c r="C2109" i="53"/>
  <c r="C2110" i="53"/>
  <c r="C2111" i="53"/>
  <c r="C2112" i="53"/>
  <c r="C2113" i="53"/>
  <c r="C2114" i="53"/>
  <c r="C2115" i="53"/>
  <c r="C2116" i="53"/>
  <c r="C2117" i="53"/>
  <c r="C2118" i="53"/>
  <c r="C2119" i="53"/>
  <c r="C2120" i="53"/>
  <c r="C2121" i="53"/>
  <c r="C2122" i="53"/>
  <c r="C2123" i="53"/>
  <c r="C2124" i="53"/>
  <c r="C2125" i="53"/>
  <c r="C2127" i="53"/>
  <c r="C2129" i="53"/>
  <c r="C2130" i="53"/>
  <c r="C2131" i="53"/>
  <c r="C2132" i="53"/>
  <c r="C2133" i="53"/>
  <c r="C2134" i="53"/>
  <c r="C2135" i="53"/>
  <c r="C2136" i="53"/>
  <c r="C2137" i="53"/>
  <c r="C2138" i="53"/>
  <c r="C2139" i="53"/>
  <c r="C2140" i="53"/>
  <c r="C2141" i="53"/>
  <c r="C2142" i="53"/>
  <c r="C2144" i="53"/>
  <c r="C2145" i="53"/>
  <c r="C2146" i="53"/>
  <c r="C2147" i="53"/>
  <c r="C2148" i="53"/>
  <c r="C2149" i="53"/>
  <c r="C2150" i="53"/>
  <c r="C2151" i="53"/>
  <c r="C2152" i="53"/>
  <c r="C2154" i="53"/>
  <c r="C2155" i="53"/>
  <c r="C2156" i="53"/>
  <c r="C2157" i="53"/>
  <c r="C2158" i="53"/>
  <c r="C2159" i="53"/>
  <c r="C2160" i="53"/>
  <c r="C2161" i="53"/>
  <c r="C2162" i="53"/>
  <c r="C2163" i="53"/>
  <c r="C2164" i="53"/>
  <c r="C2165" i="53"/>
  <c r="C2167" i="53"/>
  <c r="C2168" i="53"/>
  <c r="C2169" i="53"/>
  <c r="C2170" i="53"/>
  <c r="C2171" i="53"/>
  <c r="C2172" i="53"/>
  <c r="C2173" i="53"/>
  <c r="C2174" i="53"/>
  <c r="C2175" i="53"/>
  <c r="C2176" i="53"/>
  <c r="C2179" i="53"/>
  <c r="C2180" i="53"/>
  <c r="C2181" i="53"/>
  <c r="C2183" i="53"/>
  <c r="C2184" i="53"/>
  <c r="C2185" i="53"/>
  <c r="C2186" i="53"/>
  <c r="C2187" i="53"/>
  <c r="C2188" i="53"/>
  <c r="C2189" i="53"/>
  <c r="C2190" i="53"/>
  <c r="C2192" i="53"/>
  <c r="C2193" i="53"/>
  <c r="C2194" i="53"/>
  <c r="C2198" i="53"/>
  <c r="C2199" i="53"/>
  <c r="C2200" i="53"/>
  <c r="C2202" i="53"/>
  <c r="C2203" i="53"/>
  <c r="C2204" i="53"/>
  <c r="C2205" i="53"/>
  <c r="C2206" i="53"/>
  <c r="C2207" i="53"/>
  <c r="C2208" i="53"/>
  <c r="C2209" i="53"/>
  <c r="C2210" i="53"/>
  <c r="C2211" i="53"/>
  <c r="C2212" i="53"/>
  <c r="C2213" i="53"/>
  <c r="C2214" i="53"/>
  <c r="C2215" i="53"/>
  <c r="C2216" i="53"/>
  <c r="C2217" i="53"/>
  <c r="C2218" i="53"/>
  <c r="C2219" i="53"/>
  <c r="C2220" i="53"/>
  <c r="C2221" i="53"/>
  <c r="C2223" i="53"/>
  <c r="C2224" i="53"/>
  <c r="C2225" i="53"/>
  <c r="C2226" i="53"/>
  <c r="C2227" i="53"/>
  <c r="C2228" i="53"/>
  <c r="C2229" i="53"/>
  <c r="C2230" i="53"/>
  <c r="C2231" i="53"/>
  <c r="C2232" i="53"/>
  <c r="C2234" i="53"/>
  <c r="C2235" i="53"/>
  <c r="C2236" i="53"/>
  <c r="C2237" i="53"/>
  <c r="C2238" i="53"/>
  <c r="C2239" i="53"/>
  <c r="C2240" i="53"/>
  <c r="C2241" i="53"/>
  <c r="C2242" i="53"/>
  <c r="C2243" i="53"/>
  <c r="C2244" i="53"/>
  <c r="C2245" i="53"/>
  <c r="C2246" i="53"/>
  <c r="C2247" i="53"/>
  <c r="C2248" i="53"/>
  <c r="C2249" i="53"/>
  <c r="C2250" i="53"/>
  <c r="C2251" i="53"/>
  <c r="C2252" i="53"/>
  <c r="C2253" i="53"/>
  <c r="C2254" i="53"/>
  <c r="C2255" i="53"/>
  <c r="C2256" i="53"/>
  <c r="C2257" i="53"/>
  <c r="C2258" i="53"/>
  <c r="C2259" i="53"/>
  <c r="C2261" i="53"/>
  <c r="C2262" i="53"/>
  <c r="C2263" i="53"/>
  <c r="C2264" i="53"/>
  <c r="C2266" i="53"/>
  <c r="C2267" i="53"/>
  <c r="C2268" i="53"/>
  <c r="C2269" i="53"/>
  <c r="C2270" i="53"/>
  <c r="C2271" i="53"/>
  <c r="C2272" i="53"/>
  <c r="C2273" i="53"/>
  <c r="C2274" i="53"/>
  <c r="C2275" i="53"/>
  <c r="C2276" i="53"/>
  <c r="C2277" i="53"/>
  <c r="C2278" i="53"/>
  <c r="C2279" i="53"/>
  <c r="C2280" i="53"/>
  <c r="C2281" i="53"/>
  <c r="C2282" i="53"/>
  <c r="C2283" i="53"/>
  <c r="C2284" i="53"/>
  <c r="C2285" i="53"/>
  <c r="C2286" i="53"/>
  <c r="C2287" i="53"/>
  <c r="C2288" i="53"/>
  <c r="C2289" i="53"/>
  <c r="C2290" i="53"/>
  <c r="C2291" i="53"/>
  <c r="C2292" i="53"/>
  <c r="C2293" i="53"/>
  <c r="C2294" i="53"/>
  <c r="C2295" i="53"/>
  <c r="C2296" i="53"/>
  <c r="C2297" i="53"/>
  <c r="C2298" i="53"/>
  <c r="C2299" i="53"/>
  <c r="C2300" i="53"/>
  <c r="C2301" i="53"/>
  <c r="C2302" i="53"/>
  <c r="C2303" i="53"/>
  <c r="C2304" i="53"/>
  <c r="C2305" i="53"/>
  <c r="C2306" i="53"/>
  <c r="C2307" i="53"/>
  <c r="C2308" i="53"/>
  <c r="C2309" i="53"/>
  <c r="C2310" i="53"/>
  <c r="C2311" i="53"/>
  <c r="C2312" i="53"/>
  <c r="C2313" i="53"/>
  <c r="C2314" i="53"/>
  <c r="C2315" i="53"/>
  <c r="C2316" i="53"/>
  <c r="C2317" i="53"/>
  <c r="C2318" i="53"/>
  <c r="C2319" i="53"/>
  <c r="C2320" i="53"/>
  <c r="C2321" i="53"/>
  <c r="C2322" i="53"/>
  <c r="C2323" i="53"/>
  <c r="C2324" i="53"/>
  <c r="C2325" i="53"/>
  <c r="C2326" i="53"/>
  <c r="C2327" i="53"/>
  <c r="C2328" i="53"/>
  <c r="C2329" i="53"/>
  <c r="C2330" i="53"/>
  <c r="C2331" i="53"/>
  <c r="C2332" i="53"/>
  <c r="C2333" i="53"/>
  <c r="C2334" i="53"/>
  <c r="C2335" i="53"/>
  <c r="C2337" i="53"/>
  <c r="C2338" i="53"/>
  <c r="C2339" i="53"/>
  <c r="C2340" i="53"/>
  <c r="C2341" i="53"/>
  <c r="C2342" i="53"/>
  <c r="C2343" i="53"/>
  <c r="C2344" i="53"/>
  <c r="C2345" i="53"/>
  <c r="C2346" i="53"/>
  <c r="C2347" i="53"/>
  <c r="C2348" i="53"/>
  <c r="C2349" i="53"/>
  <c r="C2352" i="53"/>
  <c r="C2354" i="53"/>
  <c r="C2355" i="53"/>
  <c r="C2356" i="53"/>
  <c r="C2357" i="53"/>
  <c r="C2358" i="53"/>
  <c r="C2359" i="53"/>
  <c r="C2360" i="53"/>
  <c r="C2370" i="53"/>
  <c r="C2371" i="53"/>
  <c r="C2372" i="53"/>
  <c r="C2373" i="53"/>
  <c r="C2374" i="53"/>
  <c r="C2375" i="53"/>
  <c r="C2376" i="53"/>
  <c r="C2377" i="53"/>
  <c r="C2378" i="53"/>
  <c r="C2379" i="53"/>
  <c r="C2380" i="53"/>
  <c r="C2381" i="53"/>
  <c r="C2382" i="53"/>
  <c r="C2383" i="53"/>
  <c r="C2384" i="53"/>
  <c r="C2385" i="53"/>
  <c r="C2386" i="53"/>
  <c r="C2387" i="53"/>
  <c r="C2388" i="53"/>
  <c r="C2389" i="53"/>
  <c r="C2390" i="53"/>
  <c r="C2391" i="53"/>
  <c r="C2392" i="53"/>
  <c r="C2393" i="53"/>
  <c r="C2394" i="53"/>
  <c r="C2395" i="53"/>
  <c r="C2396" i="53"/>
  <c r="C2397" i="53"/>
  <c r="C2398" i="53"/>
  <c r="C2399" i="53"/>
  <c r="C2400" i="53"/>
  <c r="C2401" i="53"/>
  <c r="C2402" i="53"/>
  <c r="C2403" i="53"/>
  <c r="C2404" i="53"/>
  <c r="C2405" i="53"/>
  <c r="C2406" i="53"/>
  <c r="C2407" i="53"/>
  <c r="C2408" i="53"/>
  <c r="C2409" i="53"/>
  <c r="C2410" i="53"/>
  <c r="C2411" i="53"/>
  <c r="C2412" i="53"/>
  <c r="C2413" i="53"/>
  <c r="C2414" i="53"/>
  <c r="C2415" i="53"/>
  <c r="C2416" i="53"/>
  <c r="C2417" i="53"/>
  <c r="C2418" i="53"/>
  <c r="C2419" i="53"/>
  <c r="C2420" i="53"/>
  <c r="C2421" i="53"/>
  <c r="C2422" i="53"/>
  <c r="C2423" i="53"/>
  <c r="C2424" i="53"/>
  <c r="C2425" i="53"/>
  <c r="C2426" i="53"/>
  <c r="C2427" i="53"/>
  <c r="C2428" i="53"/>
  <c r="C2429" i="53"/>
  <c r="C2430" i="53"/>
  <c r="C2431" i="53"/>
  <c r="C2432" i="53"/>
  <c r="C2433" i="53"/>
  <c r="C2434" i="53"/>
  <c r="C2435" i="53"/>
  <c r="C2436" i="53"/>
  <c r="C2437" i="53"/>
  <c r="C2438" i="53"/>
  <c r="C2439" i="53"/>
  <c r="C2440" i="53"/>
  <c r="C2441" i="53"/>
  <c r="C2442" i="53"/>
  <c r="C2443" i="53"/>
  <c r="C2444" i="53"/>
  <c r="C2445" i="53"/>
  <c r="C2446" i="53"/>
  <c r="C2447" i="53"/>
  <c r="C2448" i="53"/>
  <c r="C2449" i="53"/>
  <c r="C2450" i="53"/>
  <c r="C2451" i="53"/>
  <c r="C2452" i="53"/>
  <c r="C2453" i="53"/>
  <c r="C2454" i="53"/>
  <c r="C2455" i="53"/>
  <c r="C2456" i="53"/>
  <c r="C2457" i="53"/>
  <c r="C2458" i="53"/>
  <c r="C2459" i="53"/>
  <c r="C2460" i="53"/>
  <c r="C2461" i="53"/>
  <c r="C2462" i="53"/>
  <c r="C2463" i="53"/>
  <c r="C2464" i="53"/>
  <c r="C2465" i="53"/>
  <c r="C2466" i="53"/>
  <c r="C2467" i="53"/>
  <c r="C2468" i="53"/>
  <c r="C2469" i="53"/>
  <c r="C2470" i="53"/>
  <c r="C2471" i="53"/>
  <c r="C2472" i="53"/>
  <c r="C2473" i="53"/>
  <c r="C2475" i="53"/>
  <c r="C2476" i="53"/>
  <c r="C2478" i="53"/>
  <c r="C2479" i="53"/>
  <c r="C2480" i="53"/>
  <c r="C2482" i="53"/>
  <c r="C2483" i="53"/>
  <c r="C2484" i="53"/>
  <c r="C2485" i="53"/>
  <c r="C2486" i="53"/>
  <c r="C2487" i="53"/>
  <c r="C2488" i="53"/>
  <c r="C2489" i="53"/>
  <c r="C2490" i="53"/>
  <c r="C2492" i="53"/>
  <c r="C2493" i="53"/>
  <c r="C2494" i="53"/>
  <c r="C2495" i="53"/>
  <c r="C2496" i="53"/>
  <c r="C2497" i="53"/>
  <c r="C2498" i="53"/>
  <c r="C2499" i="53"/>
  <c r="C2500" i="53"/>
  <c r="C2501" i="53"/>
  <c r="C2502" i="53"/>
  <c r="C2503" i="53"/>
  <c r="C2504" i="53"/>
  <c r="C2505" i="53"/>
  <c r="C2506" i="53"/>
  <c r="C2507" i="53"/>
  <c r="C2508" i="53"/>
  <c r="C2509" i="53"/>
  <c r="C2510" i="53"/>
  <c r="C2511" i="53"/>
  <c r="C2512" i="53"/>
  <c r="C2513" i="53"/>
  <c r="C2514" i="53"/>
  <c r="C2515" i="53"/>
  <c r="C2516" i="53"/>
  <c r="C2517" i="53"/>
  <c r="C2518" i="53"/>
  <c r="C2519" i="53"/>
  <c r="C2522" i="53"/>
  <c r="C2523" i="53"/>
  <c r="C2524" i="53"/>
  <c r="C2525" i="53"/>
  <c r="C2526" i="53"/>
  <c r="C2527" i="53"/>
  <c r="C2528" i="53"/>
  <c r="C2529" i="53"/>
  <c r="C2530" i="53"/>
  <c r="C2531" i="53"/>
  <c r="C2532" i="53"/>
  <c r="C2533" i="53"/>
  <c r="C2534" i="53"/>
  <c r="C2535" i="53"/>
  <c r="C2536" i="53"/>
  <c r="C2537" i="53"/>
  <c r="C2538" i="53"/>
  <c r="C2539" i="53"/>
  <c r="C2540" i="53"/>
  <c r="C2541" i="53"/>
  <c r="C2542" i="53"/>
  <c r="C2543" i="53"/>
  <c r="C2544" i="53"/>
  <c r="C2545" i="53"/>
  <c r="C2546" i="53"/>
  <c r="C2547" i="53"/>
  <c r="C2548" i="53"/>
  <c r="C2549" i="53"/>
  <c r="C2550" i="53"/>
  <c r="C2551" i="53"/>
  <c r="C2552" i="53"/>
  <c r="C2553" i="53"/>
  <c r="C2554" i="53"/>
  <c r="C2555" i="53"/>
  <c r="C2556" i="53"/>
  <c r="C2557" i="53"/>
  <c r="C2558" i="53"/>
  <c r="C2559" i="53"/>
  <c r="C2560" i="53"/>
  <c r="C2561" i="53"/>
  <c r="C2562" i="53"/>
  <c r="C2563" i="53"/>
  <c r="C2564" i="53"/>
  <c r="C2565" i="53"/>
  <c r="C2566" i="53"/>
  <c r="C2567" i="53"/>
  <c r="C2568" i="53"/>
  <c r="C2569" i="53"/>
  <c r="C2570" i="53"/>
  <c r="C2571" i="53"/>
  <c r="C2572" i="53"/>
  <c r="C2573" i="53"/>
  <c r="C2574" i="53"/>
  <c r="C2575" i="53"/>
  <c r="C2576" i="53"/>
  <c r="C2577" i="53"/>
  <c r="C2578" i="53"/>
  <c r="C2579" i="53"/>
  <c r="C2580" i="53"/>
  <c r="C2581" i="53"/>
  <c r="A2581" i="53"/>
  <c r="A3" i="53"/>
  <c r="A4" i="53"/>
  <c r="A5" i="53"/>
  <c r="A7" i="53"/>
  <c r="A8" i="53"/>
  <c r="A9" i="53"/>
  <c r="A10" i="53"/>
  <c r="A11" i="53"/>
  <c r="A13" i="53"/>
  <c r="A14" i="53"/>
  <c r="A15" i="53"/>
  <c r="A16" i="53"/>
  <c r="A17" i="53"/>
  <c r="A18" i="53"/>
  <c r="A20" i="53"/>
  <c r="A21" i="53"/>
  <c r="A24" i="53"/>
  <c r="A25" i="53"/>
  <c r="A26" i="53"/>
  <c r="A27" i="53"/>
  <c r="A28" i="53"/>
  <c r="A30" i="53"/>
  <c r="A31" i="53"/>
  <c r="A32" i="53"/>
  <c r="A33" i="53"/>
  <c r="A34" i="53"/>
  <c r="A35" i="53"/>
  <c r="A37" i="53"/>
  <c r="A38" i="53"/>
  <c r="A40" i="53"/>
  <c r="A42" i="53"/>
  <c r="A43" i="53"/>
  <c r="A44" i="53"/>
  <c r="A45" i="53"/>
  <c r="A49" i="53"/>
  <c r="A50" i="53"/>
  <c r="A55" i="53"/>
  <c r="A56" i="53"/>
  <c r="A57" i="53"/>
  <c r="A58" i="53"/>
  <c r="A60" i="53"/>
  <c r="A61" i="53"/>
  <c r="F62" i="53"/>
  <c r="A62" i="53" s="1"/>
  <c r="A63" i="53"/>
  <c r="A64" i="53"/>
  <c r="A65" i="53"/>
  <c r="A66" i="53"/>
  <c r="A67" i="53"/>
  <c r="A68" i="53"/>
  <c r="A69" i="53"/>
  <c r="A70" i="53"/>
  <c r="A71" i="53"/>
  <c r="A72" i="53"/>
  <c r="A73" i="53"/>
  <c r="A74" i="53"/>
  <c r="A75" i="53"/>
  <c r="A76" i="53"/>
  <c r="A77" i="53"/>
  <c r="A78" i="53"/>
  <c r="A79" i="53"/>
  <c r="A80" i="53"/>
  <c r="A81" i="53"/>
  <c r="A82" i="53"/>
  <c r="A83" i="53"/>
  <c r="A84" i="53"/>
  <c r="A86" i="53"/>
  <c r="A87" i="53"/>
  <c r="A89" i="53"/>
  <c r="A90" i="53"/>
  <c r="A91" i="53"/>
  <c r="A92" i="53"/>
  <c r="A93" i="53"/>
  <c r="A94" i="53"/>
  <c r="A95" i="53"/>
  <c r="A96" i="53"/>
  <c r="A99" i="53"/>
  <c r="A102" i="53"/>
  <c r="A103" i="53"/>
  <c r="A104" i="53"/>
  <c r="A105" i="53"/>
  <c r="A106" i="53"/>
  <c r="A107" i="53"/>
  <c r="A108" i="53"/>
  <c r="A109" i="53"/>
  <c r="A110" i="53"/>
  <c r="A111" i="53"/>
  <c r="A112" i="53"/>
  <c r="A113" i="53"/>
  <c r="A114" i="53"/>
  <c r="A115" i="53"/>
  <c r="A116" i="53"/>
  <c r="A117" i="53"/>
  <c r="A118" i="53"/>
  <c r="A119" i="53"/>
  <c r="A120" i="53"/>
  <c r="A121" i="53"/>
  <c r="A122" i="53"/>
  <c r="A123" i="53"/>
  <c r="A124" i="53"/>
  <c r="A125" i="53"/>
  <c r="A126" i="53"/>
  <c r="A127" i="53"/>
  <c r="A128" i="53"/>
  <c r="A129" i="53"/>
  <c r="A130" i="53"/>
  <c r="A131" i="53"/>
  <c r="A132" i="53"/>
  <c r="A134" i="53"/>
  <c r="A136" i="53"/>
  <c r="A137" i="53"/>
  <c r="A138" i="53"/>
  <c r="A139" i="53"/>
  <c r="A140" i="53"/>
  <c r="A142" i="53"/>
  <c r="A143" i="53"/>
  <c r="A144" i="53"/>
  <c r="A145" i="53"/>
  <c r="A146" i="53"/>
  <c r="F147" i="53"/>
  <c r="A147" i="53" s="1"/>
  <c r="A148" i="53"/>
  <c r="A149" i="53"/>
  <c r="A150" i="53"/>
  <c r="A151" i="53"/>
  <c r="A152" i="53"/>
  <c r="A153" i="53"/>
  <c r="A154" i="53"/>
  <c r="A155" i="53"/>
  <c r="A156" i="53"/>
  <c r="A157" i="53"/>
  <c r="A158" i="53"/>
  <c r="F159" i="53"/>
  <c r="A159" i="53" s="1"/>
  <c r="A160" i="53"/>
  <c r="A161" i="53"/>
  <c r="A162" i="53"/>
  <c r="A163" i="53"/>
  <c r="A164" i="53"/>
  <c r="A165" i="53"/>
  <c r="A166" i="53"/>
  <c r="F167" i="53"/>
  <c r="A167" i="53" s="1"/>
  <c r="A168" i="53"/>
  <c r="A169" i="53"/>
  <c r="A170" i="53"/>
  <c r="A171" i="53"/>
  <c r="A172" i="53"/>
  <c r="A173" i="53"/>
  <c r="A174" i="53"/>
  <c r="A175" i="53"/>
  <c r="A176" i="53"/>
  <c r="A177" i="53"/>
  <c r="A178" i="53"/>
  <c r="A179" i="53"/>
  <c r="A180" i="53"/>
  <c r="A181" i="53"/>
  <c r="A182" i="53"/>
  <c r="A183" i="53"/>
  <c r="A184" i="53"/>
  <c r="A185" i="53"/>
  <c r="A186" i="53"/>
  <c r="A187" i="53"/>
  <c r="A188" i="53"/>
  <c r="A189" i="53"/>
  <c r="A190" i="53"/>
  <c r="A191" i="53"/>
  <c r="A192" i="53"/>
  <c r="A193" i="53"/>
  <c r="A194" i="53"/>
  <c r="A195" i="53"/>
  <c r="A196" i="53"/>
  <c r="A197" i="53"/>
  <c r="A198" i="53"/>
  <c r="A199" i="53"/>
  <c r="A200" i="53"/>
  <c r="A201" i="53"/>
  <c r="A202" i="53"/>
  <c r="A203" i="53"/>
  <c r="A204" i="53"/>
  <c r="A205" i="53"/>
  <c r="A206" i="53"/>
  <c r="A207" i="53"/>
  <c r="A208" i="53"/>
  <c r="A209" i="53"/>
  <c r="A210" i="53"/>
  <c r="A211" i="53"/>
  <c r="A212" i="53"/>
  <c r="A213" i="53"/>
  <c r="A214" i="53"/>
  <c r="A215" i="53"/>
  <c r="A216" i="53"/>
  <c r="A217" i="53"/>
  <c r="A218" i="53"/>
  <c r="A219" i="53"/>
  <c r="A220" i="53"/>
  <c r="A221" i="53"/>
  <c r="A222" i="53"/>
  <c r="A223" i="53"/>
  <c r="A224" i="53"/>
  <c r="A225" i="53"/>
  <c r="A226" i="53"/>
  <c r="A227" i="53"/>
  <c r="A228" i="53"/>
  <c r="A229" i="53"/>
  <c r="A230" i="53"/>
  <c r="A231" i="53"/>
  <c r="A232" i="53"/>
  <c r="A233" i="53"/>
  <c r="A234" i="53"/>
  <c r="A235" i="53"/>
  <c r="A236" i="53"/>
  <c r="A237" i="53"/>
  <c r="A238" i="53"/>
  <c r="A239" i="53"/>
  <c r="A240" i="53"/>
  <c r="A241" i="53"/>
  <c r="A242" i="53"/>
  <c r="A243" i="53"/>
  <c r="A244" i="53"/>
  <c r="A245" i="53"/>
  <c r="A246" i="53"/>
  <c r="A247" i="53"/>
  <c r="A248" i="53"/>
  <c r="A249" i="53"/>
  <c r="A250" i="53"/>
  <c r="A251" i="53"/>
  <c r="A252" i="53"/>
  <c r="A253" i="53"/>
  <c r="A254" i="53"/>
  <c r="A255" i="53"/>
  <c r="A256" i="53"/>
  <c r="A257" i="53"/>
  <c r="A258" i="53"/>
  <c r="A260" i="53"/>
  <c r="A261" i="53"/>
  <c r="A262" i="53"/>
  <c r="A263" i="53"/>
  <c r="A265" i="53"/>
  <c r="A266" i="53"/>
  <c r="A267" i="53"/>
  <c r="A268" i="53"/>
  <c r="A269" i="53"/>
  <c r="A270" i="53"/>
  <c r="A271" i="53"/>
  <c r="A272" i="53"/>
  <c r="A273" i="53"/>
  <c r="A274" i="53"/>
  <c r="A275" i="53"/>
  <c r="A276" i="53"/>
  <c r="A277" i="53"/>
  <c r="A278" i="53"/>
  <c r="A279" i="53"/>
  <c r="A280" i="53"/>
  <c r="A281" i="53"/>
  <c r="A282" i="53"/>
  <c r="A283" i="53"/>
  <c r="A284" i="53"/>
  <c r="A285" i="53"/>
  <c r="A286" i="53"/>
  <c r="A287" i="53"/>
  <c r="A288" i="53"/>
  <c r="A289" i="53"/>
  <c r="A290" i="53"/>
  <c r="A291" i="53"/>
  <c r="A292" i="53"/>
  <c r="A293" i="53"/>
  <c r="A294" i="53"/>
  <c r="A295" i="53"/>
  <c r="A296" i="53"/>
  <c r="A297" i="53"/>
  <c r="A298" i="53"/>
  <c r="A299" i="53"/>
  <c r="A300" i="53"/>
  <c r="A301" i="53"/>
  <c r="A302" i="53"/>
  <c r="A303" i="53"/>
  <c r="A304" i="53"/>
  <c r="A305" i="53"/>
  <c r="A306" i="53"/>
  <c r="A307" i="53"/>
  <c r="A308" i="53"/>
  <c r="A309" i="53"/>
  <c r="A310" i="53"/>
  <c r="A311" i="53"/>
  <c r="A312" i="53"/>
  <c r="A313" i="53"/>
  <c r="A314" i="53"/>
  <c r="A315" i="53"/>
  <c r="A316" i="53"/>
  <c r="A317" i="53"/>
  <c r="A318" i="53"/>
  <c r="A319" i="53"/>
  <c r="A320" i="53"/>
  <c r="A321" i="53"/>
  <c r="A322" i="53"/>
  <c r="A323" i="53"/>
  <c r="A324" i="53"/>
  <c r="A325" i="53"/>
  <c r="A326" i="53"/>
  <c r="A327" i="53"/>
  <c r="A328" i="53"/>
  <c r="A329" i="53"/>
  <c r="A330" i="53"/>
  <c r="A331" i="53"/>
  <c r="A332" i="53"/>
  <c r="A333" i="53"/>
  <c r="A334" i="53"/>
  <c r="A335" i="53"/>
  <c r="A336" i="53"/>
  <c r="A337" i="53"/>
  <c r="A338" i="53"/>
  <c r="A339" i="53"/>
  <c r="A340" i="53"/>
  <c r="A341" i="53"/>
  <c r="A342" i="53"/>
  <c r="A343" i="53"/>
  <c r="A344" i="53"/>
  <c r="A345" i="53"/>
  <c r="A346" i="53"/>
  <c r="A347" i="53"/>
  <c r="A348" i="53"/>
  <c r="A349" i="53"/>
  <c r="A350" i="53"/>
  <c r="A351" i="53"/>
  <c r="A352" i="53"/>
  <c r="A353" i="53"/>
  <c r="A354" i="53"/>
  <c r="A355" i="53"/>
  <c r="A356" i="53"/>
  <c r="A357" i="53"/>
  <c r="A358" i="53"/>
  <c r="A359" i="53"/>
  <c r="A360" i="53"/>
  <c r="A361" i="53"/>
  <c r="A362" i="53"/>
  <c r="A363" i="53"/>
  <c r="A364" i="53"/>
  <c r="A365" i="53"/>
  <c r="A367" i="53"/>
  <c r="A368" i="53"/>
  <c r="A369" i="53"/>
  <c r="A370" i="53"/>
  <c r="A371" i="53"/>
  <c r="A372" i="53"/>
  <c r="A373" i="53"/>
  <c r="A374" i="53"/>
  <c r="A375" i="53"/>
  <c r="A376" i="53"/>
  <c r="A377" i="53"/>
  <c r="A378" i="53"/>
  <c r="A379" i="53"/>
  <c r="A380" i="53"/>
  <c r="A381" i="53"/>
  <c r="A382" i="53"/>
  <c r="A383" i="53"/>
  <c r="A384" i="53"/>
  <c r="A385" i="53"/>
  <c r="A386" i="53"/>
  <c r="A387" i="53"/>
  <c r="A388" i="53"/>
  <c r="A389" i="53"/>
  <c r="A390" i="53"/>
  <c r="A391" i="53"/>
  <c r="A392" i="53"/>
  <c r="A393" i="53"/>
  <c r="A394" i="53"/>
  <c r="A395" i="53"/>
  <c r="A396" i="53"/>
  <c r="A397" i="53"/>
  <c r="A398" i="53"/>
  <c r="A399" i="53"/>
  <c r="A400" i="53"/>
  <c r="A401" i="53"/>
  <c r="A402" i="53"/>
  <c r="A403" i="53"/>
  <c r="A404" i="53"/>
  <c r="A405" i="53"/>
  <c r="A406" i="53"/>
  <c r="A407" i="53"/>
  <c r="A408" i="53"/>
  <c r="A409" i="53"/>
  <c r="A410" i="53"/>
  <c r="A411" i="53"/>
  <c r="A412" i="53"/>
  <c r="A413" i="53"/>
  <c r="A414" i="53"/>
  <c r="A415" i="53"/>
  <c r="A417" i="53"/>
  <c r="A418" i="53"/>
  <c r="A419" i="53"/>
  <c r="A420" i="53"/>
  <c r="A421" i="53"/>
  <c r="A422" i="53"/>
  <c r="A423" i="53"/>
  <c r="A424" i="53"/>
  <c r="A425" i="53"/>
  <c r="A426" i="53"/>
  <c r="A427" i="53"/>
  <c r="A428" i="53"/>
  <c r="A429" i="53"/>
  <c r="A430" i="53"/>
  <c r="A431" i="53"/>
  <c r="A432" i="53"/>
  <c r="A433" i="53"/>
  <c r="A434" i="53"/>
  <c r="A435" i="53"/>
  <c r="A436" i="53"/>
  <c r="A437" i="53"/>
  <c r="A438" i="53"/>
  <c r="A439" i="53"/>
  <c r="A440" i="53"/>
  <c r="A441" i="53"/>
  <c r="A442" i="53"/>
  <c r="A443" i="53"/>
  <c r="A444" i="53"/>
  <c r="A445" i="53"/>
  <c r="A446" i="53"/>
  <c r="A447" i="53"/>
  <c r="A448" i="53"/>
  <c r="A449" i="53"/>
  <c r="A450" i="53"/>
  <c r="A451" i="53"/>
  <c r="A452" i="53"/>
  <c r="A453" i="53"/>
  <c r="A454" i="53"/>
  <c r="A455" i="53"/>
  <c r="A456" i="53"/>
  <c r="A457" i="53"/>
  <c r="A458" i="53"/>
  <c r="A459" i="53"/>
  <c r="A460" i="53"/>
  <c r="A461" i="53"/>
  <c r="A462" i="53"/>
  <c r="A463" i="53"/>
  <c r="A464" i="53"/>
  <c r="A465" i="53"/>
  <c r="A466" i="53"/>
  <c r="A467" i="53"/>
  <c r="A468" i="53"/>
  <c r="A469" i="53"/>
  <c r="A471" i="53"/>
  <c r="A472" i="53"/>
  <c r="A473" i="53"/>
  <c r="A474" i="53"/>
  <c r="A475" i="53"/>
  <c r="A476" i="53"/>
  <c r="A477" i="53"/>
  <c r="A478" i="53"/>
  <c r="A479" i="53"/>
  <c r="A480" i="53"/>
  <c r="A481" i="53"/>
  <c r="A482" i="53"/>
  <c r="A483" i="53"/>
  <c r="A484" i="53"/>
  <c r="A485" i="53"/>
  <c r="A486" i="53"/>
  <c r="A487" i="53"/>
  <c r="A488" i="53"/>
  <c r="A489" i="53"/>
  <c r="A490" i="53"/>
  <c r="A491" i="53"/>
  <c r="A492" i="53"/>
  <c r="A493" i="53"/>
  <c r="A494" i="53"/>
  <c r="A495" i="53"/>
  <c r="A496" i="53"/>
  <c r="A497" i="53"/>
  <c r="A498" i="53"/>
  <c r="A499" i="53"/>
  <c r="A500" i="53"/>
  <c r="A501" i="53"/>
  <c r="A502" i="53"/>
  <c r="A503" i="53"/>
  <c r="A505" i="53"/>
  <c r="A506" i="53"/>
  <c r="A507" i="53"/>
  <c r="A508" i="53"/>
  <c r="A509" i="53"/>
  <c r="A510" i="53"/>
  <c r="A511" i="53"/>
  <c r="A512" i="53"/>
  <c r="A513" i="53"/>
  <c r="A514" i="53"/>
  <c r="A515" i="53"/>
  <c r="A516" i="53"/>
  <c r="A517" i="53"/>
  <c r="A518" i="53"/>
  <c r="A519" i="53"/>
  <c r="A520" i="53"/>
  <c r="A521" i="53"/>
  <c r="A522" i="53"/>
  <c r="A523" i="53"/>
  <c r="A524" i="53"/>
  <c r="A525" i="53"/>
  <c r="A526" i="53"/>
  <c r="A527" i="53"/>
  <c r="A528" i="53"/>
  <c r="A529" i="53"/>
  <c r="A530" i="53"/>
  <c r="A531" i="53"/>
  <c r="A532" i="53"/>
  <c r="A533" i="53"/>
  <c r="A534" i="53"/>
  <c r="A535" i="53"/>
  <c r="A536" i="53"/>
  <c r="A537" i="53"/>
  <c r="A538" i="53"/>
  <c r="A539" i="53"/>
  <c r="A540" i="53"/>
  <c r="A541" i="53"/>
  <c r="A542" i="53"/>
  <c r="A543" i="53"/>
  <c r="A544" i="53"/>
  <c r="A545" i="53"/>
  <c r="A546" i="53"/>
  <c r="A547" i="53"/>
  <c r="A548" i="53"/>
  <c r="A549" i="53"/>
  <c r="A550" i="53"/>
  <c r="A551" i="53"/>
  <c r="A552" i="53"/>
  <c r="A553" i="53"/>
  <c r="A554" i="53"/>
  <c r="A555" i="53"/>
  <c r="A556" i="53"/>
  <c r="A557" i="53"/>
  <c r="A558" i="53"/>
  <c r="A559" i="53"/>
  <c r="A560" i="53"/>
  <c r="A561" i="53"/>
  <c r="A562" i="53"/>
  <c r="A563" i="53"/>
  <c r="A564" i="53"/>
  <c r="A565" i="53"/>
  <c r="A566" i="53"/>
  <c r="A567" i="53"/>
  <c r="A568" i="53"/>
  <c r="A569" i="53"/>
  <c r="A570" i="53"/>
  <c r="A571" i="53"/>
  <c r="A572" i="53"/>
  <c r="A573" i="53"/>
  <c r="A574" i="53"/>
  <c r="A575" i="53"/>
  <c r="A576" i="53"/>
  <c r="A577" i="53"/>
  <c r="A578" i="53"/>
  <c r="A579" i="53"/>
  <c r="A580" i="53"/>
  <c r="A581" i="53"/>
  <c r="A582" i="53"/>
  <c r="A583" i="53"/>
  <c r="A584" i="53"/>
  <c r="A585" i="53"/>
  <c r="A586" i="53"/>
  <c r="A587" i="53"/>
  <c r="A588" i="53"/>
  <c r="A589" i="53"/>
  <c r="A590" i="53"/>
  <c r="A591" i="53"/>
  <c r="A592" i="53"/>
  <c r="A593" i="53"/>
  <c r="A594" i="53"/>
  <c r="A595" i="53"/>
  <c r="A596" i="53"/>
  <c r="A597" i="53"/>
  <c r="A598" i="53"/>
  <c r="A599" i="53"/>
  <c r="A600" i="53"/>
  <c r="A601" i="53"/>
  <c r="A602" i="53"/>
  <c r="A603" i="53"/>
  <c r="A604" i="53"/>
  <c r="A605" i="53"/>
  <c r="A606" i="53"/>
  <c r="A607" i="53"/>
  <c r="A608" i="53"/>
  <c r="A609" i="53"/>
  <c r="A610" i="53"/>
  <c r="A611" i="53"/>
  <c r="A612" i="53"/>
  <c r="A613" i="53"/>
  <c r="A614" i="53"/>
  <c r="A615" i="53"/>
  <c r="A616" i="53"/>
  <c r="A617" i="53"/>
  <c r="A618" i="53"/>
  <c r="A619" i="53"/>
  <c r="A620" i="53"/>
  <c r="A625" i="53"/>
  <c r="A627" i="53"/>
  <c r="A628" i="53"/>
  <c r="A629" i="53"/>
  <c r="A630" i="53"/>
  <c r="A631" i="53"/>
  <c r="A634" i="53"/>
  <c r="A635" i="53"/>
  <c r="A636" i="53"/>
  <c r="A637" i="53"/>
  <c r="A638" i="53"/>
  <c r="A639" i="53"/>
  <c r="A640" i="53"/>
  <c r="A642" i="53"/>
  <c r="A643" i="53"/>
  <c r="A645" i="53"/>
  <c r="A646" i="53"/>
  <c r="A647" i="53"/>
  <c r="A648" i="53"/>
  <c r="A649" i="53"/>
  <c r="A650" i="53"/>
  <c r="A651" i="53"/>
  <c r="A652" i="53"/>
  <c r="A653" i="53"/>
  <c r="A654" i="53"/>
  <c r="A655" i="53"/>
  <c r="A656" i="53"/>
  <c r="A657" i="53"/>
  <c r="A658" i="53"/>
  <c r="A659" i="53"/>
  <c r="A660" i="53"/>
  <c r="A661" i="53"/>
  <c r="A662" i="53"/>
  <c r="A663" i="53"/>
  <c r="A664" i="53"/>
  <c r="A665" i="53"/>
  <c r="A666" i="53"/>
  <c r="A667" i="53"/>
  <c r="A668" i="53"/>
  <c r="A669" i="53"/>
  <c r="A670" i="53"/>
  <c r="A671" i="53"/>
  <c r="A672" i="53"/>
  <c r="A673" i="53"/>
  <c r="A674" i="53"/>
  <c r="A675" i="53"/>
  <c r="A676" i="53"/>
  <c r="A677" i="53"/>
  <c r="A678" i="53"/>
  <c r="A679" i="53"/>
  <c r="A680" i="53"/>
  <c r="A681" i="53"/>
  <c r="A682" i="53"/>
  <c r="A683" i="53"/>
  <c r="A684" i="53"/>
  <c r="A685" i="53"/>
  <c r="A686" i="53"/>
  <c r="A687" i="53"/>
  <c r="A688" i="53"/>
  <c r="A689" i="53"/>
  <c r="A690" i="53"/>
  <c r="A691" i="53"/>
  <c r="A692" i="53"/>
  <c r="A693" i="53"/>
  <c r="A694" i="53"/>
  <c r="A695" i="53"/>
  <c r="A696" i="53"/>
  <c r="A697" i="53"/>
  <c r="A698" i="53"/>
  <c r="A699" i="53"/>
  <c r="A700" i="53"/>
  <c r="A701" i="53"/>
  <c r="A702" i="53"/>
  <c r="A703" i="53"/>
  <c r="A704" i="53"/>
  <c r="A705" i="53"/>
  <c r="A706" i="53"/>
  <c r="A707" i="53"/>
  <c r="A708" i="53"/>
  <c r="A709" i="53"/>
  <c r="A710" i="53"/>
  <c r="A711" i="53"/>
  <c r="A712" i="53"/>
  <c r="A713" i="53"/>
  <c r="A714" i="53"/>
  <c r="A718" i="53"/>
  <c r="A719" i="53"/>
  <c r="A720" i="53"/>
  <c r="A721" i="53"/>
  <c r="A722" i="53"/>
  <c r="A724" i="53"/>
  <c r="A725" i="53"/>
  <c r="A726" i="53"/>
  <c r="A727" i="53"/>
  <c r="A728" i="53"/>
  <c r="A729" i="53"/>
  <c r="A730" i="53"/>
  <c r="A731" i="53"/>
  <c r="A732" i="53"/>
  <c r="A733" i="53"/>
  <c r="A734" i="53"/>
  <c r="A735" i="53"/>
  <c r="A736" i="53"/>
  <c r="A737" i="53"/>
  <c r="A738" i="53"/>
  <c r="A739" i="53"/>
  <c r="A740" i="53"/>
  <c r="A741" i="53"/>
  <c r="A742" i="53"/>
  <c r="A743" i="53"/>
  <c r="A744" i="53"/>
  <c r="A745" i="53"/>
  <c r="A746" i="53"/>
  <c r="A747" i="53"/>
  <c r="A748" i="53"/>
  <c r="A749" i="53"/>
  <c r="A750" i="53"/>
  <c r="A751" i="53"/>
  <c r="A752" i="53"/>
  <c r="A753" i="53"/>
  <c r="A754" i="53"/>
  <c r="A755" i="53"/>
  <c r="A756" i="53"/>
  <c r="A757" i="53"/>
  <c r="A758" i="53"/>
  <c r="A759" i="53"/>
  <c r="A760" i="53"/>
  <c r="A761" i="53"/>
  <c r="A762" i="53"/>
  <c r="A763" i="53"/>
  <c r="A764" i="53"/>
  <c r="A765" i="53"/>
  <c r="A766" i="53"/>
  <c r="A767" i="53"/>
  <c r="A768" i="53"/>
  <c r="A769" i="53"/>
  <c r="A770" i="53"/>
  <c r="A771" i="53"/>
  <c r="A772" i="53"/>
  <c r="A773" i="53"/>
  <c r="A774" i="53"/>
  <c r="A775" i="53"/>
  <c r="A776" i="53"/>
  <c r="A777" i="53"/>
  <c r="A778" i="53"/>
  <c r="A779" i="53"/>
  <c r="A780" i="53"/>
  <c r="A781" i="53"/>
  <c r="A782" i="53"/>
  <c r="A783" i="53"/>
  <c r="A784" i="53"/>
  <c r="A785" i="53"/>
  <c r="A786" i="53"/>
  <c r="A787" i="53"/>
  <c r="A788" i="53"/>
  <c r="A789" i="53"/>
  <c r="A790" i="53"/>
  <c r="A791" i="53"/>
  <c r="A792" i="53"/>
  <c r="A793" i="53"/>
  <c r="A794" i="53"/>
  <c r="A795" i="53"/>
  <c r="A796" i="53"/>
  <c r="A797" i="53"/>
  <c r="A798" i="53"/>
  <c r="A799" i="53"/>
  <c r="A800" i="53"/>
  <c r="A801" i="53"/>
  <c r="A802" i="53"/>
  <c r="A803" i="53"/>
  <c r="A804" i="53"/>
  <c r="A805" i="53"/>
  <c r="A806" i="53"/>
  <c r="A807" i="53"/>
  <c r="A808" i="53"/>
  <c r="A809" i="53"/>
  <c r="A810" i="53"/>
  <c r="A811" i="53"/>
  <c r="A812" i="53"/>
  <c r="A813" i="53"/>
  <c r="A814" i="53"/>
  <c r="A815" i="53"/>
  <c r="A816" i="53"/>
  <c r="A817" i="53"/>
  <c r="A818" i="53"/>
  <c r="A819" i="53"/>
  <c r="A820" i="53"/>
  <c r="A821" i="53"/>
  <c r="A822" i="53"/>
  <c r="A823" i="53"/>
  <c r="A825" i="53"/>
  <c r="A826" i="53"/>
  <c r="A827" i="53"/>
  <c r="A828" i="53"/>
  <c r="A829" i="53"/>
  <c r="A830" i="53"/>
  <c r="A831" i="53"/>
  <c r="A832" i="53"/>
  <c r="A833" i="53"/>
  <c r="A834" i="53"/>
  <c r="A835" i="53"/>
  <c r="A836" i="53"/>
  <c r="A837" i="53"/>
  <c r="A838" i="53"/>
  <c r="A839" i="53"/>
  <c r="A840" i="53"/>
  <c r="F841" i="53"/>
  <c r="A841" i="53" s="1"/>
  <c r="A842" i="53"/>
  <c r="A843" i="53"/>
  <c r="A844" i="53"/>
  <c r="A845" i="53"/>
  <c r="A846" i="53"/>
  <c r="A847" i="53"/>
  <c r="A848" i="53"/>
  <c r="A849" i="53"/>
  <c r="A850" i="53"/>
  <c r="A851" i="53"/>
  <c r="A852" i="53"/>
  <c r="A853" i="53"/>
  <c r="A854" i="53"/>
  <c r="A855" i="53"/>
  <c r="A856" i="53"/>
  <c r="A857" i="53"/>
  <c r="A858" i="53"/>
  <c r="A859" i="53"/>
  <c r="A860" i="53"/>
  <c r="A861" i="53"/>
  <c r="A862" i="53"/>
  <c r="A863" i="53"/>
  <c r="A864" i="53"/>
  <c r="A865" i="53"/>
  <c r="A866" i="53"/>
  <c r="A867" i="53"/>
  <c r="A868" i="53"/>
  <c r="A869" i="53"/>
  <c r="A870" i="53"/>
  <c r="A871" i="53"/>
  <c r="A872" i="53"/>
  <c r="A873" i="53"/>
  <c r="A874" i="53"/>
  <c r="A875" i="53"/>
  <c r="A876" i="53"/>
  <c r="A877" i="53"/>
  <c r="A878" i="53"/>
  <c r="A879" i="53"/>
  <c r="A880" i="53"/>
  <c r="A882" i="53"/>
  <c r="A883" i="53"/>
  <c r="A884" i="53"/>
  <c r="A885" i="53"/>
  <c r="A886" i="53"/>
  <c r="A887" i="53"/>
  <c r="A888" i="53"/>
  <c r="A890" i="53"/>
  <c r="A892" i="53"/>
  <c r="A893" i="53"/>
  <c r="A894" i="53"/>
  <c r="A895" i="53"/>
  <c r="A896" i="53"/>
  <c r="A897" i="53"/>
  <c r="A898" i="53"/>
  <c r="A899" i="53"/>
  <c r="A900" i="53"/>
  <c r="A901" i="53"/>
  <c r="A902" i="53"/>
  <c r="A903" i="53"/>
  <c r="A904" i="53"/>
  <c r="A905" i="53"/>
  <c r="A906" i="53"/>
  <c r="A907" i="53"/>
  <c r="A909" i="53"/>
  <c r="A910" i="53"/>
  <c r="A911" i="53"/>
  <c r="A912" i="53"/>
  <c r="A913" i="53"/>
  <c r="A914" i="53"/>
  <c r="A915" i="53"/>
  <c r="A916" i="53"/>
  <c r="A918" i="53"/>
  <c r="A919" i="53"/>
  <c r="A920" i="53"/>
  <c r="A921" i="53"/>
  <c r="A926" i="53"/>
  <c r="A927" i="53"/>
  <c r="A928" i="53"/>
  <c r="A929" i="53"/>
  <c r="A930" i="53"/>
  <c r="A934" i="53"/>
  <c r="A935" i="53"/>
  <c r="A936" i="53"/>
  <c r="A937" i="53"/>
  <c r="A940" i="53"/>
  <c r="A941" i="53"/>
  <c r="A942" i="53"/>
  <c r="A946" i="53"/>
  <c r="A947" i="53"/>
  <c r="A948" i="53"/>
  <c r="A953" i="53"/>
  <c r="A954" i="53"/>
  <c r="A955" i="53"/>
  <c r="A956" i="53"/>
  <c r="A961" i="53"/>
  <c r="A962" i="53"/>
  <c r="A963" i="53"/>
  <c r="A964" i="53"/>
  <c r="A968" i="53"/>
  <c r="A969" i="53"/>
  <c r="A970" i="53"/>
  <c r="A971" i="53"/>
  <c r="A972" i="53"/>
  <c r="A975" i="53"/>
  <c r="A976" i="53"/>
  <c r="A978" i="53"/>
  <c r="A979" i="53"/>
  <c r="A980" i="53"/>
  <c r="A981" i="53"/>
  <c r="A982" i="53"/>
  <c r="A983" i="53"/>
  <c r="A984" i="53"/>
  <c r="A985" i="53"/>
  <c r="A988" i="53"/>
  <c r="A989" i="53"/>
  <c r="A990" i="53"/>
  <c r="A991" i="53"/>
  <c r="A992" i="53"/>
  <c r="A993" i="53"/>
  <c r="A994" i="53"/>
  <c r="A995" i="53"/>
  <c r="A996" i="53"/>
  <c r="A997" i="53"/>
  <c r="A998" i="53"/>
  <c r="A1000" i="53"/>
  <c r="A1001" i="53"/>
  <c r="A1002" i="53"/>
  <c r="A1003" i="53"/>
  <c r="A1004" i="53"/>
  <c r="A1005" i="53"/>
  <c r="A1006" i="53"/>
  <c r="A1007" i="53"/>
  <c r="A1008" i="53"/>
  <c r="A1009" i="53"/>
  <c r="A1010" i="53"/>
  <c r="A1011" i="53"/>
  <c r="A1012" i="53"/>
  <c r="A1013" i="53"/>
  <c r="A1014" i="53"/>
  <c r="A1015" i="53"/>
  <c r="A1016" i="53"/>
  <c r="A1017" i="53"/>
  <c r="A1018" i="53"/>
  <c r="A1019" i="53"/>
  <c r="A1020" i="53"/>
  <c r="A1021" i="53"/>
  <c r="A1022" i="53"/>
  <c r="A1023" i="53"/>
  <c r="A1024" i="53"/>
  <c r="A1025" i="53"/>
  <c r="A1026" i="53"/>
  <c r="A1027" i="53"/>
  <c r="A1028" i="53"/>
  <c r="A1029" i="53"/>
  <c r="A1030" i="53"/>
  <c r="A1031" i="53"/>
  <c r="A1032" i="53"/>
  <c r="A1033" i="53"/>
  <c r="A1034" i="53"/>
  <c r="A1035" i="53"/>
  <c r="A1036" i="53"/>
  <c r="A1037" i="53"/>
  <c r="A1038" i="53"/>
  <c r="A1039" i="53"/>
  <c r="A1040" i="53"/>
  <c r="A1042" i="53"/>
  <c r="A1043" i="53"/>
  <c r="A1044" i="53"/>
  <c r="A1045" i="53"/>
  <c r="A1046" i="53"/>
  <c r="A1047" i="53"/>
  <c r="A1048" i="53"/>
  <c r="A1049" i="53"/>
  <c r="A1051" i="53"/>
  <c r="A1052" i="53"/>
  <c r="A1054" i="53"/>
  <c r="A1055" i="53"/>
  <c r="A1056" i="53"/>
  <c r="A1057" i="53"/>
  <c r="A1058" i="53"/>
  <c r="A1059" i="53"/>
  <c r="A1060" i="53"/>
  <c r="A1061" i="53"/>
  <c r="A1062" i="53"/>
  <c r="A1063" i="53"/>
  <c r="A1064" i="53"/>
  <c r="A1065" i="53"/>
  <c r="A1066" i="53"/>
  <c r="A1067" i="53"/>
  <c r="A1068" i="53"/>
  <c r="A1069" i="53"/>
  <c r="A1070" i="53"/>
  <c r="A1071" i="53"/>
  <c r="A1072" i="53"/>
  <c r="A1073" i="53"/>
  <c r="A1074" i="53"/>
  <c r="A1075" i="53"/>
  <c r="A1076" i="53"/>
  <c r="A1077" i="53"/>
  <c r="A1078" i="53"/>
  <c r="A1079" i="53"/>
  <c r="A1080" i="53"/>
  <c r="A1081" i="53"/>
  <c r="A1082" i="53"/>
  <c r="A1083" i="53"/>
  <c r="A1084" i="53"/>
  <c r="A1085" i="53"/>
  <c r="A1086" i="53"/>
  <c r="A1087" i="53"/>
  <c r="A1088" i="53"/>
  <c r="A1089" i="53"/>
  <c r="A1090" i="53"/>
  <c r="A1091" i="53"/>
  <c r="A1092" i="53"/>
  <c r="A1093" i="53"/>
  <c r="A1094" i="53"/>
  <c r="A1095" i="53"/>
  <c r="A1096" i="53"/>
  <c r="A1097" i="53"/>
  <c r="A1098" i="53"/>
  <c r="A1099" i="53"/>
  <c r="A1100" i="53"/>
  <c r="A1101" i="53"/>
  <c r="A1102" i="53"/>
  <c r="A1103" i="53"/>
  <c r="A1104" i="53"/>
  <c r="A1105" i="53"/>
  <c r="A1106" i="53"/>
  <c r="A1107" i="53"/>
  <c r="A1108" i="53"/>
  <c r="A1109" i="53"/>
  <c r="A1110" i="53"/>
  <c r="A1111" i="53"/>
  <c r="A1112" i="53"/>
  <c r="A1113" i="53"/>
  <c r="A1114" i="53"/>
  <c r="A1115" i="53"/>
  <c r="A1116" i="53"/>
  <c r="A1117" i="53"/>
  <c r="A1118" i="53"/>
  <c r="A1120" i="53"/>
  <c r="A1121" i="53"/>
  <c r="A1122" i="53"/>
  <c r="A1123" i="53"/>
  <c r="A1124" i="53"/>
  <c r="A1125" i="53"/>
  <c r="A1127" i="53"/>
  <c r="A1128" i="53"/>
  <c r="A1129" i="53"/>
  <c r="A1130" i="53"/>
  <c r="A1131" i="53"/>
  <c r="A1132" i="53"/>
  <c r="A1133" i="53"/>
  <c r="A1134" i="53"/>
  <c r="A1135" i="53"/>
  <c r="A1136" i="53"/>
  <c r="A1137" i="53"/>
  <c r="A1138" i="53"/>
  <c r="A1139" i="53"/>
  <c r="A1143" i="53"/>
  <c r="A1144" i="53"/>
  <c r="A1145" i="53"/>
  <c r="A1146" i="53"/>
  <c r="A1147" i="53"/>
  <c r="A1148" i="53"/>
  <c r="A1149" i="53"/>
  <c r="A1150" i="53"/>
  <c r="A1151" i="53"/>
  <c r="A1152" i="53"/>
  <c r="A1153" i="53"/>
  <c r="A1154" i="53"/>
  <c r="A1155" i="53"/>
  <c r="A1156" i="53"/>
  <c r="A1157" i="53"/>
  <c r="A1158" i="53"/>
  <c r="A1159" i="53"/>
  <c r="A1160" i="53"/>
  <c r="A1161" i="53"/>
  <c r="A1162" i="53"/>
  <c r="A1164" i="53"/>
  <c r="A1165" i="53"/>
  <c r="A1166" i="53"/>
  <c r="A1167" i="53"/>
  <c r="A1168" i="53"/>
  <c r="A1169" i="53"/>
  <c r="A1170" i="53"/>
  <c r="A1171" i="53"/>
  <c r="A1172" i="53"/>
  <c r="A1173" i="53"/>
  <c r="A1174" i="53"/>
  <c r="A1175" i="53"/>
  <c r="A1176" i="53"/>
  <c r="A1177" i="53"/>
  <c r="A1178" i="53"/>
  <c r="A1179" i="53"/>
  <c r="A1180" i="53"/>
  <c r="A1181" i="53"/>
  <c r="A1182" i="53"/>
  <c r="A1183" i="53"/>
  <c r="A1184" i="53"/>
  <c r="A1185" i="53"/>
  <c r="A1186" i="53"/>
  <c r="A1187" i="53"/>
  <c r="A1188" i="53"/>
  <c r="A1189" i="53"/>
  <c r="A1190" i="53"/>
  <c r="A1191" i="53"/>
  <c r="A1192" i="53"/>
  <c r="A1193" i="53"/>
  <c r="A1194" i="53"/>
  <c r="A1195" i="53"/>
  <c r="A1196" i="53"/>
  <c r="A1197" i="53"/>
  <c r="A1198" i="53"/>
  <c r="A1199" i="53"/>
  <c r="A1200" i="53"/>
  <c r="A1201" i="53"/>
  <c r="A1202" i="53"/>
  <c r="A1203" i="53"/>
  <c r="A1204" i="53"/>
  <c r="A1205" i="53"/>
  <c r="A1206" i="53"/>
  <c r="A1207" i="53"/>
  <c r="A1208" i="53"/>
  <c r="A1209" i="53"/>
  <c r="A1210" i="53"/>
  <c r="A1211" i="53"/>
  <c r="A1212" i="53"/>
  <c r="A1213" i="53"/>
  <c r="A1214" i="53"/>
  <c r="A1215" i="53"/>
  <c r="A1216" i="53"/>
  <c r="A1217" i="53"/>
  <c r="A1218" i="53"/>
  <c r="A1219" i="53"/>
  <c r="A1220" i="53"/>
  <c r="A1221" i="53"/>
  <c r="A1222" i="53"/>
  <c r="A1223" i="53"/>
  <c r="A1224" i="53"/>
  <c r="A1225" i="53"/>
  <c r="A1226" i="53"/>
  <c r="A1227" i="53"/>
  <c r="A1228" i="53"/>
  <c r="A1229" i="53"/>
  <c r="A1230" i="53"/>
  <c r="A1231" i="53"/>
  <c r="A1232" i="53"/>
  <c r="A1233" i="53"/>
  <c r="A1234" i="53"/>
  <c r="A1235" i="53"/>
  <c r="A1236" i="53"/>
  <c r="A1237" i="53"/>
  <c r="A1238" i="53"/>
  <c r="A1239" i="53"/>
  <c r="A1240" i="53"/>
  <c r="A1241" i="53"/>
  <c r="A1242" i="53"/>
  <c r="A1243" i="53"/>
  <c r="A1244" i="53"/>
  <c r="A1245" i="53"/>
  <c r="F1246" i="53"/>
  <c r="A1246" i="53" s="1"/>
  <c r="A1247" i="53"/>
  <c r="A1248" i="53"/>
  <c r="A1249" i="53"/>
  <c r="A1250" i="53"/>
  <c r="A1251" i="53"/>
  <c r="A1252" i="53"/>
  <c r="A1253" i="53"/>
  <c r="A1254" i="53"/>
  <c r="A1255" i="53"/>
  <c r="A1256" i="53"/>
  <c r="A1257" i="53"/>
  <c r="A1258" i="53"/>
  <c r="A1259" i="53"/>
  <c r="A1260" i="53"/>
  <c r="A1261" i="53"/>
  <c r="A1262" i="53"/>
  <c r="A1263" i="53"/>
  <c r="A1265" i="53"/>
  <c r="A1266" i="53"/>
  <c r="A1268" i="53"/>
  <c r="A1270" i="53"/>
  <c r="A1271" i="53"/>
  <c r="A1273" i="53"/>
  <c r="A1274" i="53"/>
  <c r="A1275" i="53"/>
  <c r="A1276" i="53"/>
  <c r="A1277" i="53"/>
  <c r="A1278" i="53"/>
  <c r="A1279" i="53"/>
  <c r="A1280" i="53"/>
  <c r="A1281" i="53"/>
  <c r="A1282" i="53"/>
  <c r="A1283" i="53"/>
  <c r="A1284" i="53"/>
  <c r="A1285" i="53"/>
  <c r="A1286" i="53"/>
  <c r="A1287" i="53"/>
  <c r="A1288" i="53"/>
  <c r="A1289" i="53"/>
  <c r="A1290" i="53"/>
  <c r="A1291" i="53"/>
  <c r="A1292" i="53"/>
  <c r="A1293" i="53"/>
  <c r="A1294" i="53"/>
  <c r="A1295" i="53"/>
  <c r="A1296" i="53"/>
  <c r="A1297" i="53"/>
  <c r="A1298" i="53"/>
  <c r="A1299" i="53"/>
  <c r="A1300" i="53"/>
  <c r="A1301" i="53"/>
  <c r="A1302" i="53"/>
  <c r="A1303" i="53"/>
  <c r="A1304" i="53"/>
  <c r="A1305" i="53"/>
  <c r="A1306" i="53"/>
  <c r="A1307" i="53"/>
  <c r="A1308" i="53"/>
  <c r="A1309" i="53"/>
  <c r="A1310" i="53"/>
  <c r="A1311" i="53"/>
  <c r="A1312" i="53"/>
  <c r="A1313" i="53"/>
  <c r="A1314" i="53"/>
  <c r="A1315" i="53"/>
  <c r="A1316" i="53"/>
  <c r="A1317" i="53"/>
  <c r="A1321" i="53"/>
  <c r="A1322" i="53"/>
  <c r="A1323" i="53"/>
  <c r="A1324" i="53"/>
  <c r="A1325" i="53"/>
  <c r="A1326" i="53"/>
  <c r="A1327" i="53"/>
  <c r="A1328" i="53"/>
  <c r="A1329" i="53"/>
  <c r="A1330" i="53"/>
  <c r="A1331" i="53"/>
  <c r="A1332" i="53"/>
  <c r="A1333" i="53"/>
  <c r="A1334" i="53"/>
  <c r="A1335" i="53"/>
  <c r="A1336" i="53"/>
  <c r="A1337" i="53"/>
  <c r="A1338" i="53"/>
  <c r="A1339" i="53"/>
  <c r="A1342" i="53"/>
  <c r="A1343" i="53"/>
  <c r="A1344" i="53"/>
  <c r="A1345" i="53"/>
  <c r="A1346" i="53"/>
  <c r="A1347" i="53"/>
  <c r="A1348" i="53"/>
  <c r="A1349" i="53"/>
  <c r="A1350" i="53"/>
  <c r="A1351" i="53"/>
  <c r="A1352" i="53"/>
  <c r="A1353" i="53"/>
  <c r="A1354" i="53"/>
  <c r="A1355" i="53"/>
  <c r="A1356" i="53"/>
  <c r="A1357" i="53"/>
  <c r="A1358" i="53"/>
  <c r="A1360" i="53"/>
  <c r="A1361" i="53"/>
  <c r="A1362" i="53"/>
  <c r="A1364" i="53"/>
  <c r="A1365" i="53"/>
  <c r="A1366" i="53"/>
  <c r="A1367" i="53"/>
  <c r="A1368" i="53"/>
  <c r="A1369" i="53"/>
  <c r="A1370" i="53"/>
  <c r="A1371" i="53"/>
  <c r="A1372" i="53"/>
  <c r="A1373" i="53"/>
  <c r="A1374" i="53"/>
  <c r="A1375" i="53"/>
  <c r="A1376" i="53"/>
  <c r="A1377" i="53"/>
  <c r="A1378" i="53"/>
  <c r="A1379" i="53"/>
  <c r="A1380" i="53"/>
  <c r="A1381" i="53"/>
  <c r="A1382" i="53"/>
  <c r="A1383" i="53"/>
  <c r="A1384" i="53"/>
  <c r="A1385" i="53"/>
  <c r="A1386" i="53"/>
  <c r="A1387" i="53"/>
  <c r="A1388" i="53"/>
  <c r="A1389" i="53"/>
  <c r="A1390" i="53"/>
  <c r="A1391" i="53"/>
  <c r="A1392" i="53"/>
  <c r="A1393" i="53"/>
  <c r="A1394" i="53"/>
  <c r="A1395" i="53"/>
  <c r="A1396" i="53"/>
  <c r="A1397" i="53"/>
  <c r="A1398" i="53"/>
  <c r="A1399" i="53"/>
  <c r="A1400" i="53"/>
  <c r="A1401" i="53"/>
  <c r="A1402" i="53"/>
  <c r="A1403" i="53"/>
  <c r="A1404" i="53"/>
  <c r="A1405" i="53"/>
  <c r="A1406" i="53"/>
  <c r="A1407" i="53"/>
  <c r="A1408" i="53"/>
  <c r="A1409" i="53"/>
  <c r="A1410" i="53"/>
  <c r="A1411" i="53"/>
  <c r="A1412" i="53"/>
  <c r="A1413" i="53"/>
  <c r="A1414" i="53"/>
  <c r="A1415" i="53"/>
  <c r="A1416" i="53"/>
  <c r="A1417" i="53"/>
  <c r="A1418" i="53"/>
  <c r="A1419" i="53"/>
  <c r="A1420" i="53"/>
  <c r="A1421" i="53"/>
  <c r="A1422" i="53"/>
  <c r="A1423" i="53"/>
  <c r="A1424" i="53"/>
  <c r="A1425" i="53"/>
  <c r="A1426" i="53"/>
  <c r="A1427" i="53"/>
  <c r="A1428" i="53"/>
  <c r="A1429" i="53"/>
  <c r="A1430" i="53"/>
  <c r="A1431" i="53"/>
  <c r="A1434" i="53"/>
  <c r="A1435" i="53"/>
  <c r="A1436" i="53"/>
  <c r="A1438" i="53"/>
  <c r="A1439" i="53"/>
  <c r="A1440" i="53"/>
  <c r="A1441" i="53"/>
  <c r="A1442" i="53"/>
  <c r="A1443" i="53"/>
  <c r="A1444" i="53"/>
  <c r="A1445" i="53"/>
  <c r="A1446" i="53"/>
  <c r="A1447" i="53"/>
  <c r="A1448" i="53"/>
  <c r="A1449" i="53"/>
  <c r="A1450" i="53"/>
  <c r="A1451" i="53"/>
  <c r="A1452" i="53"/>
  <c r="A1453" i="53"/>
  <c r="A1454" i="53"/>
  <c r="A1455" i="53"/>
  <c r="A1456" i="53"/>
  <c r="A1457" i="53"/>
  <c r="A1458" i="53"/>
  <c r="A1459" i="53"/>
  <c r="A1460" i="53"/>
  <c r="A1461" i="53"/>
  <c r="A1462" i="53"/>
  <c r="A1463" i="53"/>
  <c r="A1464" i="53"/>
  <c r="A1465" i="53"/>
  <c r="A1466" i="53"/>
  <c r="A1467" i="53"/>
  <c r="A1470" i="53"/>
  <c r="A1471" i="53"/>
  <c r="A1474" i="53"/>
  <c r="A1475" i="53"/>
  <c r="A1476" i="53"/>
  <c r="A1477" i="53"/>
  <c r="A1478" i="53"/>
  <c r="A1479" i="53"/>
  <c r="A1480" i="53"/>
  <c r="A1481" i="53"/>
  <c r="A1483" i="53"/>
  <c r="A1484" i="53"/>
  <c r="A1485" i="53"/>
  <c r="A1486" i="53"/>
  <c r="A1487" i="53"/>
  <c r="A1488" i="53"/>
  <c r="A1489" i="53"/>
  <c r="A1490" i="53"/>
  <c r="A1491" i="53"/>
  <c r="A1492" i="53"/>
  <c r="A1493" i="53"/>
  <c r="A1494" i="53"/>
  <c r="A1495" i="53"/>
  <c r="A1496" i="53"/>
  <c r="A1497" i="53"/>
  <c r="A1498" i="53"/>
  <c r="A1499" i="53"/>
  <c r="A1500" i="53"/>
  <c r="A1501" i="53"/>
  <c r="A1502" i="53"/>
  <c r="A1503" i="53"/>
  <c r="A1504" i="53"/>
  <c r="A1505" i="53"/>
  <c r="A1506" i="53"/>
  <c r="A1507" i="53"/>
  <c r="A1508" i="53"/>
  <c r="A1509" i="53"/>
  <c r="A1510" i="53"/>
  <c r="A1511" i="53"/>
  <c r="A1512" i="53"/>
  <c r="A1513" i="53"/>
  <c r="A1514" i="53"/>
  <c r="A1515" i="53"/>
  <c r="A1516" i="53"/>
  <c r="A1517" i="53"/>
  <c r="A1518" i="53"/>
  <c r="A1519" i="53"/>
  <c r="A1521" i="53"/>
  <c r="A1522" i="53"/>
  <c r="A1523" i="53"/>
  <c r="A1524" i="53"/>
  <c r="A1529" i="53"/>
  <c r="A1530" i="53"/>
  <c r="A1539" i="53"/>
  <c r="A1540" i="53"/>
  <c r="A1541" i="53"/>
  <c r="A1542" i="53"/>
  <c r="A1543" i="53"/>
  <c r="A1544" i="53"/>
  <c r="A1545" i="53"/>
  <c r="A1546" i="53"/>
  <c r="A1547" i="53"/>
  <c r="A1548" i="53"/>
  <c r="A1549" i="53"/>
  <c r="A1550" i="53"/>
  <c r="A1551" i="53"/>
  <c r="A1552" i="53"/>
  <c r="A1553" i="53"/>
  <c r="A1554" i="53"/>
  <c r="A1555" i="53"/>
  <c r="A1556" i="53"/>
  <c r="A1557" i="53"/>
  <c r="A1558" i="53"/>
  <c r="A1561" i="53"/>
  <c r="A1562" i="53"/>
  <c r="A1563" i="53"/>
  <c r="A1564" i="53"/>
  <c r="A1565" i="53"/>
  <c r="A1566" i="53"/>
  <c r="A1567" i="53"/>
  <c r="A1568" i="53"/>
  <c r="A1569" i="53"/>
  <c r="A1570" i="53"/>
  <c r="A1573" i="53"/>
  <c r="A1574" i="53"/>
  <c r="A1575" i="53"/>
  <c r="A1576" i="53"/>
  <c r="A1577" i="53"/>
  <c r="A1578" i="53"/>
  <c r="A1579" i="53"/>
  <c r="A1580" i="53"/>
  <c r="A1581" i="53"/>
  <c r="A1582" i="53"/>
  <c r="A1583" i="53"/>
  <c r="A1584" i="53"/>
  <c r="A1585" i="53"/>
  <c r="A1586" i="53"/>
  <c r="A1587" i="53"/>
  <c r="A1588" i="53"/>
  <c r="A1589" i="53"/>
  <c r="A1590" i="53"/>
  <c r="A1591" i="53"/>
  <c r="A1592" i="53"/>
  <c r="A1593" i="53"/>
  <c r="A1594" i="53"/>
  <c r="A1595" i="53"/>
  <c r="A1596" i="53"/>
  <c r="A1597" i="53"/>
  <c r="A1598" i="53"/>
  <c r="A1599" i="53"/>
  <c r="A1600" i="53"/>
  <c r="A1601" i="53"/>
  <c r="A1602" i="53"/>
  <c r="A1603" i="53"/>
  <c r="A1604" i="53"/>
  <c r="A1605" i="53"/>
  <c r="A1606" i="53"/>
  <c r="A1607" i="53"/>
  <c r="A1608" i="53"/>
  <c r="A1609" i="53"/>
  <c r="A1610" i="53"/>
  <c r="A1611" i="53"/>
  <c r="A1612" i="53"/>
  <c r="A1613" i="53"/>
  <c r="A1614" i="53"/>
  <c r="A1615" i="53"/>
  <c r="A1616" i="53"/>
  <c r="A1617" i="53"/>
  <c r="A1618" i="53"/>
  <c r="A1619" i="53"/>
  <c r="A1621" i="53"/>
  <c r="A1622" i="53"/>
  <c r="A1623" i="53"/>
  <c r="A1624" i="53"/>
  <c r="A1625" i="53"/>
  <c r="A1626" i="53"/>
  <c r="A1627" i="53"/>
  <c r="A1628" i="53"/>
  <c r="A1629" i="53"/>
  <c r="A1630" i="53"/>
  <c r="A1631" i="53"/>
  <c r="A1632" i="53"/>
  <c r="A1633" i="53"/>
  <c r="A1634" i="53"/>
  <c r="A1635" i="53"/>
  <c r="A1636" i="53"/>
  <c r="A1637" i="53"/>
  <c r="A1638" i="53"/>
  <c r="A1639" i="53"/>
  <c r="A1640" i="53"/>
  <c r="A1641" i="53"/>
  <c r="A1642" i="53"/>
  <c r="A1643" i="53"/>
  <c r="A1644" i="53"/>
  <c r="A1645" i="53"/>
  <c r="A1646" i="53"/>
  <c r="A1648" i="53"/>
  <c r="A1649" i="53"/>
  <c r="A1650" i="53"/>
  <c r="A1651" i="53"/>
  <c r="A1652" i="53"/>
  <c r="A1653" i="53"/>
  <c r="A1654" i="53"/>
  <c r="A1655" i="53"/>
  <c r="A1656" i="53"/>
  <c r="A1657" i="53"/>
  <c r="A1658" i="53"/>
  <c r="A1659" i="53"/>
  <c r="A1661" i="53"/>
  <c r="A1662" i="53"/>
  <c r="A1663" i="53"/>
  <c r="A1664" i="53"/>
  <c r="A1665" i="53"/>
  <c r="A1666" i="53"/>
  <c r="A1667" i="53"/>
  <c r="A1669" i="53"/>
  <c r="A1670" i="53"/>
  <c r="A1671" i="53"/>
  <c r="A1672" i="53"/>
  <c r="A1673" i="53"/>
  <c r="A1674" i="53"/>
  <c r="A1675" i="53"/>
  <c r="A1676" i="53"/>
  <c r="A1677" i="53"/>
  <c r="A1678" i="53"/>
  <c r="A1679" i="53"/>
  <c r="A1680" i="53"/>
  <c r="A1682" i="53"/>
  <c r="A1683" i="53"/>
  <c r="A1684" i="53"/>
  <c r="A1685" i="53"/>
  <c r="A1687" i="53"/>
  <c r="A1688" i="53"/>
  <c r="A1689" i="53"/>
  <c r="A1690" i="53"/>
  <c r="A1691" i="53"/>
  <c r="A1692" i="53"/>
  <c r="A1693" i="53"/>
  <c r="A1694" i="53"/>
  <c r="A1695" i="53"/>
  <c r="A1696" i="53"/>
  <c r="A1697" i="53"/>
  <c r="A1698" i="53"/>
  <c r="A1699" i="53"/>
  <c r="A1700" i="53"/>
  <c r="A1701" i="53"/>
  <c r="A1702" i="53"/>
  <c r="A1703" i="53"/>
  <c r="A1704" i="53"/>
  <c r="A1706" i="53"/>
  <c r="A1708" i="53"/>
  <c r="A1710" i="53"/>
  <c r="A1711" i="53"/>
  <c r="A1712" i="53"/>
  <c r="A1713" i="53"/>
  <c r="A1714" i="53"/>
  <c r="A1715" i="53"/>
  <c r="A1717" i="53"/>
  <c r="A1718" i="53"/>
  <c r="A1719" i="53"/>
  <c r="A1720" i="53"/>
  <c r="A1721" i="53"/>
  <c r="A1722" i="53"/>
  <c r="A1723" i="53"/>
  <c r="A1724" i="53"/>
  <c r="A1725" i="53"/>
  <c r="A1726" i="53"/>
  <c r="A1727" i="53"/>
  <c r="A1728" i="53"/>
  <c r="A1729" i="53"/>
  <c r="A1730" i="53"/>
  <c r="A1731" i="53"/>
  <c r="A1732" i="53"/>
  <c r="A1733" i="53"/>
  <c r="A1734" i="53"/>
  <c r="A1735" i="53"/>
  <c r="A1736" i="53"/>
  <c r="A1737" i="53"/>
  <c r="A1738" i="53"/>
  <c r="A1739" i="53"/>
  <c r="A1740" i="53"/>
  <c r="A1741" i="53"/>
  <c r="A1742" i="53"/>
  <c r="A1744" i="53"/>
  <c r="A1745" i="53"/>
  <c r="A1746" i="53"/>
  <c r="A1747" i="53"/>
  <c r="A1748" i="53"/>
  <c r="A1749" i="53"/>
  <c r="A1750" i="53"/>
  <c r="A1752" i="53"/>
  <c r="A1753" i="53"/>
  <c r="A1754" i="53"/>
  <c r="A1755" i="53"/>
  <c r="A1756" i="53"/>
  <c r="A1757" i="53"/>
  <c r="A1758" i="53"/>
  <c r="A1759" i="53"/>
  <c r="A1760" i="53"/>
  <c r="A1761" i="53"/>
  <c r="A1762" i="53"/>
  <c r="A1763" i="53"/>
  <c r="A1764" i="53"/>
  <c r="A1766" i="53"/>
  <c r="A1768" i="53"/>
  <c r="A1770" i="53"/>
  <c r="A1771" i="53"/>
  <c r="A1772" i="53"/>
  <c r="A1773" i="53"/>
  <c r="A1775" i="53"/>
  <c r="A1776" i="53"/>
  <c r="A1777" i="53"/>
  <c r="A1778" i="53"/>
  <c r="A1780" i="53"/>
  <c r="A1781" i="53"/>
  <c r="A1782" i="53"/>
  <c r="A1783" i="53"/>
  <c r="A1784" i="53"/>
  <c r="A1785" i="53"/>
  <c r="A1786" i="53"/>
  <c r="A1787" i="53"/>
  <c r="A1788" i="53"/>
  <c r="A1789" i="53"/>
  <c r="A1790" i="53"/>
  <c r="A1791" i="53"/>
  <c r="A1792" i="53"/>
  <c r="A1794" i="53"/>
  <c r="A1795" i="53"/>
  <c r="A1796" i="53"/>
  <c r="A1797" i="53"/>
  <c r="A1798" i="53"/>
  <c r="A1799" i="53"/>
  <c r="A1800" i="53"/>
  <c r="A1801" i="53"/>
  <c r="A1802" i="53"/>
  <c r="A1803" i="53"/>
  <c r="A1804" i="53"/>
  <c r="A1805" i="53"/>
  <c r="A1806" i="53"/>
  <c r="A1807" i="53"/>
  <c r="A1808" i="53"/>
  <c r="A1809" i="53"/>
  <c r="A1810" i="53"/>
  <c r="A1811" i="53"/>
  <c r="A1812" i="53"/>
  <c r="A1813" i="53"/>
  <c r="A1814" i="53"/>
  <c r="A1815" i="53"/>
  <c r="A1816" i="53"/>
  <c r="A1817" i="53"/>
  <c r="A1818" i="53"/>
  <c r="A1819" i="53"/>
  <c r="A1820" i="53"/>
  <c r="A1821" i="53"/>
  <c r="A1822" i="53"/>
  <c r="A1823" i="53"/>
  <c r="A1824" i="53"/>
  <c r="A1825" i="53"/>
  <c r="A1827" i="53"/>
  <c r="A1829" i="53"/>
  <c r="A1830" i="53"/>
  <c r="A1831" i="53"/>
  <c r="A1832" i="53"/>
  <c r="A1833" i="53"/>
  <c r="A1835" i="53"/>
  <c r="A1837" i="53"/>
  <c r="A1838" i="53"/>
  <c r="A1840" i="53"/>
  <c r="A1842" i="53"/>
  <c r="A1843" i="53"/>
  <c r="A1844" i="53"/>
  <c r="A1845" i="53"/>
  <c r="A1847" i="53"/>
  <c r="A1849" i="53"/>
  <c r="A1850" i="53"/>
  <c r="A1851" i="53"/>
  <c r="A1852" i="53"/>
  <c r="A1853" i="53"/>
  <c r="A1855" i="53"/>
  <c r="A1856" i="53"/>
  <c r="A1857" i="53"/>
  <c r="A1858" i="53"/>
  <c r="A1860" i="53"/>
  <c r="A1861" i="53"/>
  <c r="A1862" i="53"/>
  <c r="A1863" i="53"/>
  <c r="A1865" i="53"/>
  <c r="A1866" i="53"/>
  <c r="A1867" i="53"/>
  <c r="A1868" i="53"/>
  <c r="A1870" i="53"/>
  <c r="A1871" i="53"/>
  <c r="A1872" i="53"/>
  <c r="A1873" i="53"/>
  <c r="F1874" i="53"/>
  <c r="A1874" i="53" s="1"/>
  <c r="A1875" i="53"/>
  <c r="A1876" i="53"/>
  <c r="A1877" i="53"/>
  <c r="A1878" i="53"/>
  <c r="A1879" i="53"/>
  <c r="A1880" i="53"/>
  <c r="A1881" i="53"/>
  <c r="A1882" i="53"/>
  <c r="A1883" i="53"/>
  <c r="A1885" i="53"/>
  <c r="A1886" i="53"/>
  <c r="A1887" i="53"/>
  <c r="A1888" i="53"/>
  <c r="A1889" i="53"/>
  <c r="A1890" i="53"/>
  <c r="A1891" i="53"/>
  <c r="A1892" i="53"/>
  <c r="A1893" i="53"/>
  <c r="A1894" i="53"/>
  <c r="A1895" i="53"/>
  <c r="A1896" i="53"/>
  <c r="A1897" i="53"/>
  <c r="A1898" i="53"/>
  <c r="A1899" i="53"/>
  <c r="A1900" i="53"/>
  <c r="A1901" i="53"/>
  <c r="A1902" i="53"/>
  <c r="A1903" i="53"/>
  <c r="A1904" i="53"/>
  <c r="A1905" i="53"/>
  <c r="A1907" i="53"/>
  <c r="A1908" i="53"/>
  <c r="A1909" i="53"/>
  <c r="A1910" i="53"/>
  <c r="A1912" i="53"/>
  <c r="A1913" i="53"/>
  <c r="A1914" i="53"/>
  <c r="A1915" i="53"/>
  <c r="A1916" i="53"/>
  <c r="A1917" i="53"/>
  <c r="A1918" i="53"/>
  <c r="A1919" i="53"/>
  <c r="A1921" i="53"/>
  <c r="A1922" i="53"/>
  <c r="A1923" i="53"/>
  <c r="A1924" i="53"/>
  <c r="A1925" i="53"/>
  <c r="A1926" i="53"/>
  <c r="A1927" i="53"/>
  <c r="A1928" i="53"/>
  <c r="A1930" i="53"/>
  <c r="A1931" i="53"/>
  <c r="A1932" i="53"/>
  <c r="A1933" i="53"/>
  <c r="A1934" i="53"/>
  <c r="A1935" i="53"/>
  <c r="A1936" i="53"/>
  <c r="A1937" i="53"/>
  <c r="A1938" i="53"/>
  <c r="A1939" i="53"/>
  <c r="A1940" i="53"/>
  <c r="A1941" i="53"/>
  <c r="A1942" i="53"/>
  <c r="A1943" i="53"/>
  <c r="A1944" i="53"/>
  <c r="A1945" i="53"/>
  <c r="A1946" i="53"/>
  <c r="A1947" i="53"/>
  <c r="A1948" i="53"/>
  <c r="A1949" i="53"/>
  <c r="A1950" i="53"/>
  <c r="A1952" i="53"/>
  <c r="A1953" i="53"/>
  <c r="A1956" i="53"/>
  <c r="A1957" i="53"/>
  <c r="A1958" i="53"/>
  <c r="A1959" i="53"/>
  <c r="A1960" i="53"/>
  <c r="A1961" i="53"/>
  <c r="A1962" i="53"/>
  <c r="A1963" i="53"/>
  <c r="A1964" i="53"/>
  <c r="A1965" i="53"/>
  <c r="A1966" i="53"/>
  <c r="A1967" i="53"/>
  <c r="A1968" i="53"/>
  <c r="A1969" i="53"/>
  <c r="A1970" i="53"/>
  <c r="A1971" i="53"/>
  <c r="A1972" i="53"/>
  <c r="A1973" i="53"/>
  <c r="A1974" i="53"/>
  <c r="A1975" i="53"/>
  <c r="A1976" i="53"/>
  <c r="A1978" i="53"/>
  <c r="A1979" i="53"/>
  <c r="A1980" i="53"/>
  <c r="A1982" i="53"/>
  <c r="A1983" i="53"/>
  <c r="A1984" i="53"/>
  <c r="A1985" i="53"/>
  <c r="A1986" i="53"/>
  <c r="A1988" i="53"/>
  <c r="A1989" i="53"/>
  <c r="A1990" i="53"/>
  <c r="A1991" i="53"/>
  <c r="A1992" i="53"/>
  <c r="A1993" i="53"/>
  <c r="A1994" i="53"/>
  <c r="A1995" i="53"/>
  <c r="A1996" i="53"/>
  <c r="A1997" i="53"/>
  <c r="A1998" i="53"/>
  <c r="A1999" i="53"/>
  <c r="A2000" i="53"/>
  <c r="A2001" i="53"/>
  <c r="A2002" i="53"/>
  <c r="A2005" i="53"/>
  <c r="A2006" i="53"/>
  <c r="A2007" i="53"/>
  <c r="A2008" i="53"/>
  <c r="A2009" i="53"/>
  <c r="A2010" i="53"/>
  <c r="A2011" i="53"/>
  <c r="A2012" i="53"/>
  <c r="A2013" i="53"/>
  <c r="A2014" i="53"/>
  <c r="A2015" i="53"/>
  <c r="A2016" i="53"/>
  <c r="A2017" i="53"/>
  <c r="A2018" i="53"/>
  <c r="A2019" i="53"/>
  <c r="A2021" i="53"/>
  <c r="A2023" i="53"/>
  <c r="A2024" i="53"/>
  <c r="A2026" i="53"/>
  <c r="A2027" i="53"/>
  <c r="A2028" i="53"/>
  <c r="A2029" i="53"/>
  <c r="A2030" i="53"/>
  <c r="A2031" i="53"/>
  <c r="A2032" i="53"/>
  <c r="A2033" i="53"/>
  <c r="A2035" i="53"/>
  <c r="A2037" i="53"/>
  <c r="A2038" i="53"/>
  <c r="A2039" i="53"/>
  <c r="A2041" i="53"/>
  <c r="A2042" i="53"/>
  <c r="A2043" i="53"/>
  <c r="A2045" i="53"/>
  <c r="A2046" i="53"/>
  <c r="A2047" i="53"/>
  <c r="A2048" i="53"/>
  <c r="A2049" i="53"/>
  <c r="A2050" i="53"/>
  <c r="A2052" i="53"/>
  <c r="A2053" i="53"/>
  <c r="A2054" i="53"/>
  <c r="A2055" i="53"/>
  <c r="A2056" i="53"/>
  <c r="A2057" i="53"/>
  <c r="A2058" i="53"/>
  <c r="A2059" i="53"/>
  <c r="A2060" i="53"/>
  <c r="A2061" i="53"/>
  <c r="A2062" i="53"/>
  <c r="A2063" i="53"/>
  <c r="A2064" i="53"/>
  <c r="A2065" i="53"/>
  <c r="A2066" i="53"/>
  <c r="A2067" i="53"/>
  <c r="A2070" i="53"/>
  <c r="A2072" i="53"/>
  <c r="A2073" i="53"/>
  <c r="A2074" i="53"/>
  <c r="A2075" i="53"/>
  <c r="A2077" i="53"/>
  <c r="A2078" i="53"/>
  <c r="A2079" i="53"/>
  <c r="A2080" i="53"/>
  <c r="A2081" i="53"/>
  <c r="A2082" i="53"/>
  <c r="A2083" i="53"/>
  <c r="A2085" i="53"/>
  <c r="A2086" i="53"/>
  <c r="A2087" i="53"/>
  <c r="A2088" i="53"/>
  <c r="A2089" i="53"/>
  <c r="A2090" i="53"/>
  <c r="A2092" i="53"/>
  <c r="A2093" i="53"/>
  <c r="A2094" i="53"/>
  <c r="A2095" i="53"/>
  <c r="A2096" i="53"/>
  <c r="A2097" i="53"/>
  <c r="A2098" i="53"/>
  <c r="A2099" i="53"/>
  <c r="A2100" i="53"/>
  <c r="A2101" i="53"/>
  <c r="A2102" i="53"/>
  <c r="A2103" i="53"/>
  <c r="A2104" i="53"/>
  <c r="A2105" i="53"/>
  <c r="A2106" i="53"/>
  <c r="A2107" i="53"/>
  <c r="A2109" i="53"/>
  <c r="A2110" i="53"/>
  <c r="A2111" i="53"/>
  <c r="A2112" i="53"/>
  <c r="A2113" i="53"/>
  <c r="A2114" i="53"/>
  <c r="A2115" i="53"/>
  <c r="A2116" i="53"/>
  <c r="A2117" i="53"/>
  <c r="A2118" i="53"/>
  <c r="A2120" i="53"/>
  <c r="A2121" i="53"/>
  <c r="A2122" i="53"/>
  <c r="A2124" i="53"/>
  <c r="A2125" i="53"/>
  <c r="A2127" i="53"/>
  <c r="A2128" i="53"/>
  <c r="A2129" i="53"/>
  <c r="A2130" i="53"/>
  <c r="A2131" i="53"/>
  <c r="A2132" i="53"/>
  <c r="A2133" i="53"/>
  <c r="A2134" i="53"/>
  <c r="A2135" i="53"/>
  <c r="A2136" i="53"/>
  <c r="A2137" i="53"/>
  <c r="A2138" i="53"/>
  <c r="A2139" i="53"/>
  <c r="A2140" i="53"/>
  <c r="A2141" i="53"/>
  <c r="A2142" i="53"/>
  <c r="A2144" i="53"/>
  <c r="A2145" i="53"/>
  <c r="A2146" i="53"/>
  <c r="A2147" i="53"/>
  <c r="A2148" i="53"/>
  <c r="A2149" i="53"/>
  <c r="A2150" i="53"/>
  <c r="A2151" i="53"/>
  <c r="A2152" i="53"/>
  <c r="A2154" i="53"/>
  <c r="A2155" i="53"/>
  <c r="A2156" i="53"/>
  <c r="A2157" i="53"/>
  <c r="A2158" i="53"/>
  <c r="A2159" i="53"/>
  <c r="A2160" i="53"/>
  <c r="A2161" i="53"/>
  <c r="A2162" i="53"/>
  <c r="A2163" i="53"/>
  <c r="A2164" i="53"/>
  <c r="A2165" i="53"/>
  <c r="A2167" i="53"/>
  <c r="A2169" i="53"/>
  <c r="A2170" i="53"/>
  <c r="A2171" i="53"/>
  <c r="A2172" i="53"/>
  <c r="A2173" i="53"/>
  <c r="A2174" i="53"/>
  <c r="A2175" i="53"/>
  <c r="A2176" i="53"/>
  <c r="A2178" i="53"/>
  <c r="A2179" i="53"/>
  <c r="A2180" i="53"/>
  <c r="A2181" i="53"/>
  <c r="A2183" i="53"/>
  <c r="A2185" i="53"/>
  <c r="A2187" i="53"/>
  <c r="A2188" i="53"/>
  <c r="A2189" i="53"/>
  <c r="A2190" i="53"/>
  <c r="A2191" i="53"/>
  <c r="A2192" i="53"/>
  <c r="A2193" i="53"/>
  <c r="A2194" i="53"/>
  <c r="A2196" i="53"/>
  <c r="A2197" i="53"/>
  <c r="A2198" i="53"/>
  <c r="A2199" i="53"/>
  <c r="A2200" i="53"/>
  <c r="A2201" i="53"/>
  <c r="A2202" i="53"/>
  <c r="A2203" i="53"/>
  <c r="A2204" i="53"/>
  <c r="A2205" i="53"/>
  <c r="A2206" i="53"/>
  <c r="A2207" i="53"/>
  <c r="A2208" i="53"/>
  <c r="A2209" i="53"/>
  <c r="A2210" i="53"/>
  <c r="A2211" i="53"/>
  <c r="A2212" i="53"/>
  <c r="A2213" i="53"/>
  <c r="A2214" i="53"/>
  <c r="A2215" i="53"/>
  <c r="A2216" i="53"/>
  <c r="A2217" i="53"/>
  <c r="A2218" i="53"/>
  <c r="A2219" i="53"/>
  <c r="A2221" i="53"/>
  <c r="A2222" i="53"/>
  <c r="A2223" i="53"/>
  <c r="A2224" i="53"/>
  <c r="A2225" i="53"/>
  <c r="A2227" i="53"/>
  <c r="A2228" i="53"/>
  <c r="A2229" i="53"/>
  <c r="A2230" i="53"/>
  <c r="A2231" i="53"/>
  <c r="A2232" i="53"/>
  <c r="A2234" i="53"/>
  <c r="A2235" i="53"/>
  <c r="A2236" i="53"/>
  <c r="A2237" i="53"/>
  <c r="A2238" i="53"/>
  <c r="A2239" i="53"/>
  <c r="A2240" i="53"/>
  <c r="A2241" i="53"/>
  <c r="A2242" i="53"/>
  <c r="A2243" i="53"/>
  <c r="A2244" i="53"/>
  <c r="A2245" i="53"/>
  <c r="A2246" i="53"/>
  <c r="A2247" i="53"/>
  <c r="A2248" i="53"/>
  <c r="A2249" i="53"/>
  <c r="A2250" i="53"/>
  <c r="A2251" i="53"/>
  <c r="A2252" i="53"/>
  <c r="A2253" i="53"/>
  <c r="A2254" i="53"/>
  <c r="A2255" i="53"/>
  <c r="A2257" i="53"/>
  <c r="A2258" i="53"/>
  <c r="A2260" i="53"/>
  <c r="A2261" i="53"/>
  <c r="A2262" i="53"/>
  <c r="A2263" i="53"/>
  <c r="A2264" i="53"/>
  <c r="A2265" i="53"/>
  <c r="A2266" i="53"/>
  <c r="A2267" i="53"/>
  <c r="A2268" i="53"/>
  <c r="A2269" i="53"/>
  <c r="A2270" i="53"/>
  <c r="A2271" i="53"/>
  <c r="A2272" i="53"/>
  <c r="A2273" i="53"/>
  <c r="A2275" i="53"/>
  <c r="A2276" i="53"/>
  <c r="A2277" i="53"/>
  <c r="A2278" i="53"/>
  <c r="A2279" i="53"/>
  <c r="A2280" i="53"/>
  <c r="A2281" i="53"/>
  <c r="A2282" i="53"/>
  <c r="A2283" i="53"/>
  <c r="A2284" i="53"/>
  <c r="A2285" i="53"/>
  <c r="A2286" i="53"/>
  <c r="A2287" i="53"/>
  <c r="A2288" i="53"/>
  <c r="A2289" i="53"/>
  <c r="A2290" i="53"/>
  <c r="A2291" i="53"/>
  <c r="A2292" i="53"/>
  <c r="A2293" i="53"/>
  <c r="A2294" i="53"/>
  <c r="A2295" i="53"/>
  <c r="A2296" i="53"/>
  <c r="A2299" i="53"/>
  <c r="A2300" i="53"/>
  <c r="F2301" i="53"/>
  <c r="A2301" i="53" s="1"/>
  <c r="A2302" i="53"/>
  <c r="A2303" i="53"/>
  <c r="A2304" i="53"/>
  <c r="A2305" i="53"/>
  <c r="A2306" i="53"/>
  <c r="A2307" i="53"/>
  <c r="A2308" i="53"/>
  <c r="A2309" i="53"/>
  <c r="A2310" i="53"/>
  <c r="A2311" i="53"/>
  <c r="A2313" i="53"/>
  <c r="A2314" i="53"/>
  <c r="A2315" i="53"/>
  <c r="A2317" i="53"/>
  <c r="A2318" i="53"/>
  <c r="A2319" i="53"/>
  <c r="A2320" i="53"/>
  <c r="A2321" i="53"/>
  <c r="A2322" i="53"/>
  <c r="A2323" i="53"/>
  <c r="A2324" i="53"/>
  <c r="A2325" i="53"/>
  <c r="A2326" i="53"/>
  <c r="A2327" i="53"/>
  <c r="A2328" i="53"/>
  <c r="A2329" i="53"/>
  <c r="A2330" i="53"/>
  <c r="A2331" i="53"/>
  <c r="A2332" i="53"/>
  <c r="A2333" i="53"/>
  <c r="A2334" i="53"/>
  <c r="A2335" i="53"/>
  <c r="A2336" i="53"/>
  <c r="A2337" i="53"/>
  <c r="A2338" i="53"/>
  <c r="A2339" i="53"/>
  <c r="A2340" i="53"/>
  <c r="A2341" i="53"/>
  <c r="A2342" i="53"/>
  <c r="A2343" i="53"/>
  <c r="A2344" i="53"/>
  <c r="A2345" i="53"/>
  <c r="A2346" i="53"/>
  <c r="A2347" i="53"/>
  <c r="A2348" i="53"/>
  <c r="A2349" i="53"/>
  <c r="A2352" i="53"/>
  <c r="A2353" i="53"/>
  <c r="A2354" i="53"/>
  <c r="A2355" i="53"/>
  <c r="A2356" i="53"/>
  <c r="A2357" i="53"/>
  <c r="A2358" i="53"/>
  <c r="A2359" i="53"/>
  <c r="A2360" i="53"/>
  <c r="A2362" i="53"/>
  <c r="A2363" i="53"/>
  <c r="A2364" i="53"/>
  <c r="A2365" i="53"/>
  <c r="A2366" i="53"/>
  <c r="A2367" i="53"/>
  <c r="A2368" i="53"/>
  <c r="A2369" i="53"/>
  <c r="A2370" i="53"/>
  <c r="A2371" i="53"/>
  <c r="A2372" i="53"/>
  <c r="A2373" i="53"/>
  <c r="A2374" i="53"/>
  <c r="A2375" i="53"/>
  <c r="A2376" i="53"/>
  <c r="A2377" i="53"/>
  <c r="A2378" i="53"/>
  <c r="A2379" i="53"/>
  <c r="A2380" i="53"/>
  <c r="A2381" i="53"/>
  <c r="A2382" i="53"/>
  <c r="A2383" i="53"/>
  <c r="A2384" i="53"/>
  <c r="A2385" i="53"/>
  <c r="A2386" i="53"/>
  <c r="A2387" i="53"/>
  <c r="A2388" i="53"/>
  <c r="A2389" i="53"/>
  <c r="A2390" i="53"/>
  <c r="A2391" i="53"/>
  <c r="A2392" i="53"/>
  <c r="A2393" i="53"/>
  <c r="A2394" i="53"/>
  <c r="A2395" i="53"/>
  <c r="A2396" i="53"/>
  <c r="A2397" i="53"/>
  <c r="A2398" i="53"/>
  <c r="A2399" i="53"/>
  <c r="A2400" i="53"/>
  <c r="A2401" i="53"/>
  <c r="A2402" i="53"/>
  <c r="A2403" i="53"/>
  <c r="A2404" i="53"/>
  <c r="A2405" i="53"/>
  <c r="A2406" i="53"/>
  <c r="A2407" i="53"/>
  <c r="A2408" i="53"/>
  <c r="A2409" i="53"/>
  <c r="A2410" i="53"/>
  <c r="A2411" i="53"/>
  <c r="A2412" i="53"/>
  <c r="A2413" i="53"/>
  <c r="A2414" i="53"/>
  <c r="A2415" i="53"/>
  <c r="A2416" i="53"/>
  <c r="A2417" i="53"/>
  <c r="A2418" i="53"/>
  <c r="A2419" i="53"/>
  <c r="A2420" i="53"/>
  <c r="A2421" i="53"/>
  <c r="A2422" i="53"/>
  <c r="A2423" i="53"/>
  <c r="A2424" i="53"/>
  <c r="A2425" i="53"/>
  <c r="A2426" i="53"/>
  <c r="A2427" i="53"/>
  <c r="A2428" i="53"/>
  <c r="A2429" i="53"/>
  <c r="A2430" i="53"/>
  <c r="A2432" i="53"/>
  <c r="A2433" i="53"/>
  <c r="A2434" i="53"/>
  <c r="A2435" i="53"/>
  <c r="A2436" i="53"/>
  <c r="A2437" i="53"/>
  <c r="A2438" i="53"/>
  <c r="A2439" i="53"/>
  <c r="A2440" i="53"/>
  <c r="A2441" i="53"/>
  <c r="A2442" i="53"/>
  <c r="A2443" i="53"/>
  <c r="A2444" i="53"/>
  <c r="A2445" i="53"/>
  <c r="A2446" i="53"/>
  <c r="A2447" i="53"/>
  <c r="A2448" i="53"/>
  <c r="A2449" i="53"/>
  <c r="A2450" i="53"/>
  <c r="A2451" i="53"/>
  <c r="A2452" i="53"/>
  <c r="A2453" i="53"/>
  <c r="A2454" i="53"/>
  <c r="A2455" i="53"/>
  <c r="A2456" i="53"/>
  <c r="A2457" i="53"/>
  <c r="A2458" i="53"/>
  <c r="A2459" i="53"/>
  <c r="A2460" i="53"/>
  <c r="A2461" i="53"/>
  <c r="A2462" i="53"/>
  <c r="A2463" i="53"/>
  <c r="A2465" i="53"/>
  <c r="A2466" i="53"/>
  <c r="A2467" i="53"/>
  <c r="A2468" i="53"/>
  <c r="A2469" i="53"/>
  <c r="A2470" i="53"/>
  <c r="A2471" i="53"/>
  <c r="A2472" i="53"/>
  <c r="A2473" i="53"/>
  <c r="A2475" i="53"/>
  <c r="A2476" i="53"/>
  <c r="A2478" i="53"/>
  <c r="A2479" i="53"/>
  <c r="A2480" i="53"/>
  <c r="A2482" i="53"/>
  <c r="A2483" i="53"/>
  <c r="A2484" i="53"/>
  <c r="A2485" i="53"/>
  <c r="A2486" i="53"/>
  <c r="A2487" i="53"/>
  <c r="A2488" i="53"/>
  <c r="A2489" i="53"/>
  <c r="A2490" i="53"/>
  <c r="A2492" i="53"/>
  <c r="A2493" i="53"/>
  <c r="A2494" i="53"/>
  <c r="A2495" i="53"/>
  <c r="A2496" i="53"/>
  <c r="A2497" i="53"/>
  <c r="A2498" i="53"/>
  <c r="A2499" i="53"/>
  <c r="A2500" i="53"/>
  <c r="A2501" i="53"/>
  <c r="A2502" i="53"/>
  <c r="A2503" i="53"/>
  <c r="A2504" i="53"/>
  <c r="A2505" i="53"/>
  <c r="A2506" i="53"/>
  <c r="A2507" i="53"/>
  <c r="A2508" i="53"/>
  <c r="A2509" i="53"/>
  <c r="A2510" i="53"/>
  <c r="A2511" i="53"/>
  <c r="A2512" i="53"/>
  <c r="A2513" i="53"/>
  <c r="A2514" i="53"/>
  <c r="A2515" i="53"/>
  <c r="A2516" i="53"/>
  <c r="A2517" i="53"/>
  <c r="A2518" i="53"/>
  <c r="A2519" i="53"/>
  <c r="A2522" i="53"/>
  <c r="A2523" i="53"/>
  <c r="A2524" i="53"/>
  <c r="A2525" i="53"/>
  <c r="A2526" i="53"/>
  <c r="A2527" i="53"/>
  <c r="A2528" i="53"/>
  <c r="A2529" i="53"/>
  <c r="A2530" i="53"/>
  <c r="A2531" i="53"/>
  <c r="A2532" i="53"/>
  <c r="A2533" i="53"/>
  <c r="A2534" i="53"/>
  <c r="A2535" i="53"/>
  <c r="A2536" i="53"/>
  <c r="A2537" i="53"/>
  <c r="A2538" i="53"/>
  <c r="A2539" i="53"/>
  <c r="A2540" i="53"/>
  <c r="A2541" i="53"/>
  <c r="A2542" i="53"/>
  <c r="A2543" i="53"/>
  <c r="A2544" i="53"/>
  <c r="A2545" i="53"/>
  <c r="A2546" i="53"/>
  <c r="A2547" i="53"/>
  <c r="A2548" i="53"/>
  <c r="A2549" i="53"/>
  <c r="A2550" i="53"/>
  <c r="A2551" i="53"/>
  <c r="A2552" i="53"/>
  <c r="A2553" i="53"/>
  <c r="A2554" i="53"/>
  <c r="A2555" i="53"/>
  <c r="A2556" i="53"/>
  <c r="A2557" i="53"/>
  <c r="A2558" i="53"/>
  <c r="A2559" i="53"/>
  <c r="A2560" i="53"/>
  <c r="A2561" i="53"/>
  <c r="A2562" i="53"/>
  <c r="A2563" i="53"/>
  <c r="A2564" i="53"/>
  <c r="A2565" i="53"/>
  <c r="A2567" i="53"/>
  <c r="A2568" i="53"/>
  <c r="A2569" i="53"/>
  <c r="A2570" i="53"/>
  <c r="A2571" i="53"/>
  <c r="A2572" i="53"/>
  <c r="A2573" i="53"/>
  <c r="A2574" i="53"/>
  <c r="A2575" i="53"/>
  <c r="A2576" i="53"/>
  <c r="A2577" i="53"/>
  <c r="A2578" i="53"/>
  <c r="A2579" i="53"/>
  <c r="A2580" i="53"/>
  <c r="K3" i="53"/>
  <c r="L3" i="53" s="1"/>
  <c r="K4" i="53"/>
  <c r="O4" i="53" s="1"/>
  <c r="K5" i="53"/>
  <c r="O5" i="53" s="1"/>
  <c r="K6" i="53"/>
  <c r="O6" i="53" s="1"/>
  <c r="K7" i="53"/>
  <c r="K8" i="53"/>
  <c r="O8" i="53" s="1"/>
  <c r="K9" i="53"/>
  <c r="K10" i="53"/>
  <c r="O10" i="53" s="1"/>
  <c r="K11" i="53"/>
  <c r="L11" i="53" s="1"/>
  <c r="K12" i="53"/>
  <c r="L12" i="53" s="1"/>
  <c r="K13" i="53"/>
  <c r="L13" i="53" s="1"/>
  <c r="K14" i="53"/>
  <c r="O14" i="53" s="1"/>
  <c r="K15" i="53"/>
  <c r="L15" i="53" s="1"/>
  <c r="K16" i="53"/>
  <c r="O16" i="53" s="1"/>
  <c r="K17" i="53"/>
  <c r="O17" i="53" s="1"/>
  <c r="K18" i="53"/>
  <c r="O18" i="53" s="1"/>
  <c r="K19" i="53"/>
  <c r="O19" i="53" s="1"/>
  <c r="K20" i="53"/>
  <c r="K21" i="53"/>
  <c r="O21" i="53" s="1"/>
  <c r="K22" i="53"/>
  <c r="O22" i="53" s="1"/>
  <c r="K23" i="53"/>
  <c r="O23" i="53" s="1"/>
  <c r="K24" i="53"/>
  <c r="K25" i="53"/>
  <c r="K26" i="53"/>
  <c r="K27" i="53"/>
  <c r="L27" i="53" s="1"/>
  <c r="K28" i="53"/>
  <c r="O28" i="53" s="1"/>
  <c r="K29" i="53"/>
  <c r="O29" i="53" s="1"/>
  <c r="K30" i="53"/>
  <c r="O30" i="53" s="1"/>
  <c r="K33" i="53"/>
  <c r="O33" i="53" s="1"/>
  <c r="K34" i="53"/>
  <c r="O34" i="53" s="1"/>
  <c r="K35" i="53"/>
  <c r="O35" i="53" s="1"/>
  <c r="K36" i="53"/>
  <c r="O36" i="53" s="1"/>
  <c r="K37" i="53"/>
  <c r="K38" i="53"/>
  <c r="O38" i="53" s="1"/>
  <c r="O40" i="53"/>
  <c r="K42" i="53"/>
  <c r="O42" i="53" s="1"/>
  <c r="K43" i="53"/>
  <c r="O43" i="53" s="1"/>
  <c r="K44" i="53"/>
  <c r="K45" i="53"/>
  <c r="O45" i="53" s="1"/>
  <c r="K46" i="53"/>
  <c r="O46" i="53" s="1"/>
  <c r="K48" i="53"/>
  <c r="O48" i="53" s="1"/>
  <c r="K49" i="53"/>
  <c r="O49" i="53" s="1"/>
  <c r="K55" i="53"/>
  <c r="O55" i="53" s="1"/>
  <c r="K57" i="53"/>
  <c r="O57" i="53" s="1"/>
  <c r="K58" i="53"/>
  <c r="K60" i="53"/>
  <c r="O60" i="53" s="1"/>
  <c r="K61" i="53"/>
  <c r="O61" i="53" s="1"/>
  <c r="K62" i="53"/>
  <c r="K63" i="53"/>
  <c r="K64" i="53"/>
  <c r="L64" i="53" s="1"/>
  <c r="O65" i="53"/>
  <c r="K66" i="53"/>
  <c r="L66" i="53" s="1"/>
  <c r="K67" i="53"/>
  <c r="K68" i="53"/>
  <c r="O68" i="53" s="1"/>
  <c r="K69" i="53"/>
  <c r="K70" i="53"/>
  <c r="O70" i="53" s="1"/>
  <c r="K71" i="53"/>
  <c r="K72" i="53"/>
  <c r="O72" i="53" s="1"/>
  <c r="K73" i="53"/>
  <c r="K74" i="53"/>
  <c r="L74" i="53" s="1"/>
  <c r="K75" i="53"/>
  <c r="O75" i="53" s="1"/>
  <c r="K76" i="53"/>
  <c r="O76" i="53" s="1"/>
  <c r="K77" i="53"/>
  <c r="L77" i="53" s="1"/>
  <c r="K78" i="53"/>
  <c r="O78" i="53" s="1"/>
  <c r="K79" i="53"/>
  <c r="O79" i="53" s="1"/>
  <c r="K80" i="53"/>
  <c r="K81" i="53"/>
  <c r="O81" i="53" s="1"/>
  <c r="K82" i="53"/>
  <c r="K83" i="53"/>
  <c r="O83" i="53" s="1"/>
  <c r="K84" i="53"/>
  <c r="K85" i="53"/>
  <c r="O85" i="53" s="1"/>
  <c r="K86" i="53"/>
  <c r="O87" i="53"/>
  <c r="O89" i="53"/>
  <c r="K90" i="53"/>
  <c r="O90" i="53" s="1"/>
  <c r="K91" i="53"/>
  <c r="O91" i="53" s="1"/>
  <c r="K92" i="53"/>
  <c r="K93" i="53"/>
  <c r="K94" i="53"/>
  <c r="K95" i="53"/>
  <c r="O95" i="53" s="1"/>
  <c r="K96" i="53"/>
  <c r="O96" i="53" s="1"/>
  <c r="K97" i="53"/>
  <c r="O97" i="53" s="1"/>
  <c r="K98" i="53"/>
  <c r="O98" i="53" s="1"/>
  <c r="K99" i="53"/>
  <c r="O99" i="53" s="1"/>
  <c r="K100" i="53"/>
  <c r="O100" i="53" s="1"/>
  <c r="K101" i="53"/>
  <c r="O101" i="53" s="1"/>
  <c r="K102" i="53"/>
  <c r="K103" i="53"/>
  <c r="O103" i="53" s="1"/>
  <c r="K104" i="53"/>
  <c r="O104" i="53" s="1"/>
  <c r="K105" i="53"/>
  <c r="O105" i="53" s="1"/>
  <c r="K106" i="53"/>
  <c r="O106" i="53" s="1"/>
  <c r="K107" i="53"/>
  <c r="L107" i="53" s="1"/>
  <c r="K108" i="53"/>
  <c r="K109" i="53"/>
  <c r="O109" i="53" s="1"/>
  <c r="O110" i="53"/>
  <c r="K111" i="53"/>
  <c r="O111" i="53" s="1"/>
  <c r="K112" i="53"/>
  <c r="O112" i="53" s="1"/>
  <c r="K113" i="53"/>
  <c r="O113" i="53" s="1"/>
  <c r="K114" i="53"/>
  <c r="O114" i="53" s="1"/>
  <c r="K115" i="53"/>
  <c r="O115" i="53" s="1"/>
  <c r="K116" i="53"/>
  <c r="O116" i="53" s="1"/>
  <c r="K117" i="53"/>
  <c r="O117" i="53" s="1"/>
  <c r="K118" i="53"/>
  <c r="O118" i="53" s="1"/>
  <c r="K119" i="53"/>
  <c r="O119" i="53" s="1"/>
  <c r="K120" i="53"/>
  <c r="K121" i="53"/>
  <c r="O121" i="53" s="1"/>
  <c r="K122" i="53"/>
  <c r="O122" i="53" s="1"/>
  <c r="K123" i="53"/>
  <c r="O123" i="53" s="1"/>
  <c r="K124" i="53"/>
  <c r="O124" i="53" s="1"/>
  <c r="K125" i="53"/>
  <c r="O125" i="53" s="1"/>
  <c r="K126" i="53"/>
  <c r="O126" i="53" s="1"/>
  <c r="K127" i="53"/>
  <c r="K128" i="53"/>
  <c r="K129" i="53"/>
  <c r="O129" i="53" s="1"/>
  <c r="K130" i="53"/>
  <c r="O130" i="53" s="1"/>
  <c r="K131" i="53"/>
  <c r="O131" i="53" s="1"/>
  <c r="K132" i="53"/>
  <c r="O132" i="53" s="1"/>
  <c r="K133" i="53"/>
  <c r="O133" i="53" s="1"/>
  <c r="K134" i="53"/>
  <c r="K136" i="53"/>
  <c r="O136" i="53" s="1"/>
  <c r="K137" i="53"/>
  <c r="O137" i="53" s="1"/>
  <c r="K138" i="53"/>
  <c r="O138" i="53" s="1"/>
  <c r="K139" i="53"/>
  <c r="O139" i="53" s="1"/>
  <c r="K140" i="53"/>
  <c r="O140" i="53" s="1"/>
  <c r="K141" i="53"/>
  <c r="O141" i="53" s="1"/>
  <c r="K142" i="53"/>
  <c r="O142" i="53" s="1"/>
  <c r="K143" i="53"/>
  <c r="O143" i="53" s="1"/>
  <c r="K144" i="53"/>
  <c r="O144" i="53" s="1"/>
  <c r="K145" i="53"/>
  <c r="O145" i="53" s="1"/>
  <c r="K146" i="53"/>
  <c r="O146" i="53" s="1"/>
  <c r="K147" i="53"/>
  <c r="O147" i="53" s="1"/>
  <c r="K148" i="53"/>
  <c r="K149" i="53"/>
  <c r="O149" i="53" s="1"/>
  <c r="K150" i="53"/>
  <c r="O150" i="53" s="1"/>
  <c r="K151" i="53"/>
  <c r="O151" i="53" s="1"/>
  <c r="K152" i="53"/>
  <c r="O152" i="53" s="1"/>
  <c r="K153" i="53"/>
  <c r="O153" i="53" s="1"/>
  <c r="K154" i="53"/>
  <c r="O154" i="53" s="1"/>
  <c r="K155" i="53"/>
  <c r="O155" i="53" s="1"/>
  <c r="K156" i="53"/>
  <c r="K157" i="53"/>
  <c r="K158" i="53"/>
  <c r="K159" i="53"/>
  <c r="K160" i="53"/>
  <c r="K161" i="53"/>
  <c r="O161" i="53" s="1"/>
  <c r="K162" i="53"/>
  <c r="K163" i="53"/>
  <c r="L163" i="53" s="1"/>
  <c r="K164" i="53"/>
  <c r="O164" i="53" s="1"/>
  <c r="K165" i="53"/>
  <c r="L165" i="53" s="1"/>
  <c r="K166" i="53"/>
  <c r="O166" i="53" s="1"/>
  <c r="K167" i="53"/>
  <c r="K168" i="53"/>
  <c r="K169" i="53"/>
  <c r="K170" i="53"/>
  <c r="K171" i="53"/>
  <c r="K172" i="53"/>
  <c r="K173" i="53"/>
  <c r="K174" i="53"/>
  <c r="K175" i="53"/>
  <c r="K176" i="53"/>
  <c r="K177" i="53"/>
  <c r="O177" i="53" s="1"/>
  <c r="K178" i="53"/>
  <c r="L178" i="53" s="1"/>
  <c r="K179" i="53"/>
  <c r="K180" i="53"/>
  <c r="O180" i="53" s="1"/>
  <c r="K181" i="53"/>
  <c r="K182" i="53"/>
  <c r="K183" i="53"/>
  <c r="K184" i="53"/>
  <c r="K185" i="53"/>
  <c r="K186" i="53"/>
  <c r="K187" i="53"/>
  <c r="O187" i="53" s="1"/>
  <c r="K188" i="53"/>
  <c r="L188" i="53" s="1"/>
  <c r="K189" i="53"/>
  <c r="K190" i="53"/>
  <c r="K191" i="53"/>
  <c r="K192" i="53"/>
  <c r="K193" i="53"/>
  <c r="O193" i="53" s="1"/>
  <c r="K194" i="53"/>
  <c r="K195" i="53"/>
  <c r="O195" i="53" s="1"/>
  <c r="K196" i="53"/>
  <c r="L196" i="53" s="1"/>
  <c r="K197" i="53"/>
  <c r="O197" i="53" s="1"/>
  <c r="K198" i="53"/>
  <c r="K199" i="53"/>
  <c r="K200" i="53"/>
  <c r="K201" i="53"/>
  <c r="L201" i="53" s="1"/>
  <c r="K202" i="53"/>
  <c r="K203" i="53"/>
  <c r="O203" i="53" s="1"/>
  <c r="K204" i="53"/>
  <c r="K205" i="53"/>
  <c r="K206" i="53"/>
  <c r="K207" i="53"/>
  <c r="L207" i="53" s="1"/>
  <c r="K208" i="53"/>
  <c r="L208" i="53" s="1"/>
  <c r="K209" i="53"/>
  <c r="O209" i="53" s="1"/>
  <c r="K210" i="53"/>
  <c r="O210" i="53" s="1"/>
  <c r="K211" i="53"/>
  <c r="K212" i="53"/>
  <c r="K213" i="53"/>
  <c r="K214" i="53"/>
  <c r="K215" i="53"/>
  <c r="K216" i="53"/>
  <c r="O216" i="53" s="1"/>
  <c r="K217" i="53"/>
  <c r="K218" i="53"/>
  <c r="O218" i="53" s="1"/>
  <c r="K219" i="53"/>
  <c r="K220" i="53"/>
  <c r="K221" i="53"/>
  <c r="K222" i="53"/>
  <c r="K223" i="53"/>
  <c r="K224" i="53"/>
  <c r="K225" i="53"/>
  <c r="K226" i="53"/>
  <c r="K227" i="53"/>
  <c r="K228" i="53"/>
  <c r="K229" i="53"/>
  <c r="K230" i="53"/>
  <c r="K231" i="53"/>
  <c r="K232" i="53"/>
  <c r="L232" i="53" s="1"/>
  <c r="K233" i="53"/>
  <c r="O233" i="53" s="1"/>
  <c r="K234" i="53"/>
  <c r="K235" i="53"/>
  <c r="O235" i="53" s="1"/>
  <c r="K236" i="53"/>
  <c r="K237" i="53"/>
  <c r="K238" i="53"/>
  <c r="L238" i="53" s="1"/>
  <c r="K239" i="53"/>
  <c r="K240" i="53"/>
  <c r="O240" i="53" s="1"/>
  <c r="K241" i="53"/>
  <c r="L241" i="53" s="1"/>
  <c r="K242" i="53"/>
  <c r="L242" i="53" s="1"/>
  <c r="K243" i="53"/>
  <c r="K244" i="53"/>
  <c r="O244" i="53" s="1"/>
  <c r="K245" i="53"/>
  <c r="L245" i="53" s="1"/>
  <c r="K246" i="53"/>
  <c r="K247" i="53"/>
  <c r="O247" i="53" s="1"/>
  <c r="K248" i="53"/>
  <c r="K249" i="53"/>
  <c r="O249" i="53" s="1"/>
  <c r="K250" i="53"/>
  <c r="L250" i="53" s="1"/>
  <c r="K251" i="53"/>
  <c r="K252" i="53"/>
  <c r="K253" i="53"/>
  <c r="K254" i="53"/>
  <c r="O254" i="53" s="1"/>
  <c r="K255" i="53"/>
  <c r="K256" i="53"/>
  <c r="K257" i="53"/>
  <c r="O257" i="53" s="1"/>
  <c r="K258" i="53"/>
  <c r="K259" i="53"/>
  <c r="K260" i="53"/>
  <c r="L260" i="53" s="1"/>
  <c r="K261" i="53"/>
  <c r="L261" i="53" s="1"/>
  <c r="K262" i="53"/>
  <c r="O262" i="53" s="1"/>
  <c r="K263" i="53"/>
  <c r="O263" i="53" s="1"/>
  <c r="K264" i="53"/>
  <c r="K265" i="53"/>
  <c r="O265" i="53" s="1"/>
  <c r="K266" i="53"/>
  <c r="K267" i="53"/>
  <c r="L267" i="53" s="1"/>
  <c r="K268" i="53"/>
  <c r="O268" i="53" s="1"/>
  <c r="K269" i="53"/>
  <c r="O269" i="53" s="1"/>
  <c r="K270" i="53"/>
  <c r="O270" i="53" s="1"/>
  <c r="K271" i="53"/>
  <c r="O271" i="53" s="1"/>
  <c r="K272" i="53"/>
  <c r="O272" i="53" s="1"/>
  <c r="K273" i="53"/>
  <c r="K274" i="53"/>
  <c r="K275" i="53"/>
  <c r="O275" i="53" s="1"/>
  <c r="K276" i="53"/>
  <c r="O276" i="53" s="1"/>
  <c r="K277" i="53"/>
  <c r="O277" i="53" s="1"/>
  <c r="K278" i="53"/>
  <c r="O278" i="53" s="1"/>
  <c r="K279" i="53"/>
  <c r="K280" i="53"/>
  <c r="O280" i="53" s="1"/>
  <c r="K281" i="53"/>
  <c r="O281" i="53" s="1"/>
  <c r="K282" i="53"/>
  <c r="K283" i="53"/>
  <c r="O283" i="53" s="1"/>
  <c r="K284" i="53"/>
  <c r="O284" i="53" s="1"/>
  <c r="K285" i="53"/>
  <c r="L285" i="53" s="1"/>
  <c r="K286" i="53"/>
  <c r="O286" i="53" s="1"/>
  <c r="K287" i="53"/>
  <c r="K288" i="53"/>
  <c r="K289" i="53"/>
  <c r="K290" i="53"/>
  <c r="O290" i="53" s="1"/>
  <c r="K291" i="53"/>
  <c r="K292" i="53"/>
  <c r="K293" i="53"/>
  <c r="K294" i="53"/>
  <c r="K295" i="53"/>
  <c r="O295" i="53" s="1"/>
  <c r="K296" i="53"/>
  <c r="L296" i="53" s="1"/>
  <c r="K297" i="53"/>
  <c r="K298" i="53"/>
  <c r="O298" i="53" s="1"/>
  <c r="K299" i="53"/>
  <c r="K300" i="53"/>
  <c r="K301" i="53"/>
  <c r="K302" i="53"/>
  <c r="K303" i="53"/>
  <c r="O303" i="53" s="1"/>
  <c r="K304" i="53"/>
  <c r="K305" i="53"/>
  <c r="O305" i="53" s="1"/>
  <c r="K306" i="53"/>
  <c r="K307" i="53"/>
  <c r="O307" i="53" s="1"/>
  <c r="K308" i="53"/>
  <c r="K309" i="53"/>
  <c r="K310" i="53"/>
  <c r="K311" i="53"/>
  <c r="K312" i="53"/>
  <c r="K313" i="53"/>
  <c r="K314" i="53"/>
  <c r="O314" i="53" s="1"/>
  <c r="K315" i="53"/>
  <c r="K316" i="53"/>
  <c r="O316" i="53" s="1"/>
  <c r="K317" i="53"/>
  <c r="O317" i="53" s="1"/>
  <c r="K318" i="53"/>
  <c r="K319" i="53"/>
  <c r="O319" i="53" s="1"/>
  <c r="K320" i="53"/>
  <c r="K321" i="53"/>
  <c r="K322" i="53"/>
  <c r="O322" i="53" s="1"/>
  <c r="K323" i="53"/>
  <c r="K324" i="53"/>
  <c r="O324" i="53" s="1"/>
  <c r="K325" i="53"/>
  <c r="L325" i="53" s="1"/>
  <c r="K326" i="53"/>
  <c r="O326" i="53" s="1"/>
  <c r="K327" i="53"/>
  <c r="K328" i="53"/>
  <c r="K329" i="53"/>
  <c r="L329" i="53" s="1"/>
  <c r="K330" i="53"/>
  <c r="O330" i="53" s="1"/>
  <c r="K331" i="53"/>
  <c r="K332" i="53"/>
  <c r="K333" i="53"/>
  <c r="L333" i="53" s="1"/>
  <c r="K334" i="53"/>
  <c r="K335" i="53"/>
  <c r="K336" i="53"/>
  <c r="O336" i="53" s="1"/>
  <c r="K337" i="53"/>
  <c r="O337" i="53" s="1"/>
  <c r="K338" i="53"/>
  <c r="O338" i="53" s="1"/>
  <c r="K339" i="53"/>
  <c r="L339" i="53" s="1"/>
  <c r="K340" i="53"/>
  <c r="K341" i="53"/>
  <c r="L341" i="53" s="1"/>
  <c r="K342" i="53"/>
  <c r="K343" i="53"/>
  <c r="O343" i="53" s="1"/>
  <c r="K344" i="53"/>
  <c r="K345" i="53"/>
  <c r="K346" i="53"/>
  <c r="O346" i="53" s="1"/>
  <c r="K347" i="53"/>
  <c r="K348" i="53"/>
  <c r="O348" i="53" s="1"/>
  <c r="K349" i="53"/>
  <c r="K350" i="53"/>
  <c r="O350" i="53" s="1"/>
  <c r="K351" i="53"/>
  <c r="K352" i="53"/>
  <c r="O352" i="53" s="1"/>
  <c r="K353" i="53"/>
  <c r="K354" i="53"/>
  <c r="O354" i="53" s="1"/>
  <c r="K355" i="53"/>
  <c r="O355" i="53" s="1"/>
  <c r="K356" i="53"/>
  <c r="K357" i="53"/>
  <c r="L357" i="53" s="1"/>
  <c r="K358" i="53"/>
  <c r="K359" i="53"/>
  <c r="O359" i="53" s="1"/>
  <c r="K360" i="53"/>
  <c r="K361" i="53"/>
  <c r="K362" i="53"/>
  <c r="L362" i="53" s="1"/>
  <c r="K363" i="53"/>
  <c r="O363" i="53" s="1"/>
  <c r="K364" i="53"/>
  <c r="O364" i="53" s="1"/>
  <c r="K365" i="53"/>
  <c r="K366" i="53"/>
  <c r="K367" i="53"/>
  <c r="K368" i="53"/>
  <c r="K369" i="53"/>
  <c r="K370" i="53"/>
  <c r="K371" i="53"/>
  <c r="O371" i="53" s="1"/>
  <c r="K372" i="53"/>
  <c r="L372" i="53" s="1"/>
  <c r="K373" i="53"/>
  <c r="O373" i="53" s="1"/>
  <c r="K374" i="53"/>
  <c r="K375" i="53"/>
  <c r="O375" i="53" s="1"/>
  <c r="K376" i="53"/>
  <c r="K377" i="53"/>
  <c r="K378" i="53"/>
  <c r="L378" i="53" s="1"/>
  <c r="K379" i="53"/>
  <c r="K380" i="53"/>
  <c r="K381" i="53"/>
  <c r="K382" i="53"/>
  <c r="O382" i="53" s="1"/>
  <c r="K383" i="53"/>
  <c r="K384" i="53"/>
  <c r="O384" i="53" s="1"/>
  <c r="K385" i="53"/>
  <c r="L385" i="53" s="1"/>
  <c r="K386" i="53"/>
  <c r="L386" i="53" s="1"/>
  <c r="K387" i="53"/>
  <c r="K388" i="53"/>
  <c r="O388" i="53" s="1"/>
  <c r="K389" i="53"/>
  <c r="K390" i="53"/>
  <c r="K391" i="53"/>
  <c r="K392" i="53"/>
  <c r="L392" i="53" s="1"/>
  <c r="K393" i="53"/>
  <c r="L393" i="53" s="1"/>
  <c r="K394" i="53"/>
  <c r="K395" i="53"/>
  <c r="O395" i="53" s="1"/>
  <c r="K396" i="53"/>
  <c r="K397" i="53"/>
  <c r="O397" i="53" s="1"/>
  <c r="K398" i="53"/>
  <c r="O398" i="53" s="1"/>
  <c r="K399" i="53"/>
  <c r="L399" i="53" s="1"/>
  <c r="K400" i="53"/>
  <c r="O400" i="53" s="1"/>
  <c r="K401" i="53"/>
  <c r="K402" i="53"/>
  <c r="K403" i="53"/>
  <c r="L403" i="53" s="1"/>
  <c r="K404" i="53"/>
  <c r="K405" i="53"/>
  <c r="K406" i="53"/>
  <c r="L406" i="53" s="1"/>
  <c r="K407" i="53"/>
  <c r="L407" i="53" s="1"/>
  <c r="K408" i="53"/>
  <c r="K409" i="53"/>
  <c r="O409" i="53" s="1"/>
  <c r="K410" i="53"/>
  <c r="O410" i="53" s="1"/>
  <c r="K411" i="53"/>
  <c r="O411" i="53" s="1"/>
  <c r="K412" i="53"/>
  <c r="O412" i="53" s="1"/>
  <c r="K413" i="53"/>
  <c r="O413" i="53" s="1"/>
  <c r="K414" i="53"/>
  <c r="L414" i="53" s="1"/>
  <c r="K415" i="53"/>
  <c r="K417" i="53"/>
  <c r="K418" i="53"/>
  <c r="O418" i="53" s="1"/>
  <c r="K419" i="53"/>
  <c r="L419" i="53" s="1"/>
  <c r="K420" i="53"/>
  <c r="O420" i="53" s="1"/>
  <c r="K421" i="53"/>
  <c r="O421" i="53" s="1"/>
  <c r="K422" i="53"/>
  <c r="K423" i="53"/>
  <c r="O423" i="53" s="1"/>
  <c r="K424" i="53"/>
  <c r="K425" i="53"/>
  <c r="K426" i="53"/>
  <c r="K427" i="53"/>
  <c r="K428" i="53"/>
  <c r="K429" i="53"/>
  <c r="O429" i="53" s="1"/>
  <c r="K430" i="53"/>
  <c r="K431" i="53"/>
  <c r="K432" i="53"/>
  <c r="K433" i="53"/>
  <c r="L433" i="53" s="1"/>
  <c r="K434" i="53"/>
  <c r="O434" i="53" s="1"/>
  <c r="K435" i="53"/>
  <c r="K436" i="53"/>
  <c r="K437" i="53"/>
  <c r="O437" i="53" s="1"/>
  <c r="K438" i="53"/>
  <c r="O438" i="53" s="1"/>
  <c r="K439" i="53"/>
  <c r="K440" i="53"/>
  <c r="K441" i="53"/>
  <c r="K442" i="53"/>
  <c r="O442" i="53" s="1"/>
  <c r="K443" i="53"/>
  <c r="K444" i="53"/>
  <c r="L444" i="53" s="1"/>
  <c r="K445" i="53"/>
  <c r="K446" i="53"/>
  <c r="O446" i="53" s="1"/>
  <c r="K447" i="53"/>
  <c r="K448" i="53"/>
  <c r="O448" i="53" s="1"/>
  <c r="K449" i="53"/>
  <c r="L449" i="53" s="1"/>
  <c r="K450" i="53"/>
  <c r="K451" i="53"/>
  <c r="O451" i="53" s="1"/>
  <c r="K452" i="53"/>
  <c r="K453" i="53"/>
  <c r="O453" i="53" s="1"/>
  <c r="K454" i="53"/>
  <c r="K455" i="53"/>
  <c r="L455" i="53" s="1"/>
  <c r="K456" i="53"/>
  <c r="K457" i="53"/>
  <c r="K458" i="53"/>
  <c r="O458" i="53" s="1"/>
  <c r="K459" i="53"/>
  <c r="L459" i="53" s="1"/>
  <c r="K460" i="53"/>
  <c r="K461" i="53"/>
  <c r="K462" i="53"/>
  <c r="O462" i="53" s="1"/>
  <c r="K463" i="53"/>
  <c r="L463" i="53" s="1"/>
  <c r="K464" i="53"/>
  <c r="K465" i="53"/>
  <c r="O465" i="53" s="1"/>
  <c r="K466" i="53"/>
  <c r="O466" i="53" s="1"/>
  <c r="K467" i="53"/>
  <c r="O467" i="53" s="1"/>
  <c r="K468" i="53"/>
  <c r="O468" i="53" s="1"/>
  <c r="K469" i="53"/>
  <c r="O469" i="53" s="1"/>
  <c r="K470" i="53"/>
  <c r="K471" i="53"/>
  <c r="K472" i="53"/>
  <c r="O472" i="53" s="1"/>
  <c r="K473" i="53"/>
  <c r="K474" i="53"/>
  <c r="O474" i="53" s="1"/>
  <c r="K475" i="53"/>
  <c r="K476" i="53"/>
  <c r="O476" i="53" s="1"/>
  <c r="K477" i="53"/>
  <c r="O477" i="53" s="1"/>
  <c r="K478" i="53"/>
  <c r="O478" i="53" s="1"/>
  <c r="K479" i="53"/>
  <c r="K480" i="53"/>
  <c r="K481" i="53"/>
  <c r="L481" i="53" s="1"/>
  <c r="K482" i="53"/>
  <c r="K483" i="53"/>
  <c r="O483" i="53" s="1"/>
  <c r="K484" i="53"/>
  <c r="K485" i="53"/>
  <c r="O485" i="53" s="1"/>
  <c r="K486" i="53"/>
  <c r="K487" i="53"/>
  <c r="K488" i="53"/>
  <c r="K489" i="53"/>
  <c r="L489" i="53" s="1"/>
  <c r="K490" i="53"/>
  <c r="K491" i="53"/>
  <c r="L491" i="53" s="1"/>
  <c r="K492" i="53"/>
  <c r="K493" i="53"/>
  <c r="O493" i="53" s="1"/>
  <c r="K494" i="53"/>
  <c r="K495" i="53"/>
  <c r="K496" i="53"/>
  <c r="K497" i="53"/>
  <c r="L497" i="53" s="1"/>
  <c r="K498" i="53"/>
  <c r="K499" i="53"/>
  <c r="K500" i="53"/>
  <c r="L500" i="53" s="1"/>
  <c r="K501" i="53"/>
  <c r="O501" i="53" s="1"/>
  <c r="K502" i="53"/>
  <c r="K503" i="53"/>
  <c r="K504" i="53"/>
  <c r="K505" i="53"/>
  <c r="K506" i="53"/>
  <c r="K507" i="53"/>
  <c r="O507" i="53" s="1"/>
  <c r="K508" i="53"/>
  <c r="L508" i="53" s="1"/>
  <c r="K509" i="53"/>
  <c r="K510" i="53"/>
  <c r="O510" i="53" s="1"/>
  <c r="K511" i="53"/>
  <c r="K512" i="53"/>
  <c r="O512" i="53" s="1"/>
  <c r="K513" i="53"/>
  <c r="O513" i="53" s="1"/>
  <c r="K514" i="53"/>
  <c r="L514" i="53" s="1"/>
  <c r="K515" i="53"/>
  <c r="O515" i="53" s="1"/>
  <c r="K516" i="53"/>
  <c r="K517" i="53"/>
  <c r="K518" i="53"/>
  <c r="K519" i="53"/>
  <c r="L519" i="53" s="1"/>
  <c r="K520" i="53"/>
  <c r="L520" i="53" s="1"/>
  <c r="K522" i="53"/>
  <c r="K523" i="53"/>
  <c r="K524" i="53"/>
  <c r="O524" i="53" s="1"/>
  <c r="K525" i="53"/>
  <c r="K526" i="53"/>
  <c r="K527" i="53"/>
  <c r="K528" i="53"/>
  <c r="K529" i="53"/>
  <c r="K530" i="53"/>
  <c r="K531" i="53"/>
  <c r="K532" i="53"/>
  <c r="L532" i="53" s="1"/>
  <c r="K533" i="53"/>
  <c r="O533" i="53" s="1"/>
  <c r="K534" i="53"/>
  <c r="O534" i="53" s="1"/>
  <c r="K535" i="53"/>
  <c r="K536" i="53"/>
  <c r="O536" i="53" s="1"/>
  <c r="K538" i="53"/>
  <c r="O538" i="53" s="1"/>
  <c r="K539" i="53"/>
  <c r="K540" i="53"/>
  <c r="K541" i="53"/>
  <c r="K542" i="53"/>
  <c r="L542" i="53" s="1"/>
  <c r="K543" i="53"/>
  <c r="O543" i="53" s="1"/>
  <c r="K545" i="53"/>
  <c r="O545" i="53" s="1"/>
  <c r="K546" i="53"/>
  <c r="O546" i="53" s="1"/>
  <c r="K547" i="53"/>
  <c r="K548" i="53"/>
  <c r="K549" i="53"/>
  <c r="O549" i="53" s="1"/>
  <c r="K550" i="53"/>
  <c r="O550" i="53" s="1"/>
  <c r="K551" i="53"/>
  <c r="K552" i="53"/>
  <c r="K553" i="53"/>
  <c r="O553" i="53" s="1"/>
  <c r="K554" i="53"/>
  <c r="K555" i="53"/>
  <c r="K556" i="53"/>
  <c r="O556" i="53" s="1"/>
  <c r="K557" i="53"/>
  <c r="K558" i="53"/>
  <c r="K559" i="53"/>
  <c r="O559" i="53" s="1"/>
  <c r="K560" i="53"/>
  <c r="K561" i="53"/>
  <c r="O561" i="53" s="1"/>
  <c r="K562" i="53"/>
  <c r="K563" i="53"/>
  <c r="O563" i="53" s="1"/>
  <c r="K564" i="53"/>
  <c r="O564" i="53" s="1"/>
  <c r="K565" i="53"/>
  <c r="K566" i="53"/>
  <c r="K567" i="53"/>
  <c r="K568" i="53"/>
  <c r="K569" i="53"/>
  <c r="K570" i="53"/>
  <c r="K571" i="53"/>
  <c r="O571" i="53" s="1"/>
  <c r="K573" i="53"/>
  <c r="L573" i="53" s="1"/>
  <c r="K574" i="53"/>
  <c r="O574" i="53" s="1"/>
  <c r="K575" i="53"/>
  <c r="K576" i="53"/>
  <c r="O576" i="53" s="1"/>
  <c r="K577" i="53"/>
  <c r="K578" i="53"/>
  <c r="O578" i="53" s="1"/>
  <c r="K579" i="53"/>
  <c r="O579" i="53" s="1"/>
  <c r="K580" i="53"/>
  <c r="K581" i="53"/>
  <c r="K582" i="53"/>
  <c r="O582" i="53" s="1"/>
  <c r="K583" i="53"/>
  <c r="O583" i="53" s="1"/>
  <c r="K584" i="53"/>
  <c r="O584" i="53" s="1"/>
  <c r="K585" i="53"/>
  <c r="O585" i="53" s="1"/>
  <c r="K586" i="53"/>
  <c r="K587" i="53"/>
  <c r="O587" i="53" s="1"/>
  <c r="K588" i="53"/>
  <c r="O588" i="53" s="1"/>
  <c r="K589" i="53"/>
  <c r="K590" i="53"/>
  <c r="K591" i="53"/>
  <c r="O591" i="53" s="1"/>
  <c r="K592" i="53"/>
  <c r="L592" i="53" s="1"/>
  <c r="K593" i="53"/>
  <c r="K594" i="53"/>
  <c r="K595" i="53"/>
  <c r="O595" i="53" s="1"/>
  <c r="K596" i="53"/>
  <c r="L596" i="53" s="1"/>
  <c r="K597" i="53"/>
  <c r="K598" i="53"/>
  <c r="O598" i="53" s="1"/>
  <c r="K599" i="53"/>
  <c r="K600" i="53"/>
  <c r="K601" i="53"/>
  <c r="K602" i="53"/>
  <c r="K603" i="53"/>
  <c r="O603" i="53" s="1"/>
  <c r="K604" i="53"/>
  <c r="O604" i="53" s="1"/>
  <c r="K605" i="53"/>
  <c r="O605" i="53" s="1"/>
  <c r="K606" i="53"/>
  <c r="O606" i="53" s="1"/>
  <c r="K607" i="53"/>
  <c r="O607" i="53" s="1"/>
  <c r="K608" i="53"/>
  <c r="O608" i="53" s="1"/>
  <c r="K609" i="53"/>
  <c r="L609" i="53" s="1"/>
  <c r="K610" i="53"/>
  <c r="O610" i="53" s="1"/>
  <c r="K611" i="53"/>
  <c r="O611" i="53" s="1"/>
  <c r="K612" i="53"/>
  <c r="K613" i="53"/>
  <c r="L613" i="53" s="1"/>
  <c r="K614" i="53"/>
  <c r="K615" i="53"/>
  <c r="O615" i="53" s="1"/>
  <c r="K617" i="53"/>
  <c r="O617" i="53" s="1"/>
  <c r="K618" i="53"/>
  <c r="O618" i="53" s="1"/>
  <c r="K619" i="53"/>
  <c r="K620" i="53"/>
  <c r="O620" i="53" s="1"/>
  <c r="K621" i="53"/>
  <c r="O621" i="53" s="1"/>
  <c r="K622" i="53"/>
  <c r="K623" i="53"/>
  <c r="O623" i="53" s="1"/>
  <c r="K625" i="53"/>
  <c r="O625" i="53" s="1"/>
  <c r="K626" i="53"/>
  <c r="O626" i="53" s="1"/>
  <c r="K627" i="53"/>
  <c r="O627" i="53" s="1"/>
  <c r="K630" i="53"/>
  <c r="K631" i="53"/>
  <c r="O631" i="53" s="1"/>
  <c r="K632" i="53"/>
  <c r="O632" i="53" s="1"/>
  <c r="K633" i="53"/>
  <c r="O633" i="53" s="1"/>
  <c r="K634" i="53"/>
  <c r="K635" i="53"/>
  <c r="K636" i="53"/>
  <c r="O636" i="53" s="1"/>
  <c r="K637" i="53"/>
  <c r="K638" i="53"/>
  <c r="K639" i="53"/>
  <c r="K640" i="53"/>
  <c r="L640" i="53" s="1"/>
  <c r="K641" i="53"/>
  <c r="K642" i="53"/>
  <c r="K643" i="53"/>
  <c r="O643" i="53" s="1"/>
  <c r="K644" i="53"/>
  <c r="K645" i="53"/>
  <c r="O645" i="53" s="1"/>
  <c r="K646" i="53"/>
  <c r="K647" i="53"/>
  <c r="O647" i="53" s="1"/>
  <c r="K648" i="53"/>
  <c r="O648" i="53" s="1"/>
  <c r="K649" i="53"/>
  <c r="O649" i="53" s="1"/>
  <c r="K650" i="53"/>
  <c r="K651" i="53"/>
  <c r="K652" i="53"/>
  <c r="K653" i="53"/>
  <c r="FW654" i="53"/>
  <c r="K654" i="53" s="1"/>
  <c r="O654" i="53" s="1"/>
  <c r="FR655" i="53"/>
  <c r="K655" i="53" s="1"/>
  <c r="O655" i="53" s="1"/>
  <c r="K656" i="53"/>
  <c r="K657" i="53"/>
  <c r="O657" i="53" s="1"/>
  <c r="K658" i="53"/>
  <c r="K659" i="53"/>
  <c r="O659" i="53" s="1"/>
  <c r="K660" i="53"/>
  <c r="K661" i="53"/>
  <c r="O661" i="53" s="1"/>
  <c r="K662" i="53"/>
  <c r="O662" i="53" s="1"/>
  <c r="K663" i="53"/>
  <c r="K664" i="53"/>
  <c r="K665" i="53"/>
  <c r="K666" i="53"/>
  <c r="K667" i="53"/>
  <c r="GQ668" i="53"/>
  <c r="HK668" i="53"/>
  <c r="K669" i="53"/>
  <c r="K670" i="53"/>
  <c r="O670" i="53" s="1"/>
  <c r="K671" i="53"/>
  <c r="K672" i="53"/>
  <c r="O672" i="53" s="1"/>
  <c r="K673" i="53"/>
  <c r="O673" i="53" s="1"/>
  <c r="K674" i="53"/>
  <c r="O674" i="53" s="1"/>
  <c r="K675" i="53"/>
  <c r="O675" i="53" s="1"/>
  <c r="K676" i="53"/>
  <c r="K677" i="53"/>
  <c r="K678" i="53"/>
  <c r="K679" i="53"/>
  <c r="O679" i="53" s="1"/>
  <c r="K680" i="53"/>
  <c r="K681" i="53"/>
  <c r="O681" i="53" s="1"/>
  <c r="K682" i="53"/>
  <c r="O682" i="53" s="1"/>
  <c r="K683" i="53"/>
  <c r="O683" i="53" s="1"/>
  <c r="K684" i="53"/>
  <c r="O684" i="53" s="1"/>
  <c r="EP685" i="53"/>
  <c r="K685" i="53" s="1"/>
  <c r="O685" i="53" s="1"/>
  <c r="K686" i="53"/>
  <c r="O686" i="53" s="1"/>
  <c r="K687" i="53"/>
  <c r="O687" i="53" s="1"/>
  <c r="K688" i="53"/>
  <c r="L688" i="53" s="1"/>
  <c r="K689" i="53"/>
  <c r="K690" i="53"/>
  <c r="L690" i="53" s="1"/>
  <c r="K691" i="53"/>
  <c r="K692" i="53"/>
  <c r="O692" i="53" s="1"/>
  <c r="K693" i="53"/>
  <c r="K694" i="53"/>
  <c r="O694" i="53" s="1"/>
  <c r="K695" i="53"/>
  <c r="K696" i="53"/>
  <c r="O696" i="53" s="1"/>
  <c r="K697" i="53"/>
  <c r="K698" i="53"/>
  <c r="O698" i="53" s="1"/>
  <c r="K699" i="53"/>
  <c r="K700" i="53"/>
  <c r="O700" i="53" s="1"/>
  <c r="K701" i="53"/>
  <c r="O701" i="53" s="1"/>
  <c r="K702" i="53"/>
  <c r="O702" i="53" s="1"/>
  <c r="K703" i="53"/>
  <c r="K704" i="53"/>
  <c r="O704" i="53" s="1"/>
  <c r="K705" i="53"/>
  <c r="O705" i="53" s="1"/>
  <c r="K706" i="53"/>
  <c r="O706" i="53" s="1"/>
  <c r="K707" i="53"/>
  <c r="O707" i="53" s="1"/>
  <c r="K708" i="53"/>
  <c r="O708" i="53" s="1"/>
  <c r="K709" i="53"/>
  <c r="O709" i="53" s="1"/>
  <c r="K710" i="53"/>
  <c r="O710" i="53" s="1"/>
  <c r="K711" i="53"/>
  <c r="O711" i="53" s="1"/>
  <c r="K712" i="53"/>
  <c r="O712" i="53" s="1"/>
  <c r="K713" i="53"/>
  <c r="O713" i="53" s="1"/>
  <c r="K714" i="53"/>
  <c r="K715" i="53"/>
  <c r="O715" i="53" s="1"/>
  <c r="K716" i="53"/>
  <c r="K717" i="53"/>
  <c r="O717" i="53" s="1"/>
  <c r="K718" i="53"/>
  <c r="O718" i="53" s="1"/>
  <c r="K719" i="53"/>
  <c r="K720" i="53"/>
  <c r="O720" i="53" s="1"/>
  <c r="K721" i="53"/>
  <c r="O721" i="53" s="1"/>
  <c r="K722" i="53"/>
  <c r="K723" i="53"/>
  <c r="O723" i="53" s="1"/>
  <c r="HT724" i="53"/>
  <c r="K724" i="53" s="1"/>
  <c r="K725" i="53"/>
  <c r="O725" i="53" s="1"/>
  <c r="K726" i="53"/>
  <c r="K727" i="53"/>
  <c r="K728" i="53"/>
  <c r="O728" i="53" s="1"/>
  <c r="IZ729" i="53"/>
  <c r="JN729" i="53"/>
  <c r="K730" i="53"/>
  <c r="O730" i="53" s="1"/>
  <c r="K731" i="53"/>
  <c r="K732" i="53"/>
  <c r="O732" i="53" s="1"/>
  <c r="K733" i="53"/>
  <c r="K734" i="53"/>
  <c r="K735" i="53"/>
  <c r="K736" i="53"/>
  <c r="O736" i="53" s="1"/>
  <c r="K737" i="53"/>
  <c r="O737" i="53" s="1"/>
  <c r="K738" i="53"/>
  <c r="K739" i="53"/>
  <c r="K740" i="53"/>
  <c r="O740" i="53" s="1"/>
  <c r="K741" i="53"/>
  <c r="O741" i="53" s="1"/>
  <c r="K742" i="53"/>
  <c r="O742" i="53" s="1"/>
  <c r="K743" i="53"/>
  <c r="K744" i="53"/>
  <c r="L744" i="53" s="1"/>
  <c r="K745" i="53"/>
  <c r="K746" i="53"/>
  <c r="O746" i="53" s="1"/>
  <c r="K747" i="53"/>
  <c r="O747" i="53" s="1"/>
  <c r="K748" i="53"/>
  <c r="O748" i="53" s="1"/>
  <c r="K749" i="53"/>
  <c r="O749" i="53" s="1"/>
  <c r="K750" i="53"/>
  <c r="O750" i="53" s="1"/>
  <c r="K751" i="53"/>
  <c r="L751" i="53" s="1"/>
  <c r="K752" i="53"/>
  <c r="K753" i="53"/>
  <c r="O753" i="53" s="1"/>
  <c r="K754" i="53"/>
  <c r="K755" i="53"/>
  <c r="K756" i="53"/>
  <c r="O756" i="53" s="1"/>
  <c r="K757" i="53"/>
  <c r="K758" i="53"/>
  <c r="K759" i="53"/>
  <c r="K760" i="53"/>
  <c r="K761" i="53"/>
  <c r="L761" i="53" s="1"/>
  <c r="K762" i="53"/>
  <c r="O762" i="53" s="1"/>
  <c r="K763" i="53"/>
  <c r="L763" i="53" s="1"/>
  <c r="K764" i="53"/>
  <c r="K765" i="53"/>
  <c r="K766" i="53"/>
  <c r="K767" i="53"/>
  <c r="K768" i="53"/>
  <c r="K769" i="53"/>
  <c r="K770" i="53"/>
  <c r="O770" i="53" s="1"/>
  <c r="K771" i="53"/>
  <c r="K772" i="53"/>
  <c r="O772" i="53" s="1"/>
  <c r="K773" i="53"/>
  <c r="L773" i="53" s="1"/>
  <c r="K774" i="53"/>
  <c r="O774" i="53" s="1"/>
  <c r="K775" i="53"/>
  <c r="K776" i="53"/>
  <c r="O776" i="53" s="1"/>
  <c r="K777" i="53"/>
  <c r="K778" i="53"/>
  <c r="K779" i="53"/>
  <c r="O779" i="53" s="1"/>
  <c r="K780" i="53"/>
  <c r="O780" i="53" s="1"/>
  <c r="K781" i="53"/>
  <c r="O781" i="53" s="1"/>
  <c r="K782" i="53"/>
  <c r="O782" i="53" s="1"/>
  <c r="K783" i="53"/>
  <c r="O783" i="53" s="1"/>
  <c r="K784" i="53"/>
  <c r="K785" i="53"/>
  <c r="O785" i="53" s="1"/>
  <c r="K786" i="53"/>
  <c r="O786" i="53" s="1"/>
  <c r="K787" i="53"/>
  <c r="K788" i="53"/>
  <c r="O788" i="53" s="1"/>
  <c r="K789" i="53"/>
  <c r="K790" i="53"/>
  <c r="O790" i="53" s="1"/>
  <c r="K791" i="53"/>
  <c r="O791" i="53" s="1"/>
  <c r="K792" i="53"/>
  <c r="O792" i="53" s="1"/>
  <c r="K793" i="53"/>
  <c r="O793" i="53" s="1"/>
  <c r="K794" i="53"/>
  <c r="O794" i="53" s="1"/>
  <c r="K795" i="53"/>
  <c r="O795" i="53" s="1"/>
  <c r="K796" i="53"/>
  <c r="O796" i="53" s="1"/>
  <c r="K797" i="53"/>
  <c r="O797" i="53" s="1"/>
  <c r="K798" i="53"/>
  <c r="O798" i="53" s="1"/>
  <c r="K799" i="53"/>
  <c r="DZ800" i="53"/>
  <c r="K800" i="53" s="1"/>
  <c r="K801" i="53"/>
  <c r="O801" i="53" s="1"/>
  <c r="K802" i="53"/>
  <c r="O802" i="53" s="1"/>
  <c r="K803" i="53"/>
  <c r="O803" i="53" s="1"/>
  <c r="K804" i="53"/>
  <c r="O804" i="53" s="1"/>
  <c r="K805" i="53"/>
  <c r="O805" i="53" s="1"/>
  <c r="K806" i="53"/>
  <c r="K807" i="53"/>
  <c r="K808" i="53"/>
  <c r="O808" i="53" s="1"/>
  <c r="K809" i="53"/>
  <c r="K810" i="53"/>
  <c r="L810" i="53" s="1"/>
  <c r="K811" i="53"/>
  <c r="K812" i="53"/>
  <c r="K813" i="53"/>
  <c r="O813" i="53" s="1"/>
  <c r="K814" i="53"/>
  <c r="K815" i="53"/>
  <c r="K816" i="53"/>
  <c r="K817" i="53"/>
  <c r="L817" i="53" s="1"/>
  <c r="K818" i="53"/>
  <c r="K819" i="53"/>
  <c r="O819" i="53" s="1"/>
  <c r="K820" i="53"/>
  <c r="K821" i="53"/>
  <c r="L821" i="53" s="1"/>
  <c r="K822" i="53"/>
  <c r="L822" i="53" s="1"/>
  <c r="K823" i="53"/>
  <c r="L823" i="53" s="1"/>
  <c r="K825" i="53"/>
  <c r="O825" i="53" s="1"/>
  <c r="K826" i="53"/>
  <c r="L826" i="53" s="1"/>
  <c r="K827" i="53"/>
  <c r="O827" i="53" s="1"/>
  <c r="K828" i="53"/>
  <c r="O828" i="53" s="1"/>
  <c r="K829" i="53"/>
  <c r="K830" i="53"/>
  <c r="O830" i="53" s="1"/>
  <c r="K831" i="53"/>
  <c r="O831" i="53" s="1"/>
  <c r="K832" i="53"/>
  <c r="O832" i="53" s="1"/>
  <c r="K833" i="53"/>
  <c r="O833" i="53" s="1"/>
  <c r="K834" i="53"/>
  <c r="K835" i="53"/>
  <c r="K836" i="53"/>
  <c r="K837" i="53"/>
  <c r="K838" i="53"/>
  <c r="O838" i="53" s="1"/>
  <c r="K839" i="53"/>
  <c r="K840" i="53"/>
  <c r="K841" i="53"/>
  <c r="K842" i="53"/>
  <c r="O842" i="53" s="1"/>
  <c r="K843" i="53"/>
  <c r="K844" i="53"/>
  <c r="O844" i="53" s="1"/>
  <c r="K845" i="53"/>
  <c r="L845" i="53" s="1"/>
  <c r="K846" i="53"/>
  <c r="O846" i="53" s="1"/>
  <c r="K847" i="53"/>
  <c r="K848" i="53"/>
  <c r="K849" i="53"/>
  <c r="O849" i="53" s="1"/>
  <c r="K850" i="53"/>
  <c r="K851" i="53"/>
  <c r="K852" i="53"/>
  <c r="O852" i="53" s="1"/>
  <c r="K853" i="53"/>
  <c r="O853" i="53" s="1"/>
  <c r="K854" i="53"/>
  <c r="O854" i="53" s="1"/>
  <c r="K855" i="53"/>
  <c r="O855" i="53" s="1"/>
  <c r="K856" i="53"/>
  <c r="O856" i="53" s="1"/>
  <c r="K857" i="53"/>
  <c r="O857" i="53" s="1"/>
  <c r="K858" i="53"/>
  <c r="O858" i="53" s="1"/>
  <c r="K859" i="53"/>
  <c r="O859" i="53" s="1"/>
  <c r="K860" i="53"/>
  <c r="O860" i="53" s="1"/>
  <c r="K861" i="53"/>
  <c r="O861" i="53" s="1"/>
  <c r="K862" i="53"/>
  <c r="O862" i="53" s="1"/>
  <c r="K863" i="53"/>
  <c r="O863" i="53" s="1"/>
  <c r="K864" i="53"/>
  <c r="O864" i="53" s="1"/>
  <c r="K865" i="53"/>
  <c r="L865" i="53" s="1"/>
  <c r="K866" i="53"/>
  <c r="K867" i="53"/>
  <c r="K868" i="53"/>
  <c r="O868" i="53" s="1"/>
  <c r="K869" i="53"/>
  <c r="O869" i="53" s="1"/>
  <c r="K870" i="53"/>
  <c r="O870" i="53" s="1"/>
  <c r="K871" i="53"/>
  <c r="K872" i="53"/>
  <c r="O872" i="53" s="1"/>
  <c r="K873" i="53"/>
  <c r="O873" i="53" s="1"/>
  <c r="K874" i="53"/>
  <c r="K875" i="53"/>
  <c r="K876" i="53"/>
  <c r="O876" i="53" s="1"/>
  <c r="K877" i="53"/>
  <c r="O877" i="53" s="1"/>
  <c r="K878" i="53"/>
  <c r="O878" i="53" s="1"/>
  <c r="K879" i="53"/>
  <c r="O879" i="53" s="1"/>
  <c r="K880" i="53"/>
  <c r="K882" i="53"/>
  <c r="O882" i="53" s="1"/>
  <c r="K883" i="53"/>
  <c r="O883" i="53" s="1"/>
  <c r="K884" i="53"/>
  <c r="O884" i="53" s="1"/>
  <c r="K885" i="53"/>
  <c r="O885" i="53" s="1"/>
  <c r="K886" i="53"/>
  <c r="K887" i="53"/>
  <c r="K888" i="53"/>
  <c r="K889" i="53"/>
  <c r="K890" i="53"/>
  <c r="K893" i="53"/>
  <c r="K894" i="53"/>
  <c r="O894" i="53" s="1"/>
  <c r="K895" i="53"/>
  <c r="K896" i="53"/>
  <c r="O896" i="53" s="1"/>
  <c r="JQ897" i="53"/>
  <c r="K897" i="53" s="1"/>
  <c r="O897" i="53" s="1"/>
  <c r="K898" i="53"/>
  <c r="K899" i="53"/>
  <c r="O899" i="53" s="1"/>
  <c r="K900" i="53"/>
  <c r="K901" i="53"/>
  <c r="K902" i="53"/>
  <c r="K903" i="53"/>
  <c r="K904" i="53"/>
  <c r="O904" i="53" s="1"/>
  <c r="K905" i="53"/>
  <c r="O905" i="53" s="1"/>
  <c r="K906" i="53"/>
  <c r="O906" i="53" s="1"/>
  <c r="K907" i="53"/>
  <c r="O907" i="53" s="1"/>
  <c r="K908" i="53"/>
  <c r="O908" i="53" s="1"/>
  <c r="K909" i="53"/>
  <c r="K910" i="53"/>
  <c r="O910" i="53" s="1"/>
  <c r="K911" i="53"/>
  <c r="O911" i="53" s="1"/>
  <c r="K912" i="53"/>
  <c r="O912" i="53" s="1"/>
  <c r="K913" i="53"/>
  <c r="O913" i="53" s="1"/>
  <c r="K914" i="53"/>
  <c r="O914" i="53" s="1"/>
  <c r="K915" i="53"/>
  <c r="O915" i="53" s="1"/>
  <c r="K916" i="53"/>
  <c r="K917" i="53"/>
  <c r="O917" i="53" s="1"/>
  <c r="K918" i="53"/>
  <c r="K919" i="53"/>
  <c r="O919" i="53" s="1"/>
  <c r="K920" i="53"/>
  <c r="O920" i="53" s="1"/>
  <c r="K921" i="53"/>
  <c r="K922" i="53"/>
  <c r="K923" i="53"/>
  <c r="K924" i="53"/>
  <c r="O924" i="53" s="1"/>
  <c r="K925" i="53"/>
  <c r="K926" i="53"/>
  <c r="K927" i="53"/>
  <c r="O927" i="53" s="1"/>
  <c r="K928" i="53"/>
  <c r="O928" i="53" s="1"/>
  <c r="K930" i="53"/>
  <c r="O930" i="53" s="1"/>
  <c r="K931" i="53"/>
  <c r="O931" i="53" s="1"/>
  <c r="K932" i="53"/>
  <c r="O932" i="53" s="1"/>
  <c r="K933" i="53"/>
  <c r="O933" i="53" s="1"/>
  <c r="K934" i="53"/>
  <c r="O934" i="53" s="1"/>
  <c r="K935" i="53"/>
  <c r="O935" i="53" s="1"/>
  <c r="K936" i="53"/>
  <c r="O936" i="53" s="1"/>
  <c r="K937" i="53"/>
  <c r="O937" i="53" s="1"/>
  <c r="K938" i="53"/>
  <c r="O938" i="53" s="1"/>
  <c r="K939" i="53"/>
  <c r="O939" i="53" s="1"/>
  <c r="K940" i="53"/>
  <c r="O940" i="53" s="1"/>
  <c r="K941" i="53"/>
  <c r="K942" i="53"/>
  <c r="O942" i="53" s="1"/>
  <c r="K943" i="53"/>
  <c r="O943" i="53" s="1"/>
  <c r="K944" i="53"/>
  <c r="O944" i="53" s="1"/>
  <c r="K945" i="53"/>
  <c r="O945" i="53" s="1"/>
  <c r="K946" i="53"/>
  <c r="O946" i="53" s="1"/>
  <c r="K947" i="53"/>
  <c r="K948" i="53"/>
  <c r="O948" i="53" s="1"/>
  <c r="K949" i="53"/>
  <c r="K950" i="53"/>
  <c r="O950" i="53" s="1"/>
  <c r="K951" i="53"/>
  <c r="K952" i="53"/>
  <c r="O952" i="53" s="1"/>
  <c r="K953" i="53"/>
  <c r="K954" i="53"/>
  <c r="O954" i="53" s="1"/>
  <c r="K955" i="53"/>
  <c r="O955" i="53" s="1"/>
  <c r="K956" i="53"/>
  <c r="O956" i="53" s="1"/>
  <c r="K957" i="53"/>
  <c r="K958" i="53"/>
  <c r="O958" i="53" s="1"/>
  <c r="K959" i="53"/>
  <c r="K960" i="53"/>
  <c r="O960" i="53" s="1"/>
  <c r="K961" i="53"/>
  <c r="O961" i="53" s="1"/>
  <c r="K962" i="53"/>
  <c r="K963" i="53"/>
  <c r="K964" i="53"/>
  <c r="O964" i="53" s="1"/>
  <c r="K965" i="53"/>
  <c r="O965" i="53" s="1"/>
  <c r="K966" i="53"/>
  <c r="O966" i="53" s="1"/>
  <c r="K967" i="53"/>
  <c r="O967" i="53" s="1"/>
  <c r="L968" i="53"/>
  <c r="K969" i="53"/>
  <c r="O969" i="53" s="1"/>
  <c r="K970" i="53"/>
  <c r="O970" i="53" s="1"/>
  <c r="K971" i="53"/>
  <c r="O971" i="53" s="1"/>
  <c r="K972" i="53"/>
  <c r="O972" i="53" s="1"/>
  <c r="K973" i="53"/>
  <c r="O973" i="53" s="1"/>
  <c r="K974" i="53"/>
  <c r="K975" i="53"/>
  <c r="O975" i="53" s="1"/>
  <c r="K976" i="53"/>
  <c r="K977" i="53"/>
  <c r="O977" i="53" s="1"/>
  <c r="K978" i="53"/>
  <c r="K979" i="53"/>
  <c r="O979" i="53" s="1"/>
  <c r="K980" i="53"/>
  <c r="O980" i="53" s="1"/>
  <c r="K981" i="53"/>
  <c r="O981" i="53" s="1"/>
  <c r="K982" i="53"/>
  <c r="O982" i="53" s="1"/>
  <c r="K983" i="53"/>
  <c r="O983" i="53" s="1"/>
  <c r="K986" i="53"/>
  <c r="O986" i="53" s="1"/>
  <c r="K987" i="53"/>
  <c r="O987" i="53" s="1"/>
  <c r="K988" i="53"/>
  <c r="K989" i="53"/>
  <c r="O989" i="53" s="1"/>
  <c r="K990" i="53"/>
  <c r="O990" i="53" s="1"/>
  <c r="K991" i="53"/>
  <c r="K992" i="53"/>
  <c r="O992" i="53" s="1"/>
  <c r="K993" i="53"/>
  <c r="O993" i="53" s="1"/>
  <c r="K994" i="53"/>
  <c r="O994" i="53" s="1"/>
  <c r="K995" i="53"/>
  <c r="O995" i="53" s="1"/>
  <c r="K996" i="53"/>
  <c r="O996" i="53" s="1"/>
  <c r="K997" i="53"/>
  <c r="O997" i="53" s="1"/>
  <c r="K998" i="53"/>
  <c r="O998" i="53" s="1"/>
  <c r="K999" i="53"/>
  <c r="O999" i="53" s="1"/>
  <c r="K1000" i="53"/>
  <c r="K1001" i="53"/>
  <c r="O1001" i="53" s="1"/>
  <c r="K1002" i="53"/>
  <c r="O1002" i="53" s="1"/>
  <c r="K1003" i="53"/>
  <c r="O1003" i="53" s="1"/>
  <c r="K1004" i="53"/>
  <c r="K1005" i="53"/>
  <c r="O1005" i="53" s="1"/>
  <c r="K1006" i="53"/>
  <c r="K1007" i="53"/>
  <c r="K1008" i="53"/>
  <c r="O1008" i="53" s="1"/>
  <c r="K1009" i="53"/>
  <c r="O1009" i="53" s="1"/>
  <c r="K1010" i="53"/>
  <c r="O1010" i="53" s="1"/>
  <c r="K1011" i="53"/>
  <c r="O1011" i="53" s="1"/>
  <c r="K1012" i="53"/>
  <c r="K1013" i="53"/>
  <c r="O1013" i="53" s="1"/>
  <c r="K1014" i="53"/>
  <c r="O1014" i="53" s="1"/>
  <c r="K1015" i="53"/>
  <c r="O1015" i="53" s="1"/>
  <c r="K1016" i="53"/>
  <c r="O1016" i="53" s="1"/>
  <c r="K1017" i="53"/>
  <c r="O1017" i="53" s="1"/>
  <c r="K1018" i="53"/>
  <c r="O1018" i="53" s="1"/>
  <c r="K1019" i="53"/>
  <c r="O1019" i="53" s="1"/>
  <c r="K1020" i="53"/>
  <c r="O1020" i="53" s="1"/>
  <c r="K1021" i="53"/>
  <c r="O1021" i="53" s="1"/>
  <c r="K1022" i="53"/>
  <c r="O1022" i="53" s="1"/>
  <c r="K1023" i="53"/>
  <c r="O1023" i="53" s="1"/>
  <c r="K1024" i="53"/>
  <c r="K1025" i="53"/>
  <c r="O1025" i="53" s="1"/>
  <c r="K1026" i="53"/>
  <c r="O1026" i="53" s="1"/>
  <c r="K1027" i="53"/>
  <c r="O1027" i="53" s="1"/>
  <c r="K1028" i="53"/>
  <c r="O1028" i="53" s="1"/>
  <c r="K1029" i="53"/>
  <c r="O1029" i="53" s="1"/>
  <c r="K1030" i="53"/>
  <c r="O1030" i="53" s="1"/>
  <c r="K1031" i="53"/>
  <c r="K1032" i="53"/>
  <c r="K1033" i="53"/>
  <c r="O1033" i="53" s="1"/>
  <c r="K1034" i="53"/>
  <c r="K1035" i="53"/>
  <c r="K1036" i="53"/>
  <c r="K1037" i="53"/>
  <c r="O1037" i="53" s="1"/>
  <c r="K1038" i="53"/>
  <c r="O1038" i="53" s="1"/>
  <c r="K1039" i="53"/>
  <c r="K1040" i="53"/>
  <c r="K1041" i="53"/>
  <c r="O1041" i="53" s="1"/>
  <c r="K1042" i="53"/>
  <c r="K1043" i="53"/>
  <c r="K1044" i="53"/>
  <c r="K1045" i="53"/>
  <c r="O1045" i="53" s="1"/>
  <c r="K1046" i="53"/>
  <c r="O1046" i="53" s="1"/>
  <c r="K1047" i="53"/>
  <c r="O1047" i="53" s="1"/>
  <c r="K1048" i="53"/>
  <c r="O1048" i="53" s="1"/>
  <c r="K1049" i="53"/>
  <c r="O1049" i="53" s="1"/>
  <c r="K1050" i="53"/>
  <c r="O1050" i="53" s="1"/>
  <c r="K1051" i="53"/>
  <c r="O1051" i="53" s="1"/>
  <c r="K1052" i="53"/>
  <c r="O1052" i="53" s="1"/>
  <c r="K1053" i="53"/>
  <c r="O1053" i="53" s="1"/>
  <c r="K1054" i="53"/>
  <c r="O1054" i="53" s="1"/>
  <c r="K1055" i="53"/>
  <c r="K1056" i="53"/>
  <c r="O1056" i="53" s="1"/>
  <c r="K1057" i="53"/>
  <c r="K1058" i="53"/>
  <c r="O1058" i="53" s="1"/>
  <c r="K1059" i="53"/>
  <c r="O1059" i="53" s="1"/>
  <c r="K1060" i="53"/>
  <c r="O1060" i="53" s="1"/>
  <c r="K1061" i="53"/>
  <c r="K1062" i="53"/>
  <c r="O1062" i="53" s="1"/>
  <c r="K1063" i="53"/>
  <c r="O1063" i="53" s="1"/>
  <c r="K1064" i="53"/>
  <c r="O1064" i="53" s="1"/>
  <c r="K1065" i="53"/>
  <c r="O1065" i="53" s="1"/>
  <c r="K1066" i="53"/>
  <c r="O1066" i="53" s="1"/>
  <c r="K1067" i="53"/>
  <c r="O1067" i="53" s="1"/>
  <c r="K1068" i="53"/>
  <c r="K1069" i="53"/>
  <c r="O1069" i="53" s="1"/>
  <c r="K1070" i="53"/>
  <c r="O1070" i="53" s="1"/>
  <c r="K1071" i="53"/>
  <c r="K1072" i="53"/>
  <c r="O1072" i="53" s="1"/>
  <c r="DZ1073" i="53"/>
  <c r="K1073" i="53" s="1"/>
  <c r="K1074" i="53"/>
  <c r="O1074" i="53" s="1"/>
  <c r="K1075" i="53"/>
  <c r="K1076" i="53"/>
  <c r="O1076" i="53" s="1"/>
  <c r="K1077" i="53"/>
  <c r="O1077" i="53" s="1"/>
  <c r="K1078" i="53"/>
  <c r="O1078" i="53" s="1"/>
  <c r="K1079" i="53"/>
  <c r="O1079" i="53" s="1"/>
  <c r="K1080" i="53"/>
  <c r="O1080" i="53" s="1"/>
  <c r="K1081" i="53"/>
  <c r="O1081" i="53" s="1"/>
  <c r="K1083" i="53"/>
  <c r="O1083" i="53" s="1"/>
  <c r="K1084" i="53"/>
  <c r="K1085" i="53"/>
  <c r="O1085" i="53" s="1"/>
  <c r="K1086" i="53"/>
  <c r="O1086" i="53" s="1"/>
  <c r="K1087" i="53"/>
  <c r="O1087" i="53" s="1"/>
  <c r="K1088" i="53"/>
  <c r="O1088" i="53" s="1"/>
  <c r="K1089" i="53"/>
  <c r="O1089" i="53" s="1"/>
  <c r="K1090" i="53"/>
  <c r="O1090" i="53" s="1"/>
  <c r="K1091" i="53"/>
  <c r="O1091" i="53" s="1"/>
  <c r="K1092" i="53"/>
  <c r="O1092" i="53" s="1"/>
  <c r="K1093" i="53"/>
  <c r="O1093" i="53" s="1"/>
  <c r="K1094" i="53"/>
  <c r="O1094" i="53" s="1"/>
  <c r="K1095" i="53"/>
  <c r="O1095" i="53" s="1"/>
  <c r="K1096" i="53"/>
  <c r="O1096" i="53" s="1"/>
  <c r="K1097" i="53"/>
  <c r="O1097" i="53" s="1"/>
  <c r="K1098" i="53"/>
  <c r="O1098" i="53" s="1"/>
  <c r="K1099" i="53"/>
  <c r="K1100" i="53"/>
  <c r="K1101" i="53"/>
  <c r="O1101" i="53" s="1"/>
  <c r="K1102" i="53"/>
  <c r="O1102" i="53" s="1"/>
  <c r="K1103" i="53"/>
  <c r="O1103" i="53" s="1"/>
  <c r="K1104" i="53"/>
  <c r="O1104" i="53" s="1"/>
  <c r="K1105" i="53"/>
  <c r="O1105" i="53" s="1"/>
  <c r="K1106" i="53"/>
  <c r="K1107" i="53"/>
  <c r="O1107" i="53" s="1"/>
  <c r="K1108" i="53"/>
  <c r="O1108" i="53" s="1"/>
  <c r="K1109" i="53"/>
  <c r="O1109" i="53" s="1"/>
  <c r="K1110" i="53"/>
  <c r="O1110" i="53" s="1"/>
  <c r="K1111" i="53"/>
  <c r="O1111" i="53" s="1"/>
  <c r="K1112" i="53"/>
  <c r="O1112" i="53" s="1"/>
  <c r="K1113" i="53"/>
  <c r="O1113" i="53" s="1"/>
  <c r="K1114" i="53"/>
  <c r="O1114" i="53" s="1"/>
  <c r="K1115" i="53"/>
  <c r="O1115" i="53" s="1"/>
  <c r="K1116" i="53"/>
  <c r="O1116" i="53" s="1"/>
  <c r="K1117" i="53"/>
  <c r="O1117" i="53" s="1"/>
  <c r="K1118" i="53"/>
  <c r="O1118" i="53" s="1"/>
  <c r="K1120" i="53"/>
  <c r="O1120" i="53" s="1"/>
  <c r="K1121" i="53"/>
  <c r="O1121" i="53" s="1"/>
  <c r="K1122" i="53"/>
  <c r="O1122" i="53" s="1"/>
  <c r="K1123" i="53"/>
  <c r="O1123" i="53" s="1"/>
  <c r="K1124" i="53"/>
  <c r="O1124" i="53" s="1"/>
  <c r="K1125" i="53"/>
  <c r="O1125" i="53" s="1"/>
  <c r="K1128" i="53"/>
  <c r="O1128" i="53" s="1"/>
  <c r="K1129" i="53"/>
  <c r="K1130" i="53"/>
  <c r="K1131" i="53"/>
  <c r="L1131" i="53" s="1"/>
  <c r="K1132" i="53"/>
  <c r="K1133" i="53"/>
  <c r="O1133" i="53" s="1"/>
  <c r="K1134" i="53"/>
  <c r="O1134" i="53" s="1"/>
  <c r="K1135" i="53"/>
  <c r="O1135" i="53" s="1"/>
  <c r="K1136" i="53"/>
  <c r="O1136" i="53" s="1"/>
  <c r="K1137" i="53"/>
  <c r="O1137" i="53" s="1"/>
  <c r="K1138" i="53"/>
  <c r="O1138" i="53" s="1"/>
  <c r="K1139" i="53"/>
  <c r="O1139" i="53" s="1"/>
  <c r="K1144" i="53"/>
  <c r="O1144" i="53" s="1"/>
  <c r="K1145" i="53"/>
  <c r="O1145" i="53" s="1"/>
  <c r="K1146" i="53"/>
  <c r="O1146" i="53" s="1"/>
  <c r="K1147" i="53"/>
  <c r="O1147" i="53" s="1"/>
  <c r="K1148" i="53"/>
  <c r="O1148" i="53" s="1"/>
  <c r="K1149" i="53"/>
  <c r="O1149" i="53" s="1"/>
  <c r="K1150" i="53"/>
  <c r="O1150" i="53" s="1"/>
  <c r="K1151" i="53"/>
  <c r="O1151" i="53" s="1"/>
  <c r="K1152" i="53"/>
  <c r="O1152" i="53" s="1"/>
  <c r="K1153" i="53"/>
  <c r="O1153" i="53" s="1"/>
  <c r="K1154" i="53"/>
  <c r="O1154" i="53" s="1"/>
  <c r="K1155" i="53"/>
  <c r="O1155" i="53" s="1"/>
  <c r="K1156" i="53"/>
  <c r="O1156" i="53" s="1"/>
  <c r="K1157" i="53"/>
  <c r="O1157" i="53" s="1"/>
  <c r="K1158" i="53"/>
  <c r="O1158" i="53" s="1"/>
  <c r="K1159" i="53"/>
  <c r="O1159" i="53" s="1"/>
  <c r="K1160" i="53"/>
  <c r="L1160" i="53" s="1"/>
  <c r="K1161" i="53"/>
  <c r="K1162" i="53"/>
  <c r="O1162" i="53" s="1"/>
  <c r="K1163" i="53"/>
  <c r="O1163" i="53" s="1"/>
  <c r="K1164" i="53"/>
  <c r="O1164" i="53" s="1"/>
  <c r="K1165" i="53"/>
  <c r="O1165" i="53" s="1"/>
  <c r="K1166" i="53"/>
  <c r="O1166" i="53" s="1"/>
  <c r="K1167" i="53"/>
  <c r="O1167" i="53" s="1"/>
  <c r="DW1168" i="53"/>
  <c r="K1168" i="53" s="1"/>
  <c r="O1168" i="53" s="1"/>
  <c r="K1169" i="53"/>
  <c r="K1170" i="53"/>
  <c r="O1170" i="53" s="1"/>
  <c r="K1171" i="53"/>
  <c r="L1171" i="53" s="1"/>
  <c r="K1172" i="53"/>
  <c r="L1172" i="53" s="1"/>
  <c r="K1173" i="53"/>
  <c r="O1173" i="53" s="1"/>
  <c r="K1174" i="53"/>
  <c r="O1174" i="53" s="1"/>
  <c r="K1175" i="53"/>
  <c r="O1175" i="53" s="1"/>
  <c r="K1176" i="53"/>
  <c r="O1176" i="53" s="1"/>
  <c r="K1177" i="53"/>
  <c r="O1177" i="53" s="1"/>
  <c r="K1178" i="53"/>
  <c r="O1178" i="53" s="1"/>
  <c r="K1179" i="53"/>
  <c r="O1179" i="53" s="1"/>
  <c r="K1180" i="53"/>
  <c r="K1181" i="53"/>
  <c r="K1182" i="53"/>
  <c r="K1183" i="53"/>
  <c r="O1183" i="53" s="1"/>
  <c r="K1184" i="53"/>
  <c r="K1185" i="53"/>
  <c r="L1185" i="53" s="1"/>
  <c r="K1186" i="53"/>
  <c r="O1186" i="53" s="1"/>
  <c r="K1187" i="53"/>
  <c r="O1187" i="53" s="1"/>
  <c r="K1188" i="53"/>
  <c r="O1188" i="53" s="1"/>
  <c r="K1189" i="53"/>
  <c r="O1189" i="53" s="1"/>
  <c r="K1190" i="53"/>
  <c r="O1190" i="53" s="1"/>
  <c r="K1191" i="53"/>
  <c r="O1191" i="53" s="1"/>
  <c r="K1192" i="53"/>
  <c r="O1192" i="53" s="1"/>
  <c r="K1193" i="53"/>
  <c r="IM1194" i="53"/>
  <c r="K1194" i="53" s="1"/>
  <c r="K1195" i="53"/>
  <c r="K1196" i="53"/>
  <c r="O1196" i="53" s="1"/>
  <c r="K1197" i="53"/>
  <c r="O1197" i="53" s="1"/>
  <c r="K1198" i="53"/>
  <c r="K1199" i="53"/>
  <c r="K1200" i="53"/>
  <c r="O1200" i="53" s="1"/>
  <c r="K1201" i="53"/>
  <c r="O1201" i="53" s="1"/>
  <c r="K1202" i="53"/>
  <c r="O1202" i="53" s="1"/>
  <c r="K1203" i="53"/>
  <c r="O1203" i="53" s="1"/>
  <c r="K1204" i="53"/>
  <c r="K1205" i="53"/>
  <c r="O1205" i="53" s="1"/>
  <c r="K1206" i="53"/>
  <c r="O1206" i="53" s="1"/>
  <c r="K1207" i="53"/>
  <c r="O1207" i="53" s="1"/>
  <c r="K1208" i="53"/>
  <c r="O1208" i="53" s="1"/>
  <c r="K1209" i="53"/>
  <c r="O1209" i="53" s="1"/>
  <c r="K1210" i="53"/>
  <c r="K1211" i="53"/>
  <c r="O1211" i="53" s="1"/>
  <c r="K1212" i="53"/>
  <c r="K1213" i="53"/>
  <c r="L1213" i="53" s="1"/>
  <c r="K1214" i="53"/>
  <c r="L1214" i="53" s="1"/>
  <c r="K1215" i="53"/>
  <c r="K1216" i="53"/>
  <c r="K1217" i="53"/>
  <c r="O1217" i="53" s="1"/>
  <c r="K1218" i="53"/>
  <c r="K1219" i="53"/>
  <c r="O1219" i="53" s="1"/>
  <c r="K1220" i="53"/>
  <c r="O1220" i="53" s="1"/>
  <c r="K1221" i="53"/>
  <c r="O1221" i="53" s="1"/>
  <c r="K1222" i="53"/>
  <c r="O1222" i="53" s="1"/>
  <c r="K1223" i="53"/>
  <c r="O1223" i="53" s="1"/>
  <c r="K1224" i="53"/>
  <c r="L1224" i="53" s="1"/>
  <c r="K1225" i="53"/>
  <c r="L1225" i="53" s="1"/>
  <c r="K1226" i="53"/>
  <c r="K1227" i="53"/>
  <c r="O1227" i="53" s="1"/>
  <c r="K1228" i="53"/>
  <c r="K1229" i="53"/>
  <c r="K1230" i="53"/>
  <c r="O1230" i="53" s="1"/>
  <c r="K1231" i="53"/>
  <c r="K1232" i="53"/>
  <c r="O1232" i="53" s="1"/>
  <c r="K1233" i="53"/>
  <c r="K1234" i="53"/>
  <c r="K1235" i="53"/>
  <c r="O1235" i="53" s="1"/>
  <c r="K1236" i="53"/>
  <c r="O1236" i="53" s="1"/>
  <c r="K1237" i="53"/>
  <c r="O1237" i="53" s="1"/>
  <c r="K1238" i="53"/>
  <c r="O1238" i="53" s="1"/>
  <c r="K1239" i="53"/>
  <c r="K1240" i="53"/>
  <c r="L1240" i="53" s="1"/>
  <c r="K1241" i="53"/>
  <c r="L1241" i="53" s="1"/>
  <c r="K1242" i="53"/>
  <c r="O1242" i="53" s="1"/>
  <c r="K1243" i="53"/>
  <c r="K1244" i="53"/>
  <c r="K1245" i="53"/>
  <c r="K1246" i="53"/>
  <c r="O1246" i="53" s="1"/>
  <c r="K1247" i="53"/>
  <c r="O1247" i="53" s="1"/>
  <c r="K1248" i="53"/>
  <c r="K1249" i="53"/>
  <c r="O1249" i="53" s="1"/>
  <c r="K1250" i="53"/>
  <c r="O1250" i="53" s="1"/>
  <c r="K1251" i="53"/>
  <c r="O1251" i="53" s="1"/>
  <c r="K1252" i="53"/>
  <c r="K1253" i="53"/>
  <c r="O1253" i="53" s="1"/>
  <c r="K1254" i="53"/>
  <c r="K1255" i="53"/>
  <c r="K1256" i="53"/>
  <c r="O1256" i="53" s="1"/>
  <c r="K1257" i="53"/>
  <c r="O1257" i="53" s="1"/>
  <c r="K1258" i="53"/>
  <c r="O1258" i="53" s="1"/>
  <c r="K1259" i="53"/>
  <c r="K1260" i="53"/>
  <c r="L1260" i="53" s="1"/>
  <c r="K1261" i="53"/>
  <c r="O1261" i="53" s="1"/>
  <c r="K1262" i="53"/>
  <c r="O1262" i="53" s="1"/>
  <c r="K1263" i="53"/>
  <c r="O1263" i="53" s="1"/>
  <c r="K1264" i="53"/>
  <c r="K1265" i="53"/>
  <c r="K1266" i="53"/>
  <c r="K1267" i="53"/>
  <c r="O1267" i="53" s="1"/>
  <c r="K1268" i="53"/>
  <c r="O1268" i="53" s="1"/>
  <c r="K1269" i="53"/>
  <c r="O1269" i="53" s="1"/>
  <c r="K1270" i="53"/>
  <c r="O1270" i="53" s="1"/>
  <c r="K1271" i="53"/>
  <c r="O1271" i="53" s="1"/>
  <c r="K1272" i="53"/>
  <c r="O1272" i="53" s="1"/>
  <c r="K1273" i="53"/>
  <c r="O1273" i="53" s="1"/>
  <c r="K1274" i="53"/>
  <c r="O1274" i="53" s="1"/>
  <c r="K1275" i="53"/>
  <c r="K1276" i="53"/>
  <c r="O1276" i="53" s="1"/>
  <c r="K1277" i="53"/>
  <c r="O1277" i="53" s="1"/>
  <c r="K1278" i="53"/>
  <c r="O1278" i="53" s="1"/>
  <c r="K1279" i="53"/>
  <c r="K1280" i="53"/>
  <c r="O1280" i="53" s="1"/>
  <c r="K1281" i="53"/>
  <c r="K1282" i="53"/>
  <c r="O1282" i="53" s="1"/>
  <c r="K1283" i="53"/>
  <c r="K1284" i="53"/>
  <c r="O1284" i="53" s="1"/>
  <c r="K1285" i="53"/>
  <c r="O1285" i="53" s="1"/>
  <c r="K1286" i="53"/>
  <c r="O1286" i="53" s="1"/>
  <c r="K1287" i="53"/>
  <c r="O1287" i="53" s="1"/>
  <c r="K1288" i="53"/>
  <c r="O1288" i="53" s="1"/>
  <c r="K1289" i="53"/>
  <c r="O1289" i="53" s="1"/>
  <c r="K1290" i="53"/>
  <c r="O1290" i="53" s="1"/>
  <c r="K1291" i="53"/>
  <c r="O1291" i="53" s="1"/>
  <c r="K1292" i="53"/>
  <c r="O1292" i="53" s="1"/>
  <c r="K1293" i="53"/>
  <c r="K1294" i="53"/>
  <c r="K1295" i="53"/>
  <c r="O1295" i="53" s="1"/>
  <c r="K1296" i="53"/>
  <c r="O1296" i="53" s="1"/>
  <c r="K1297" i="53"/>
  <c r="O1297" i="53" s="1"/>
  <c r="K1298" i="53"/>
  <c r="O1298" i="53" s="1"/>
  <c r="K1299" i="53"/>
  <c r="K1300" i="53"/>
  <c r="L1300" i="53" s="1"/>
  <c r="K1301" i="53"/>
  <c r="L1301" i="53" s="1"/>
  <c r="K1302" i="53"/>
  <c r="O1302" i="53" s="1"/>
  <c r="K1303" i="53"/>
  <c r="O1303" i="53" s="1"/>
  <c r="K1304" i="53"/>
  <c r="K1305" i="53"/>
  <c r="O1305" i="53" s="1"/>
  <c r="K1306" i="53"/>
  <c r="K1307" i="53"/>
  <c r="O1307" i="53" s="1"/>
  <c r="K1308" i="53"/>
  <c r="O1308" i="53" s="1"/>
  <c r="K1309" i="53"/>
  <c r="K1310" i="53"/>
  <c r="O1310" i="53" s="1"/>
  <c r="K1311" i="53"/>
  <c r="O1311" i="53" s="1"/>
  <c r="K1312" i="53"/>
  <c r="K1313" i="53"/>
  <c r="K1314" i="53"/>
  <c r="L1314" i="53" s="1"/>
  <c r="K1315" i="53"/>
  <c r="K1316" i="53"/>
  <c r="K1317" i="53"/>
  <c r="L1317" i="53" s="1"/>
  <c r="K1322" i="53"/>
  <c r="O1322" i="53" s="1"/>
  <c r="K1323" i="53"/>
  <c r="O1323" i="53" s="1"/>
  <c r="K1324" i="53"/>
  <c r="O1324" i="53" s="1"/>
  <c r="HT1325" i="53"/>
  <c r="K1325" i="53" s="1"/>
  <c r="O1325" i="53" s="1"/>
  <c r="IM1326" i="53"/>
  <c r="K1326" i="53" s="1"/>
  <c r="O1326" i="53" s="1"/>
  <c r="K1327" i="53"/>
  <c r="JN1328" i="53"/>
  <c r="K1328" i="53" s="1"/>
  <c r="O1328" i="53" s="1"/>
  <c r="K1329" i="53"/>
  <c r="K1330" i="53"/>
  <c r="K1331" i="53"/>
  <c r="K1332" i="53"/>
  <c r="K1333" i="53"/>
  <c r="K1334" i="53"/>
  <c r="K1335" i="53"/>
  <c r="O1335" i="53" s="1"/>
  <c r="K1336" i="53"/>
  <c r="K1337" i="53"/>
  <c r="O1337" i="53" s="1"/>
  <c r="K1338" i="53"/>
  <c r="K1339" i="53"/>
  <c r="K1340" i="53"/>
  <c r="O1340" i="53" s="1"/>
  <c r="K1341" i="53"/>
  <c r="O1341" i="53" s="1"/>
  <c r="K1342" i="53"/>
  <c r="K1343" i="53"/>
  <c r="O1343" i="53" s="1"/>
  <c r="K1344" i="53"/>
  <c r="O1344" i="53" s="1"/>
  <c r="K1345" i="53"/>
  <c r="K1346" i="53"/>
  <c r="O1346" i="53" s="1"/>
  <c r="K1347" i="53"/>
  <c r="K1348" i="53"/>
  <c r="O1348" i="53" s="1"/>
  <c r="K1349" i="53"/>
  <c r="O1349" i="53" s="1"/>
  <c r="K1350" i="53"/>
  <c r="O1350" i="53" s="1"/>
  <c r="K1351" i="53"/>
  <c r="O1351" i="53" s="1"/>
  <c r="K1352" i="53"/>
  <c r="O1352" i="53" s="1"/>
  <c r="K1353" i="53"/>
  <c r="K1354" i="53"/>
  <c r="K1355" i="53"/>
  <c r="O1355" i="53" s="1"/>
  <c r="K1356" i="53"/>
  <c r="O1356" i="53" s="1"/>
  <c r="K1357" i="53"/>
  <c r="K1358" i="53"/>
  <c r="O1358" i="53" s="1"/>
  <c r="K1359" i="53"/>
  <c r="O1359" i="53" s="1"/>
  <c r="K1360" i="53"/>
  <c r="K1361" i="53"/>
  <c r="O1361" i="53" s="1"/>
  <c r="K1362" i="53"/>
  <c r="O1362" i="53" s="1"/>
  <c r="K1363" i="53"/>
  <c r="O1363" i="53" s="1"/>
  <c r="K1364" i="53"/>
  <c r="O1364" i="53" s="1"/>
  <c r="K1365" i="53"/>
  <c r="O1365" i="53" s="1"/>
  <c r="K1366" i="53"/>
  <c r="K1367" i="53"/>
  <c r="O1367" i="53" s="1"/>
  <c r="K1368" i="53"/>
  <c r="K1369" i="53"/>
  <c r="O1369" i="53" s="1"/>
  <c r="K1370" i="53"/>
  <c r="O1370" i="53" s="1"/>
  <c r="K1371" i="53"/>
  <c r="O1371" i="53" s="1"/>
  <c r="K1372" i="53"/>
  <c r="O1372" i="53" s="1"/>
  <c r="K1373" i="53"/>
  <c r="O1373" i="53" s="1"/>
  <c r="K1374" i="53"/>
  <c r="O1374" i="53" s="1"/>
  <c r="K1375" i="53"/>
  <c r="K1376" i="53"/>
  <c r="O1376" i="53" s="1"/>
  <c r="K1377" i="53"/>
  <c r="O1377" i="53" s="1"/>
  <c r="K1378" i="53"/>
  <c r="K1379" i="53"/>
  <c r="K1380" i="53"/>
  <c r="O1380" i="53" s="1"/>
  <c r="K1381" i="53"/>
  <c r="K1382" i="53"/>
  <c r="O1382" i="53" s="1"/>
  <c r="K1383" i="53"/>
  <c r="O1383" i="53" s="1"/>
  <c r="K1384" i="53"/>
  <c r="O1384" i="53" s="1"/>
  <c r="K1385" i="53"/>
  <c r="K1386" i="53"/>
  <c r="K1387" i="53"/>
  <c r="O1387" i="53" s="1"/>
  <c r="K1388" i="53"/>
  <c r="O1388" i="53" s="1"/>
  <c r="K1389" i="53"/>
  <c r="O1389" i="53" s="1"/>
  <c r="K1390" i="53"/>
  <c r="L1390" i="53" s="1"/>
  <c r="K1391" i="53"/>
  <c r="O1391" i="53" s="1"/>
  <c r="K1392" i="53"/>
  <c r="O1392" i="53" s="1"/>
  <c r="K1393" i="53"/>
  <c r="O1393" i="53" s="1"/>
  <c r="K1394" i="53"/>
  <c r="K1395" i="53"/>
  <c r="O1395" i="53" s="1"/>
  <c r="K1396" i="53"/>
  <c r="O1396" i="53" s="1"/>
  <c r="K1397" i="53"/>
  <c r="O1397" i="53" s="1"/>
  <c r="K1398" i="53"/>
  <c r="K1399" i="53"/>
  <c r="O1399" i="53" s="1"/>
  <c r="K1400" i="53"/>
  <c r="K1401" i="53"/>
  <c r="O1401" i="53" s="1"/>
  <c r="K1402" i="53"/>
  <c r="K1403" i="53"/>
  <c r="O1403" i="53" s="1"/>
  <c r="K1404" i="53"/>
  <c r="O1404" i="53" s="1"/>
  <c r="K1405" i="53"/>
  <c r="O1405" i="53" s="1"/>
  <c r="K1406" i="53"/>
  <c r="O1406" i="53" s="1"/>
  <c r="K1407" i="53"/>
  <c r="O1407" i="53" s="1"/>
  <c r="K1408" i="53"/>
  <c r="O1408" i="53" s="1"/>
  <c r="K1409" i="53"/>
  <c r="O1409" i="53" s="1"/>
  <c r="K1410" i="53"/>
  <c r="O1410" i="53" s="1"/>
  <c r="K1411" i="53"/>
  <c r="O1411" i="53" s="1"/>
  <c r="K1412" i="53"/>
  <c r="O1412" i="53" s="1"/>
  <c r="K1413" i="53"/>
  <c r="O1413" i="53" s="1"/>
  <c r="K1414" i="53"/>
  <c r="K1415" i="53"/>
  <c r="O1415" i="53" s="1"/>
  <c r="K1416" i="53"/>
  <c r="O1416" i="53" s="1"/>
  <c r="K1417" i="53"/>
  <c r="O1417" i="53" s="1"/>
  <c r="K1418" i="53"/>
  <c r="K1419" i="53"/>
  <c r="O1419" i="53" s="1"/>
  <c r="K1420" i="53"/>
  <c r="O1420" i="53" s="1"/>
  <c r="K1421" i="53"/>
  <c r="O1421" i="53" s="1"/>
  <c r="K1422" i="53"/>
  <c r="O1422" i="53" s="1"/>
  <c r="K1423" i="53"/>
  <c r="K1424" i="53"/>
  <c r="O1424" i="53" s="1"/>
  <c r="K1425" i="53"/>
  <c r="K1426" i="53"/>
  <c r="O1426" i="53" s="1"/>
  <c r="K1427" i="53"/>
  <c r="O1427" i="53" s="1"/>
  <c r="K1428" i="53"/>
  <c r="O1428" i="53" s="1"/>
  <c r="K1429" i="53"/>
  <c r="O1429" i="53" s="1"/>
  <c r="K1430" i="53"/>
  <c r="K1431" i="53"/>
  <c r="JD1432" i="53"/>
  <c r="K1432" i="53" s="1"/>
  <c r="O1432" i="53" s="1"/>
  <c r="K1433" i="53"/>
  <c r="O1433" i="53" s="1"/>
  <c r="K1434" i="53"/>
  <c r="K1435" i="53"/>
  <c r="O1435" i="53" s="1"/>
  <c r="K1436" i="53"/>
  <c r="O1436" i="53" s="1"/>
  <c r="JR1437" i="53"/>
  <c r="K1437" i="53" s="1"/>
  <c r="O1437" i="53" s="1"/>
  <c r="K1438" i="53"/>
  <c r="K1439" i="53"/>
  <c r="O1439" i="53" s="1"/>
  <c r="K1440" i="53"/>
  <c r="O1440" i="53" s="1"/>
  <c r="K1441" i="53"/>
  <c r="O1441" i="53" s="1"/>
  <c r="K1442" i="53"/>
  <c r="K1443" i="53"/>
  <c r="K1444" i="53"/>
  <c r="K1445" i="53"/>
  <c r="L1445" i="53" s="1"/>
  <c r="K1446" i="53"/>
  <c r="O1446" i="53" s="1"/>
  <c r="K1447" i="53"/>
  <c r="K1448" i="53"/>
  <c r="O1448" i="53" s="1"/>
  <c r="K1449" i="53"/>
  <c r="K1450" i="53"/>
  <c r="O1450" i="53" s="1"/>
  <c r="K1451" i="53"/>
  <c r="O1451" i="53" s="1"/>
  <c r="K1452" i="53"/>
  <c r="O1452" i="53" s="1"/>
  <c r="K1453" i="53"/>
  <c r="O1453" i="53" s="1"/>
  <c r="K1454" i="53"/>
  <c r="O1454" i="53" s="1"/>
  <c r="K1455" i="53"/>
  <c r="O1455" i="53" s="1"/>
  <c r="K1456" i="53"/>
  <c r="O1456" i="53" s="1"/>
  <c r="K1457" i="53"/>
  <c r="O1457" i="53" s="1"/>
  <c r="K1458" i="53"/>
  <c r="O1458" i="53" s="1"/>
  <c r="K1459" i="53"/>
  <c r="K1460" i="53"/>
  <c r="K1461" i="53"/>
  <c r="K1462" i="53"/>
  <c r="K1463" i="53"/>
  <c r="K1464" i="53"/>
  <c r="O1464" i="53" s="1"/>
  <c r="K1465" i="53"/>
  <c r="K1466" i="53"/>
  <c r="O1466" i="53" s="1"/>
  <c r="K1467" i="53"/>
  <c r="O1467" i="53" s="1"/>
  <c r="K1468" i="53"/>
  <c r="O1468" i="53" s="1"/>
  <c r="K1469" i="53"/>
  <c r="O1469" i="53" s="1"/>
  <c r="K1470" i="53"/>
  <c r="K1471" i="53"/>
  <c r="O1471" i="53" s="1"/>
  <c r="K1472" i="53"/>
  <c r="O1472" i="53" s="1"/>
  <c r="K1473" i="53"/>
  <c r="K1474" i="53"/>
  <c r="K1475" i="53"/>
  <c r="O1475" i="53" s="1"/>
  <c r="K1476" i="53"/>
  <c r="O1476" i="53" s="1"/>
  <c r="K1477" i="53"/>
  <c r="O1477" i="53" s="1"/>
  <c r="K1478" i="53"/>
  <c r="O1478" i="53" s="1"/>
  <c r="K1479" i="53"/>
  <c r="O1479" i="53" s="1"/>
  <c r="K1480" i="53"/>
  <c r="L1480" i="53" s="1"/>
  <c r="K1481" i="53"/>
  <c r="O1481" i="53" s="1"/>
  <c r="K1482" i="53"/>
  <c r="O1482" i="53" s="1"/>
  <c r="K1483" i="53"/>
  <c r="O1483" i="53" s="1"/>
  <c r="K1484" i="53"/>
  <c r="O1484" i="53" s="1"/>
  <c r="K1485" i="53"/>
  <c r="O1485" i="53" s="1"/>
  <c r="K1486" i="53"/>
  <c r="K1487" i="53"/>
  <c r="K1488" i="53"/>
  <c r="O1488" i="53" s="1"/>
  <c r="K1489" i="53"/>
  <c r="O1489" i="53" s="1"/>
  <c r="K1490" i="53"/>
  <c r="O1490" i="53" s="1"/>
  <c r="K1491" i="53"/>
  <c r="O1491" i="53" s="1"/>
  <c r="K1492" i="53"/>
  <c r="O1492" i="53" s="1"/>
  <c r="K1493" i="53"/>
  <c r="O1493" i="53" s="1"/>
  <c r="K1494" i="53"/>
  <c r="K1495" i="53"/>
  <c r="O1495" i="53" s="1"/>
  <c r="K1496" i="53"/>
  <c r="O1496" i="53" s="1"/>
  <c r="K1497" i="53"/>
  <c r="O1497" i="53" s="1"/>
  <c r="K1498" i="53"/>
  <c r="O1498" i="53" s="1"/>
  <c r="K1499" i="53"/>
  <c r="O1499" i="53" s="1"/>
  <c r="K1500" i="53"/>
  <c r="O1500" i="53" s="1"/>
  <c r="K1501" i="53"/>
  <c r="O1501" i="53" s="1"/>
  <c r="K1502" i="53"/>
  <c r="O1502" i="53" s="1"/>
  <c r="K1503" i="53"/>
  <c r="O1503" i="53" s="1"/>
  <c r="K1504" i="53"/>
  <c r="K1505" i="53"/>
  <c r="K1506" i="53"/>
  <c r="K1507" i="53"/>
  <c r="K1508" i="53"/>
  <c r="L1508" i="53" s="1"/>
  <c r="K1509" i="53"/>
  <c r="K1510" i="53"/>
  <c r="K1511" i="53"/>
  <c r="L1511" i="53" s="1"/>
  <c r="K1512" i="53"/>
  <c r="O1512" i="53" s="1"/>
  <c r="K1513" i="53"/>
  <c r="O1513" i="53" s="1"/>
  <c r="K1514" i="53"/>
  <c r="O1514" i="53" s="1"/>
  <c r="JQ1515" i="53"/>
  <c r="K1515" i="53" s="1"/>
  <c r="O1515" i="53" s="1"/>
  <c r="K1517" i="53"/>
  <c r="O1517" i="53" s="1"/>
  <c r="K1518" i="53"/>
  <c r="K1519" i="53"/>
  <c r="O1519" i="53" s="1"/>
  <c r="K1521" i="53"/>
  <c r="O1521" i="53" s="1"/>
  <c r="K1522" i="53"/>
  <c r="O1522" i="53" s="1"/>
  <c r="K1523" i="53"/>
  <c r="O1523" i="53" s="1"/>
  <c r="K1524" i="53"/>
  <c r="O1524" i="53" s="1"/>
  <c r="K1525" i="53"/>
  <c r="O1525" i="53" s="1"/>
  <c r="K1526" i="53"/>
  <c r="O1526" i="53" s="1"/>
  <c r="K1527" i="53"/>
  <c r="O1527" i="53" s="1"/>
  <c r="K1528" i="53"/>
  <c r="O1528" i="53" s="1"/>
  <c r="K1529" i="53"/>
  <c r="O1529" i="53" s="1"/>
  <c r="K1530" i="53"/>
  <c r="O1530" i="53" s="1"/>
  <c r="K1531" i="53"/>
  <c r="K1532" i="53"/>
  <c r="O1532" i="53" s="1"/>
  <c r="K1533" i="53"/>
  <c r="O1533" i="53" s="1"/>
  <c r="K1534" i="53"/>
  <c r="O1534" i="53" s="1"/>
  <c r="K1535" i="53"/>
  <c r="O1535" i="53" s="1"/>
  <c r="K1536" i="53"/>
  <c r="O1536" i="53" s="1"/>
  <c r="K1537" i="53"/>
  <c r="O1537" i="53" s="1"/>
  <c r="K1538" i="53"/>
  <c r="O1538" i="53" s="1"/>
  <c r="K1539" i="53"/>
  <c r="O1539" i="53" s="1"/>
  <c r="K1540" i="53"/>
  <c r="O1540" i="53" s="1"/>
  <c r="K1541" i="53"/>
  <c r="O1541" i="53" s="1"/>
  <c r="K1542" i="53"/>
  <c r="O1542" i="53" s="1"/>
  <c r="K1543" i="53"/>
  <c r="L1543" i="53" s="1"/>
  <c r="K1544" i="53"/>
  <c r="O1544" i="53" s="1"/>
  <c r="K1545" i="53"/>
  <c r="O1545" i="53" s="1"/>
  <c r="K1546" i="53"/>
  <c r="O1546" i="53" s="1"/>
  <c r="K1547" i="53"/>
  <c r="K1548" i="53"/>
  <c r="O1548" i="53" s="1"/>
  <c r="K1549" i="53"/>
  <c r="K1550" i="53"/>
  <c r="O1550" i="53" s="1"/>
  <c r="K1551" i="53"/>
  <c r="O1551" i="53" s="1"/>
  <c r="K1552" i="53"/>
  <c r="O1552" i="53" s="1"/>
  <c r="K1553" i="53"/>
  <c r="O1553" i="53" s="1"/>
  <c r="K1554" i="53"/>
  <c r="K1555" i="53"/>
  <c r="O1555" i="53" s="1"/>
  <c r="K1556" i="53"/>
  <c r="O1556" i="53" s="1"/>
  <c r="K1557" i="53"/>
  <c r="O1557" i="53" s="1"/>
  <c r="K1558" i="53"/>
  <c r="O1558" i="53" s="1"/>
  <c r="K1559" i="53"/>
  <c r="O1559" i="53" s="1"/>
  <c r="K1560" i="53"/>
  <c r="K1561" i="53"/>
  <c r="O1561" i="53" s="1"/>
  <c r="K1562" i="53"/>
  <c r="K1563" i="53"/>
  <c r="O1563" i="53" s="1"/>
  <c r="K1564" i="53"/>
  <c r="K1565" i="53"/>
  <c r="O1565" i="53" s="1"/>
  <c r="K1566" i="53"/>
  <c r="O1566" i="53" s="1"/>
  <c r="EU1567" i="53"/>
  <c r="K1567" i="53" s="1"/>
  <c r="O1567" i="53" s="1"/>
  <c r="K1568" i="53"/>
  <c r="K1569" i="53"/>
  <c r="K1570" i="53"/>
  <c r="K1573" i="53"/>
  <c r="O1573" i="53" s="1"/>
  <c r="K1574" i="53"/>
  <c r="K1575" i="53"/>
  <c r="K1576" i="53"/>
  <c r="O1576" i="53" s="1"/>
  <c r="K1577" i="53"/>
  <c r="O1577" i="53" s="1"/>
  <c r="K1578" i="53"/>
  <c r="O1578" i="53" s="1"/>
  <c r="K1579" i="53"/>
  <c r="O1579" i="53" s="1"/>
  <c r="K1580" i="53"/>
  <c r="O1580" i="53" s="1"/>
  <c r="K1581" i="53"/>
  <c r="K1582" i="53"/>
  <c r="O1582" i="53" s="1"/>
  <c r="K1583" i="53"/>
  <c r="K1584" i="53"/>
  <c r="O1584" i="53" s="1"/>
  <c r="K1585" i="53"/>
  <c r="K1586" i="53"/>
  <c r="O1586" i="53" s="1"/>
  <c r="K1587" i="53"/>
  <c r="O1587" i="53" s="1"/>
  <c r="K1588" i="53"/>
  <c r="O1588" i="53" s="1"/>
  <c r="K1589" i="53"/>
  <c r="K1590" i="53"/>
  <c r="O1590" i="53" s="1"/>
  <c r="K1591" i="53"/>
  <c r="O1591" i="53" s="1"/>
  <c r="K1592" i="53"/>
  <c r="O1592" i="53" s="1"/>
  <c r="K1593" i="53"/>
  <c r="O1593" i="53" s="1"/>
  <c r="K1594" i="53"/>
  <c r="O1594" i="53" s="1"/>
  <c r="K1595" i="53"/>
  <c r="K1596" i="53"/>
  <c r="O1596" i="53" s="1"/>
  <c r="K1597" i="53"/>
  <c r="O1597" i="53" s="1"/>
  <c r="K1598" i="53"/>
  <c r="O1598" i="53" s="1"/>
  <c r="K1599" i="53"/>
  <c r="O1599" i="53" s="1"/>
  <c r="K1600" i="53"/>
  <c r="O1600" i="53" s="1"/>
  <c r="K1601" i="53"/>
  <c r="O1601" i="53" s="1"/>
  <c r="K1602" i="53"/>
  <c r="O1602" i="53" s="1"/>
  <c r="K1603" i="53"/>
  <c r="O1603" i="53" s="1"/>
  <c r="K1604" i="53"/>
  <c r="O1604" i="53" s="1"/>
  <c r="K1605" i="53"/>
  <c r="K1606" i="53"/>
  <c r="O1606" i="53" s="1"/>
  <c r="K1607" i="53"/>
  <c r="K1608" i="53"/>
  <c r="O1608" i="53" s="1"/>
  <c r="L1609" i="53"/>
  <c r="K1610" i="53"/>
  <c r="O1610" i="53" s="1"/>
  <c r="K1611" i="53"/>
  <c r="O1611" i="53" s="1"/>
  <c r="K1612" i="53"/>
  <c r="O1612" i="53" s="1"/>
  <c r="K1613" i="53"/>
  <c r="O1613" i="53" s="1"/>
  <c r="K1614" i="53"/>
  <c r="O1614" i="53" s="1"/>
  <c r="K1615" i="53"/>
  <c r="O1615" i="53" s="1"/>
  <c r="K1616" i="53"/>
  <c r="O1616" i="53" s="1"/>
  <c r="K1617" i="53"/>
  <c r="O1617" i="53" s="1"/>
  <c r="K1618" i="53"/>
  <c r="K1619" i="53"/>
  <c r="O1619" i="53" s="1"/>
  <c r="K1620" i="53"/>
  <c r="O1620" i="53" s="1"/>
  <c r="K1621" i="53"/>
  <c r="K1622" i="53"/>
  <c r="O1622" i="53" s="1"/>
  <c r="K1623" i="53"/>
  <c r="K1624" i="53"/>
  <c r="O1624" i="53" s="1"/>
  <c r="K1625" i="53"/>
  <c r="O1625" i="53" s="1"/>
  <c r="K1626" i="53"/>
  <c r="O1626" i="53" s="1"/>
  <c r="K1627" i="53"/>
  <c r="O1627" i="53" s="1"/>
  <c r="K1628" i="53"/>
  <c r="O1628" i="53" s="1"/>
  <c r="K1629" i="53"/>
  <c r="O1629" i="53" s="1"/>
  <c r="K1630" i="53"/>
  <c r="O1630" i="53" s="1"/>
  <c r="K1631" i="53"/>
  <c r="O1631" i="53" s="1"/>
  <c r="K1632" i="53"/>
  <c r="O1632" i="53" s="1"/>
  <c r="K1633" i="53"/>
  <c r="O1633" i="53" s="1"/>
  <c r="K1634" i="53"/>
  <c r="O1634" i="53" s="1"/>
  <c r="K1635" i="53"/>
  <c r="O1635" i="53" s="1"/>
  <c r="K1636" i="53"/>
  <c r="K1637" i="53"/>
  <c r="L1637" i="53" s="1"/>
  <c r="K1638" i="53"/>
  <c r="L1638" i="53" s="1"/>
  <c r="K1639" i="53"/>
  <c r="O1639" i="53" s="1"/>
  <c r="K1640" i="53"/>
  <c r="K1641" i="53"/>
  <c r="K1642" i="53"/>
  <c r="K1643" i="53"/>
  <c r="O1643" i="53" s="1"/>
  <c r="K1644" i="53"/>
  <c r="O1644" i="53" s="1"/>
  <c r="K1645" i="53"/>
  <c r="K1646" i="53"/>
  <c r="K1648" i="53"/>
  <c r="O1648" i="53" s="1"/>
  <c r="K1649" i="53"/>
  <c r="O1649" i="53" s="1"/>
  <c r="K1650" i="53"/>
  <c r="O1650" i="53" s="1"/>
  <c r="K1651" i="53"/>
  <c r="O1651" i="53" s="1"/>
  <c r="K1652" i="53"/>
  <c r="O1652" i="53" s="1"/>
  <c r="GJ1653" i="53"/>
  <c r="K1653" i="53" s="1"/>
  <c r="O1653" i="53" s="1"/>
  <c r="K1654" i="53"/>
  <c r="O1654" i="53" s="1"/>
  <c r="K1655" i="53"/>
  <c r="K1656" i="53"/>
  <c r="K1657" i="53"/>
  <c r="K1658" i="53"/>
  <c r="O1658" i="53" s="1"/>
  <c r="JY1659" i="53"/>
  <c r="K1659" i="53" s="1"/>
  <c r="O1659" i="53" s="1"/>
  <c r="K1660" i="53"/>
  <c r="O1660" i="53" s="1"/>
  <c r="K1661" i="53"/>
  <c r="O1661" i="53" s="1"/>
  <c r="K1662" i="53"/>
  <c r="O1662" i="53" s="1"/>
  <c r="K1663" i="53"/>
  <c r="O1663" i="53" s="1"/>
  <c r="K1664" i="53"/>
  <c r="K1665" i="53"/>
  <c r="O1665" i="53" s="1"/>
  <c r="K1666" i="53"/>
  <c r="K1667" i="53"/>
  <c r="O1667" i="53" s="1"/>
  <c r="K1669" i="53"/>
  <c r="O1669" i="53" s="1"/>
  <c r="K1670" i="53"/>
  <c r="O1670" i="53" s="1"/>
  <c r="K1671" i="53"/>
  <c r="O1671" i="53" s="1"/>
  <c r="K1672" i="53"/>
  <c r="O1672" i="53" s="1"/>
  <c r="K1673" i="53"/>
  <c r="K1674" i="53"/>
  <c r="K1675" i="53"/>
  <c r="K1676" i="53"/>
  <c r="K1677" i="53"/>
  <c r="K1678" i="53"/>
  <c r="O1678" i="53" s="1"/>
  <c r="K1679" i="53"/>
  <c r="O1679" i="53" s="1"/>
  <c r="K1680" i="53"/>
  <c r="O1680" i="53" s="1"/>
  <c r="K1682" i="53"/>
  <c r="O1682" i="53" s="1"/>
  <c r="K1683" i="53"/>
  <c r="O1683" i="53" s="1"/>
  <c r="K1684" i="53"/>
  <c r="K1685" i="53"/>
  <c r="O1685" i="53" s="1"/>
  <c r="K1687" i="53"/>
  <c r="O1687" i="53" s="1"/>
  <c r="K1688" i="53"/>
  <c r="K1689" i="53"/>
  <c r="O1689" i="53" s="1"/>
  <c r="K1690" i="53"/>
  <c r="K1691" i="53"/>
  <c r="O1691" i="53" s="1"/>
  <c r="K1692" i="53"/>
  <c r="O1692" i="53" s="1"/>
  <c r="K1693" i="53"/>
  <c r="K1694" i="53"/>
  <c r="O1694" i="53" s="1"/>
  <c r="K1695" i="53"/>
  <c r="O1695" i="53" s="1"/>
  <c r="K1696" i="53"/>
  <c r="O1696" i="53" s="1"/>
  <c r="K1697" i="53"/>
  <c r="O1697" i="53" s="1"/>
  <c r="K1698" i="53"/>
  <c r="O1698" i="53" s="1"/>
  <c r="K1699" i="53"/>
  <c r="K1700" i="53"/>
  <c r="K1701" i="53"/>
  <c r="K1702" i="53"/>
  <c r="O1702" i="53" s="1"/>
  <c r="K1703" i="53"/>
  <c r="O1703" i="53" s="1"/>
  <c r="K1704" i="53"/>
  <c r="O1704" i="53" s="1"/>
  <c r="K1705" i="53"/>
  <c r="O1705" i="53" s="1"/>
  <c r="K1706" i="53"/>
  <c r="K1707" i="53"/>
  <c r="O1707" i="53" s="1"/>
  <c r="K1708" i="53"/>
  <c r="K1710" i="53"/>
  <c r="O1710" i="53" s="1"/>
  <c r="K1712" i="53"/>
  <c r="O1712" i="53" s="1"/>
  <c r="K1713" i="53"/>
  <c r="O1713" i="53" s="1"/>
  <c r="K1714" i="53"/>
  <c r="O1714" i="53" s="1"/>
  <c r="K1715" i="53"/>
  <c r="O1715" i="53" s="1"/>
  <c r="K1717" i="53"/>
  <c r="O1717" i="53" s="1"/>
  <c r="K1718" i="53"/>
  <c r="O1718" i="53" s="1"/>
  <c r="K1719" i="53"/>
  <c r="O1719" i="53" s="1"/>
  <c r="K1720" i="53"/>
  <c r="O1720" i="53" s="1"/>
  <c r="K1721" i="53"/>
  <c r="O1721" i="53" s="1"/>
  <c r="K1722" i="53"/>
  <c r="O1722" i="53" s="1"/>
  <c r="K1723" i="53"/>
  <c r="O1723" i="53" s="1"/>
  <c r="K1724" i="53"/>
  <c r="O1724" i="53" s="1"/>
  <c r="K1725" i="53"/>
  <c r="O1725" i="53" s="1"/>
  <c r="K1726" i="53"/>
  <c r="O1726" i="53" s="1"/>
  <c r="K1727" i="53"/>
  <c r="O1727" i="53" s="1"/>
  <c r="K1728" i="53"/>
  <c r="O1728" i="53" s="1"/>
  <c r="K1732" i="53"/>
  <c r="O1732" i="53" s="1"/>
  <c r="K1734" i="53"/>
  <c r="O1734" i="53" s="1"/>
  <c r="K1735" i="53"/>
  <c r="O1735" i="53" s="1"/>
  <c r="K1736" i="53"/>
  <c r="O1736" i="53" s="1"/>
  <c r="K1737" i="53"/>
  <c r="K1738" i="53"/>
  <c r="K1739" i="53"/>
  <c r="O1739" i="53" s="1"/>
  <c r="K1740" i="53"/>
  <c r="K1741" i="53"/>
  <c r="O1741" i="53" s="1"/>
  <c r="K1742" i="53"/>
  <c r="O1742" i="53" s="1"/>
  <c r="K1743" i="53"/>
  <c r="O1743" i="53" s="1"/>
  <c r="K1744" i="53"/>
  <c r="K1745" i="53"/>
  <c r="K1746" i="53"/>
  <c r="O1746" i="53" s="1"/>
  <c r="K1747" i="53"/>
  <c r="K1748" i="53"/>
  <c r="O1748" i="53" s="1"/>
  <c r="K1749" i="53"/>
  <c r="O1749" i="53" s="1"/>
  <c r="K1751" i="53"/>
  <c r="O1751" i="53" s="1"/>
  <c r="K1752" i="53"/>
  <c r="O1752" i="53" s="1"/>
  <c r="K1753" i="53"/>
  <c r="O1753" i="53" s="1"/>
  <c r="K1754" i="53"/>
  <c r="O1754" i="53" s="1"/>
  <c r="K1755" i="53"/>
  <c r="O1755" i="53" s="1"/>
  <c r="K1757" i="53"/>
  <c r="L1757" i="53" s="1"/>
  <c r="K1758" i="53"/>
  <c r="L1758" i="53" s="1"/>
  <c r="K1759" i="53"/>
  <c r="O1759" i="53" s="1"/>
  <c r="K1760" i="53"/>
  <c r="O1760" i="53" s="1"/>
  <c r="K1761" i="53"/>
  <c r="O1761" i="53" s="1"/>
  <c r="K1762" i="53"/>
  <c r="O1762" i="53" s="1"/>
  <c r="K1763" i="53"/>
  <c r="O1763" i="53" s="1"/>
  <c r="K1764" i="53"/>
  <c r="K1765" i="53"/>
  <c r="K1766" i="53"/>
  <c r="JG1767" i="53"/>
  <c r="K1767" i="53" s="1"/>
  <c r="O1767" i="53" s="1"/>
  <c r="K1768" i="53"/>
  <c r="K1769" i="53"/>
  <c r="O1769" i="53" s="1"/>
  <c r="K1770" i="53"/>
  <c r="K1771" i="53"/>
  <c r="O1771" i="53" s="1"/>
  <c r="K1772" i="53"/>
  <c r="K1773" i="53"/>
  <c r="K1774" i="53"/>
  <c r="K1775" i="53"/>
  <c r="K1776" i="53"/>
  <c r="K1777" i="53"/>
  <c r="K1778" i="53"/>
  <c r="O1778" i="53" s="1"/>
  <c r="K1779" i="53"/>
  <c r="K1780" i="53"/>
  <c r="O1780" i="53" s="1"/>
  <c r="K1781" i="53"/>
  <c r="O1781" i="53" s="1"/>
  <c r="K1782" i="53"/>
  <c r="O1782" i="53" s="1"/>
  <c r="K1783" i="53"/>
  <c r="K1784" i="53"/>
  <c r="O1784" i="53" s="1"/>
  <c r="K1785" i="53"/>
  <c r="L1785" i="53" s="1"/>
  <c r="K1786" i="53"/>
  <c r="K1787" i="53"/>
  <c r="O1787" i="53" s="1"/>
  <c r="K1788" i="53"/>
  <c r="O1788" i="53" s="1"/>
  <c r="K1789" i="53"/>
  <c r="O1789" i="53" s="1"/>
  <c r="K1790" i="53"/>
  <c r="L1790" i="53" s="1"/>
  <c r="K1791" i="53"/>
  <c r="K1792" i="53"/>
  <c r="K1793" i="53"/>
  <c r="O1793" i="53" s="1"/>
  <c r="K1794" i="53"/>
  <c r="K1795" i="53"/>
  <c r="O1795" i="53" s="1"/>
  <c r="K1796" i="53"/>
  <c r="O1796" i="53" s="1"/>
  <c r="K1797" i="53"/>
  <c r="O1797" i="53" s="1"/>
  <c r="K1798" i="53"/>
  <c r="K1799" i="53"/>
  <c r="O1799" i="53" s="1"/>
  <c r="K1800" i="53"/>
  <c r="O1800" i="53" s="1"/>
  <c r="K1801" i="53"/>
  <c r="L1801" i="53" s="1"/>
  <c r="K1802" i="53"/>
  <c r="O1802" i="53" s="1"/>
  <c r="K1803" i="53"/>
  <c r="K1804" i="53"/>
  <c r="O1804" i="53" s="1"/>
  <c r="K1805" i="53"/>
  <c r="O1805" i="53" s="1"/>
  <c r="K1806" i="53"/>
  <c r="K1807" i="53"/>
  <c r="O1807" i="53" s="1"/>
  <c r="K1808" i="53"/>
  <c r="O1808" i="53" s="1"/>
  <c r="K1809" i="53"/>
  <c r="O1809" i="53" s="1"/>
  <c r="K1810" i="53"/>
  <c r="O1810" i="53" s="1"/>
  <c r="K1811" i="53"/>
  <c r="K1812" i="53"/>
  <c r="O1812" i="53" s="1"/>
  <c r="K1813" i="53"/>
  <c r="K1814" i="53"/>
  <c r="O1814" i="53" s="1"/>
  <c r="K1815" i="53"/>
  <c r="O1815" i="53" s="1"/>
  <c r="K1816" i="53"/>
  <c r="O1816" i="53" s="1"/>
  <c r="K1817" i="53"/>
  <c r="O1817" i="53" s="1"/>
  <c r="K1818" i="53"/>
  <c r="O1818" i="53" s="1"/>
  <c r="K1820" i="53"/>
  <c r="O1820" i="53" s="1"/>
  <c r="K1821" i="53"/>
  <c r="K1822" i="53"/>
  <c r="K1823" i="53"/>
  <c r="K1824" i="53"/>
  <c r="O1824" i="53" s="1"/>
  <c r="K1825" i="53"/>
  <c r="K1826" i="53"/>
  <c r="O1826" i="53" s="1"/>
  <c r="K1827" i="53"/>
  <c r="K1828" i="53"/>
  <c r="O1828" i="53" s="1"/>
  <c r="K1829" i="53"/>
  <c r="O1829" i="53" s="1"/>
  <c r="K1830" i="53"/>
  <c r="O1830" i="53" s="1"/>
  <c r="K1831" i="53"/>
  <c r="O1831" i="53" s="1"/>
  <c r="K1832" i="53"/>
  <c r="O1832" i="53" s="1"/>
  <c r="K1833" i="53"/>
  <c r="O1833" i="53" s="1"/>
  <c r="K1834" i="53"/>
  <c r="O1834" i="53" s="1"/>
  <c r="K1835" i="53"/>
  <c r="K1836" i="53"/>
  <c r="O1836" i="53" s="1"/>
  <c r="K1837" i="53"/>
  <c r="O1837" i="53" s="1"/>
  <c r="K1838" i="53"/>
  <c r="K1839" i="53"/>
  <c r="O1839" i="53" s="1"/>
  <c r="K1840" i="53"/>
  <c r="K1841" i="53"/>
  <c r="K1842" i="53"/>
  <c r="K1843" i="53"/>
  <c r="K1844" i="53"/>
  <c r="O1844" i="53" s="1"/>
  <c r="K1845" i="53"/>
  <c r="K1846" i="53"/>
  <c r="O1846" i="53" s="1"/>
  <c r="K1847" i="53"/>
  <c r="K1848" i="53"/>
  <c r="K1849" i="53"/>
  <c r="O1849" i="53" s="1"/>
  <c r="K1850" i="53"/>
  <c r="O1850" i="53" s="1"/>
  <c r="K1851" i="53"/>
  <c r="O1851" i="53" s="1"/>
  <c r="K1852" i="53"/>
  <c r="O1852" i="53" s="1"/>
  <c r="K1853" i="53"/>
  <c r="K1854" i="53"/>
  <c r="K1855" i="53"/>
  <c r="O1855" i="53" s="1"/>
  <c r="EF1856" i="53"/>
  <c r="K1856" i="53" s="1"/>
  <c r="O1856" i="53" s="1"/>
  <c r="K1857" i="53"/>
  <c r="O1857" i="53" s="1"/>
  <c r="K1858" i="53"/>
  <c r="K1859" i="53"/>
  <c r="O1859" i="53" s="1"/>
  <c r="K1860" i="53"/>
  <c r="O1860" i="53" s="1"/>
  <c r="K1861" i="53"/>
  <c r="O1861" i="53" s="1"/>
  <c r="K1862" i="53"/>
  <c r="O1862" i="53" s="1"/>
  <c r="K1863" i="53"/>
  <c r="K1864" i="53"/>
  <c r="O1864" i="53" s="1"/>
  <c r="K1865" i="53"/>
  <c r="O1865" i="53" s="1"/>
  <c r="K1866" i="53"/>
  <c r="O1866" i="53" s="1"/>
  <c r="K1867" i="53"/>
  <c r="O1867" i="53" s="1"/>
  <c r="K1868" i="53"/>
  <c r="K1870" i="53"/>
  <c r="O1870" i="53" s="1"/>
  <c r="K1871" i="53"/>
  <c r="K1872" i="53"/>
  <c r="O1872" i="53" s="1"/>
  <c r="K1873" i="53"/>
  <c r="K1874" i="53"/>
  <c r="O1874" i="53" s="1"/>
  <c r="K1875" i="53"/>
  <c r="K1876" i="53"/>
  <c r="O1876" i="53" s="1"/>
  <c r="K1877" i="53"/>
  <c r="K1878" i="53"/>
  <c r="O1878" i="53" s="1"/>
  <c r="K1879" i="53"/>
  <c r="K1880" i="53"/>
  <c r="O1880" i="53" s="1"/>
  <c r="K1881" i="53"/>
  <c r="O1881" i="53" s="1"/>
  <c r="K1882" i="53"/>
  <c r="O1882" i="53" s="1"/>
  <c r="K1883" i="53"/>
  <c r="O1883" i="53" s="1"/>
  <c r="K1884" i="53"/>
  <c r="K1885" i="53"/>
  <c r="O1885" i="53" s="1"/>
  <c r="K1886" i="53"/>
  <c r="O1886" i="53" s="1"/>
  <c r="K1887" i="53"/>
  <c r="O1887" i="53" s="1"/>
  <c r="K1888" i="53"/>
  <c r="O1888" i="53" s="1"/>
  <c r="K1889" i="53"/>
  <c r="K1890" i="53"/>
  <c r="O1890" i="53" s="1"/>
  <c r="K1891" i="53"/>
  <c r="O1891" i="53" s="1"/>
  <c r="K1892" i="53"/>
  <c r="O1892" i="53" s="1"/>
  <c r="K1893" i="53"/>
  <c r="O1893" i="53" s="1"/>
  <c r="K1894" i="53"/>
  <c r="O1894" i="53" s="1"/>
  <c r="K1895" i="53"/>
  <c r="O1895" i="53" s="1"/>
  <c r="K1896" i="53"/>
  <c r="O1896" i="53" s="1"/>
  <c r="K1897" i="53"/>
  <c r="K1898" i="53"/>
  <c r="O1898" i="53" s="1"/>
  <c r="K1899" i="53"/>
  <c r="K1900" i="53"/>
  <c r="O1900" i="53" s="1"/>
  <c r="K1901" i="53"/>
  <c r="O1901" i="53" s="1"/>
  <c r="K1902" i="53"/>
  <c r="O1902" i="53" s="1"/>
  <c r="K1903" i="53"/>
  <c r="O1903" i="53" s="1"/>
  <c r="K1904" i="53"/>
  <c r="O1904" i="53" s="1"/>
  <c r="K1905" i="53"/>
  <c r="O1913" i="53"/>
  <c r="K1914" i="53"/>
  <c r="O1914" i="53" s="1"/>
  <c r="K1915" i="53"/>
  <c r="O1915" i="53" s="1"/>
  <c r="K1916" i="53"/>
  <c r="O1916" i="53" s="1"/>
  <c r="K1917" i="53"/>
  <c r="O1917" i="53" s="1"/>
  <c r="K1918" i="53"/>
  <c r="O1918" i="53" s="1"/>
  <c r="K1919" i="53"/>
  <c r="O1919" i="53" s="1"/>
  <c r="K1920" i="53"/>
  <c r="O1920" i="53" s="1"/>
  <c r="K1921" i="53"/>
  <c r="O1921" i="53" s="1"/>
  <c r="K1922" i="53"/>
  <c r="O1922" i="53" s="1"/>
  <c r="K1923" i="53"/>
  <c r="O1923" i="53" s="1"/>
  <c r="K1924" i="53"/>
  <c r="O1924" i="53" s="1"/>
  <c r="K1925" i="53"/>
  <c r="O1925" i="53" s="1"/>
  <c r="K1926" i="53"/>
  <c r="O1926" i="53" s="1"/>
  <c r="K1927" i="53"/>
  <c r="O1927" i="53" s="1"/>
  <c r="K1928" i="53"/>
  <c r="O1928" i="53" s="1"/>
  <c r="K1929" i="53"/>
  <c r="O1929" i="53" s="1"/>
  <c r="K1930" i="53"/>
  <c r="K1931" i="53"/>
  <c r="O1931" i="53" s="1"/>
  <c r="K1932" i="53"/>
  <c r="K1933" i="53"/>
  <c r="K1934" i="53"/>
  <c r="O1934" i="53" s="1"/>
  <c r="K1935" i="53"/>
  <c r="K1936" i="53"/>
  <c r="K1937" i="53"/>
  <c r="K1938" i="53"/>
  <c r="O1938" i="53" s="1"/>
  <c r="K1939" i="53"/>
  <c r="K1940" i="53"/>
  <c r="K1941" i="53"/>
  <c r="O1941" i="53" s="1"/>
  <c r="K1942" i="53"/>
  <c r="K1943" i="53"/>
  <c r="O1943" i="53" s="1"/>
  <c r="K1944" i="53"/>
  <c r="K1945" i="53"/>
  <c r="O1945" i="53" s="1"/>
  <c r="K1946" i="53"/>
  <c r="O1946" i="53" s="1"/>
  <c r="K1947" i="53"/>
  <c r="O1947" i="53" s="1"/>
  <c r="K1948" i="53"/>
  <c r="K1949" i="53"/>
  <c r="O1949" i="53" s="1"/>
  <c r="K1950" i="53"/>
  <c r="K1952" i="53"/>
  <c r="O1952" i="53" s="1"/>
  <c r="K1953" i="53"/>
  <c r="O1953" i="53" s="1"/>
  <c r="K1955" i="53"/>
  <c r="O1955" i="53" s="1"/>
  <c r="K1956" i="53"/>
  <c r="O1956" i="53" s="1"/>
  <c r="K1957" i="53"/>
  <c r="K1958" i="53"/>
  <c r="O1958" i="53" s="1"/>
  <c r="K1959" i="53"/>
  <c r="L1959" i="53" s="1"/>
  <c r="K1960" i="53"/>
  <c r="O1960" i="53" s="1"/>
  <c r="K1961" i="53"/>
  <c r="K1962" i="53"/>
  <c r="K1963" i="53"/>
  <c r="O1963" i="53" s="1"/>
  <c r="K1964" i="53"/>
  <c r="K1965" i="53"/>
  <c r="K1966" i="53"/>
  <c r="O1966" i="53" s="1"/>
  <c r="K1967" i="53"/>
  <c r="K1968" i="53"/>
  <c r="K1969" i="53"/>
  <c r="L1969" i="53" s="1"/>
  <c r="K1970" i="53"/>
  <c r="K1971" i="53"/>
  <c r="O1971" i="53" s="1"/>
  <c r="K1972" i="53"/>
  <c r="O1972" i="53" s="1"/>
  <c r="K1973" i="53"/>
  <c r="K1974" i="53"/>
  <c r="O1974" i="53" s="1"/>
  <c r="K1975" i="53"/>
  <c r="O1975" i="53" s="1"/>
  <c r="K1976" i="53"/>
  <c r="O1976" i="53" s="1"/>
  <c r="K1977" i="53"/>
  <c r="O1977" i="53" s="1"/>
  <c r="K1978" i="53"/>
  <c r="O1978" i="53" s="1"/>
  <c r="K1979" i="53"/>
  <c r="K1980" i="53"/>
  <c r="O1980" i="53" s="1"/>
  <c r="K1981" i="53"/>
  <c r="O1981" i="53" s="1"/>
  <c r="K1982" i="53"/>
  <c r="K1983" i="53"/>
  <c r="O1983" i="53" s="1"/>
  <c r="K1984" i="53"/>
  <c r="O1984" i="53" s="1"/>
  <c r="K1985" i="53"/>
  <c r="K1986" i="53"/>
  <c r="O1986" i="53" s="1"/>
  <c r="K1987" i="53"/>
  <c r="O1987" i="53" s="1"/>
  <c r="K1988" i="53"/>
  <c r="O1988" i="53" s="1"/>
  <c r="K1989" i="53"/>
  <c r="O1989" i="53" s="1"/>
  <c r="K1990" i="53"/>
  <c r="O1990" i="53" s="1"/>
  <c r="K1991" i="53"/>
  <c r="O1991" i="53" s="1"/>
  <c r="K1993" i="53"/>
  <c r="O1993" i="53" s="1"/>
  <c r="K1994" i="53"/>
  <c r="O1994" i="53" s="1"/>
  <c r="K1995" i="53"/>
  <c r="L1995" i="53" s="1"/>
  <c r="K1996" i="53"/>
  <c r="O1996" i="53" s="1"/>
  <c r="K1997" i="53"/>
  <c r="O1997" i="53" s="1"/>
  <c r="K1998" i="53"/>
  <c r="K1999" i="53"/>
  <c r="O1999" i="53" s="1"/>
  <c r="K2000" i="53"/>
  <c r="O2000" i="53" s="1"/>
  <c r="JN2001" i="53"/>
  <c r="K2001" i="53" s="1"/>
  <c r="O2001" i="53" s="1"/>
  <c r="K2002" i="53"/>
  <c r="O2002" i="53" s="1"/>
  <c r="K2003" i="53"/>
  <c r="O2003" i="53" s="1"/>
  <c r="K2004" i="53"/>
  <c r="O2004" i="53" s="1"/>
  <c r="K2005" i="53"/>
  <c r="O2005" i="53" s="1"/>
  <c r="K2006" i="53"/>
  <c r="O2006" i="53" s="1"/>
  <c r="K2007" i="53"/>
  <c r="O2007" i="53" s="1"/>
  <c r="K2008" i="53"/>
  <c r="O2008" i="53" s="1"/>
  <c r="K2009" i="53"/>
  <c r="O2009" i="53" s="1"/>
  <c r="K2010" i="53"/>
  <c r="O2010" i="53" s="1"/>
  <c r="K2011" i="53"/>
  <c r="O2011" i="53" s="1"/>
  <c r="K2012" i="53"/>
  <c r="K2013" i="53"/>
  <c r="K2014" i="53"/>
  <c r="O2014" i="53" s="1"/>
  <c r="K2015" i="53"/>
  <c r="O2015" i="53" s="1"/>
  <c r="K2016" i="53"/>
  <c r="O2016" i="53" s="1"/>
  <c r="K2017" i="53"/>
  <c r="O2017" i="53" s="1"/>
  <c r="K2018" i="53"/>
  <c r="O2018" i="53" s="1"/>
  <c r="K2019" i="53"/>
  <c r="O2019" i="53" s="1"/>
  <c r="K2021" i="53"/>
  <c r="K2024" i="53"/>
  <c r="O2024" i="53" s="1"/>
  <c r="JW2025" i="53"/>
  <c r="K2025" i="53" s="1"/>
  <c r="O2025" i="53" s="1"/>
  <c r="K2026" i="53"/>
  <c r="K2027" i="53"/>
  <c r="JI2028" i="53"/>
  <c r="K2028" i="53" s="1"/>
  <c r="K2029" i="53"/>
  <c r="O2029" i="53" s="1"/>
  <c r="K2030" i="53"/>
  <c r="K2031" i="53"/>
  <c r="K2032" i="53"/>
  <c r="O2032" i="53" s="1"/>
  <c r="K2033" i="53"/>
  <c r="O2033" i="53" s="1"/>
  <c r="K2035" i="53"/>
  <c r="K2038" i="53"/>
  <c r="O2038" i="53" s="1"/>
  <c r="K2039" i="53"/>
  <c r="O2039" i="53" s="1"/>
  <c r="K2040" i="53"/>
  <c r="K2041" i="53"/>
  <c r="O2041" i="53" s="1"/>
  <c r="K2042" i="53"/>
  <c r="K2043" i="53"/>
  <c r="K2045" i="53"/>
  <c r="K2046" i="53"/>
  <c r="O2046" i="53" s="1"/>
  <c r="K2047" i="53"/>
  <c r="K2048" i="53"/>
  <c r="O2048" i="53" s="1"/>
  <c r="K2049" i="53"/>
  <c r="O2049" i="53" s="1"/>
  <c r="K2050" i="53"/>
  <c r="O2050" i="53" s="1"/>
  <c r="K2051" i="53"/>
  <c r="O2051" i="53" s="1"/>
  <c r="K2052" i="53"/>
  <c r="O2052" i="53" s="1"/>
  <c r="K2053" i="53"/>
  <c r="K2054" i="53"/>
  <c r="O2054" i="53" s="1"/>
  <c r="K2055" i="53"/>
  <c r="O2055" i="53" s="1"/>
  <c r="K2056" i="53"/>
  <c r="O2056" i="53" s="1"/>
  <c r="K2057" i="53"/>
  <c r="O2057" i="53" s="1"/>
  <c r="K2058" i="53"/>
  <c r="K2059" i="53"/>
  <c r="O2059" i="53" s="1"/>
  <c r="K2060" i="53"/>
  <c r="O2060" i="53" s="1"/>
  <c r="K2061" i="53"/>
  <c r="O2061" i="53" s="1"/>
  <c r="K2062" i="53"/>
  <c r="O2062" i="53" s="1"/>
  <c r="K2063" i="53"/>
  <c r="O2063" i="53" s="1"/>
  <c r="K2064" i="53"/>
  <c r="K2065" i="53"/>
  <c r="O2065" i="53" s="1"/>
  <c r="K2066" i="53"/>
  <c r="O2066" i="53" s="1"/>
  <c r="K2067" i="53"/>
  <c r="O2067" i="53" s="1"/>
  <c r="K2068" i="53"/>
  <c r="O2068" i="53" s="1"/>
  <c r="K2069" i="53"/>
  <c r="O2069" i="53" s="1"/>
  <c r="K2070" i="53"/>
  <c r="O2070" i="53" s="1"/>
  <c r="K2071" i="53"/>
  <c r="K2072" i="53"/>
  <c r="O2072" i="53" s="1"/>
  <c r="K2073" i="53"/>
  <c r="O2073" i="53" s="1"/>
  <c r="K2074" i="53"/>
  <c r="O2074" i="53" s="1"/>
  <c r="K2075" i="53"/>
  <c r="O2075" i="53" s="1"/>
  <c r="K2076" i="53"/>
  <c r="O2076" i="53" s="1"/>
  <c r="K2077" i="53"/>
  <c r="O2077" i="53" s="1"/>
  <c r="K2078" i="53"/>
  <c r="O2078" i="53" s="1"/>
  <c r="K2079" i="53"/>
  <c r="O2079" i="53" s="1"/>
  <c r="K2080" i="53"/>
  <c r="O2080" i="53" s="1"/>
  <c r="K2082" i="53"/>
  <c r="O2082" i="53" s="1"/>
  <c r="K2083" i="53"/>
  <c r="O2083" i="53" s="1"/>
  <c r="K2084" i="53"/>
  <c r="O2084" i="53" s="1"/>
  <c r="K2085" i="53"/>
  <c r="O2085" i="53" s="1"/>
  <c r="K2086" i="53"/>
  <c r="O2086" i="53" s="1"/>
  <c r="K2087" i="53"/>
  <c r="K2088" i="53"/>
  <c r="O2088" i="53" s="1"/>
  <c r="K2089" i="53"/>
  <c r="O2089" i="53" s="1"/>
  <c r="K2090" i="53"/>
  <c r="O2090" i="53" s="1"/>
  <c r="K2091" i="53"/>
  <c r="O2091" i="53" s="1"/>
  <c r="K2092" i="53"/>
  <c r="K2093" i="53"/>
  <c r="O2093" i="53" s="1"/>
  <c r="K2094" i="53"/>
  <c r="O2094" i="53" s="1"/>
  <c r="K2095" i="53"/>
  <c r="O2095" i="53" s="1"/>
  <c r="DK2096" i="53"/>
  <c r="K2096" i="53" s="1"/>
  <c r="O2096" i="53" s="1"/>
  <c r="K2097" i="53"/>
  <c r="O2097" i="53" s="1"/>
  <c r="K2098" i="53"/>
  <c r="L2098" i="53" s="1"/>
  <c r="K2099" i="53"/>
  <c r="L2099" i="53" s="1"/>
  <c r="K2100" i="53"/>
  <c r="O2100" i="53" s="1"/>
  <c r="K2101" i="53"/>
  <c r="O2101" i="53" s="1"/>
  <c r="K2102" i="53"/>
  <c r="K2103" i="53"/>
  <c r="O2103" i="53" s="1"/>
  <c r="K2104" i="53"/>
  <c r="O2104" i="53" s="1"/>
  <c r="K2105" i="53"/>
  <c r="K2106" i="53"/>
  <c r="O2106" i="53" s="1"/>
  <c r="K2107" i="53"/>
  <c r="O2107" i="53" s="1"/>
  <c r="K2108" i="53"/>
  <c r="O2108" i="53" s="1"/>
  <c r="K2109" i="53"/>
  <c r="O2109" i="53" s="1"/>
  <c r="K2110" i="53"/>
  <c r="O2110" i="53" s="1"/>
  <c r="K2111" i="53"/>
  <c r="O2111" i="53" s="1"/>
  <c r="K2112" i="53"/>
  <c r="K2113" i="53"/>
  <c r="O2113" i="53" s="1"/>
  <c r="K2114" i="53"/>
  <c r="K2115" i="53"/>
  <c r="O2115" i="53" s="1"/>
  <c r="K2116" i="53"/>
  <c r="O2116" i="53" s="1"/>
  <c r="K2117" i="53"/>
  <c r="K2118" i="53"/>
  <c r="O2118" i="53" s="1"/>
  <c r="K2119" i="53"/>
  <c r="K2120" i="53"/>
  <c r="O2120" i="53" s="1"/>
  <c r="K2121" i="53"/>
  <c r="K2122" i="53"/>
  <c r="O2122" i="53" s="1"/>
  <c r="K2123" i="53"/>
  <c r="O2123" i="53" s="1"/>
  <c r="K2124" i="53"/>
  <c r="O2124" i="53" s="1"/>
  <c r="K2125" i="53"/>
  <c r="O2125" i="53" s="1"/>
  <c r="K2126" i="53"/>
  <c r="O2126" i="53" s="1"/>
  <c r="K2127" i="53"/>
  <c r="O2127" i="53" s="1"/>
  <c r="K2128" i="53"/>
  <c r="O2128" i="53" s="1"/>
  <c r="K2129" i="53"/>
  <c r="K2130" i="53"/>
  <c r="O2130" i="53" s="1"/>
  <c r="K2131" i="53"/>
  <c r="O2131" i="53" s="1"/>
  <c r="K2132" i="53"/>
  <c r="O2132" i="53" s="1"/>
  <c r="K2133" i="53"/>
  <c r="L2133" i="53" s="1"/>
  <c r="K2134" i="53"/>
  <c r="K2135" i="53"/>
  <c r="K2136" i="53"/>
  <c r="K2137" i="53"/>
  <c r="K2138" i="53"/>
  <c r="K2139" i="53"/>
  <c r="K2140" i="53"/>
  <c r="K2141" i="53"/>
  <c r="L2141" i="53" s="1"/>
  <c r="K2142" i="53"/>
  <c r="K2144" i="53"/>
  <c r="K2145" i="53"/>
  <c r="O2145" i="53" s="1"/>
  <c r="K2146" i="53"/>
  <c r="L2146" i="53" s="1"/>
  <c r="K2147" i="53"/>
  <c r="O2147" i="53" s="1"/>
  <c r="K2148" i="53"/>
  <c r="L2148" i="53" s="1"/>
  <c r="K2150" i="53"/>
  <c r="O2150" i="53" s="1"/>
  <c r="K2151" i="53"/>
  <c r="L2151" i="53" s="1"/>
  <c r="K2152" i="53"/>
  <c r="K2154" i="53"/>
  <c r="O2154" i="53" s="1"/>
  <c r="K2155" i="53"/>
  <c r="O2155" i="53" s="1"/>
  <c r="K2156" i="53"/>
  <c r="O2156" i="53" s="1"/>
  <c r="K2158" i="53"/>
  <c r="K2159" i="53"/>
  <c r="K2160" i="53"/>
  <c r="O2160" i="53" s="1"/>
  <c r="K2161" i="53"/>
  <c r="K2162" i="53"/>
  <c r="O2162" i="53" s="1"/>
  <c r="K2163" i="53"/>
  <c r="K2164" i="53"/>
  <c r="K2165" i="53"/>
  <c r="O2165" i="53" s="1"/>
  <c r="K2168" i="53"/>
  <c r="O2168" i="53" s="1"/>
  <c r="K2169" i="53"/>
  <c r="K2170" i="53"/>
  <c r="K2171" i="53"/>
  <c r="K2172" i="53"/>
  <c r="K2173" i="53"/>
  <c r="O2173" i="53" s="1"/>
  <c r="K2174" i="53"/>
  <c r="K2175" i="53"/>
  <c r="O2175" i="53" s="1"/>
  <c r="K2176" i="53"/>
  <c r="O2176" i="53" s="1"/>
  <c r="K2179" i="53"/>
  <c r="O2179" i="53" s="1"/>
  <c r="K2180" i="53"/>
  <c r="O2180" i="53" s="1"/>
  <c r="K2181" i="53"/>
  <c r="K2183" i="53"/>
  <c r="K2184" i="53"/>
  <c r="K2185" i="53"/>
  <c r="L2185" i="53" s="1"/>
  <c r="K2186" i="53"/>
  <c r="K2187" i="53"/>
  <c r="O2187" i="53" s="1"/>
  <c r="K2188" i="53"/>
  <c r="K2189" i="53"/>
  <c r="L2189" i="53" s="1"/>
  <c r="K2190" i="53"/>
  <c r="K2191" i="53"/>
  <c r="K2192" i="53"/>
  <c r="K2193" i="53"/>
  <c r="O2193" i="53" s="1"/>
  <c r="K2194" i="53"/>
  <c r="K2197" i="53"/>
  <c r="O2197" i="53" s="1"/>
  <c r="K2198" i="53"/>
  <c r="O2198" i="53" s="1"/>
  <c r="K2199" i="53"/>
  <c r="O2199" i="53" s="1"/>
  <c r="K2200" i="53"/>
  <c r="O2200" i="53" s="1"/>
  <c r="K2201" i="53"/>
  <c r="K2202" i="53"/>
  <c r="K2203" i="53"/>
  <c r="O2203" i="53" s="1"/>
  <c r="K2204" i="53"/>
  <c r="O2204" i="53" s="1"/>
  <c r="K2205" i="53"/>
  <c r="O2205" i="53" s="1"/>
  <c r="K2206" i="53"/>
  <c r="O2206" i="53" s="1"/>
  <c r="K2207" i="53"/>
  <c r="O2207" i="53" s="1"/>
  <c r="K2208" i="53"/>
  <c r="O2208" i="53" s="1"/>
  <c r="K2209" i="53"/>
  <c r="K2210" i="53"/>
  <c r="O2210" i="53" s="1"/>
  <c r="K2211" i="53"/>
  <c r="K2212" i="53"/>
  <c r="O2212" i="53" s="1"/>
  <c r="K2213" i="53"/>
  <c r="K2214" i="53"/>
  <c r="O2214" i="53" s="1"/>
  <c r="K2215" i="53"/>
  <c r="O2215" i="53" s="1"/>
  <c r="K2216" i="53"/>
  <c r="K2217" i="53"/>
  <c r="O2217" i="53" s="1"/>
  <c r="K2218" i="53"/>
  <c r="O2218" i="53" s="1"/>
  <c r="K2219" i="53"/>
  <c r="O2219" i="53" s="1"/>
  <c r="K2220" i="53"/>
  <c r="O2220" i="53" s="1"/>
  <c r="K2221" i="53"/>
  <c r="O2221" i="53" s="1"/>
  <c r="K2222" i="53"/>
  <c r="O2222" i="53" s="1"/>
  <c r="K2223" i="53"/>
  <c r="O2223" i="53" s="1"/>
  <c r="K2224" i="53"/>
  <c r="O2224" i="53" s="1"/>
  <c r="K2225" i="53"/>
  <c r="O2225" i="53" s="1"/>
  <c r="K2226" i="53"/>
  <c r="K2227" i="53"/>
  <c r="O2227" i="53" s="1"/>
  <c r="IM2228" i="53"/>
  <c r="K2228" i="53" s="1"/>
  <c r="O2228" i="53" s="1"/>
  <c r="K2229" i="53"/>
  <c r="K2230" i="53"/>
  <c r="O2230" i="53" s="1"/>
  <c r="K2231" i="53"/>
  <c r="O2231" i="53" s="1"/>
  <c r="K2232" i="53"/>
  <c r="O2232" i="53" s="1"/>
  <c r="K2233" i="53"/>
  <c r="O2233" i="53" s="1"/>
  <c r="K2234" i="53"/>
  <c r="K2235" i="53"/>
  <c r="O2235" i="53" s="1"/>
  <c r="K2236" i="53"/>
  <c r="O2236" i="53" s="1"/>
  <c r="K2237" i="53"/>
  <c r="O2237" i="53" s="1"/>
  <c r="K2238" i="53"/>
  <c r="O2238" i="53" s="1"/>
  <c r="K2239" i="53"/>
  <c r="O2239" i="53" s="1"/>
  <c r="K2240" i="53"/>
  <c r="O2240" i="53" s="1"/>
  <c r="K2241" i="53"/>
  <c r="O2241" i="53" s="1"/>
  <c r="K2242" i="53"/>
  <c r="K2243" i="53"/>
  <c r="O2243" i="53" s="1"/>
  <c r="K2244" i="53"/>
  <c r="K2245" i="53"/>
  <c r="L2245" i="53" s="1"/>
  <c r="K2246" i="53"/>
  <c r="K2247" i="53"/>
  <c r="K2248" i="53"/>
  <c r="O2248" i="53" s="1"/>
  <c r="K2249" i="53"/>
  <c r="O2249" i="53" s="1"/>
  <c r="K2250" i="53"/>
  <c r="O2250" i="53" s="1"/>
  <c r="K2251" i="53"/>
  <c r="O2251" i="53" s="1"/>
  <c r="JF2252" i="53"/>
  <c r="K2252" i="53" s="1"/>
  <c r="O2252" i="53" s="1"/>
  <c r="K2253" i="53"/>
  <c r="JY2254" i="53"/>
  <c r="K2254" i="53" s="1"/>
  <c r="O2254" i="53" s="1"/>
  <c r="K2255" i="53"/>
  <c r="O2255" i="53" s="1"/>
  <c r="K2256" i="53"/>
  <c r="O2256" i="53" s="1"/>
  <c r="K2257" i="53"/>
  <c r="O2257" i="53" s="1"/>
  <c r="K2258" i="53"/>
  <c r="K2259" i="53"/>
  <c r="O2259" i="53" s="1"/>
  <c r="K2261" i="53"/>
  <c r="O2261" i="53" s="1"/>
  <c r="K2262" i="53"/>
  <c r="O2262" i="53" s="1"/>
  <c r="K2263" i="53"/>
  <c r="O2263" i="53" s="1"/>
  <c r="K2264" i="53"/>
  <c r="O2264" i="53" s="1"/>
  <c r="K2265" i="53"/>
  <c r="O2265" i="53" s="1"/>
  <c r="K2266" i="53"/>
  <c r="O2266" i="53" s="1"/>
  <c r="K2267" i="53"/>
  <c r="K2268" i="53"/>
  <c r="O2268" i="53" s="1"/>
  <c r="K2269" i="53"/>
  <c r="O2269" i="53" s="1"/>
  <c r="K2270" i="53"/>
  <c r="O2270" i="53" s="1"/>
  <c r="K2271" i="53"/>
  <c r="O2271" i="53" s="1"/>
  <c r="K2272" i="53"/>
  <c r="O2272" i="53" s="1"/>
  <c r="K2273" i="53"/>
  <c r="O2273" i="53" s="1"/>
  <c r="K2274" i="53"/>
  <c r="O2274" i="53" s="1"/>
  <c r="K2275" i="53"/>
  <c r="O2275" i="53" s="1"/>
  <c r="K2276" i="53"/>
  <c r="O2276" i="53" s="1"/>
  <c r="K2277" i="53"/>
  <c r="K2278" i="53"/>
  <c r="O2279" i="53"/>
  <c r="O2280" i="53"/>
  <c r="K2281" i="53"/>
  <c r="O2281" i="53" s="1"/>
  <c r="O2282" i="53"/>
  <c r="K2283" i="53"/>
  <c r="O2283" i="53" s="1"/>
  <c r="K2286" i="53"/>
  <c r="L2286" i="53" s="1"/>
  <c r="K2287" i="53"/>
  <c r="O2287" i="53" s="1"/>
  <c r="K2288" i="53"/>
  <c r="O2288" i="53" s="1"/>
  <c r="K2289" i="53"/>
  <c r="O2289" i="53" s="1"/>
  <c r="K2291" i="53"/>
  <c r="K2292" i="53"/>
  <c r="O2292" i="53" s="1"/>
  <c r="K2293" i="53"/>
  <c r="O2293" i="53" s="1"/>
  <c r="K2294" i="53"/>
  <c r="O2294" i="53" s="1"/>
  <c r="K2295" i="53"/>
  <c r="O2295" i="53" s="1"/>
  <c r="K2296" i="53"/>
  <c r="K2297" i="53"/>
  <c r="K2298" i="53"/>
  <c r="O2298" i="53" s="1"/>
  <c r="K2299" i="53"/>
  <c r="K2300" i="53"/>
  <c r="K2301" i="53"/>
  <c r="O2301" i="53" s="1"/>
  <c r="K2302" i="53"/>
  <c r="K2303" i="53"/>
  <c r="L2303" i="53" s="1"/>
  <c r="K2304" i="53"/>
  <c r="K2305" i="53"/>
  <c r="O2305" i="53" s="1"/>
  <c r="K2306" i="53"/>
  <c r="O2306" i="53" s="1"/>
  <c r="K2307" i="53"/>
  <c r="O2307" i="53" s="1"/>
  <c r="K2308" i="53"/>
  <c r="K2309" i="53"/>
  <c r="K2310" i="53"/>
  <c r="K2311" i="53"/>
  <c r="O2311" i="53" s="1"/>
  <c r="K2312" i="53"/>
  <c r="O2312" i="53" s="1"/>
  <c r="K2313" i="53"/>
  <c r="O2313" i="53" s="1"/>
  <c r="K2314" i="53"/>
  <c r="O2314" i="53" s="1"/>
  <c r="K2315" i="53"/>
  <c r="K2316" i="53"/>
  <c r="O2316" i="53" s="1"/>
  <c r="K2317" i="53"/>
  <c r="L2317" i="53" s="1"/>
  <c r="K2318" i="53"/>
  <c r="K2319" i="53"/>
  <c r="L2319" i="53" s="1"/>
  <c r="K2320" i="53"/>
  <c r="K2321" i="53"/>
  <c r="K2322" i="53"/>
  <c r="L2322" i="53" s="1"/>
  <c r="K2323" i="53"/>
  <c r="O2323" i="53" s="1"/>
  <c r="K2324" i="53"/>
  <c r="L2324" i="53" s="1"/>
  <c r="K2325" i="53"/>
  <c r="L2325" i="53" s="1"/>
  <c r="K2326" i="53"/>
  <c r="K2327" i="53"/>
  <c r="K2328" i="53"/>
  <c r="O2328" i="53" s="1"/>
  <c r="K2329" i="53"/>
  <c r="K2330" i="53"/>
  <c r="K2331" i="53"/>
  <c r="K2332" i="53"/>
  <c r="K2333" i="53"/>
  <c r="K2334" i="53"/>
  <c r="K2335" i="53"/>
  <c r="K2337" i="53"/>
  <c r="O2337" i="53" s="1"/>
  <c r="K2338" i="53"/>
  <c r="K2339" i="53"/>
  <c r="O2339" i="53" s="1"/>
  <c r="K2340" i="53"/>
  <c r="O2340" i="53" s="1"/>
  <c r="K2341" i="53"/>
  <c r="O2341" i="53" s="1"/>
  <c r="K2342" i="53"/>
  <c r="K2343" i="53"/>
  <c r="O2343" i="53" s="1"/>
  <c r="K2344" i="53"/>
  <c r="O2344" i="53" s="1"/>
  <c r="K2345" i="53"/>
  <c r="O2345" i="53" s="1"/>
  <c r="K2348" i="53"/>
  <c r="O2348" i="53" s="1"/>
  <c r="K2349" i="53"/>
  <c r="O2349" i="53" s="1"/>
  <c r="K2352" i="53"/>
  <c r="O2352" i="53" s="1"/>
  <c r="K2354" i="53"/>
  <c r="O2354" i="53" s="1"/>
  <c r="K2355" i="53"/>
  <c r="K2357" i="53"/>
  <c r="O2357" i="53" s="1"/>
  <c r="K2358" i="53"/>
  <c r="K2359" i="53"/>
  <c r="O2359" i="53" s="1"/>
  <c r="K2360" i="53"/>
  <c r="K2361" i="53"/>
  <c r="O2361" i="53" s="1"/>
  <c r="JU2362" i="53"/>
  <c r="K2362" i="53" s="1"/>
  <c r="K2363" i="53"/>
  <c r="K2364" i="53"/>
  <c r="O2364" i="53" s="1"/>
  <c r="K2365" i="53"/>
  <c r="O2365" i="53" s="1"/>
  <c r="K2366" i="53"/>
  <c r="O2366" i="53" s="1"/>
  <c r="K2367" i="53"/>
  <c r="K2368" i="53"/>
  <c r="O2368" i="53" s="1"/>
  <c r="K2369" i="53"/>
  <c r="O2369" i="53" s="1"/>
  <c r="K2370" i="53"/>
  <c r="K2371" i="53"/>
  <c r="O2371" i="53" s="1"/>
  <c r="K2372" i="53"/>
  <c r="K2373" i="53"/>
  <c r="O2373" i="53" s="1"/>
  <c r="O2374" i="53"/>
  <c r="K2375" i="53"/>
  <c r="O2375" i="53" s="1"/>
  <c r="K2376" i="53"/>
  <c r="K2377" i="53"/>
  <c r="O2377" i="53" s="1"/>
  <c r="K2378" i="53"/>
  <c r="O2378" i="53" s="1"/>
  <c r="K2379" i="53"/>
  <c r="O2379" i="53" s="1"/>
  <c r="K2380" i="53"/>
  <c r="O2380" i="53" s="1"/>
  <c r="K2381" i="53"/>
  <c r="O2381" i="53" s="1"/>
  <c r="K2382" i="53"/>
  <c r="O2382" i="53" s="1"/>
  <c r="K2383" i="53"/>
  <c r="O2383" i="53" s="1"/>
  <c r="K2384" i="53"/>
  <c r="K2385" i="53"/>
  <c r="O2385" i="53" s="1"/>
  <c r="K2386" i="53"/>
  <c r="K2387" i="53"/>
  <c r="O2387" i="53" s="1"/>
  <c r="K2388" i="53"/>
  <c r="O2388" i="53" s="1"/>
  <c r="K2389" i="53"/>
  <c r="O2389" i="53" s="1"/>
  <c r="K2390" i="53"/>
  <c r="O2390" i="53" s="1"/>
  <c r="K2391" i="53"/>
  <c r="O2391" i="53" s="1"/>
  <c r="K2392" i="53"/>
  <c r="O2392" i="53" s="1"/>
  <c r="K2393" i="53"/>
  <c r="K2395" i="53"/>
  <c r="O2395" i="53" s="1"/>
  <c r="K2396" i="53"/>
  <c r="K2397" i="53"/>
  <c r="O2397" i="53" s="1"/>
  <c r="K2398" i="53"/>
  <c r="K2399" i="53"/>
  <c r="K2400" i="53"/>
  <c r="K2401" i="53"/>
  <c r="K2402" i="53"/>
  <c r="K2403" i="53"/>
  <c r="O2403" i="53" s="1"/>
  <c r="K2404" i="53"/>
  <c r="K2405" i="53"/>
  <c r="O2405" i="53" s="1"/>
  <c r="K2406" i="53"/>
  <c r="O2406" i="53" s="1"/>
  <c r="K2407" i="53"/>
  <c r="O2407" i="53" s="1"/>
  <c r="K2408" i="53"/>
  <c r="O2408" i="53" s="1"/>
  <c r="K2409" i="53"/>
  <c r="O2409" i="53" s="1"/>
  <c r="K2410" i="53"/>
  <c r="O2410" i="53" s="1"/>
  <c r="K2411" i="53"/>
  <c r="O2411" i="53" s="1"/>
  <c r="K2412" i="53"/>
  <c r="O2412" i="53" s="1"/>
  <c r="K2413" i="53"/>
  <c r="O2413" i="53" s="1"/>
  <c r="K2414" i="53"/>
  <c r="O2414" i="53" s="1"/>
  <c r="K2415" i="53"/>
  <c r="O2415" i="53" s="1"/>
  <c r="K2416" i="53"/>
  <c r="O2416" i="53" s="1"/>
  <c r="K2417" i="53"/>
  <c r="O2417" i="53" s="1"/>
  <c r="K2418" i="53"/>
  <c r="O2418" i="53" s="1"/>
  <c r="K2419" i="53"/>
  <c r="O2419" i="53" s="1"/>
  <c r="K2420" i="53"/>
  <c r="O2420" i="53" s="1"/>
  <c r="K2421" i="53"/>
  <c r="K2422" i="53"/>
  <c r="O2422" i="53" s="1"/>
  <c r="K2423" i="53"/>
  <c r="O2423" i="53" s="1"/>
  <c r="K2424" i="53"/>
  <c r="O2424" i="53" s="1"/>
  <c r="K2425" i="53"/>
  <c r="O2425" i="53" s="1"/>
  <c r="K2426" i="53"/>
  <c r="O2426" i="53" s="1"/>
  <c r="K2427" i="53"/>
  <c r="O2427" i="53" s="1"/>
  <c r="K2428" i="53"/>
  <c r="O2428" i="53" s="1"/>
  <c r="K2429" i="53"/>
  <c r="O2429" i="53" s="1"/>
  <c r="K2430" i="53"/>
  <c r="O2430" i="53" s="1"/>
  <c r="K2431" i="53"/>
  <c r="O2431" i="53" s="1"/>
  <c r="K2432" i="53"/>
  <c r="O2432" i="53" s="1"/>
  <c r="K2433" i="53"/>
  <c r="O2433" i="53" s="1"/>
  <c r="K2434" i="53"/>
  <c r="O2434" i="53" s="1"/>
  <c r="K2435" i="53"/>
  <c r="O2435" i="53" s="1"/>
  <c r="K2436" i="53"/>
  <c r="O2436" i="53" s="1"/>
  <c r="K2437" i="53"/>
  <c r="O2437" i="53" s="1"/>
  <c r="K2438" i="53"/>
  <c r="O2438" i="53" s="1"/>
  <c r="K2439" i="53"/>
  <c r="O2439" i="53" s="1"/>
  <c r="K2440" i="53"/>
  <c r="O2440" i="53" s="1"/>
  <c r="K2441" i="53"/>
  <c r="O2441" i="53" s="1"/>
  <c r="K2442" i="53"/>
  <c r="O2442" i="53" s="1"/>
  <c r="K2443" i="53"/>
  <c r="K2444" i="53"/>
  <c r="O2444" i="53" s="1"/>
  <c r="K2445" i="53"/>
  <c r="O2445" i="53" s="1"/>
  <c r="K2446" i="53"/>
  <c r="O2446" i="53" s="1"/>
  <c r="K2447" i="53"/>
  <c r="O2447" i="53" s="1"/>
  <c r="K2448" i="53"/>
  <c r="O2448" i="53" s="1"/>
  <c r="K2449" i="53"/>
  <c r="K2450" i="53"/>
  <c r="O2450" i="53" s="1"/>
  <c r="K2451" i="53"/>
  <c r="O2451" i="53" s="1"/>
  <c r="K2452" i="53"/>
  <c r="O2452" i="53" s="1"/>
  <c r="K2453" i="53"/>
  <c r="JN2454" i="53"/>
  <c r="K2454" i="53" s="1"/>
  <c r="O2454" i="53" s="1"/>
  <c r="K2455" i="53"/>
  <c r="O2455" i="53" s="1"/>
  <c r="K2456" i="53"/>
  <c r="K2457" i="53"/>
  <c r="L2457" i="53" s="1"/>
  <c r="K2458" i="53"/>
  <c r="O2458" i="53" s="1"/>
  <c r="K2459" i="53"/>
  <c r="K2460" i="53"/>
  <c r="O2460" i="53" s="1"/>
  <c r="K2461" i="53"/>
  <c r="K2462" i="53"/>
  <c r="O2462" i="53" s="1"/>
  <c r="K2463" i="53"/>
  <c r="K2464" i="53"/>
  <c r="O2464" i="53" s="1"/>
  <c r="K2465" i="53"/>
  <c r="O2465" i="53" s="1"/>
  <c r="K2466" i="53"/>
  <c r="L2467" i="53"/>
  <c r="K2468" i="53"/>
  <c r="K2469" i="53"/>
  <c r="K2470" i="53"/>
  <c r="K2471" i="53"/>
  <c r="K2472" i="53"/>
  <c r="O2472" i="53" s="1"/>
  <c r="K2473" i="53"/>
  <c r="O2473" i="53" s="1"/>
  <c r="K2476" i="53"/>
  <c r="K2478" i="53"/>
  <c r="O2478" i="53" s="1"/>
  <c r="K2479" i="53"/>
  <c r="O2479" i="53" s="1"/>
  <c r="K2483" i="53"/>
  <c r="K2484" i="53"/>
  <c r="O2484" i="53" s="1"/>
  <c r="K2485" i="53"/>
  <c r="O2485" i="53" s="1"/>
  <c r="K2486" i="53"/>
  <c r="O2486" i="53" s="1"/>
  <c r="K2488" i="53"/>
  <c r="O2488" i="53" s="1"/>
  <c r="K2489" i="53"/>
  <c r="O2489" i="53" s="1"/>
  <c r="K2490" i="53"/>
  <c r="O2490" i="53" s="1"/>
  <c r="K2492" i="53"/>
  <c r="O2492" i="53" s="1"/>
  <c r="K2495" i="53"/>
  <c r="O2495" i="53" s="1"/>
  <c r="K2496" i="53"/>
  <c r="O2496" i="53" s="1"/>
  <c r="K2497" i="53"/>
  <c r="O2497" i="53" s="1"/>
  <c r="K2498" i="53"/>
  <c r="O2498" i="53" s="1"/>
  <c r="K2499" i="53"/>
  <c r="O2499" i="53" s="1"/>
  <c r="K2500" i="53"/>
  <c r="O2500" i="53" s="1"/>
  <c r="K2501" i="53"/>
  <c r="O2501" i="53" s="1"/>
  <c r="K2502" i="53"/>
  <c r="O2502" i="53" s="1"/>
  <c r="K2503" i="53"/>
  <c r="O2503" i="53" s="1"/>
  <c r="K2504" i="53"/>
  <c r="O2504" i="53" s="1"/>
  <c r="K2505" i="53"/>
  <c r="O2505" i="53" s="1"/>
  <c r="K2506" i="53"/>
  <c r="O2506" i="53" s="1"/>
  <c r="K2507" i="53"/>
  <c r="O2507" i="53" s="1"/>
  <c r="K2509" i="53"/>
  <c r="O2509" i="53" s="1"/>
  <c r="K2510" i="53"/>
  <c r="K2511" i="53"/>
  <c r="O2511" i="53" s="1"/>
  <c r="K2512" i="53"/>
  <c r="O2512" i="53" s="1"/>
  <c r="K2513" i="53"/>
  <c r="O2513" i="53" s="1"/>
  <c r="K2514" i="53"/>
  <c r="O2514" i="53" s="1"/>
  <c r="K2515" i="53"/>
  <c r="O2515" i="53" s="1"/>
  <c r="K2516" i="53"/>
  <c r="O2516" i="53" s="1"/>
  <c r="K2517" i="53"/>
  <c r="O2517" i="53" s="1"/>
  <c r="K2518" i="53"/>
  <c r="O2518" i="53" s="1"/>
  <c r="K2519" i="53"/>
  <c r="O2519" i="53" s="1"/>
  <c r="K2522" i="53"/>
  <c r="O2522" i="53" s="1"/>
  <c r="K2523" i="53"/>
  <c r="O2523" i="53" s="1"/>
  <c r="K2524" i="53"/>
  <c r="O2524" i="53" s="1"/>
  <c r="K2525" i="53"/>
  <c r="O2525" i="53" s="1"/>
  <c r="K2526" i="53"/>
  <c r="O2526" i="53" s="1"/>
  <c r="K2527" i="53"/>
  <c r="K2528" i="53"/>
  <c r="O2528" i="53" s="1"/>
  <c r="K2529" i="53"/>
  <c r="K2530" i="53"/>
  <c r="O2530" i="53" s="1"/>
  <c r="K2531" i="53"/>
  <c r="O2531" i="53" s="1"/>
  <c r="K2532" i="53"/>
  <c r="O2532" i="53" s="1"/>
  <c r="K2533" i="53"/>
  <c r="K2534" i="53"/>
  <c r="O2534" i="53" s="1"/>
  <c r="K2535" i="53"/>
  <c r="O2535" i="53" s="1"/>
  <c r="K2536" i="53"/>
  <c r="O2536" i="53" s="1"/>
  <c r="K2538" i="53"/>
  <c r="O2538" i="53" s="1"/>
  <c r="K2540" i="53"/>
  <c r="O2540" i="53" s="1"/>
  <c r="K2541" i="53"/>
  <c r="O2541" i="53" s="1"/>
  <c r="K2543" i="53"/>
  <c r="O2543" i="53" s="1"/>
  <c r="K2544" i="53"/>
  <c r="K2545" i="53"/>
  <c r="O2545" i="53" s="1"/>
  <c r="K2546" i="53"/>
  <c r="K2547" i="53"/>
  <c r="O2547" i="53" s="1"/>
  <c r="K2548" i="53"/>
  <c r="O2548" i="53" s="1"/>
  <c r="K2549" i="53"/>
  <c r="K2550" i="53"/>
  <c r="O2550" i="53" s="1"/>
  <c r="K2551" i="53"/>
  <c r="O2551" i="53" s="1"/>
  <c r="K2552" i="53"/>
  <c r="O2552" i="53" s="1"/>
  <c r="K2553" i="53"/>
  <c r="O2553" i="53" s="1"/>
  <c r="K2554" i="53"/>
  <c r="O2554" i="53" s="1"/>
  <c r="K2555" i="53"/>
  <c r="O2555" i="53" s="1"/>
  <c r="K2556" i="53"/>
  <c r="O2556" i="53" s="1"/>
  <c r="K2557" i="53"/>
  <c r="K2558" i="53"/>
  <c r="O2558" i="53" s="1"/>
  <c r="K2559" i="53"/>
  <c r="O2559" i="53" s="1"/>
  <c r="K2560" i="53"/>
  <c r="O2560" i="53" s="1"/>
  <c r="K2561" i="53"/>
  <c r="K2562" i="53"/>
  <c r="K2563" i="53"/>
  <c r="O2563" i="53" s="1"/>
  <c r="K2564" i="53"/>
  <c r="O2564" i="53" s="1"/>
  <c r="K2565" i="53"/>
  <c r="K2566" i="53"/>
  <c r="O2566" i="53" s="1"/>
  <c r="K2567" i="53"/>
  <c r="O2567" i="53" s="1"/>
  <c r="K2568" i="53"/>
  <c r="K2569" i="53"/>
  <c r="O2569" i="53" s="1"/>
  <c r="K2570" i="53"/>
  <c r="O2570" i="53" s="1"/>
  <c r="K2571" i="53"/>
  <c r="O2571" i="53" s="1"/>
  <c r="K2572" i="53"/>
  <c r="K2573" i="53"/>
  <c r="O2573" i="53" s="1"/>
  <c r="K2574" i="53"/>
  <c r="K2576" i="53"/>
  <c r="K2577" i="53"/>
  <c r="O2577" i="53" s="1"/>
  <c r="K2578" i="53"/>
  <c r="O2578" i="53" s="1"/>
  <c r="F2582" i="53"/>
  <c r="F2584" i="53"/>
  <c r="J2396" i="53"/>
  <c r="F2580" i="53"/>
  <c r="F2579" i="53"/>
  <c r="F2578" i="53"/>
  <c r="F2577" i="53"/>
  <c r="F2576" i="53"/>
  <c r="F2575" i="53"/>
  <c r="M1682" i="53"/>
  <c r="M1687" i="53"/>
  <c r="F2574" i="53"/>
  <c r="F2573" i="53"/>
  <c r="J134" i="53"/>
  <c r="J108" i="53"/>
  <c r="J102" i="53"/>
  <c r="J44" i="53"/>
  <c r="F2572" i="53"/>
  <c r="F2571" i="53"/>
  <c r="F2570" i="53"/>
  <c r="F2569" i="53"/>
  <c r="F2568" i="53"/>
  <c r="F2567" i="53"/>
  <c r="F2566" i="53"/>
  <c r="F2565" i="53"/>
  <c r="F2564" i="53"/>
  <c r="F2563" i="53"/>
  <c r="J2234" i="53"/>
  <c r="F1491" i="53"/>
  <c r="F1137" i="53"/>
  <c r="F2562" i="53"/>
  <c r="F2560" i="53"/>
  <c r="F2561" i="53"/>
  <c r="F2559" i="53"/>
  <c r="F2558" i="53"/>
  <c r="F2556" i="53"/>
  <c r="F2557" i="53"/>
  <c r="F2555" i="53"/>
  <c r="F2554" i="53"/>
  <c r="F2553" i="53"/>
  <c r="F1955" i="53"/>
  <c r="F1956" i="53"/>
  <c r="J2362" i="53"/>
  <c r="F2551" i="53"/>
  <c r="F2552" i="53"/>
  <c r="F2550" i="53"/>
  <c r="F2549" i="53"/>
  <c r="F2547" i="53"/>
  <c r="F2548" i="53"/>
  <c r="F2546" i="53"/>
  <c r="F2543" i="53"/>
  <c r="F2544" i="53"/>
  <c r="F2545" i="53"/>
  <c r="F2540" i="53"/>
  <c r="F2542" i="53"/>
  <c r="F2537" i="53"/>
  <c r="F2538" i="53"/>
  <c r="F2512" i="53"/>
  <c r="F2513" i="53"/>
  <c r="F2514" i="53"/>
  <c r="F2515" i="53"/>
  <c r="F2516" i="53"/>
  <c r="F2517" i="53"/>
  <c r="F2518" i="53"/>
  <c r="F2519" i="53"/>
  <c r="F2523" i="53"/>
  <c r="F2524" i="53"/>
  <c r="F2525" i="53"/>
  <c r="F2526" i="53"/>
  <c r="F2527" i="53"/>
  <c r="F2528" i="53"/>
  <c r="F2529" i="53"/>
  <c r="F2530" i="53"/>
  <c r="F2531" i="53"/>
  <c r="F2532" i="53"/>
  <c r="F2533" i="53"/>
  <c r="F2534" i="53"/>
  <c r="F2535" i="53"/>
  <c r="F2536" i="53"/>
  <c r="F2511" i="53"/>
  <c r="F2508" i="53"/>
  <c r="F2509" i="53"/>
  <c r="F2510" i="53"/>
  <c r="F2498" i="53"/>
  <c r="F2499" i="53"/>
  <c r="F2500" i="53"/>
  <c r="F2501" i="53"/>
  <c r="F2502" i="53"/>
  <c r="F2505" i="53"/>
  <c r="F2506" i="53"/>
  <c r="F2507" i="53"/>
  <c r="F2486" i="53"/>
  <c r="F2487" i="53"/>
  <c r="F2488" i="53"/>
  <c r="F2489" i="53"/>
  <c r="F2490" i="53"/>
  <c r="F2493" i="53"/>
  <c r="F2494" i="53"/>
  <c r="F2496" i="53"/>
  <c r="F2497" i="53"/>
  <c r="F2475" i="53"/>
  <c r="F2476" i="53"/>
  <c r="F2478" i="53"/>
  <c r="F2479" i="53"/>
  <c r="F2482" i="53"/>
  <c r="F2483" i="53"/>
  <c r="F2484" i="53"/>
  <c r="F2485" i="53"/>
  <c r="M2475" i="53"/>
  <c r="M2476" i="53"/>
  <c r="M2478" i="53"/>
  <c r="M2479" i="53"/>
  <c r="M2480" i="53"/>
  <c r="M2482" i="53"/>
  <c r="M2483" i="53"/>
  <c r="M2484" i="53"/>
  <c r="M2485" i="53"/>
  <c r="M2486" i="53"/>
  <c r="M2487" i="53"/>
  <c r="M2488" i="53"/>
  <c r="M2489" i="53"/>
  <c r="M2490" i="53"/>
  <c r="M2492" i="53"/>
  <c r="M2493" i="53"/>
  <c r="M2494" i="53"/>
  <c r="M2495" i="53"/>
  <c r="M2496" i="53"/>
  <c r="M2497" i="53"/>
  <c r="M2498" i="53"/>
  <c r="M2499" i="53"/>
  <c r="M2500" i="53"/>
  <c r="M2501" i="53"/>
  <c r="M2502" i="53"/>
  <c r="M2503" i="53"/>
  <c r="M2504" i="53"/>
  <c r="M2505" i="53"/>
  <c r="M2316" i="53"/>
  <c r="M2317" i="53"/>
  <c r="M2318" i="53"/>
  <c r="M2319" i="53"/>
  <c r="M2320" i="53"/>
  <c r="M2321" i="53"/>
  <c r="M2322" i="53"/>
  <c r="M2323" i="53"/>
  <c r="M2324" i="53"/>
  <c r="M2325" i="53"/>
  <c r="M2326" i="53"/>
  <c r="M2327" i="53"/>
  <c r="M2328" i="53"/>
  <c r="M2329" i="53"/>
  <c r="M2330" i="53"/>
  <c r="M2331" i="53"/>
  <c r="M2332" i="53"/>
  <c r="M2333" i="53"/>
  <c r="M2334" i="53"/>
  <c r="M2335" i="53"/>
  <c r="M2336" i="53"/>
  <c r="M2337" i="53"/>
  <c r="M2338" i="53"/>
  <c r="M2339" i="53"/>
  <c r="M2340" i="53"/>
  <c r="M2341" i="53"/>
  <c r="M2342" i="53"/>
  <c r="M2343" i="53"/>
  <c r="M2344" i="53"/>
  <c r="M2345" i="53"/>
  <c r="M2346" i="53"/>
  <c r="M2347" i="53"/>
  <c r="M2348" i="53"/>
  <c r="M2349" i="53"/>
  <c r="M2352" i="53"/>
  <c r="M2353" i="53"/>
  <c r="M2354" i="53"/>
  <c r="M2355" i="53"/>
  <c r="M2356" i="53"/>
  <c r="M2357" i="53"/>
  <c r="M2358" i="53"/>
  <c r="M2359" i="53"/>
  <c r="M2360" i="53"/>
  <c r="M2362" i="53"/>
  <c r="M2363" i="53"/>
  <c r="M2364" i="53"/>
  <c r="M2365" i="53"/>
  <c r="M2366" i="53"/>
  <c r="M2367" i="53"/>
  <c r="M2368" i="53"/>
  <c r="M2369" i="53"/>
  <c r="M2370" i="53"/>
  <c r="M2371" i="53"/>
  <c r="M2372" i="53"/>
  <c r="M2373" i="53"/>
  <c r="M2374" i="53"/>
  <c r="M2375" i="53"/>
  <c r="M2376" i="53"/>
  <c r="M2377" i="53"/>
  <c r="M2378" i="53"/>
  <c r="M2379" i="53"/>
  <c r="M2380" i="53"/>
  <c r="M2381" i="53"/>
  <c r="M2382" i="53"/>
  <c r="M2383" i="53"/>
  <c r="M2384" i="53"/>
  <c r="M2385" i="53"/>
  <c r="M2386" i="53"/>
  <c r="M2387" i="53"/>
  <c r="M2388" i="53"/>
  <c r="M2389" i="53"/>
  <c r="M2390" i="53"/>
  <c r="M2391" i="53"/>
  <c r="M2392" i="53"/>
  <c r="M2395" i="53"/>
  <c r="M2397" i="53"/>
  <c r="M2399" i="53"/>
  <c r="M2400" i="53"/>
  <c r="M2401" i="53"/>
  <c r="M2402" i="53"/>
  <c r="M2403" i="53"/>
  <c r="M2404" i="53"/>
  <c r="M2405" i="53"/>
  <c r="M2406" i="53"/>
  <c r="M2407" i="53"/>
  <c r="M2408" i="53"/>
  <c r="M2409" i="53"/>
  <c r="M2410" i="53"/>
  <c r="M2411" i="53"/>
  <c r="M2412" i="53"/>
  <c r="M2413" i="53"/>
  <c r="M2414" i="53"/>
  <c r="M2415" i="53"/>
  <c r="M2416" i="53"/>
  <c r="M2417" i="53"/>
  <c r="M2418" i="53"/>
  <c r="M2419" i="53"/>
  <c r="M2420" i="53"/>
  <c r="M2421" i="53"/>
  <c r="M2422" i="53"/>
  <c r="M2423" i="53"/>
  <c r="M2424" i="53"/>
  <c r="M2425" i="53"/>
  <c r="M2426" i="53"/>
  <c r="M2427" i="53"/>
  <c r="M2428" i="53"/>
  <c r="M2429" i="53"/>
  <c r="M2430" i="53"/>
  <c r="M2431" i="53"/>
  <c r="M2432" i="53"/>
  <c r="M2433" i="53"/>
  <c r="M2434" i="53"/>
  <c r="M2435" i="53"/>
  <c r="M2436" i="53"/>
  <c r="M2437" i="53"/>
  <c r="M2438" i="53"/>
  <c r="M2439" i="53"/>
  <c r="M2440" i="53"/>
  <c r="M2441" i="53"/>
  <c r="M2442" i="53"/>
  <c r="M2443" i="53"/>
  <c r="M2444" i="53"/>
  <c r="M2445" i="53"/>
  <c r="M2446" i="53"/>
  <c r="M2447" i="53"/>
  <c r="M2448" i="53"/>
  <c r="M2449" i="53"/>
  <c r="M2450" i="53"/>
  <c r="M2451" i="53"/>
  <c r="M2452" i="53"/>
  <c r="M2453" i="53"/>
  <c r="M2454" i="53"/>
  <c r="M2455" i="53"/>
  <c r="M2456" i="53"/>
  <c r="M2457" i="53"/>
  <c r="M2458" i="53"/>
  <c r="M2459" i="53"/>
  <c r="M2460" i="53"/>
  <c r="M2461" i="53"/>
  <c r="M2462" i="53"/>
  <c r="M2463" i="53"/>
  <c r="M2464" i="53"/>
  <c r="M2465" i="53"/>
  <c r="M2466" i="53"/>
  <c r="M2467" i="53"/>
  <c r="M2468" i="53"/>
  <c r="M2469" i="53"/>
  <c r="M2470" i="53"/>
  <c r="M2472" i="53"/>
  <c r="M2473" i="53"/>
  <c r="M751" i="53"/>
  <c r="M752" i="53"/>
  <c r="M753" i="53"/>
  <c r="M754" i="53"/>
  <c r="M755" i="53"/>
  <c r="M756" i="53"/>
  <c r="M757" i="53"/>
  <c r="M758" i="53"/>
  <c r="M759" i="53"/>
  <c r="M760" i="53"/>
  <c r="M761" i="53"/>
  <c r="M762" i="53"/>
  <c r="M763" i="53"/>
  <c r="M764" i="53"/>
  <c r="M765" i="53"/>
  <c r="M766" i="53"/>
  <c r="M767" i="53"/>
  <c r="M768" i="53"/>
  <c r="M769" i="53"/>
  <c r="M770" i="53"/>
  <c r="M771" i="53"/>
  <c r="M772" i="53"/>
  <c r="M773" i="53"/>
  <c r="M774" i="53"/>
  <c r="M775" i="53"/>
  <c r="M776" i="53"/>
  <c r="M777" i="53"/>
  <c r="M778" i="53"/>
  <c r="M779" i="53"/>
  <c r="M780" i="53"/>
  <c r="M781" i="53"/>
  <c r="M782" i="53"/>
  <c r="M783" i="53"/>
  <c r="M784" i="53"/>
  <c r="M785" i="53"/>
  <c r="M786" i="53"/>
  <c r="M787" i="53"/>
  <c r="M788" i="53"/>
  <c r="M789" i="53"/>
  <c r="M790" i="53"/>
  <c r="M791" i="53"/>
  <c r="M792" i="53"/>
  <c r="M793" i="53"/>
  <c r="M794" i="53"/>
  <c r="M795" i="53"/>
  <c r="M796" i="53"/>
  <c r="M797" i="53"/>
  <c r="M798" i="53"/>
  <c r="M799" i="53"/>
  <c r="M800" i="53"/>
  <c r="M801" i="53"/>
  <c r="M802" i="53"/>
  <c r="M803" i="53"/>
  <c r="M804" i="53"/>
  <c r="M805" i="53"/>
  <c r="M806" i="53"/>
  <c r="M807" i="53"/>
  <c r="M808" i="53"/>
  <c r="M809" i="53"/>
  <c r="M810" i="53"/>
  <c r="M811" i="53"/>
  <c r="M812" i="53"/>
  <c r="M813" i="53"/>
  <c r="M814" i="53"/>
  <c r="M815" i="53"/>
  <c r="M816" i="53"/>
  <c r="M817" i="53"/>
  <c r="M818" i="53"/>
  <c r="M819" i="53"/>
  <c r="M820" i="53"/>
  <c r="M821" i="53"/>
  <c r="M822" i="53"/>
  <c r="M823" i="53"/>
  <c r="M825" i="53"/>
  <c r="M826" i="53"/>
  <c r="M827" i="53"/>
  <c r="M828" i="53"/>
  <c r="M829" i="53"/>
  <c r="M830" i="53"/>
  <c r="M831" i="53"/>
  <c r="M832" i="53"/>
  <c r="M833" i="53"/>
  <c r="M834" i="53"/>
  <c r="M835" i="53"/>
  <c r="M836" i="53"/>
  <c r="M837" i="53"/>
  <c r="M838" i="53"/>
  <c r="M839" i="53"/>
  <c r="M840" i="53"/>
  <c r="M841" i="53"/>
  <c r="M842" i="53"/>
  <c r="M843" i="53"/>
  <c r="M844" i="53"/>
  <c r="M845" i="53"/>
  <c r="M846" i="53"/>
  <c r="M847" i="53"/>
  <c r="M848" i="53"/>
  <c r="M849" i="53"/>
  <c r="M850" i="53"/>
  <c r="M851" i="53"/>
  <c r="M852" i="53"/>
  <c r="M853" i="53"/>
  <c r="M854" i="53"/>
  <c r="M855" i="53"/>
  <c r="M856" i="53"/>
  <c r="M857" i="53"/>
  <c r="M858" i="53"/>
  <c r="M859" i="53"/>
  <c r="M860" i="53"/>
  <c r="M861" i="53"/>
  <c r="M862" i="53"/>
  <c r="M863" i="53"/>
  <c r="M864" i="53"/>
  <c r="M865" i="53"/>
  <c r="M866" i="53"/>
  <c r="M867" i="53"/>
  <c r="M868" i="53"/>
  <c r="M869" i="53"/>
  <c r="M870" i="53"/>
  <c r="M871" i="53"/>
  <c r="M872" i="53"/>
  <c r="M873" i="53"/>
  <c r="M874" i="53"/>
  <c r="M875" i="53"/>
  <c r="M876" i="53"/>
  <c r="M877" i="53"/>
  <c r="M878" i="53"/>
  <c r="M879" i="53"/>
  <c r="M880" i="53"/>
  <c r="M882" i="53"/>
  <c r="M883" i="53"/>
  <c r="M884" i="53"/>
  <c r="M885" i="53"/>
  <c r="M886" i="53"/>
  <c r="M887" i="53"/>
  <c r="M888" i="53"/>
  <c r="M889" i="53"/>
  <c r="M890" i="53"/>
  <c r="M892" i="53"/>
  <c r="M893" i="53"/>
  <c r="M894" i="53"/>
  <c r="M895" i="53"/>
  <c r="M896" i="53"/>
  <c r="M897" i="53"/>
  <c r="M898" i="53"/>
  <c r="M899" i="53"/>
  <c r="M900" i="53"/>
  <c r="M901" i="53"/>
  <c r="M902" i="53"/>
  <c r="M903" i="53"/>
  <c r="M904" i="53"/>
  <c r="M905" i="53"/>
  <c r="M906" i="53"/>
  <c r="M907" i="53"/>
  <c r="M908" i="53"/>
  <c r="M909" i="53"/>
  <c r="M910" i="53"/>
  <c r="M911" i="53"/>
  <c r="M912" i="53"/>
  <c r="M913" i="53"/>
  <c r="M914" i="53"/>
  <c r="M915" i="53"/>
  <c r="M916" i="53"/>
  <c r="M917" i="53"/>
  <c r="M918" i="53"/>
  <c r="M919" i="53"/>
  <c r="M920" i="53"/>
  <c r="M921" i="53"/>
  <c r="M922" i="53"/>
  <c r="M923" i="53"/>
  <c r="M924" i="53"/>
  <c r="M925" i="53"/>
  <c r="M926" i="53"/>
  <c r="M927" i="53"/>
  <c r="M928" i="53"/>
  <c r="M929" i="53"/>
  <c r="M930" i="53"/>
  <c r="M931" i="53"/>
  <c r="M932" i="53"/>
  <c r="M933" i="53"/>
  <c r="M934" i="53"/>
  <c r="M935" i="53"/>
  <c r="M936" i="53"/>
  <c r="M937" i="53"/>
  <c r="M938" i="53"/>
  <c r="M939" i="53"/>
  <c r="M940" i="53"/>
  <c r="M941" i="53"/>
  <c r="M942" i="53"/>
  <c r="M943" i="53"/>
  <c r="M944" i="53"/>
  <c r="M945" i="53"/>
  <c r="M946" i="53"/>
  <c r="M947" i="53"/>
  <c r="M948" i="53"/>
  <c r="M949" i="53"/>
  <c r="M950" i="53"/>
  <c r="M951" i="53"/>
  <c r="M952" i="53"/>
  <c r="M953" i="53"/>
  <c r="M954" i="53"/>
  <c r="M955" i="53"/>
  <c r="M956" i="53"/>
  <c r="M957" i="53"/>
  <c r="M958" i="53"/>
  <c r="M959" i="53"/>
  <c r="M960" i="53"/>
  <c r="M961" i="53"/>
  <c r="M962" i="53"/>
  <c r="M963" i="53"/>
  <c r="M964" i="53"/>
  <c r="M965" i="53"/>
  <c r="M966" i="53"/>
  <c r="M967" i="53"/>
  <c r="M968" i="53"/>
  <c r="M969" i="53"/>
  <c r="M970" i="53"/>
  <c r="M971" i="53"/>
  <c r="M972" i="53"/>
  <c r="M973" i="53"/>
  <c r="M974" i="53"/>
  <c r="M975" i="53"/>
  <c r="M976" i="53"/>
  <c r="M977" i="53"/>
  <c r="M978" i="53"/>
  <c r="M979" i="53"/>
  <c r="M980" i="53"/>
  <c r="M981" i="53"/>
  <c r="M982" i="53"/>
  <c r="M983" i="53"/>
  <c r="M984" i="53"/>
  <c r="M985" i="53"/>
  <c r="M986" i="53"/>
  <c r="M987" i="53"/>
  <c r="M988" i="53"/>
  <c r="M989" i="53"/>
  <c r="M990" i="53"/>
  <c r="M991" i="53"/>
  <c r="M992" i="53"/>
  <c r="M993" i="53"/>
  <c r="M994" i="53"/>
  <c r="M995" i="53"/>
  <c r="M996" i="53"/>
  <c r="M997" i="53"/>
  <c r="M998" i="53"/>
  <c r="M999" i="53"/>
  <c r="M1000" i="53"/>
  <c r="M1001" i="53"/>
  <c r="M1002" i="53"/>
  <c r="M1003" i="53"/>
  <c r="M1004" i="53"/>
  <c r="M1005" i="53"/>
  <c r="M1006" i="53"/>
  <c r="M1007" i="53"/>
  <c r="M1008" i="53"/>
  <c r="M1009" i="53"/>
  <c r="M1010" i="53"/>
  <c r="M1011" i="53"/>
  <c r="M1012" i="53"/>
  <c r="M1013" i="53"/>
  <c r="M1014" i="53"/>
  <c r="M1015" i="53"/>
  <c r="M1016" i="53"/>
  <c r="M1017" i="53"/>
  <c r="M1018" i="53"/>
  <c r="M1019" i="53"/>
  <c r="M1020" i="53"/>
  <c r="M1021" i="53"/>
  <c r="M1022" i="53"/>
  <c r="M1023" i="53"/>
  <c r="M1024" i="53"/>
  <c r="M1025" i="53"/>
  <c r="M1026" i="53"/>
  <c r="M1027" i="53"/>
  <c r="M1028" i="53"/>
  <c r="M1029" i="53"/>
  <c r="M1030" i="53"/>
  <c r="M1031" i="53"/>
  <c r="M1032" i="53"/>
  <c r="M1033" i="53"/>
  <c r="M1034" i="53"/>
  <c r="M1035" i="53"/>
  <c r="M1036" i="53"/>
  <c r="M1037" i="53"/>
  <c r="M1038" i="53"/>
  <c r="M1039" i="53"/>
  <c r="M1040" i="53"/>
  <c r="M1041" i="53"/>
  <c r="M1042" i="53"/>
  <c r="M1043" i="53"/>
  <c r="M1044" i="53"/>
  <c r="M1045" i="53"/>
  <c r="M1046" i="53"/>
  <c r="M1047" i="53"/>
  <c r="M1048" i="53"/>
  <c r="M1049" i="53"/>
  <c r="M1050" i="53"/>
  <c r="M1051" i="53"/>
  <c r="M1052" i="53"/>
  <c r="M1053" i="53"/>
  <c r="M1054" i="53"/>
  <c r="M1055" i="53"/>
  <c r="M1056" i="53"/>
  <c r="M1057" i="53"/>
  <c r="M1058" i="53"/>
  <c r="M1059" i="53"/>
  <c r="M1060" i="53"/>
  <c r="M1061" i="53"/>
  <c r="M1062" i="53"/>
  <c r="M1063" i="53"/>
  <c r="M1064" i="53"/>
  <c r="M1065" i="53"/>
  <c r="M1066" i="53"/>
  <c r="M1067" i="53"/>
  <c r="M1068" i="53"/>
  <c r="M1069" i="53"/>
  <c r="M1070" i="53"/>
  <c r="M1071" i="53"/>
  <c r="M1072" i="53"/>
  <c r="M1073" i="53"/>
  <c r="M1074" i="53"/>
  <c r="M1075" i="53"/>
  <c r="M1076" i="53"/>
  <c r="M1077" i="53"/>
  <c r="M1078" i="53"/>
  <c r="M1079" i="53"/>
  <c r="M1080" i="53"/>
  <c r="M1081" i="53"/>
  <c r="M1082" i="53"/>
  <c r="M1083" i="53"/>
  <c r="M1084" i="53"/>
  <c r="M1085" i="53"/>
  <c r="M1086" i="53"/>
  <c r="M1087" i="53"/>
  <c r="M1088" i="53"/>
  <c r="M1089" i="53"/>
  <c r="M1090" i="53"/>
  <c r="M1091" i="53"/>
  <c r="M1092" i="53"/>
  <c r="M1093" i="53"/>
  <c r="M1094" i="53"/>
  <c r="M1095" i="53"/>
  <c r="M1096" i="53"/>
  <c r="M1097" i="53"/>
  <c r="M1098" i="53"/>
  <c r="M1099" i="53"/>
  <c r="M1100" i="53"/>
  <c r="M1101" i="53"/>
  <c r="M1102" i="53"/>
  <c r="M1103" i="53"/>
  <c r="M1104" i="53"/>
  <c r="M1105" i="53"/>
  <c r="M1106" i="53"/>
  <c r="M1107" i="53"/>
  <c r="M1108" i="53"/>
  <c r="M1109" i="53"/>
  <c r="M1110" i="53"/>
  <c r="M1111" i="53"/>
  <c r="M1112" i="53"/>
  <c r="M1113" i="53"/>
  <c r="M1114" i="53"/>
  <c r="M1115" i="53"/>
  <c r="M1116" i="53"/>
  <c r="M1117" i="53"/>
  <c r="M1118" i="53"/>
  <c r="M1120" i="53"/>
  <c r="M1121" i="53"/>
  <c r="M1122" i="53"/>
  <c r="M1123" i="53"/>
  <c r="M1124" i="53"/>
  <c r="M1125" i="53"/>
  <c r="M1127" i="53"/>
  <c r="M1128" i="53"/>
  <c r="M1129" i="53"/>
  <c r="M1130" i="53"/>
  <c r="M1131" i="53"/>
  <c r="M1132" i="53"/>
  <c r="M1133" i="53"/>
  <c r="M1134" i="53"/>
  <c r="M1135" i="53"/>
  <c r="M1136" i="53"/>
  <c r="M1138" i="53"/>
  <c r="M1139" i="53"/>
  <c r="M1143" i="53"/>
  <c r="M1144" i="53"/>
  <c r="M1145" i="53"/>
  <c r="M1146" i="53"/>
  <c r="M1147" i="53"/>
  <c r="M1148" i="53"/>
  <c r="M1149" i="53"/>
  <c r="M1150" i="53"/>
  <c r="M1151" i="53"/>
  <c r="M1152" i="53"/>
  <c r="M1153" i="53"/>
  <c r="M1154" i="53"/>
  <c r="M1155" i="53"/>
  <c r="M1156" i="53"/>
  <c r="M1157" i="53"/>
  <c r="M1158" i="53"/>
  <c r="M1159" i="53"/>
  <c r="M1160" i="53"/>
  <c r="M1161" i="53"/>
  <c r="M1162" i="53"/>
  <c r="M1163" i="53"/>
  <c r="M1164" i="53"/>
  <c r="M1165" i="53"/>
  <c r="M1166" i="53"/>
  <c r="M1167" i="53"/>
  <c r="M1168" i="53"/>
  <c r="M1169" i="53"/>
  <c r="M1170" i="53"/>
  <c r="M1171" i="53"/>
  <c r="M1172" i="53"/>
  <c r="M1173" i="53"/>
  <c r="M1174" i="53"/>
  <c r="M1175" i="53"/>
  <c r="M1176" i="53"/>
  <c r="M1177" i="53"/>
  <c r="M1178" i="53"/>
  <c r="M1179" i="53"/>
  <c r="M1180" i="53"/>
  <c r="M1181" i="53"/>
  <c r="M1182" i="53"/>
  <c r="M1183" i="53"/>
  <c r="M1184" i="53"/>
  <c r="M1185" i="53"/>
  <c r="M1186" i="53"/>
  <c r="M1187" i="53"/>
  <c r="M1188" i="53"/>
  <c r="M1189" i="53"/>
  <c r="M1190" i="53"/>
  <c r="M1191" i="53"/>
  <c r="M1192" i="53"/>
  <c r="M1193" i="53"/>
  <c r="M1194" i="53"/>
  <c r="M1195" i="53"/>
  <c r="M1196" i="53"/>
  <c r="M1197" i="53"/>
  <c r="M1198" i="53"/>
  <c r="M1199" i="53"/>
  <c r="M1200" i="53"/>
  <c r="M1201" i="53"/>
  <c r="M1202" i="53"/>
  <c r="M1203" i="53"/>
  <c r="M1204" i="53"/>
  <c r="M1205" i="53"/>
  <c r="M1206" i="53"/>
  <c r="M1207" i="53"/>
  <c r="M1208" i="53"/>
  <c r="M1209" i="53"/>
  <c r="M1210" i="53"/>
  <c r="M1211" i="53"/>
  <c r="M1212" i="53"/>
  <c r="M1213" i="53"/>
  <c r="M1214" i="53"/>
  <c r="M1215" i="53"/>
  <c r="M1216" i="53"/>
  <c r="M1217" i="53"/>
  <c r="M1218" i="53"/>
  <c r="M1219" i="53"/>
  <c r="M1220" i="53"/>
  <c r="M1221" i="53"/>
  <c r="M1222" i="53"/>
  <c r="M1223" i="53"/>
  <c r="M1224" i="53"/>
  <c r="M1225" i="53"/>
  <c r="M1226" i="53"/>
  <c r="M1227" i="53"/>
  <c r="M1228" i="53"/>
  <c r="M1229" i="53"/>
  <c r="M1230" i="53"/>
  <c r="M1231" i="53"/>
  <c r="M1232" i="53"/>
  <c r="M1233" i="53"/>
  <c r="M1234" i="53"/>
  <c r="M1235" i="53"/>
  <c r="M1236" i="53"/>
  <c r="M1237" i="53"/>
  <c r="M1238" i="53"/>
  <c r="M1239" i="53"/>
  <c r="M1240" i="53"/>
  <c r="M1241" i="53"/>
  <c r="M1242" i="53"/>
  <c r="M1243" i="53"/>
  <c r="M1244" i="53"/>
  <c r="M1245" i="53"/>
  <c r="M1246" i="53"/>
  <c r="M1247" i="53"/>
  <c r="M1248" i="53"/>
  <c r="M1249" i="53"/>
  <c r="M1250" i="53"/>
  <c r="M1251" i="53"/>
  <c r="M1252" i="53"/>
  <c r="M1253" i="53"/>
  <c r="M1254" i="53"/>
  <c r="M1255" i="53"/>
  <c r="M1256" i="53"/>
  <c r="M1257" i="53"/>
  <c r="M1258" i="53"/>
  <c r="M1259" i="53"/>
  <c r="M1260" i="53"/>
  <c r="M1261" i="53"/>
  <c r="M1262" i="53"/>
  <c r="M1263" i="53"/>
  <c r="M1264" i="53"/>
  <c r="M1265" i="53"/>
  <c r="M1266" i="53"/>
  <c r="M1267" i="53"/>
  <c r="M1268" i="53"/>
  <c r="M1269" i="53"/>
  <c r="M1270" i="53"/>
  <c r="M1271" i="53"/>
  <c r="M1272" i="53"/>
  <c r="M1273" i="53"/>
  <c r="M1274" i="53"/>
  <c r="M1275" i="53"/>
  <c r="M1276" i="53"/>
  <c r="M1277" i="53"/>
  <c r="M1278" i="53"/>
  <c r="M1279" i="53"/>
  <c r="M1280" i="53"/>
  <c r="M1281" i="53"/>
  <c r="M1282" i="53"/>
  <c r="M1283" i="53"/>
  <c r="M1284" i="53"/>
  <c r="M1285" i="53"/>
  <c r="M1286" i="53"/>
  <c r="M1287" i="53"/>
  <c r="M1288" i="53"/>
  <c r="M1289" i="53"/>
  <c r="M1290" i="53"/>
  <c r="M1291" i="53"/>
  <c r="M1292" i="53"/>
  <c r="M1293" i="53"/>
  <c r="M1294" i="53"/>
  <c r="M1295" i="53"/>
  <c r="M1296" i="53"/>
  <c r="M1297" i="53"/>
  <c r="M1298" i="53"/>
  <c r="M1299" i="53"/>
  <c r="M1300" i="53"/>
  <c r="M1301" i="53"/>
  <c r="M1302" i="53"/>
  <c r="M1303" i="53"/>
  <c r="M1304" i="53"/>
  <c r="M1305" i="53"/>
  <c r="M1306" i="53"/>
  <c r="M1307" i="53"/>
  <c r="M1308" i="53"/>
  <c r="M1309" i="53"/>
  <c r="M1310" i="53"/>
  <c r="M1311" i="53"/>
  <c r="M1312" i="53"/>
  <c r="M1313" i="53"/>
  <c r="M1314" i="53"/>
  <c r="M1315" i="53"/>
  <c r="M1316" i="53"/>
  <c r="M1317" i="53"/>
  <c r="M1321" i="53"/>
  <c r="M1322" i="53"/>
  <c r="M1323" i="53"/>
  <c r="M1324" i="53"/>
  <c r="M1325" i="53"/>
  <c r="M1326" i="53"/>
  <c r="M1327" i="53"/>
  <c r="M1328" i="53"/>
  <c r="M1329" i="53"/>
  <c r="M1330" i="53"/>
  <c r="M1331" i="53"/>
  <c r="M1332" i="53"/>
  <c r="M1333" i="53"/>
  <c r="M1334" i="53"/>
  <c r="M1335" i="53"/>
  <c r="M1336" i="53"/>
  <c r="M1337" i="53"/>
  <c r="M1338" i="53"/>
  <c r="M1339" i="53"/>
  <c r="M1340" i="53"/>
  <c r="M1341" i="53"/>
  <c r="M1342" i="53"/>
  <c r="M1343" i="53"/>
  <c r="M1344" i="53"/>
  <c r="M1345" i="53"/>
  <c r="M1346" i="53"/>
  <c r="M1347" i="53"/>
  <c r="M1348" i="53"/>
  <c r="M1349" i="53"/>
  <c r="M1350" i="53"/>
  <c r="M1351" i="53"/>
  <c r="M1352" i="53"/>
  <c r="M1353" i="53"/>
  <c r="M1354" i="53"/>
  <c r="M1355" i="53"/>
  <c r="M1356" i="53"/>
  <c r="M1357" i="53"/>
  <c r="M1358" i="53"/>
  <c r="M1359" i="53"/>
  <c r="M1360" i="53"/>
  <c r="M1361" i="53"/>
  <c r="M1362" i="53"/>
  <c r="M1363" i="53"/>
  <c r="M1364" i="53"/>
  <c r="M1365" i="53"/>
  <c r="M1366" i="53"/>
  <c r="M1367" i="53"/>
  <c r="M1368" i="53"/>
  <c r="M1369" i="53"/>
  <c r="M1370" i="53"/>
  <c r="M1371" i="53"/>
  <c r="M1372" i="53"/>
  <c r="M1373" i="53"/>
  <c r="M1374" i="53"/>
  <c r="M1375" i="53"/>
  <c r="M1376" i="53"/>
  <c r="M1377" i="53"/>
  <c r="M1378" i="53"/>
  <c r="M1379" i="53"/>
  <c r="M1380" i="53"/>
  <c r="M1381" i="53"/>
  <c r="M1382" i="53"/>
  <c r="M1383" i="53"/>
  <c r="M1384" i="53"/>
  <c r="M1385" i="53"/>
  <c r="M1386" i="53"/>
  <c r="M1387" i="53"/>
  <c r="M1388" i="53"/>
  <c r="M1389" i="53"/>
  <c r="M1390" i="53"/>
  <c r="M1391" i="53"/>
  <c r="M1392" i="53"/>
  <c r="M1393" i="53"/>
  <c r="M1394" i="53"/>
  <c r="M1395" i="53"/>
  <c r="M1396" i="53"/>
  <c r="M1397" i="53"/>
  <c r="M1398" i="53"/>
  <c r="M1399" i="53"/>
  <c r="M1400" i="53"/>
  <c r="M1401" i="53"/>
  <c r="M1402" i="53"/>
  <c r="M1403" i="53"/>
  <c r="M1404" i="53"/>
  <c r="M1405" i="53"/>
  <c r="M1406" i="53"/>
  <c r="M1407" i="53"/>
  <c r="M1408" i="53"/>
  <c r="M1409" i="53"/>
  <c r="M1410" i="53"/>
  <c r="M1411" i="53"/>
  <c r="M1412" i="53"/>
  <c r="M1413" i="53"/>
  <c r="M1414" i="53"/>
  <c r="M1415" i="53"/>
  <c r="M1416" i="53"/>
  <c r="M1417" i="53"/>
  <c r="M1418" i="53"/>
  <c r="M1419" i="53"/>
  <c r="M1420" i="53"/>
  <c r="M1421" i="53"/>
  <c r="M1422" i="53"/>
  <c r="M1423" i="53"/>
  <c r="M1424" i="53"/>
  <c r="M1425" i="53"/>
  <c r="M1426" i="53"/>
  <c r="M1427" i="53"/>
  <c r="M1428" i="53"/>
  <c r="M1429" i="53"/>
  <c r="M1430" i="53"/>
  <c r="M1431" i="53"/>
  <c r="M1432" i="53"/>
  <c r="M1433" i="53"/>
  <c r="M1434" i="53"/>
  <c r="M1435" i="53"/>
  <c r="M1436" i="53"/>
  <c r="M1437" i="53"/>
  <c r="M1438" i="53"/>
  <c r="M1439" i="53"/>
  <c r="M1440" i="53"/>
  <c r="M1441" i="53"/>
  <c r="M1442" i="53"/>
  <c r="M1443" i="53"/>
  <c r="M1444" i="53"/>
  <c r="M1445" i="53"/>
  <c r="M1446" i="53"/>
  <c r="M1447" i="53"/>
  <c r="M1448" i="53"/>
  <c r="M1449" i="53"/>
  <c r="M1450" i="53"/>
  <c r="M1451" i="53"/>
  <c r="M1452" i="53"/>
  <c r="M1453" i="53"/>
  <c r="M1454" i="53"/>
  <c r="M1455" i="53"/>
  <c r="M1456" i="53"/>
  <c r="M1457" i="53"/>
  <c r="M1458" i="53"/>
  <c r="M1459" i="53"/>
  <c r="M1460" i="53"/>
  <c r="M1461" i="53"/>
  <c r="M1462" i="53"/>
  <c r="M1463" i="53"/>
  <c r="M1464" i="53"/>
  <c r="M1465" i="53"/>
  <c r="M1466" i="53"/>
  <c r="M1467" i="53"/>
  <c r="M1468" i="53"/>
  <c r="M1469" i="53"/>
  <c r="M1470" i="53"/>
  <c r="M1471" i="53"/>
  <c r="M1472" i="53"/>
  <c r="M1473" i="53"/>
  <c r="M1474" i="53"/>
  <c r="M1475" i="53"/>
  <c r="M1476" i="53"/>
  <c r="M1477" i="53"/>
  <c r="M1478" i="53"/>
  <c r="M1479" i="53"/>
  <c r="M1480" i="53"/>
  <c r="M1481" i="53"/>
  <c r="M1482" i="53"/>
  <c r="M1483" i="53"/>
  <c r="M1484" i="53"/>
  <c r="M1485" i="53"/>
  <c r="M1486" i="53"/>
  <c r="M1487" i="53"/>
  <c r="M1488" i="53"/>
  <c r="M1489" i="53"/>
  <c r="M1490" i="53"/>
  <c r="M1492" i="53"/>
  <c r="M1493" i="53"/>
  <c r="M1494" i="53"/>
  <c r="M1495" i="53"/>
  <c r="M1496" i="53"/>
  <c r="M1497" i="53"/>
  <c r="M1498" i="53"/>
  <c r="M1499" i="53"/>
  <c r="M1500" i="53"/>
  <c r="M1501" i="53"/>
  <c r="M1502" i="53"/>
  <c r="M1503" i="53"/>
  <c r="M1504" i="53"/>
  <c r="M1505" i="53"/>
  <c r="M1506" i="53"/>
  <c r="M1507" i="53"/>
  <c r="M1508" i="53"/>
  <c r="M1509" i="53"/>
  <c r="M1510" i="53"/>
  <c r="M1511" i="53"/>
  <c r="M1512" i="53"/>
  <c r="M1513" i="53"/>
  <c r="M1514" i="53"/>
  <c r="M1515" i="53"/>
  <c r="M1516" i="53"/>
  <c r="M1517" i="53"/>
  <c r="M1518" i="53"/>
  <c r="M1519" i="53"/>
  <c r="M1521" i="53"/>
  <c r="M1522" i="53"/>
  <c r="M1523" i="53"/>
  <c r="M1524" i="53"/>
  <c r="M1525" i="53"/>
  <c r="M1526" i="53"/>
  <c r="M1527" i="53"/>
  <c r="M1528" i="53"/>
  <c r="M1529" i="53"/>
  <c r="M1530" i="53"/>
  <c r="M1531" i="53"/>
  <c r="M1532" i="53"/>
  <c r="M1533" i="53"/>
  <c r="M1534" i="53"/>
  <c r="M1535" i="53"/>
  <c r="M1536" i="53"/>
  <c r="M1537" i="53"/>
  <c r="M1538" i="53"/>
  <c r="M1539" i="53"/>
  <c r="M1540" i="53"/>
  <c r="M1541" i="53"/>
  <c r="M1542" i="53"/>
  <c r="M1543" i="53"/>
  <c r="M1544" i="53"/>
  <c r="M1545" i="53"/>
  <c r="M1546" i="53"/>
  <c r="M1547" i="53"/>
  <c r="M1548" i="53"/>
  <c r="M1549" i="53"/>
  <c r="M1550" i="53"/>
  <c r="M1551" i="53"/>
  <c r="M1552" i="53"/>
  <c r="M1553" i="53"/>
  <c r="M1554" i="53"/>
  <c r="M1555" i="53"/>
  <c r="M1556" i="53"/>
  <c r="M1557" i="53"/>
  <c r="M1558" i="53"/>
  <c r="M1559" i="53"/>
  <c r="M1560" i="53"/>
  <c r="M1561" i="53"/>
  <c r="M1562" i="53"/>
  <c r="M1563" i="53"/>
  <c r="M1564" i="53"/>
  <c r="M1565" i="53"/>
  <c r="M1566" i="53"/>
  <c r="M1567" i="53"/>
  <c r="M1568" i="53"/>
  <c r="M1569" i="53"/>
  <c r="M1570" i="53"/>
  <c r="M1573" i="53"/>
  <c r="M1574" i="53"/>
  <c r="M1575" i="53"/>
  <c r="M1576" i="53"/>
  <c r="M1578" i="53"/>
  <c r="M1580" i="53"/>
  <c r="M1582" i="53"/>
  <c r="M1584" i="53"/>
  <c r="M1586" i="53"/>
  <c r="M1588" i="53"/>
  <c r="M1590" i="53"/>
  <c r="M1591" i="53"/>
  <c r="M1592" i="53"/>
  <c r="M1593" i="53"/>
  <c r="M1594" i="53"/>
  <c r="M1595" i="53"/>
  <c r="M1596" i="53"/>
  <c r="M1597" i="53"/>
  <c r="M1598" i="53"/>
  <c r="M1599" i="53"/>
  <c r="M1600" i="53"/>
  <c r="M1601" i="53"/>
  <c r="M1602" i="53"/>
  <c r="M1603" i="53"/>
  <c r="M1604" i="53"/>
  <c r="M1605" i="53"/>
  <c r="M1606" i="53"/>
  <c r="M1607" i="53"/>
  <c r="M1608" i="53"/>
  <c r="M1609" i="53"/>
  <c r="M1610" i="53"/>
  <c r="M1611" i="53"/>
  <c r="M1612" i="53"/>
  <c r="M1613" i="53"/>
  <c r="M1614" i="53"/>
  <c r="M1615" i="53"/>
  <c r="M1616" i="53"/>
  <c r="M1617" i="53"/>
  <c r="M1618" i="53"/>
  <c r="M1619" i="53"/>
  <c r="M1620" i="53"/>
  <c r="M1621" i="53"/>
  <c r="M1622" i="53"/>
  <c r="M1623" i="53"/>
  <c r="M1624" i="53"/>
  <c r="M1625" i="53"/>
  <c r="M1626" i="53"/>
  <c r="M1627" i="53"/>
  <c r="M1628" i="53"/>
  <c r="M1629" i="53"/>
  <c r="M1630" i="53"/>
  <c r="M1631" i="53"/>
  <c r="M1632" i="53"/>
  <c r="M1633" i="53"/>
  <c r="M1634" i="53"/>
  <c r="M1635" i="53"/>
  <c r="M1636" i="53"/>
  <c r="M1637" i="53"/>
  <c r="M1638" i="53"/>
  <c r="M1639" i="53"/>
  <c r="M1640" i="53"/>
  <c r="M1641" i="53"/>
  <c r="M1642" i="53"/>
  <c r="M1643" i="53"/>
  <c r="M1644" i="53"/>
  <c r="M1645" i="53"/>
  <c r="M1646" i="53"/>
  <c r="M1648" i="53"/>
  <c r="M1649" i="53"/>
  <c r="M1650" i="53"/>
  <c r="M1651" i="53"/>
  <c r="M1652" i="53"/>
  <c r="M1653" i="53"/>
  <c r="M1654" i="53"/>
  <c r="M1655" i="53"/>
  <c r="M1656" i="53"/>
  <c r="M1657" i="53"/>
  <c r="M1658" i="53"/>
  <c r="M1659" i="53"/>
  <c r="M1660" i="53"/>
  <c r="M1661" i="53"/>
  <c r="M1662" i="53"/>
  <c r="M1663" i="53"/>
  <c r="M1664" i="53"/>
  <c r="M1665" i="53"/>
  <c r="M1666" i="53"/>
  <c r="M1667" i="53"/>
  <c r="M1668" i="53"/>
  <c r="M1669" i="53"/>
  <c r="M1670" i="53"/>
  <c r="M1671" i="53"/>
  <c r="M1672" i="53"/>
  <c r="M1673" i="53"/>
  <c r="M1674" i="53"/>
  <c r="M1675" i="53"/>
  <c r="M1676" i="53"/>
  <c r="M1678" i="53"/>
  <c r="M1679" i="53"/>
  <c r="M1680" i="53"/>
  <c r="M1683" i="53"/>
  <c r="M1684" i="53"/>
  <c r="M1685" i="53"/>
  <c r="M1688" i="53"/>
  <c r="M1689" i="53"/>
  <c r="M1690" i="53"/>
  <c r="M1691" i="53"/>
  <c r="M1692" i="53"/>
  <c r="M1693" i="53"/>
  <c r="M1694" i="53"/>
  <c r="M1695" i="53"/>
  <c r="M1696" i="53"/>
  <c r="M1697" i="53"/>
  <c r="M1698" i="53"/>
  <c r="M1699" i="53"/>
  <c r="M1700" i="53"/>
  <c r="M1701" i="53"/>
  <c r="M1702" i="53"/>
  <c r="M1703" i="53"/>
  <c r="M1704" i="53"/>
  <c r="M1705" i="53"/>
  <c r="M1706" i="53"/>
  <c r="M1707" i="53"/>
  <c r="M1708" i="53"/>
  <c r="M1710" i="53"/>
  <c r="M1711" i="53"/>
  <c r="M1712" i="53"/>
  <c r="M1713" i="53"/>
  <c r="M1714" i="53"/>
  <c r="M1715" i="53"/>
  <c r="M1717" i="53"/>
  <c r="M1718" i="53"/>
  <c r="M1719" i="53"/>
  <c r="M1720" i="53"/>
  <c r="M1721" i="53"/>
  <c r="M1722" i="53"/>
  <c r="M1723" i="53"/>
  <c r="M1724" i="53"/>
  <c r="M1725" i="53"/>
  <c r="M1726" i="53"/>
  <c r="M1727" i="53"/>
  <c r="M1728" i="53"/>
  <c r="M1729" i="53"/>
  <c r="M1730" i="53"/>
  <c r="M1731" i="53"/>
  <c r="M1732" i="53"/>
  <c r="M1733" i="53"/>
  <c r="M1734" i="53"/>
  <c r="M1735" i="53"/>
  <c r="M1736" i="53"/>
  <c r="M1737" i="53"/>
  <c r="M1738" i="53"/>
  <c r="M1739" i="53"/>
  <c r="M1740" i="53"/>
  <c r="M1741" i="53"/>
  <c r="M1742" i="53"/>
  <c r="M1743" i="53"/>
  <c r="M1744" i="53"/>
  <c r="M1745" i="53"/>
  <c r="M1746" i="53"/>
  <c r="M1747" i="53"/>
  <c r="M1748" i="53"/>
  <c r="M1749" i="53"/>
  <c r="M1750" i="53"/>
  <c r="M1751" i="53"/>
  <c r="M1752" i="53"/>
  <c r="M1753" i="53"/>
  <c r="M1754" i="53"/>
  <c r="M1755" i="53"/>
  <c r="M1756" i="53"/>
  <c r="M1757" i="53"/>
  <c r="M1758" i="53"/>
  <c r="M1759" i="53"/>
  <c r="M1760" i="53"/>
  <c r="M1761" i="53"/>
  <c r="M1762" i="53"/>
  <c r="M1763" i="53"/>
  <c r="M1764" i="53"/>
  <c r="M1765" i="53"/>
  <c r="M1766" i="53"/>
  <c r="M1767" i="53"/>
  <c r="M1768" i="53"/>
  <c r="M1769" i="53"/>
  <c r="M1770" i="53"/>
  <c r="M1771" i="53"/>
  <c r="M1772" i="53"/>
  <c r="M1773" i="53"/>
  <c r="M1774" i="53"/>
  <c r="M1775" i="53"/>
  <c r="M1776" i="53"/>
  <c r="M1777" i="53"/>
  <c r="M1778" i="53"/>
  <c r="M1779" i="53"/>
  <c r="M1780" i="53"/>
  <c r="M1781" i="53"/>
  <c r="M1782" i="53"/>
  <c r="M1783" i="53"/>
  <c r="M1784" i="53"/>
  <c r="M1785" i="53"/>
  <c r="M1786" i="53"/>
  <c r="M1787" i="53"/>
  <c r="M1788" i="53"/>
  <c r="M1789" i="53"/>
  <c r="M1790" i="53"/>
  <c r="M1791" i="53"/>
  <c r="M1792" i="53"/>
  <c r="M1793" i="53"/>
  <c r="M1794" i="53"/>
  <c r="M1795" i="53"/>
  <c r="M1796" i="53"/>
  <c r="M1797" i="53"/>
  <c r="M1798" i="53"/>
  <c r="M1799" i="53"/>
  <c r="M1800" i="53"/>
  <c r="M1801" i="53"/>
  <c r="M1802" i="53"/>
  <c r="M1803" i="53"/>
  <c r="M1804" i="53"/>
  <c r="M1805" i="53"/>
  <c r="M1806" i="53"/>
  <c r="M1807" i="53"/>
  <c r="M1808" i="53"/>
  <c r="M1809" i="53"/>
  <c r="M1810" i="53"/>
  <c r="M1811" i="53"/>
  <c r="M1812" i="53"/>
  <c r="M1813" i="53"/>
  <c r="M1814" i="53"/>
  <c r="M1815" i="53"/>
  <c r="M1816" i="53"/>
  <c r="M1817" i="53"/>
  <c r="M1818" i="53"/>
  <c r="M1819" i="53"/>
  <c r="M1820" i="53"/>
  <c r="M1821" i="53"/>
  <c r="M1822" i="53"/>
  <c r="M1823" i="53"/>
  <c r="M1824" i="53"/>
  <c r="M1825" i="53"/>
  <c r="M1826" i="53"/>
  <c r="M1827" i="53"/>
  <c r="M1828" i="53"/>
  <c r="M1829" i="53"/>
  <c r="M1830" i="53"/>
  <c r="M1831" i="53"/>
  <c r="M1832" i="53"/>
  <c r="M1833" i="53"/>
  <c r="M1834" i="53"/>
  <c r="M1835" i="53"/>
  <c r="M1836" i="53"/>
  <c r="M1837" i="53"/>
  <c r="M1838" i="53"/>
  <c r="M1839" i="53"/>
  <c r="M1840" i="53"/>
  <c r="M1841" i="53"/>
  <c r="M1842" i="53"/>
  <c r="M1843" i="53"/>
  <c r="M3" i="53"/>
  <c r="M4" i="53"/>
  <c r="M5" i="53"/>
  <c r="M6" i="53"/>
  <c r="M7" i="53"/>
  <c r="M8" i="53"/>
  <c r="M9" i="53"/>
  <c r="M10" i="53"/>
  <c r="M11" i="53"/>
  <c r="M12" i="53"/>
  <c r="M13" i="53"/>
  <c r="M14" i="53"/>
  <c r="M15" i="53"/>
  <c r="M16" i="53"/>
  <c r="M17" i="53"/>
  <c r="M18" i="53"/>
  <c r="M19" i="53"/>
  <c r="M20" i="53"/>
  <c r="M21" i="53"/>
  <c r="M22" i="53"/>
  <c r="M23" i="53"/>
  <c r="M24" i="53"/>
  <c r="M25" i="53"/>
  <c r="M26" i="53"/>
  <c r="M27" i="53"/>
  <c r="M28" i="53"/>
  <c r="M29" i="53"/>
  <c r="M30" i="53"/>
  <c r="M31" i="53"/>
  <c r="M32" i="53"/>
  <c r="M33" i="53"/>
  <c r="M34" i="53"/>
  <c r="M35" i="53"/>
  <c r="M36" i="53"/>
  <c r="M37" i="53"/>
  <c r="M38" i="53"/>
  <c r="M39" i="53"/>
  <c r="M40" i="53"/>
  <c r="M41" i="53"/>
  <c r="J2471" i="53"/>
  <c r="J1618" i="53"/>
  <c r="J1982" i="53"/>
  <c r="F2473" i="53"/>
  <c r="F2472" i="53"/>
  <c r="F2471" i="53"/>
  <c r="F2470" i="53"/>
  <c r="F2469" i="53"/>
  <c r="F2468" i="53"/>
  <c r="F2467" i="53"/>
  <c r="F2466" i="53"/>
  <c r="F2465" i="53"/>
  <c r="M2471" i="53"/>
  <c r="F2463" i="53"/>
  <c r="F2459" i="53"/>
  <c r="F2460" i="53"/>
  <c r="F2461" i="53"/>
  <c r="F2462" i="53"/>
  <c r="F2458" i="53"/>
  <c r="F2457" i="53"/>
  <c r="F2456" i="53"/>
  <c r="M2077" i="53"/>
  <c r="M2072" i="53"/>
  <c r="M2065" i="53"/>
  <c r="F2455" i="53"/>
  <c r="J1438" i="53"/>
  <c r="F2445" i="53"/>
  <c r="F2446" i="53"/>
  <c r="F2447" i="53"/>
  <c r="F2448" i="53"/>
  <c r="F2449" i="53"/>
  <c r="F2450" i="53"/>
  <c r="F2452" i="53"/>
  <c r="F2453" i="53"/>
  <c r="F2454" i="53"/>
  <c r="F2444" i="53"/>
  <c r="F2443" i="53"/>
  <c r="F2442" i="53"/>
  <c r="F2441" i="53"/>
  <c r="F2440" i="53"/>
  <c r="F2439" i="53"/>
  <c r="F2430" i="53"/>
  <c r="F2429" i="53"/>
  <c r="J974" i="53"/>
  <c r="J471" i="53"/>
  <c r="F2431" i="53"/>
  <c r="F2432" i="53"/>
  <c r="F2433" i="53"/>
  <c r="F2434" i="53"/>
  <c r="F2435" i="53"/>
  <c r="F2436" i="53"/>
  <c r="F2437" i="53"/>
  <c r="F2438" i="53"/>
  <c r="F2400" i="53"/>
  <c r="J1708" i="53"/>
  <c r="F2426" i="53"/>
  <c r="F2427" i="53"/>
  <c r="F2428" i="53"/>
  <c r="F2425" i="53"/>
  <c r="F28" i="53"/>
  <c r="F15" i="53"/>
  <c r="F14" i="53"/>
  <c r="F2424" i="53"/>
  <c r="F2423" i="53"/>
  <c r="F2422" i="53"/>
  <c r="F2421" i="53"/>
  <c r="F2420" i="53"/>
  <c r="F50" i="53"/>
  <c r="F2419" i="53"/>
  <c r="F2409" i="53"/>
  <c r="F2410" i="53"/>
  <c r="F2411" i="53"/>
  <c r="F2412" i="53"/>
  <c r="F2413" i="53"/>
  <c r="F2414" i="53"/>
  <c r="F2415" i="53"/>
  <c r="F2416" i="53"/>
  <c r="F2417" i="53"/>
  <c r="F2418" i="53"/>
  <c r="F2408" i="53"/>
  <c r="F2407" i="53"/>
  <c r="F2406" i="53"/>
  <c r="F2405" i="53"/>
  <c r="F2404" i="53"/>
  <c r="F2403" i="53"/>
  <c r="F2402" i="53"/>
  <c r="F2401" i="53"/>
  <c r="F2399" i="53"/>
  <c r="J890" i="53"/>
  <c r="J2026" i="53"/>
  <c r="J2398" i="53"/>
  <c r="J2394" i="53"/>
  <c r="O2394" i="53" s="1"/>
  <c r="J2393" i="53"/>
  <c r="M2398" i="53"/>
  <c r="M2396" i="53"/>
  <c r="M2394" i="53"/>
  <c r="M2393" i="53"/>
  <c r="F2398" i="53"/>
  <c r="F2397" i="53"/>
  <c r="F2396" i="53"/>
  <c r="F2395" i="53"/>
  <c r="F2394" i="53"/>
  <c r="F2393" i="53"/>
  <c r="F2384" i="53"/>
  <c r="F2385" i="53"/>
  <c r="F2386" i="53"/>
  <c r="F2387" i="53"/>
  <c r="F2388" i="53"/>
  <c r="F2389" i="53"/>
  <c r="F2390" i="53"/>
  <c r="F2391" i="53"/>
  <c r="F2392" i="53"/>
  <c r="F2372" i="53"/>
  <c r="F2373" i="53"/>
  <c r="F2374" i="53"/>
  <c r="F2375" i="53"/>
  <c r="F2376" i="53"/>
  <c r="F2377" i="53"/>
  <c r="F2378" i="53"/>
  <c r="F2379" i="53"/>
  <c r="F2380" i="53"/>
  <c r="F2381" i="53"/>
  <c r="F2382" i="53"/>
  <c r="F2383" i="53"/>
  <c r="F2369" i="53"/>
  <c r="F2370" i="53"/>
  <c r="F2371" i="53"/>
  <c r="F2362" i="53"/>
  <c r="F2363" i="53"/>
  <c r="F2364" i="53"/>
  <c r="F2365" i="53"/>
  <c r="F2366" i="53"/>
  <c r="F2367" i="53"/>
  <c r="F2368" i="53"/>
  <c r="J1434" i="53"/>
  <c r="J1470" i="53"/>
  <c r="F2344" i="53"/>
  <c r="F2345" i="53"/>
  <c r="F2346" i="53"/>
  <c r="F2347" i="53"/>
  <c r="F2348" i="53"/>
  <c r="F2349" i="53"/>
  <c r="F2352" i="53"/>
  <c r="F2353" i="53"/>
  <c r="F2354" i="53"/>
  <c r="F2355" i="53"/>
  <c r="F2356" i="53"/>
  <c r="F2357" i="53"/>
  <c r="F2358" i="53"/>
  <c r="F2359" i="53"/>
  <c r="F2360" i="53"/>
  <c r="F2337" i="53"/>
  <c r="F2338" i="53"/>
  <c r="F2339" i="53"/>
  <c r="F2340" i="53"/>
  <c r="F2341" i="53"/>
  <c r="F2342" i="53"/>
  <c r="F2343" i="53"/>
  <c r="F2334" i="53"/>
  <c r="F2335" i="53"/>
  <c r="F2336" i="53"/>
  <c r="F2333" i="53"/>
  <c r="F2332" i="53"/>
  <c r="F2331" i="53"/>
  <c r="F265" i="53"/>
  <c r="F2330" i="53"/>
  <c r="F2329" i="53"/>
  <c r="F2328" i="53"/>
  <c r="F2327" i="53"/>
  <c r="M2230" i="53"/>
  <c r="M2231" i="53"/>
  <c r="M2232" i="53"/>
  <c r="M2234" i="53"/>
  <c r="M2235" i="53"/>
  <c r="M2236" i="53"/>
  <c r="M2237" i="53"/>
  <c r="M2238" i="53"/>
  <c r="M2239" i="53"/>
  <c r="M2240" i="53"/>
  <c r="M2241" i="53"/>
  <c r="M2242" i="53"/>
  <c r="M2243" i="53"/>
  <c r="M2244" i="53"/>
  <c r="M2245" i="53"/>
  <c r="M2246" i="53"/>
  <c r="M2247" i="53"/>
  <c r="M2248" i="53"/>
  <c r="M2249" i="53"/>
  <c r="M2250" i="53"/>
  <c r="M2251" i="53"/>
  <c r="M2252" i="53"/>
  <c r="M2253" i="53"/>
  <c r="M2254" i="53"/>
  <c r="M2255" i="53"/>
  <c r="M2256" i="53"/>
  <c r="M2257" i="53"/>
  <c r="M2258" i="53"/>
  <c r="M2259" i="53"/>
  <c r="M2260" i="53"/>
  <c r="M2261" i="53"/>
  <c r="M2262" i="53"/>
  <c r="M2263" i="53"/>
  <c r="M2264" i="53"/>
  <c r="M2265" i="53"/>
  <c r="M2266" i="53"/>
  <c r="M2267" i="53"/>
  <c r="M2268" i="53"/>
  <c r="M2269" i="53"/>
  <c r="M2270" i="53"/>
  <c r="M2271" i="53"/>
  <c r="M2272" i="53"/>
  <c r="M2273" i="53"/>
  <c r="M2274" i="53"/>
  <c r="M2275" i="53"/>
  <c r="M2276" i="53"/>
  <c r="M2277" i="53"/>
  <c r="M2278" i="53"/>
  <c r="M2279" i="53"/>
  <c r="M2280" i="53"/>
  <c r="M2281" i="53"/>
  <c r="M2282" i="53"/>
  <c r="M2283" i="53"/>
  <c r="M2284" i="53"/>
  <c r="M2285" i="53"/>
  <c r="M2286" i="53"/>
  <c r="M2287" i="53"/>
  <c r="M2288" i="53"/>
  <c r="M2289" i="53"/>
  <c r="M2290" i="53"/>
  <c r="M2291" i="53"/>
  <c r="M2292" i="53"/>
  <c r="M2293" i="53"/>
  <c r="M2294" i="53"/>
  <c r="M2295" i="53"/>
  <c r="M2296" i="53"/>
  <c r="M2297" i="53"/>
  <c r="M2298" i="53"/>
  <c r="M2299" i="53"/>
  <c r="M2300" i="53"/>
  <c r="M2301" i="53"/>
  <c r="M2302" i="53"/>
  <c r="M2303" i="53"/>
  <c r="M2304" i="53"/>
  <c r="M2305" i="53"/>
  <c r="M2306" i="53"/>
  <c r="M2307" i="53"/>
  <c r="M2308" i="53"/>
  <c r="M2309" i="53"/>
  <c r="M2310" i="53"/>
  <c r="M2311" i="53"/>
  <c r="M2312" i="53"/>
  <c r="M2313" i="53"/>
  <c r="M2314" i="53"/>
  <c r="M2315" i="53"/>
  <c r="F2323" i="53"/>
  <c r="F2324" i="53"/>
  <c r="F2325" i="53"/>
  <c r="F2326" i="53"/>
  <c r="F2322" i="53"/>
  <c r="J1706" i="53"/>
  <c r="F1616" i="53"/>
  <c r="F1161" i="53"/>
  <c r="F20" i="53"/>
  <c r="F1379" i="53"/>
  <c r="F2140" i="53"/>
  <c r="F2156" i="53"/>
  <c r="F2190" i="53"/>
  <c r="F1477" i="53"/>
  <c r="F1871" i="53"/>
  <c r="F1796" i="53"/>
  <c r="F1782" i="53"/>
  <c r="F1734" i="53"/>
  <c r="F1627" i="53"/>
  <c r="F1369" i="53"/>
  <c r="F1209" i="53"/>
  <c r="F2279" i="53"/>
  <c r="F1190" i="53"/>
  <c r="F1916" i="53"/>
  <c r="F2066" i="53"/>
  <c r="F2247" i="53"/>
  <c r="F1964" i="53"/>
  <c r="F1962" i="53"/>
  <c r="F1573" i="53"/>
  <c r="F36" i="53"/>
  <c r="F22" i="53"/>
  <c r="F9" i="53"/>
  <c r="F104" i="53"/>
  <c r="F732" i="53"/>
  <c r="F1441" i="53"/>
  <c r="F1476" i="53"/>
  <c r="F1710" i="53"/>
  <c r="F8" i="53"/>
  <c r="F21" i="53"/>
  <c r="F35" i="53"/>
  <c r="F1732" i="53"/>
  <c r="F1714" i="53"/>
  <c r="F1244" i="53"/>
  <c r="F1642" i="53"/>
  <c r="F1245" i="53"/>
  <c r="F2144" i="53"/>
  <c r="F1788" i="53"/>
  <c r="F1781" i="53"/>
  <c r="F2159" i="53"/>
  <c r="F2164" i="53"/>
  <c r="F1713" i="53"/>
  <c r="F1641" i="53"/>
  <c r="F1181" i="53"/>
  <c r="F2242" i="53"/>
  <c r="F2163" i="53"/>
  <c r="F2149" i="53"/>
  <c r="F1243" i="53"/>
  <c r="F1184" i="53"/>
  <c r="F1180" i="53"/>
  <c r="F2158" i="53"/>
  <c r="F2142" i="53"/>
  <c r="F1772" i="53"/>
  <c r="F2239" i="53"/>
  <c r="F1802" i="53"/>
  <c r="F1159" i="53"/>
  <c r="F1148" i="53"/>
  <c r="F1152" i="53"/>
  <c r="F1475" i="53"/>
  <c r="F1440" i="53"/>
  <c r="F1151" i="53"/>
  <c r="F1147" i="53"/>
  <c r="F1102" i="53"/>
  <c r="F1110" i="53"/>
  <c r="F2317" i="53"/>
  <c r="F2319" i="53"/>
  <c r="F1555" i="53"/>
  <c r="J642" i="53"/>
  <c r="J7" i="53"/>
  <c r="J20" i="53"/>
  <c r="F675" i="53"/>
  <c r="F662" i="53"/>
  <c r="F750" i="53"/>
  <c r="F860" i="53"/>
  <c r="F1365" i="53"/>
  <c r="F1350" i="53"/>
  <c r="F103" i="53"/>
  <c r="F2179" i="53"/>
  <c r="F2181" i="53"/>
  <c r="F1517" i="53"/>
  <c r="F1439" i="53"/>
  <c r="F913" i="53"/>
  <c r="F905" i="53"/>
  <c r="J1486" i="53"/>
  <c r="F34" i="53"/>
  <c r="F7" i="53"/>
  <c r="J1745" i="53"/>
  <c r="F921" i="53"/>
  <c r="F912" i="53"/>
  <c r="F33" i="53"/>
  <c r="F18" i="53"/>
  <c r="F5" i="53"/>
  <c r="F1026" i="53"/>
  <c r="F1065" i="53"/>
  <c r="F1109" i="53"/>
  <c r="F1378" i="53"/>
  <c r="F2236" i="53"/>
  <c r="F2178" i="53"/>
  <c r="F731" i="53"/>
  <c r="F2196" i="53"/>
  <c r="J1768" i="53"/>
  <c r="J628" i="53"/>
  <c r="J635" i="53"/>
  <c r="F877" i="53"/>
  <c r="M2076" i="53"/>
  <c r="M2071" i="53"/>
  <c r="M2226" i="53"/>
  <c r="M2220" i="53"/>
  <c r="M2108" i="53"/>
  <c r="M2126" i="53"/>
  <c r="M2123" i="53"/>
  <c r="M2119" i="53"/>
  <c r="M2051" i="53"/>
  <c r="M2040" i="53"/>
  <c r="M2043" i="53"/>
  <c r="M2199" i="53"/>
  <c r="M2161" i="53"/>
  <c r="M2146" i="53"/>
  <c r="M2183" i="53"/>
  <c r="M2155" i="53"/>
  <c r="M2139" i="53"/>
  <c r="M2087" i="53"/>
  <c r="M2052" i="53"/>
  <c r="M2053" i="53"/>
  <c r="M2209" i="53"/>
  <c r="M2057" i="53"/>
  <c r="M2058" i="53"/>
  <c r="M2059" i="53"/>
  <c r="M2227" i="53"/>
  <c r="M2228" i="53"/>
  <c r="M2168" i="53"/>
  <c r="M2169" i="53"/>
  <c r="M2170" i="53"/>
  <c r="M2171" i="53"/>
  <c r="M2184" i="53"/>
  <c r="M2185" i="53"/>
  <c r="M2186" i="53"/>
  <c r="M2187" i="53"/>
  <c r="M2188" i="53"/>
  <c r="M2229" i="53"/>
  <c r="M2172" i="53"/>
  <c r="M2173" i="53"/>
  <c r="M2189" i="53"/>
  <c r="M2211" i="53"/>
  <c r="M2212" i="53"/>
  <c r="M2210" i="53"/>
  <c r="M2165" i="53"/>
  <c r="M2200" i="53"/>
  <c r="M2162" i="53"/>
  <c r="M2147" i="53"/>
  <c r="M2221" i="53"/>
  <c r="M2201" i="53"/>
  <c r="M2045" i="53"/>
  <c r="M2037" i="53"/>
  <c r="M2216" i="53"/>
  <c r="M2148" i="53"/>
  <c r="M2099" i="53"/>
  <c r="M2061" i="53"/>
  <c r="M2110" i="53"/>
  <c r="M2098" i="53"/>
  <c r="M2088" i="53"/>
  <c r="M2128" i="53"/>
  <c r="M2116" i="53"/>
  <c r="M2112" i="53"/>
  <c r="M2134" i="53"/>
  <c r="M2064" i="53"/>
  <c r="M2191" i="53"/>
  <c r="M2157" i="53"/>
  <c r="M2141" i="53"/>
  <c r="M2222" i="53"/>
  <c r="M2054" i="53"/>
  <c r="M2174" i="53"/>
  <c r="M2192" i="53"/>
  <c r="M2115" i="53"/>
  <c r="M2111" i="53"/>
  <c r="M2109" i="53"/>
  <c r="M2078" i="53"/>
  <c r="M2073" i="53"/>
  <c r="M2079" i="53"/>
  <c r="M2127" i="53"/>
  <c r="M2120" i="53"/>
  <c r="M2175" i="53"/>
  <c r="M2193" i="53"/>
  <c r="M2176" i="53"/>
  <c r="M2194" i="53"/>
  <c r="M2129" i="53"/>
  <c r="F146" i="53"/>
  <c r="F1346" i="53"/>
  <c r="F1088" i="53"/>
  <c r="F1364" i="53"/>
  <c r="F55" i="53"/>
  <c r="F63" i="53"/>
  <c r="F116" i="53"/>
  <c r="F118" i="53"/>
  <c r="F239" i="53"/>
  <c r="F617" i="53"/>
  <c r="F1210" i="53"/>
  <c r="F1212" i="53"/>
  <c r="F1285" i="53"/>
  <c r="F1523" i="53"/>
  <c r="F1530" i="53"/>
  <c r="F1721" i="53"/>
  <c r="F1728" i="53"/>
  <c r="F1806" i="53"/>
  <c r="F1813" i="53"/>
  <c r="F1873" i="53"/>
  <c r="F1915" i="53"/>
  <c r="F2005" i="53"/>
  <c r="F2129" i="53"/>
  <c r="F2194" i="53"/>
  <c r="F730" i="53"/>
  <c r="F2176" i="53"/>
  <c r="F2235" i="53"/>
  <c r="F1516" i="53"/>
  <c r="F2193" i="53"/>
  <c r="F102" i="53"/>
  <c r="F729" i="53"/>
  <c r="F1438" i="53"/>
  <c r="F1474" i="53"/>
  <c r="F1515" i="53"/>
  <c r="F1708" i="53"/>
  <c r="F2175" i="53"/>
  <c r="F2234" i="53"/>
  <c r="F1150" i="53"/>
  <c r="F1389" i="53"/>
  <c r="F1436" i="53"/>
  <c r="F718" i="53"/>
  <c r="F883" i="53"/>
  <c r="F884" i="53"/>
  <c r="F930" i="53"/>
  <c r="F937" i="53"/>
  <c r="F942" i="53"/>
  <c r="F948" i="53"/>
  <c r="F956" i="53"/>
  <c r="F964" i="53"/>
  <c r="F971" i="53"/>
  <c r="F1033" i="53"/>
  <c r="F1536" i="53"/>
  <c r="J953" i="53"/>
  <c r="J1042" i="53"/>
  <c r="J1000" i="53"/>
  <c r="J1621" i="53"/>
  <c r="F1621" i="53"/>
  <c r="J259" i="53"/>
  <c r="J1884" i="53"/>
  <c r="F1087" i="53"/>
  <c r="F1082" i="53"/>
  <c r="F109" i="53"/>
  <c r="F87" i="53"/>
  <c r="F40" i="53"/>
  <c r="F110" i="53"/>
  <c r="F89" i="53"/>
  <c r="F41" i="53"/>
  <c r="F1488" i="53"/>
  <c r="F1471" i="53"/>
  <c r="F1349" i="53"/>
  <c r="F1345" i="53"/>
  <c r="F1337" i="53"/>
  <c r="F1101" i="53"/>
  <c r="J2171" i="53"/>
  <c r="F2170" i="53"/>
  <c r="J93" i="53"/>
  <c r="F91" i="53"/>
  <c r="J1699" i="53"/>
  <c r="J1701" i="53" s="1"/>
  <c r="F1615" i="53"/>
  <c r="F1554" i="53"/>
  <c r="F1619" i="53"/>
  <c r="J1327" i="53"/>
  <c r="F2171" i="53"/>
  <c r="F990" i="53"/>
  <c r="F1830" i="53"/>
  <c r="F1849" i="53"/>
  <c r="F1831" i="53"/>
  <c r="F2120" i="53"/>
  <c r="F2248" i="53"/>
  <c r="F1344" i="53"/>
  <c r="F2079" i="53"/>
  <c r="F2127" i="53"/>
  <c r="F2185" i="53"/>
  <c r="F92" i="53"/>
  <c r="F2078" i="53"/>
  <c r="F2073" i="53"/>
  <c r="F2246" i="53"/>
  <c r="F1965" i="53"/>
  <c r="F911" i="53"/>
  <c r="F920" i="53"/>
  <c r="F1529" i="53"/>
  <c r="F1539" i="53"/>
  <c r="F1669" i="53"/>
  <c r="F1706" i="53"/>
  <c r="F1470" i="53"/>
  <c r="F1434" i="53"/>
  <c r="F728" i="53"/>
  <c r="F99" i="53"/>
  <c r="F1687" i="53"/>
  <c r="F1682" i="53"/>
  <c r="F60" i="53"/>
  <c r="J724" i="53"/>
  <c r="F1625" i="53"/>
  <c r="F1368" i="53"/>
  <c r="F1360" i="53"/>
  <c r="F1624" i="53"/>
  <c r="F2268" i="53"/>
  <c r="F1946" i="53"/>
  <c r="F1200" i="53"/>
  <c r="F2318" i="53"/>
  <c r="M2214" i="53"/>
  <c r="M2130" i="53"/>
  <c r="M2215" i="53"/>
  <c r="M2131" i="53"/>
  <c r="M2132" i="53"/>
  <c r="M2133" i="53"/>
  <c r="M2151" i="53"/>
  <c r="M2135" i="53"/>
  <c r="M2152" i="53"/>
  <c r="M2136" i="53"/>
  <c r="M2093" i="53"/>
  <c r="M2094" i="53"/>
  <c r="M2092" i="53"/>
  <c r="M2095" i="53"/>
  <c r="M2096" i="53"/>
  <c r="M2046" i="53"/>
  <c r="M2047" i="53"/>
  <c r="M2015" i="53"/>
  <c r="M2097" i="53"/>
  <c r="M2124" i="53"/>
  <c r="M2121" i="53"/>
  <c r="M2117" i="53"/>
  <c r="M2103" i="53"/>
  <c r="M2150" i="53"/>
  <c r="M2218" i="53"/>
  <c r="M2224" i="53"/>
  <c r="M2048" i="53"/>
  <c r="M2225" i="53"/>
  <c r="M2219" i="53"/>
  <c r="M2207" i="53"/>
  <c r="M2205" i="53"/>
  <c r="M2203" i="53"/>
  <c r="M2125" i="53"/>
  <c r="M2122" i="53"/>
  <c r="M2118" i="53"/>
  <c r="M2104" i="53"/>
  <c r="M2105" i="53"/>
  <c r="M2074" i="53"/>
  <c r="M2067" i="53"/>
  <c r="M2137" i="53"/>
  <c r="M2041" i="53"/>
  <c r="M2208" i="53"/>
  <c r="M2206" i="53"/>
  <c r="M2204" i="53"/>
  <c r="M2055" i="53"/>
  <c r="M2056" i="53"/>
  <c r="M2038" i="53"/>
  <c r="M2068" i="53"/>
  <c r="M2062" i="53"/>
  <c r="M2197" i="53"/>
  <c r="M2086" i="53"/>
  <c r="M2039" i="53"/>
  <c r="M2060" i="53"/>
  <c r="M2016" i="53"/>
  <c r="M2017" i="53"/>
  <c r="M2018" i="53"/>
  <c r="M2019" i="53"/>
  <c r="M2089" i="53"/>
  <c r="M2021" i="53"/>
  <c r="M2090" i="53"/>
  <c r="M2202" i="53"/>
  <c r="M2167" i="53"/>
  <c r="M2114" i="53"/>
  <c r="M2113" i="53"/>
  <c r="M2106" i="53"/>
  <c r="M2100" i="53"/>
  <c r="M2023" i="53"/>
  <c r="M2024" i="53"/>
  <c r="M2080" i="53"/>
  <c r="M2026" i="53"/>
  <c r="M2081" i="53"/>
  <c r="M2027" i="53"/>
  <c r="M2028" i="53"/>
  <c r="M2029" i="53"/>
  <c r="M2030" i="53"/>
  <c r="M2031" i="53"/>
  <c r="M2032" i="53"/>
  <c r="M2033" i="53"/>
  <c r="M2082" i="53"/>
  <c r="M2083" i="53"/>
  <c r="M2198" i="53"/>
  <c r="M2180" i="53"/>
  <c r="M2160" i="53"/>
  <c r="M2145" i="53"/>
  <c r="M2154" i="53"/>
  <c r="M2138" i="53"/>
  <c r="M2075" i="53"/>
  <c r="M2069" i="53"/>
  <c r="M2049" i="53"/>
  <c r="M2085" i="53"/>
  <c r="M2050" i="53"/>
  <c r="M2042" i="53"/>
  <c r="M2107" i="53"/>
  <c r="M2101" i="53"/>
  <c r="M2070" i="53"/>
  <c r="M2063" i="53"/>
  <c r="M2034" i="53"/>
  <c r="M2091" i="53"/>
  <c r="M2084" i="53"/>
  <c r="M2223" i="53"/>
  <c r="M2217" i="53"/>
  <c r="M2213" i="53"/>
  <c r="M2102" i="53"/>
  <c r="M2035" i="53"/>
  <c r="J668" i="53"/>
  <c r="J671" i="53" s="1"/>
  <c r="F1752" i="53"/>
  <c r="F1736" i="53"/>
  <c r="F1725" i="53"/>
  <c r="F1683" i="53"/>
  <c r="F1612" i="53"/>
  <c r="F1611" i="53"/>
  <c r="F1574" i="53"/>
  <c r="F1542" i="53"/>
  <c r="F1373" i="53"/>
  <c r="F1215" i="53"/>
  <c r="F1211" i="53"/>
  <c r="F1189" i="53"/>
  <c r="F1188" i="53"/>
  <c r="F897" i="53"/>
  <c r="F890" i="53"/>
  <c r="F904" i="53"/>
  <c r="F898" i="53"/>
  <c r="F892" i="53"/>
  <c r="F903" i="53"/>
  <c r="F2111" i="53"/>
  <c r="F2109" i="53"/>
  <c r="F1894" i="53"/>
  <c r="F1872" i="53"/>
  <c r="F1819" i="53"/>
  <c r="F1810" i="53"/>
  <c r="F1797" i="53"/>
  <c r="F1695" i="53"/>
  <c r="F1692" i="53"/>
  <c r="F1602" i="53"/>
  <c r="F1383" i="53"/>
  <c r="F1219" i="53"/>
  <c r="F79" i="53"/>
  <c r="F1784" i="53"/>
  <c r="F1502" i="53"/>
  <c r="F2115" i="53"/>
  <c r="F2077" i="53"/>
  <c r="F2072" i="53"/>
  <c r="F2065" i="53"/>
  <c r="F1684" i="53"/>
  <c r="F1679" i="53"/>
  <c r="F57" i="53"/>
  <c r="F1685" i="53"/>
  <c r="F1680" i="53"/>
  <c r="F58" i="53"/>
  <c r="F49" i="53"/>
  <c r="F627" i="53"/>
  <c r="F634" i="53"/>
  <c r="F635" i="53"/>
  <c r="F628" i="53"/>
  <c r="F2299" i="53"/>
  <c r="F2054" i="53"/>
  <c r="F2232" i="53"/>
  <c r="F2174" i="53"/>
  <c r="F1704" i="53"/>
  <c r="F1467" i="53"/>
  <c r="F1431" i="53"/>
  <c r="F919" i="53"/>
  <c r="F910" i="53"/>
  <c r="F902" i="53"/>
  <c r="F896" i="53"/>
  <c r="F888" i="53"/>
  <c r="F727" i="53"/>
  <c r="F96" i="53"/>
  <c r="F2192" i="53"/>
  <c r="F1527" i="53"/>
  <c r="F1533" i="53"/>
  <c r="F1537" i="53"/>
  <c r="F90" i="53"/>
  <c r="F978" i="53"/>
  <c r="F2222" i="53"/>
  <c r="J1656" i="53"/>
  <c r="F1655" i="53"/>
  <c r="F1656" i="53"/>
  <c r="J1664" i="53"/>
  <c r="F1663" i="53"/>
  <c r="F929" i="53"/>
  <c r="F1025" i="53"/>
  <c r="F1064" i="53"/>
  <c r="F1024" i="53"/>
  <c r="F1063" i="53"/>
  <c r="F1023" i="53"/>
  <c r="F1062" i="53"/>
  <c r="F1022" i="53"/>
  <c r="F1061" i="53"/>
  <c r="F1021" i="53"/>
  <c r="F1060" i="53"/>
  <c r="F1059" i="53"/>
  <c r="F1020" i="53"/>
  <c r="F2245" i="53"/>
  <c r="F2201" i="53"/>
  <c r="F2045" i="53"/>
  <c r="F2037" i="53"/>
  <c r="F2009" i="53"/>
  <c r="F2006" i="53"/>
  <c r="F1995" i="53"/>
  <c r="F1973" i="53"/>
  <c r="F1963" i="53"/>
  <c r="F1939" i="53"/>
  <c r="F1933" i="53"/>
  <c r="F1930" i="53"/>
  <c r="F1924" i="53"/>
  <c r="F1823" i="53"/>
  <c r="F1801" i="53"/>
  <c r="F1787" i="53"/>
  <c r="F1786" i="53"/>
  <c r="F1755" i="53"/>
  <c r="F1754" i="53"/>
  <c r="F1678" i="53"/>
  <c r="F1506" i="53"/>
  <c r="F1214" i="53"/>
  <c r="F833" i="53"/>
  <c r="F245" i="53"/>
  <c r="F240" i="53"/>
  <c r="F229" i="53"/>
  <c r="F176" i="53"/>
  <c r="F65" i="53"/>
  <c r="F56" i="53"/>
  <c r="F2300" i="53"/>
  <c r="F2276" i="53"/>
  <c r="F2273" i="53"/>
  <c r="F2216" i="53"/>
  <c r="F2148" i="53"/>
  <c r="F2099" i="53"/>
  <c r="F2061" i="53"/>
  <c r="F1941" i="53"/>
  <c r="F1940" i="53"/>
  <c r="F1938" i="53"/>
  <c r="F1937" i="53"/>
  <c r="F1923" i="53"/>
  <c r="F1899" i="53"/>
  <c r="F1895" i="53"/>
  <c r="F1875" i="53"/>
  <c r="F1843" i="53"/>
  <c r="F2286" i="53"/>
  <c r="F2110" i="53"/>
  <c r="F2098" i="53"/>
  <c r="F2088" i="53"/>
  <c r="F1820" i="53"/>
  <c r="F1789" i="53"/>
  <c r="F1773" i="53"/>
  <c r="F1735" i="53"/>
  <c r="F1730" i="53"/>
  <c r="F2308" i="53"/>
  <c r="F2128" i="53"/>
  <c r="F2116" i="53"/>
  <c r="F2112" i="53"/>
  <c r="F1972" i="53"/>
  <c r="F1970" i="53"/>
  <c r="F1785" i="53"/>
  <c r="F1715" i="53"/>
  <c r="F1224" i="53"/>
  <c r="F1213" i="53"/>
  <c r="F834" i="53"/>
  <c r="F703" i="53"/>
  <c r="F74" i="53"/>
  <c r="F64" i="53"/>
  <c r="F1969" i="53"/>
  <c r="F1935" i="53"/>
  <c r="F1691" i="53"/>
  <c r="F174" i="53"/>
  <c r="F76" i="53"/>
  <c r="F61" i="53"/>
  <c r="F1998" i="53"/>
  <c r="F1566" i="53"/>
  <c r="F1308" i="53"/>
  <c r="F832" i="53"/>
  <c r="F831" i="53"/>
  <c r="F830" i="53"/>
  <c r="F828" i="53"/>
  <c r="F677" i="53"/>
  <c r="F163" i="53"/>
  <c r="F2305" i="53"/>
  <c r="F2134" i="53"/>
  <c r="F2064" i="53"/>
  <c r="F1992" i="53"/>
  <c r="F1803" i="53"/>
  <c r="F1790" i="53"/>
  <c r="F1729" i="53"/>
  <c r="F1673" i="53"/>
  <c r="F1637" i="53"/>
  <c r="F1541" i="53"/>
  <c r="F1503" i="53"/>
  <c r="F847" i="53"/>
  <c r="F2191" i="53"/>
  <c r="F2157" i="53"/>
  <c r="F2141" i="53"/>
  <c r="F1829" i="53"/>
  <c r="F1058" i="53"/>
  <c r="F1019" i="53"/>
  <c r="F625" i="53"/>
  <c r="F1208" i="53"/>
  <c r="F203" i="53"/>
  <c r="J2028" i="53"/>
  <c r="F2027" i="53"/>
  <c r="J1462" i="53"/>
  <c r="F1461" i="53"/>
  <c r="F1485" i="53"/>
  <c r="F1700" i="53"/>
  <c r="F1699" i="53"/>
  <c r="F1484" i="53"/>
  <c r="F1483" i="53"/>
  <c r="F327" i="53"/>
  <c r="F1749" i="53"/>
  <c r="F1081" i="53"/>
  <c r="F1460" i="53"/>
  <c r="F900" i="53"/>
  <c r="F894" i="53"/>
  <c r="F886" i="53"/>
  <c r="F901" i="53"/>
  <c r="F895" i="53"/>
  <c r="F887" i="53"/>
  <c r="F2238" i="53"/>
  <c r="F2231" i="53"/>
  <c r="F2221" i="53"/>
  <c r="F1903" i="53"/>
  <c r="F1902" i="53"/>
  <c r="F1900" i="53"/>
  <c r="F1443" i="53"/>
  <c r="F1430" i="53"/>
  <c r="F1390" i="53"/>
  <c r="F1388" i="53"/>
  <c r="F1301" i="53"/>
  <c r="F1298" i="53"/>
  <c r="F1293" i="53"/>
  <c r="F1292" i="53"/>
  <c r="F1286" i="53"/>
  <c r="F1284" i="53"/>
  <c r="F1282" i="53"/>
  <c r="F1278" i="53"/>
  <c r="F1171" i="53"/>
  <c r="F1169" i="53"/>
  <c r="F1167" i="53"/>
  <c r="F1166" i="53"/>
  <c r="F1165" i="53"/>
  <c r="F1164" i="53"/>
  <c r="F1882" i="53"/>
  <c r="F1893" i="53"/>
  <c r="F1771" i="53"/>
  <c r="F1672" i="53"/>
  <c r="F1540" i="53"/>
  <c r="F1263" i="53"/>
  <c r="F1242" i="53"/>
  <c r="F478" i="53"/>
  <c r="F429" i="53"/>
  <c r="F326" i="53"/>
  <c r="F287" i="53"/>
  <c r="F1698" i="53"/>
  <c r="F1307" i="53"/>
  <c r="F1697" i="53"/>
  <c r="F1513" i="53"/>
  <c r="F1512" i="53"/>
  <c r="F1505" i="53"/>
  <c r="F1795" i="53"/>
  <c r="F1270" i="53"/>
  <c r="F1268" i="53"/>
  <c r="F1265" i="53"/>
  <c r="F1487" i="53"/>
  <c r="F1466" i="53"/>
  <c r="F1429" i="53"/>
  <c r="F1328" i="53"/>
  <c r="F1108" i="53"/>
  <c r="F1100" i="53"/>
  <c r="F970" i="53"/>
  <c r="F963" i="53"/>
  <c r="F955" i="53"/>
  <c r="F936" i="53"/>
  <c r="F928" i="53"/>
  <c r="F244" i="53"/>
  <c r="F2241" i="53"/>
  <c r="F2237" i="53"/>
  <c r="F2200" i="53"/>
  <c r="F2162" i="53"/>
  <c r="F2147" i="53"/>
  <c r="F1712" i="53"/>
  <c r="F1640" i="53"/>
  <c r="F1179" i="53"/>
  <c r="F2307" i="53"/>
  <c r="F2282" i="53"/>
  <c r="F2281" i="53"/>
  <c r="F2280" i="53"/>
  <c r="F2212" i="53"/>
  <c r="F2210" i="53"/>
  <c r="F2165" i="53"/>
  <c r="F1991" i="53"/>
  <c r="F1989" i="53"/>
  <c r="F1756" i="53"/>
  <c r="F1631" i="53"/>
  <c r="F1630" i="53"/>
  <c r="F1628" i="53"/>
  <c r="F1598" i="53"/>
  <c r="F1514" i="53"/>
  <c r="F1377" i="53"/>
  <c r="F1376" i="53"/>
  <c r="F1375" i="53"/>
  <c r="F1374" i="53"/>
  <c r="F1371" i="53"/>
  <c r="F1370" i="53"/>
  <c r="F291" i="53"/>
  <c r="F1056" i="53"/>
  <c r="F1017" i="53"/>
  <c r="F1057" i="53"/>
  <c r="F1018" i="53"/>
  <c r="F918" i="53"/>
  <c r="F909" i="53"/>
  <c r="F13" i="53"/>
  <c r="F1693" i="53"/>
  <c r="F2211" i="53"/>
  <c r="F1690" i="53"/>
  <c r="F1632" i="53"/>
  <c r="F1372" i="53"/>
  <c r="F2230" i="53"/>
  <c r="F2173" i="53"/>
  <c r="F1703" i="53"/>
  <c r="F1465" i="53"/>
  <c r="F1428" i="53"/>
  <c r="F916" i="53"/>
  <c r="F907" i="53"/>
  <c r="F726" i="53"/>
  <c r="F95" i="53"/>
  <c r="F32" i="53"/>
  <c r="F17" i="53"/>
  <c r="F4" i="53"/>
  <c r="F2189" i="53"/>
  <c r="F2188" i="53"/>
  <c r="F2229" i="53"/>
  <c r="F2172" i="53"/>
  <c r="F1702" i="53"/>
  <c r="F1464" i="53"/>
  <c r="F1427" i="53"/>
  <c r="F899" i="53"/>
  <c r="F893" i="53"/>
  <c r="F885" i="53"/>
  <c r="F725" i="53"/>
  <c r="F94" i="53"/>
  <c r="F1486" i="53"/>
  <c r="F1463" i="53"/>
  <c r="F1426" i="53"/>
  <c r="F1327" i="53"/>
  <c r="F1107" i="53"/>
  <c r="F1099" i="53"/>
  <c r="F969" i="53"/>
  <c r="F962" i="53"/>
  <c r="F954" i="53"/>
  <c r="F947" i="53"/>
  <c r="F941" i="53"/>
  <c r="F935" i="53"/>
  <c r="F927" i="53"/>
  <c r="J1194" i="53"/>
  <c r="F2228" i="53"/>
  <c r="F2169" i="53"/>
  <c r="F1701" i="53"/>
  <c r="F1462" i="53"/>
  <c r="F915" i="53"/>
  <c r="F906" i="53"/>
  <c r="F724" i="53"/>
  <c r="F93" i="53"/>
  <c r="F2187" i="53"/>
  <c r="J1425" i="53"/>
  <c r="F1424" i="53"/>
  <c r="F1423" i="53"/>
  <c r="F1425" i="53"/>
  <c r="F1971" i="53"/>
  <c r="F1508" i="53"/>
  <c r="F2227" i="53"/>
  <c r="F1459" i="53"/>
  <c r="F914" i="53"/>
  <c r="F2244" i="53"/>
  <c r="F2059" i="53"/>
  <c r="F1958" i="53"/>
  <c r="F1957" i="53"/>
  <c r="F2058" i="53"/>
  <c r="F2057" i="53"/>
  <c r="F2243" i="53"/>
  <c r="F670" i="53"/>
  <c r="F2030" i="53"/>
  <c r="F1947" i="53"/>
  <c r="F1747" i="53"/>
  <c r="F1623" i="53"/>
  <c r="F1988" i="53"/>
  <c r="F83" i="53"/>
  <c r="F107" i="53"/>
  <c r="F84" i="53"/>
  <c r="F108" i="53"/>
  <c r="F86" i="53"/>
  <c r="F669" i="53"/>
  <c r="F1696" i="53"/>
  <c r="F1761" i="53"/>
  <c r="F1671" i="53"/>
  <c r="F1553" i="53"/>
  <c r="F876" i="53"/>
  <c r="F854" i="53"/>
  <c r="F1794" i="53"/>
  <c r="F1783" i="53"/>
  <c r="F1629" i="53"/>
  <c r="F1565" i="53"/>
  <c r="F1564" i="53"/>
  <c r="F1501" i="53"/>
  <c r="F1499" i="53"/>
  <c r="F2209" i="53"/>
  <c r="F1800" i="53"/>
  <c r="F1763" i="53"/>
  <c r="F1762" i="53"/>
  <c r="F1746" i="53"/>
  <c r="F1724" i="53"/>
  <c r="F1670" i="53"/>
  <c r="F1601" i="53"/>
  <c r="F1591" i="53"/>
  <c r="F1552" i="53"/>
  <c r="F1545" i="53"/>
  <c r="F1111" i="53"/>
  <c r="F1112" i="53"/>
  <c r="F1115" i="53"/>
  <c r="F1120" i="53"/>
  <c r="F1123" i="53"/>
  <c r="F1124" i="53"/>
  <c r="F1125" i="53"/>
  <c r="F1127" i="53"/>
  <c r="F1128" i="53"/>
  <c r="F1139" i="53"/>
  <c r="F1143" i="53"/>
  <c r="F1144" i="53"/>
  <c r="F1322" i="53"/>
  <c r="F1323" i="53"/>
  <c r="F1594" i="53"/>
  <c r="F1113" i="53"/>
  <c r="F1114" i="53"/>
  <c r="F1121" i="53"/>
  <c r="F1116" i="53"/>
  <c r="F1117" i="53"/>
  <c r="F1129" i="53"/>
  <c r="F1130" i="53"/>
  <c r="F1324" i="53"/>
  <c r="F1595" i="53"/>
  <c r="F1596" i="53"/>
  <c r="F1597" i="53"/>
  <c r="F1009" i="53"/>
  <c r="F1010" i="53"/>
  <c r="F1011" i="53"/>
  <c r="F1012" i="53"/>
  <c r="F1013" i="53"/>
  <c r="F1014" i="53"/>
  <c r="F1015" i="53"/>
  <c r="F1016" i="53"/>
  <c r="F1770" i="53"/>
  <c r="F1878" i="53"/>
  <c r="F1879" i="53"/>
  <c r="F1880" i="53"/>
  <c r="F1881" i="53"/>
  <c r="F1071" i="53"/>
  <c r="F1626" i="53"/>
  <c r="F1198" i="53"/>
  <c r="F2087" i="53"/>
  <c r="F1932" i="53"/>
  <c r="F2052" i="53"/>
  <c r="F2053" i="53"/>
  <c r="F1926" i="53"/>
  <c r="F741" i="53"/>
  <c r="F1342" i="53"/>
  <c r="F1085" i="53"/>
  <c r="F1343" i="53"/>
  <c r="F1086" i="53"/>
  <c r="F1325" i="53"/>
  <c r="F979" i="53"/>
  <c r="F975" i="53"/>
  <c r="F968" i="53"/>
  <c r="F961" i="53"/>
  <c r="F953" i="53"/>
  <c r="F946" i="53"/>
  <c r="F940" i="53"/>
  <c r="F934" i="53"/>
  <c r="F926" i="53"/>
  <c r="F1422" i="53"/>
  <c r="F1387" i="53"/>
  <c r="F1005" i="53"/>
  <c r="F1006" i="53"/>
  <c r="F1007" i="53"/>
  <c r="F1008" i="53"/>
  <c r="F1409" i="53"/>
  <c r="F809" i="53"/>
  <c r="F1458" i="53"/>
  <c r="F1158" i="53"/>
  <c r="F1106" i="53"/>
  <c r="F1604" i="53"/>
  <c r="F1603" i="53"/>
  <c r="F1590" i="53"/>
  <c r="F1651" i="53"/>
  <c r="F154" i="53"/>
  <c r="F145" i="53"/>
  <c r="F2260" i="53"/>
  <c r="F1652" i="53"/>
  <c r="F155" i="53"/>
  <c r="F2199" i="53"/>
  <c r="F2161" i="53"/>
  <c r="F2146" i="53"/>
  <c r="F1639" i="53"/>
  <c r="F2183" i="53"/>
  <c r="F2155" i="53"/>
  <c r="F2139" i="53"/>
  <c r="F1260" i="53"/>
  <c r="F1239" i="53"/>
  <c r="F475" i="53"/>
  <c r="F426" i="53"/>
  <c r="F354" i="53"/>
  <c r="F323" i="53"/>
  <c r="F284" i="53"/>
  <c r="F1261" i="53"/>
  <c r="F1240" i="53"/>
  <c r="F476" i="53"/>
  <c r="F427" i="53"/>
  <c r="F355" i="53"/>
  <c r="F324" i="53"/>
  <c r="F285" i="53"/>
  <c r="F1262" i="53"/>
  <c r="F1241" i="53"/>
  <c r="F477" i="53"/>
  <c r="F428" i="53"/>
  <c r="F356" i="53"/>
  <c r="F325" i="53"/>
  <c r="F286" i="53"/>
  <c r="F1421" i="53"/>
  <c r="F106" i="53"/>
  <c r="F1481" i="53"/>
  <c r="F1420" i="53"/>
  <c r="F132" i="53"/>
  <c r="F31" i="53"/>
  <c r="F16" i="53"/>
  <c r="F3" i="53"/>
  <c r="F1744" i="53"/>
  <c r="F2029" i="53"/>
  <c r="F2043" i="53"/>
  <c r="F1076" i="53"/>
  <c r="F1901" i="53"/>
  <c r="F661" i="53"/>
  <c r="F2240" i="53"/>
  <c r="F1575" i="53"/>
  <c r="F660" i="53"/>
  <c r="F1842" i="53"/>
  <c r="F1562" i="53"/>
  <c r="F1563" i="53"/>
  <c r="F668" i="53"/>
  <c r="F2283" i="53"/>
  <c r="F1740" i="53"/>
  <c r="F1204" i="53"/>
  <c r="F1207" i="53"/>
  <c r="F1206" i="53"/>
  <c r="F2267" i="53"/>
  <c r="F2261" i="53"/>
  <c r="F2051" i="53"/>
  <c r="F2040" i="53"/>
  <c r="F1560" i="53"/>
  <c r="F1163" i="53"/>
  <c r="F966" i="53"/>
  <c r="F958" i="53"/>
  <c r="F959" i="53"/>
  <c r="F950" i="53"/>
  <c r="F944" i="53"/>
  <c r="F939" i="53"/>
  <c r="F932" i="53"/>
  <c r="F923" i="53"/>
  <c r="F716" i="53"/>
  <c r="F977" i="53"/>
  <c r="F973" i="53"/>
  <c r="F951" i="53"/>
  <c r="F933" i="53"/>
  <c r="F924" i="53"/>
  <c r="F717" i="53"/>
  <c r="F1836" i="53"/>
  <c r="F1828" i="53"/>
  <c r="F1841" i="53"/>
  <c r="F1848" i="53"/>
  <c r="F1854" i="53"/>
  <c r="F1859" i="53"/>
  <c r="F1864" i="53"/>
  <c r="F1869" i="53"/>
  <c r="F2119" i="53"/>
  <c r="F2123" i="53"/>
  <c r="F2126" i="53"/>
  <c r="F1659" i="53"/>
  <c r="F1667" i="53"/>
  <c r="F1658" i="53"/>
  <c r="F1666" i="53"/>
  <c r="F1977" i="53"/>
  <c r="F1981" i="53"/>
  <c r="F1987" i="53"/>
  <c r="F2108" i="53"/>
  <c r="F2220" i="53"/>
  <c r="F2226" i="53"/>
  <c r="F2312" i="53"/>
  <c r="F2316" i="53"/>
  <c r="F1359" i="53"/>
  <c r="F1363" i="53"/>
  <c r="F2071" i="53"/>
  <c r="F2076" i="53"/>
  <c r="F46" i="53"/>
  <c r="F621" i="53"/>
  <c r="F632" i="53"/>
  <c r="F1528" i="53"/>
  <c r="F1534" i="53"/>
  <c r="F1538" i="53"/>
  <c r="F1657" i="53"/>
  <c r="F1665" i="53"/>
  <c r="F1525" i="53"/>
  <c r="F1531" i="53"/>
  <c r="F1535" i="53"/>
  <c r="F1664" i="53"/>
  <c r="F638" i="53"/>
  <c r="F640" i="53"/>
  <c r="J691" i="53"/>
  <c r="F690" i="53"/>
  <c r="F689" i="53"/>
  <c r="F688" i="53"/>
  <c r="J666" i="53"/>
  <c r="F665" i="53"/>
  <c r="F664" i="53"/>
  <c r="F965" i="53"/>
  <c r="F957" i="53"/>
  <c r="F949" i="53"/>
  <c r="F943" i="53"/>
  <c r="F938" i="53"/>
  <c r="F931" i="53"/>
  <c r="F922" i="53"/>
  <c r="F715" i="53"/>
  <c r="F2274" i="53"/>
  <c r="F1751" i="53"/>
  <c r="F1793" i="53"/>
  <c r="F1272" i="53"/>
  <c r="F1269" i="53"/>
  <c r="F1267" i="53"/>
  <c r="F1264" i="53"/>
  <c r="F2298" i="53"/>
  <c r="F2256" i="53"/>
  <c r="F2091" i="53"/>
  <c r="F2084" i="53"/>
  <c r="F2004" i="53"/>
  <c r="F1929" i="53"/>
  <c r="F1920" i="53"/>
  <c r="F987" i="53"/>
  <c r="F39" i="53"/>
  <c r="F12" i="53"/>
  <c r="F2297" i="53"/>
  <c r="F2259" i="53"/>
  <c r="F2034" i="53"/>
  <c r="F2003" i="53"/>
  <c r="F1779" i="53"/>
  <c r="F1650" i="53"/>
  <c r="F1559" i="53"/>
  <c r="F986" i="53"/>
  <c r="F2258" i="53"/>
  <c r="F1778" i="53"/>
  <c r="F1649" i="53"/>
  <c r="F1635" i="53"/>
  <c r="F1558" i="53"/>
  <c r="F1201" i="53"/>
  <c r="F1162" i="53"/>
  <c r="F153" i="53"/>
  <c r="F144" i="53"/>
  <c r="F137" i="53"/>
  <c r="F1054" i="53"/>
  <c r="F1003" i="53"/>
  <c r="F1055" i="53"/>
  <c r="F1004" i="53"/>
  <c r="F207" i="53"/>
  <c r="F1456" i="53"/>
  <c r="F882" i="53"/>
  <c r="F1321" i="53"/>
  <c r="F1122" i="53"/>
  <c r="F1118" i="53"/>
  <c r="F2208" i="53"/>
  <c r="F2206" i="53"/>
  <c r="F2204" i="53"/>
  <c r="F1677" i="53"/>
  <c r="F1675" i="53"/>
  <c r="F1589" i="53"/>
  <c r="F1587" i="53"/>
  <c r="F1585" i="53"/>
  <c r="F1583" i="53"/>
  <c r="F1581" i="53"/>
  <c r="F1579" i="53"/>
  <c r="F1577" i="53"/>
  <c r="F1334" i="53"/>
  <c r="F1336" i="53"/>
  <c r="F1084" i="53"/>
  <c r="F1080" i="53"/>
  <c r="F745" i="53"/>
  <c r="F742" i="53"/>
  <c r="F735" i="53"/>
  <c r="F733" i="53"/>
  <c r="F1500" i="53"/>
  <c r="F1498" i="53"/>
  <c r="F1497" i="53"/>
  <c r="F1496" i="53"/>
  <c r="F1495" i="53"/>
  <c r="F1494" i="53"/>
  <c r="F1493" i="53"/>
  <c r="F1492" i="53"/>
  <c r="F1490" i="53"/>
  <c r="F1138" i="53"/>
  <c r="F1136" i="53"/>
  <c r="F1135" i="53"/>
  <c r="F1134" i="53"/>
  <c r="F1133" i="53"/>
  <c r="F674" i="53"/>
  <c r="F713" i="53"/>
  <c r="F1145" i="53"/>
  <c r="F1885" i="53"/>
  <c r="F1049" i="53"/>
  <c r="F1036" i="53"/>
  <c r="F1027" i="53"/>
  <c r="F1000" i="53"/>
  <c r="F615" i="53"/>
  <c r="F658" i="53"/>
  <c r="F844" i="53"/>
  <c r="F1818" i="53"/>
  <c r="F2055" i="53"/>
  <c r="F1355" i="53"/>
  <c r="F2056" i="53"/>
  <c r="F1356" i="53"/>
  <c r="F1366" i="53"/>
  <c r="F1367" i="53"/>
  <c r="F1886" i="53"/>
  <c r="F1883" i="53"/>
  <c r="F1764" i="53"/>
  <c r="F173" i="53"/>
  <c r="F2250" i="53"/>
  <c r="F1948" i="53"/>
  <c r="F559" i="53"/>
  <c r="F114" i="53"/>
  <c r="F2257" i="53"/>
  <c r="F2038" i="53"/>
  <c r="F612" i="53"/>
  <c r="F2068" i="53"/>
  <c r="F2062" i="53"/>
  <c r="F2010" i="53"/>
  <c r="F2007" i="53"/>
  <c r="F1921" i="53"/>
  <c r="F851" i="53"/>
  <c r="F773" i="53"/>
  <c r="F761" i="53"/>
  <c r="F765" i="53"/>
  <c r="F646" i="53"/>
  <c r="F237" i="53"/>
  <c r="F225" i="53"/>
  <c r="F37" i="53"/>
  <c r="F27" i="53"/>
  <c r="F81" i="53"/>
  <c r="F38" i="53"/>
  <c r="F2197" i="53"/>
  <c r="F1711" i="53"/>
  <c r="F1638" i="53"/>
  <c r="F1226" i="53"/>
  <c r="F1182" i="53"/>
  <c r="F1415" i="53"/>
  <c r="F1547" i="53"/>
  <c r="F1985" i="53"/>
  <c r="F692" i="53"/>
  <c r="F687" i="53"/>
  <c r="F2086" i="53"/>
  <c r="F2039" i="53"/>
  <c r="F1931" i="53"/>
  <c r="F1654" i="53"/>
  <c r="F1636" i="53"/>
  <c r="F1203" i="53"/>
  <c r="F989" i="53"/>
  <c r="F152" i="53"/>
  <c r="F376" i="53"/>
  <c r="F357" i="53"/>
  <c r="F328" i="53"/>
  <c r="F290" i="53"/>
  <c r="F1416" i="53"/>
  <c r="F379" i="53"/>
  <c r="F2284" i="53"/>
  <c r="F1945" i="53"/>
  <c r="F980" i="53"/>
  <c r="F2288" i="53"/>
  <c r="F2060" i="53"/>
  <c r="F2016" i="53"/>
  <c r="F1999" i="53"/>
  <c r="F1521" i="53"/>
  <c r="F2017" i="53"/>
  <c r="F2018" i="53"/>
  <c r="F2019" i="53"/>
  <c r="F1927" i="53"/>
  <c r="F2089" i="53"/>
  <c r="F982" i="53"/>
  <c r="F2021" i="53"/>
  <c r="F1928" i="53"/>
  <c r="F2090" i="53"/>
  <c r="F983" i="53"/>
  <c r="F2202" i="53"/>
  <c r="F2114" i="53"/>
  <c r="F2106" i="53"/>
  <c r="F2100" i="53"/>
  <c r="F1805" i="53"/>
  <c r="F1722" i="53"/>
  <c r="F1276" i="53"/>
  <c r="F1599" i="53"/>
  <c r="F2272" i="53"/>
  <c r="F1917" i="53"/>
  <c r="F1489" i="53"/>
  <c r="F1551" i="53"/>
  <c r="F2023" i="53"/>
  <c r="F2000" i="53"/>
  <c r="F1949" i="53"/>
  <c r="F2024" i="53"/>
  <c r="F2001" i="53"/>
  <c r="F1950" i="53"/>
  <c r="F2289" i="53"/>
  <c r="F2080" i="53"/>
  <c r="F2026" i="53"/>
  <c r="F1918" i="53"/>
  <c r="F2290" i="53"/>
  <c r="F2081" i="53"/>
  <c r="F2028" i="53"/>
  <c r="F1919" i="53"/>
  <c r="F2291" i="53"/>
  <c r="F2292" i="53"/>
  <c r="F2031" i="53"/>
  <c r="F2293" i="53"/>
  <c r="F2252" i="53"/>
  <c r="F2032" i="53"/>
  <c r="F2294" i="53"/>
  <c r="F2253" i="53"/>
  <c r="F2033" i="53"/>
  <c r="F2295" i="53"/>
  <c r="F2265" i="53"/>
  <c r="F2262" i="53"/>
  <c r="F2082" i="53"/>
  <c r="F1952" i="53"/>
  <c r="F1380" i="53"/>
  <c r="F1898" i="53"/>
  <c r="F1908" i="53"/>
  <c r="F1913" i="53"/>
  <c r="F1280" i="53"/>
  <c r="F1291" i="53"/>
  <c r="F1480" i="53"/>
  <c r="F1457" i="53"/>
  <c r="F544" i="53"/>
  <c r="F1247" i="53"/>
  <c r="F512" i="53"/>
  <c r="F314" i="53"/>
  <c r="F2083" i="53"/>
  <c r="F2002" i="53"/>
  <c r="F1953" i="53"/>
  <c r="F1717" i="53"/>
  <c r="F1644" i="53"/>
  <c r="F142" i="53"/>
  <c r="F1634" i="53"/>
  <c r="F134" i="53"/>
  <c r="F1382" i="53"/>
  <c r="F1149" i="53"/>
  <c r="F1146" i="53"/>
  <c r="F2198" i="53"/>
  <c r="F2180" i="53"/>
  <c r="F2160" i="53"/>
  <c r="F2145" i="53"/>
  <c r="F2154" i="53"/>
  <c r="F2138" i="53"/>
  <c r="F1227" i="53"/>
  <c r="F1183" i="53"/>
  <c r="F1775" i="53"/>
  <c r="F1718" i="53"/>
  <c r="F1605" i="53"/>
  <c r="F1174" i="53"/>
  <c r="F1776" i="53"/>
  <c r="F1719" i="53"/>
  <c r="F1606" i="53"/>
  <c r="F2254" i="53"/>
  <c r="F1608" i="53"/>
  <c r="F1177" i="53"/>
  <c r="F863" i="53"/>
  <c r="F2255" i="53"/>
  <c r="F1609" i="53"/>
  <c r="F1178" i="53"/>
  <c r="F864" i="53"/>
  <c r="F2263" i="53"/>
  <c r="F1645" i="53"/>
  <c r="F1175" i="53"/>
  <c r="F984" i="53"/>
  <c r="F2264" i="53"/>
  <c r="F1646" i="53"/>
  <c r="F1176" i="53"/>
  <c r="F985" i="53"/>
  <c r="F1248" i="53"/>
  <c r="F579" i="53"/>
  <c r="F545" i="53"/>
  <c r="F513" i="53"/>
  <c r="F411" i="53"/>
  <c r="F347" i="53"/>
  <c r="F270" i="53"/>
  <c r="F1417" i="53"/>
  <c r="F143" i="53"/>
  <c r="F136" i="53"/>
  <c r="F1648" i="53"/>
  <c r="F2075" i="53"/>
  <c r="F2069" i="53"/>
  <c r="F1362" i="53"/>
  <c r="F1358" i="53"/>
  <c r="F631" i="53"/>
  <c r="F620" i="53"/>
  <c r="F45" i="53"/>
  <c r="F2296" i="53"/>
  <c r="F2285" i="53"/>
  <c r="F1777" i="53"/>
  <c r="F1720" i="53"/>
  <c r="F1610" i="53"/>
  <c r="F1607" i="53"/>
  <c r="F1522" i="53"/>
  <c r="F1381" i="53"/>
  <c r="F981" i="53"/>
  <c r="F156" i="53"/>
  <c r="F2249" i="53"/>
  <c r="F2049" i="53"/>
  <c r="F2085" i="53"/>
  <c r="F2050" i="53"/>
  <c r="F1925" i="53"/>
  <c r="F1662" i="53"/>
  <c r="F1633" i="53"/>
  <c r="F988" i="53"/>
  <c r="F514" i="53"/>
  <c r="F464" i="53"/>
  <c r="F738" i="53"/>
  <c r="F722" i="53"/>
  <c r="F714" i="53"/>
  <c r="F659" i="53"/>
  <c r="F2042" i="53"/>
  <c r="F739" i="53"/>
  <c r="F748" i="53"/>
  <c r="F1986" i="53"/>
  <c r="F2107" i="53"/>
  <c r="F2321" i="53"/>
  <c r="F1297" i="53"/>
  <c r="F2320" i="53"/>
  <c r="F1281" i="53"/>
  <c r="F1418" i="53"/>
  <c r="F1419" i="53"/>
  <c r="F1348" i="53"/>
  <c r="F749" i="53"/>
  <c r="F740" i="53"/>
  <c r="F2101" i="53"/>
  <c r="F2070" i="53"/>
  <c r="F2063" i="53"/>
  <c r="F2011" i="53"/>
  <c r="F2008" i="53"/>
  <c r="F1997" i="53"/>
  <c r="F1994" i="53"/>
  <c r="F1922" i="53"/>
  <c r="F1723" i="53"/>
  <c r="F2275" i="53"/>
  <c r="F976" i="53"/>
  <c r="F972" i="53"/>
  <c r="F1051" i="53"/>
  <c r="F1001" i="53"/>
  <c r="F1887" i="53"/>
  <c r="F1037" i="53"/>
  <c r="F1028" i="53"/>
  <c r="F1888" i="53"/>
  <c r="F1038" i="53"/>
  <c r="F1029" i="53"/>
  <c r="F1039" i="53"/>
  <c r="F1030" i="53"/>
  <c r="F1890" i="53"/>
  <c r="F1040" i="53"/>
  <c r="F1031" i="53"/>
  <c r="F1042" i="53"/>
  <c r="F1032" i="53"/>
  <c r="F1043" i="53"/>
  <c r="F1034" i="53"/>
  <c r="F1052" i="53"/>
  <c r="F1891" i="53"/>
  <c r="F1002" i="53"/>
  <c r="F1876" i="53"/>
  <c r="F1766" i="53"/>
  <c r="F1877" i="53"/>
  <c r="F1768" i="53"/>
  <c r="F1070" i="53"/>
  <c r="F1892" i="53"/>
  <c r="F1044" i="53"/>
  <c r="F1035" i="53"/>
  <c r="F1249" i="53"/>
  <c r="F1228" i="53"/>
  <c r="F613" i="53"/>
  <c r="F580" i="53"/>
  <c r="F1250" i="53"/>
  <c r="F1229" i="53"/>
  <c r="F581" i="53"/>
  <c r="F546" i="53"/>
  <c r="F515" i="53"/>
  <c r="F465" i="53"/>
  <c r="F412" i="53"/>
  <c r="F271" i="53"/>
  <c r="F1251" i="53"/>
  <c r="F1230" i="53"/>
  <c r="F582" i="53"/>
  <c r="F315" i="53"/>
  <c r="F272" i="53"/>
  <c r="F1252" i="53"/>
  <c r="F1231" i="53"/>
  <c r="F583" i="53"/>
  <c r="F316" i="53"/>
  <c r="F273" i="53"/>
  <c r="F1253" i="53"/>
  <c r="F1232" i="53"/>
  <c r="F584" i="53"/>
  <c r="F1254" i="53"/>
  <c r="F1233" i="53"/>
  <c r="F585" i="53"/>
  <c r="F1255" i="53"/>
  <c r="F1234" i="53"/>
  <c r="F586" i="53"/>
  <c r="F1256" i="53"/>
  <c r="F1235" i="53"/>
  <c r="F587" i="53"/>
  <c r="F1257" i="53"/>
  <c r="F1236" i="53"/>
  <c r="F588" i="53"/>
  <c r="F516" i="53"/>
  <c r="F466" i="53"/>
  <c r="F413" i="53"/>
  <c r="F517" i="53"/>
  <c r="F467" i="53"/>
  <c r="F414" i="53"/>
  <c r="F274" i="53"/>
  <c r="F518" i="53"/>
  <c r="F468" i="53"/>
  <c r="F415" i="53"/>
  <c r="F275" i="53"/>
  <c r="F1258" i="53"/>
  <c r="F1237" i="53"/>
  <c r="F519" i="53"/>
  <c r="F469" i="53"/>
  <c r="F417" i="53"/>
  <c r="F276" i="53"/>
  <c r="F1259" i="53"/>
  <c r="F1238" i="53"/>
  <c r="F471" i="53"/>
  <c r="F418" i="53"/>
  <c r="F472" i="53"/>
  <c r="F419" i="53"/>
  <c r="F277" i="53"/>
  <c r="F473" i="53"/>
  <c r="F420" i="53"/>
  <c r="F474" i="53"/>
  <c r="F421" i="53"/>
  <c r="F348" i="53"/>
  <c r="F317" i="53"/>
  <c r="F278" i="53"/>
  <c r="F349" i="53"/>
  <c r="F318" i="53"/>
  <c r="F279" i="53"/>
  <c r="F350" i="53"/>
  <c r="F319" i="53"/>
  <c r="F280" i="53"/>
  <c r="F373" i="53"/>
  <c r="F351" i="53"/>
  <c r="F320" i="53"/>
  <c r="F281" i="53"/>
  <c r="F374" i="53"/>
  <c r="F352" i="53"/>
  <c r="F321" i="53"/>
  <c r="F282" i="53"/>
  <c r="F422" i="53"/>
  <c r="F375" i="53"/>
  <c r="F353" i="53"/>
  <c r="F322" i="53"/>
  <c r="F283" i="53"/>
  <c r="F423" i="53"/>
  <c r="F424" i="53"/>
  <c r="F425" i="53"/>
  <c r="F663" i="53"/>
  <c r="I1583" i="53"/>
  <c r="M1583" i="53" s="1"/>
  <c r="I1587" i="53"/>
  <c r="M1587" i="53" s="1"/>
  <c r="I1585" i="53"/>
  <c r="M1585" i="53" s="1"/>
  <c r="I1589" i="53"/>
  <c r="M1589" i="53" s="1"/>
  <c r="I1677" i="53"/>
  <c r="M1677" i="53" s="1"/>
  <c r="I1579" i="53"/>
  <c r="M1579" i="53" s="1"/>
  <c r="I1577" i="53"/>
  <c r="M1577" i="53" s="1"/>
  <c r="I1581" i="53"/>
  <c r="M1581" i="53" s="1"/>
  <c r="F655" i="53"/>
  <c r="F1824" i="53"/>
  <c r="F267" i="53"/>
  <c r="J1827" i="53"/>
  <c r="J1835" i="53"/>
  <c r="J1840" i="53"/>
  <c r="J1847" i="53"/>
  <c r="F1827" i="53"/>
  <c r="F1826" i="53"/>
  <c r="F1835" i="53"/>
  <c r="F1834" i="53"/>
  <c r="F1840" i="53"/>
  <c r="F1839" i="53"/>
  <c r="F1847" i="53"/>
  <c r="F1846" i="53"/>
  <c r="F533" i="53"/>
  <c r="F209" i="53"/>
  <c r="F2207" i="53"/>
  <c r="J2105" i="53"/>
  <c r="F2104" i="53"/>
  <c r="J652" i="53"/>
  <c r="J650" i="53"/>
  <c r="J653" i="53"/>
  <c r="J1853" i="53"/>
  <c r="F1852" i="53"/>
  <c r="J1858" i="53"/>
  <c r="F1857" i="53"/>
  <c r="J1863" i="53"/>
  <c r="F1862" i="53"/>
  <c r="J1868" i="53"/>
  <c r="F1867" i="53"/>
  <c r="F198" i="53"/>
  <c r="F204" i="53"/>
  <c r="F701" i="53"/>
  <c r="F702" i="53"/>
  <c r="F820" i="53"/>
  <c r="F826" i="53"/>
  <c r="F197" i="53"/>
  <c r="F78" i="53"/>
  <c r="F80" i="53"/>
  <c r="F819" i="53"/>
  <c r="F825" i="53"/>
  <c r="F1967" i="53"/>
  <c r="F737" i="53"/>
  <c r="F747" i="53"/>
  <c r="J807" i="53"/>
  <c r="F806" i="53"/>
  <c r="F1303" i="53"/>
  <c r="F1524" i="53"/>
  <c r="F1561" i="53"/>
  <c r="F1780" i="53"/>
  <c r="J1570" i="53"/>
  <c r="J1569" i="53"/>
  <c r="F1727" i="53"/>
  <c r="F1643" i="53"/>
  <c r="F1519" i="53"/>
  <c r="F993" i="53"/>
  <c r="F992" i="53"/>
  <c r="F991" i="53"/>
  <c r="F1455" i="53"/>
  <c r="F843" i="53"/>
  <c r="F184" i="53"/>
  <c r="F189" i="53"/>
  <c r="F645" i="53"/>
  <c r="F760" i="53"/>
  <c r="F772" i="53"/>
  <c r="F160" i="53"/>
  <c r="F171" i="53"/>
  <c r="F183" i="53"/>
  <c r="F433" i="53"/>
  <c r="F483" i="53"/>
  <c r="F524" i="53"/>
  <c r="F224" i="53"/>
  <c r="F236" i="53"/>
  <c r="F643" i="53"/>
  <c r="F759" i="53"/>
  <c r="F771" i="53"/>
  <c r="F827" i="53"/>
  <c r="F223" i="53"/>
  <c r="F235" i="53"/>
  <c r="F642" i="53"/>
  <c r="F770" i="53"/>
  <c r="F73" i="53"/>
  <c r="F170" i="53"/>
  <c r="F205" i="53"/>
  <c r="F210" i="53"/>
  <c r="F216" i="53"/>
  <c r="F233" i="53"/>
  <c r="F243" i="53"/>
  <c r="F289" i="53"/>
  <c r="F549" i="53"/>
  <c r="F551" i="53"/>
  <c r="F553" i="53"/>
  <c r="F778" i="53"/>
  <c r="F72" i="53"/>
  <c r="F169" i="53"/>
  <c r="F734" i="53"/>
  <c r="F232" i="53"/>
  <c r="F667" i="53"/>
  <c r="F71" i="53"/>
  <c r="F70" i="53"/>
  <c r="F168" i="53"/>
  <c r="F192" i="53"/>
  <c r="F196" i="53"/>
  <c r="F693" i="53"/>
  <c r="F657" i="53"/>
  <c r="F212" i="53"/>
  <c r="F666" i="53"/>
  <c r="F691" i="53"/>
  <c r="F719" i="53"/>
  <c r="F227" i="53"/>
  <c r="F211" i="53"/>
  <c r="F188" i="53"/>
  <c r="F1132" i="53"/>
  <c r="F1078" i="53"/>
  <c r="F1172" i="53"/>
  <c r="F1283" i="53"/>
  <c r="F1294" i="53"/>
  <c r="F1302" i="53"/>
  <c r="F113" i="53"/>
  <c r="F1077" i="53"/>
  <c r="F523" i="53"/>
  <c r="F548" i="53"/>
  <c r="F550" i="53"/>
  <c r="F590" i="53"/>
  <c r="F1131" i="53"/>
  <c r="F186" i="53"/>
  <c r="F845" i="53"/>
  <c r="F754" i="53"/>
  <c r="F214" i="53"/>
  <c r="F187" i="53"/>
  <c r="F190" i="53"/>
  <c r="F744" i="53"/>
  <c r="F777" i="53"/>
  <c r="F181" i="53"/>
  <c r="F432" i="53"/>
  <c r="F482" i="53"/>
  <c r="F680" i="53"/>
  <c r="F835" i="53"/>
  <c r="F840" i="53"/>
  <c r="F202" i="53"/>
  <c r="F206" i="53"/>
  <c r="F213" i="53"/>
  <c r="F238" i="53"/>
  <c r="F242" i="53"/>
  <c r="F589" i="53"/>
  <c r="F201" i="53"/>
  <c r="F222" i="53"/>
  <c r="F823" i="53"/>
  <c r="F1386" i="53"/>
  <c r="F758" i="53"/>
  <c r="F200" i="53"/>
  <c r="F221" i="53"/>
  <c r="F822" i="53"/>
  <c r="F1385" i="53"/>
  <c r="F1961" i="53"/>
  <c r="F199" i="53"/>
  <c r="F220" i="53"/>
  <c r="F821" i="53"/>
  <c r="F1384" i="53"/>
  <c r="F1960" i="53"/>
  <c r="F752" i="53"/>
  <c r="F787" i="53"/>
  <c r="F1959" i="53"/>
  <c r="F172" i="53"/>
  <c r="F639" i="53"/>
  <c r="F768" i="53"/>
  <c r="F226" i="53"/>
  <c r="F228" i="53"/>
  <c r="F431" i="53"/>
  <c r="F481" i="53"/>
  <c r="F522" i="53"/>
  <c r="F743" i="53"/>
  <c r="F839" i="53"/>
  <c r="F838" i="53"/>
  <c r="F1792" i="53"/>
  <c r="F1799" i="53"/>
  <c r="F1812" i="53"/>
  <c r="F1822" i="53"/>
  <c r="F175" i="53"/>
  <c r="F1860" i="53"/>
  <c r="F1865" i="53"/>
  <c r="F1570" i="53"/>
  <c r="F653" i="53"/>
  <c r="F1567" i="53"/>
  <c r="F654" i="53"/>
  <c r="F1568" i="53"/>
  <c r="F857" i="53"/>
  <c r="F862" i="53"/>
  <c r="F1851" i="53"/>
  <c r="F1856" i="53"/>
  <c r="F1861" i="53"/>
  <c r="F1866" i="53"/>
  <c r="F2309" i="53"/>
  <c r="F1569" i="53"/>
  <c r="F652" i="53"/>
  <c r="F131" i="53"/>
  <c r="F808" i="53"/>
  <c r="F1414" i="53"/>
  <c r="F1300" i="53"/>
  <c r="F2041" i="53"/>
  <c r="F151" i="53"/>
  <c r="F1202" i="53"/>
  <c r="F1205" i="53"/>
  <c r="F1653" i="53"/>
  <c r="F1661" i="53"/>
  <c r="F2266" i="53"/>
  <c r="F2269" i="53"/>
  <c r="F2270" i="53"/>
  <c r="F2271" i="53"/>
  <c r="F1912" i="53"/>
  <c r="F1907" i="53"/>
  <c r="F122" i="53"/>
  <c r="F126" i="53"/>
  <c r="F764" i="53"/>
  <c r="F269" i="53"/>
  <c r="F346" i="53"/>
  <c r="F372" i="53"/>
  <c r="F463" i="53"/>
  <c r="F268" i="53"/>
  <c r="F313" i="53"/>
  <c r="F345" i="53"/>
  <c r="F371" i="53"/>
  <c r="F410" i="53"/>
  <c r="F462" i="53"/>
  <c r="F511" i="53"/>
  <c r="F611" i="53"/>
  <c r="F610" i="53"/>
  <c r="F609" i="53"/>
  <c r="F578" i="53"/>
  <c r="F510" i="53"/>
  <c r="F461" i="53"/>
  <c r="F409" i="53"/>
  <c r="F344" i="53"/>
  <c r="F312" i="53"/>
  <c r="F311" i="53"/>
  <c r="F343" i="53"/>
  <c r="F408" i="53"/>
  <c r="F460" i="53"/>
  <c r="F509" i="53"/>
  <c r="F577" i="53"/>
  <c r="N41" i="21"/>
  <c r="N42" i="21" s="1"/>
  <c r="M41" i="21"/>
  <c r="M42" i="21" s="1"/>
  <c r="L41" i="21"/>
  <c r="K41" i="21"/>
  <c r="J41" i="21"/>
  <c r="I41" i="21"/>
  <c r="H41" i="21"/>
  <c r="G41" i="21"/>
  <c r="F41" i="21"/>
  <c r="E41" i="21"/>
  <c r="D41" i="21"/>
  <c r="C41" i="21"/>
  <c r="B41" i="21"/>
  <c r="N37" i="21"/>
  <c r="M37" i="21"/>
  <c r="L37" i="21"/>
  <c r="K37" i="21"/>
  <c r="J37" i="21"/>
  <c r="I37" i="21"/>
  <c r="H37" i="21"/>
  <c r="G37" i="21"/>
  <c r="F37" i="21"/>
  <c r="E37" i="21"/>
  <c r="D37" i="21"/>
  <c r="C37" i="21"/>
  <c r="B37" i="21"/>
  <c r="K38" i="21"/>
  <c r="N36" i="21"/>
  <c r="M36" i="21"/>
  <c r="L36" i="21"/>
  <c r="K36" i="21"/>
  <c r="J36" i="21"/>
  <c r="I36" i="21"/>
  <c r="H36" i="21"/>
  <c r="G36" i="21"/>
  <c r="F36" i="21"/>
  <c r="E36" i="21"/>
  <c r="D36" i="21"/>
  <c r="C36" i="21"/>
  <c r="B36" i="21"/>
  <c r="H28" i="21"/>
  <c r="D28" i="21"/>
  <c r="K16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B7" i="21"/>
  <c r="Y8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6" i="21"/>
  <c r="I307" i="22"/>
  <c r="H307" i="22"/>
  <c r="F307" i="22"/>
  <c r="G307" i="22" s="1"/>
  <c r="C307" i="22"/>
  <c r="B307" i="22"/>
  <c r="I306" i="22"/>
  <c r="H306" i="22"/>
  <c r="F306" i="22"/>
  <c r="G306" i="22" s="1"/>
  <c r="C306" i="22"/>
  <c r="B306" i="22"/>
  <c r="I305" i="22"/>
  <c r="H305" i="22"/>
  <c r="F305" i="22"/>
  <c r="G305" i="22" s="1"/>
  <c r="C305" i="22"/>
  <c r="B305" i="22"/>
  <c r="I304" i="22"/>
  <c r="H304" i="22"/>
  <c r="F304" i="22"/>
  <c r="G304" i="22" s="1"/>
  <c r="C304" i="22"/>
  <c r="B304" i="22"/>
  <c r="I303" i="22"/>
  <c r="H303" i="22"/>
  <c r="F303" i="22"/>
  <c r="G303" i="22" s="1"/>
  <c r="C303" i="22"/>
  <c r="B303" i="22"/>
  <c r="I302" i="22"/>
  <c r="H302" i="22"/>
  <c r="F302" i="22"/>
  <c r="G302" i="22" s="1"/>
  <c r="C302" i="22"/>
  <c r="B302" i="22"/>
  <c r="I301" i="22"/>
  <c r="H301" i="22"/>
  <c r="F301" i="22"/>
  <c r="G301" i="22" s="1"/>
  <c r="C301" i="22"/>
  <c r="B301" i="22"/>
  <c r="I300" i="22"/>
  <c r="H300" i="22"/>
  <c r="F300" i="22"/>
  <c r="G300" i="22" s="1"/>
  <c r="C300" i="22"/>
  <c r="B300" i="22"/>
  <c r="I299" i="22"/>
  <c r="H299" i="22"/>
  <c r="F299" i="22"/>
  <c r="G299" i="22" s="1"/>
  <c r="C299" i="22"/>
  <c r="B299" i="22"/>
  <c r="I298" i="22"/>
  <c r="H298" i="22"/>
  <c r="F298" i="22"/>
  <c r="G298" i="22" s="1"/>
  <c r="C298" i="22"/>
  <c r="B298" i="22"/>
  <c r="I297" i="22"/>
  <c r="H297" i="22"/>
  <c r="F297" i="22"/>
  <c r="G297" i="22" s="1"/>
  <c r="C297" i="22"/>
  <c r="B297" i="22"/>
  <c r="I296" i="22"/>
  <c r="H296" i="22"/>
  <c r="F296" i="22"/>
  <c r="G296" i="22" s="1"/>
  <c r="C296" i="22"/>
  <c r="B296" i="22"/>
  <c r="I295" i="22"/>
  <c r="H295" i="22"/>
  <c r="F295" i="22"/>
  <c r="G295" i="22" s="1"/>
  <c r="C295" i="22"/>
  <c r="B295" i="22"/>
  <c r="I294" i="22"/>
  <c r="H294" i="22"/>
  <c r="F294" i="22"/>
  <c r="G294" i="22" s="1"/>
  <c r="C294" i="22"/>
  <c r="B294" i="22"/>
  <c r="I293" i="22"/>
  <c r="H293" i="22"/>
  <c r="F293" i="22"/>
  <c r="G293" i="22" s="1"/>
  <c r="C293" i="22"/>
  <c r="B293" i="22"/>
  <c r="I292" i="22"/>
  <c r="H292" i="22"/>
  <c r="F292" i="22"/>
  <c r="G292" i="22" s="1"/>
  <c r="C292" i="22"/>
  <c r="B292" i="22"/>
  <c r="I291" i="22"/>
  <c r="H291" i="22"/>
  <c r="F291" i="22"/>
  <c r="G291" i="22" s="1"/>
  <c r="C291" i="22"/>
  <c r="B291" i="22"/>
  <c r="I290" i="22"/>
  <c r="H290" i="22"/>
  <c r="F290" i="22"/>
  <c r="G290" i="22" s="1"/>
  <c r="C290" i="22"/>
  <c r="B290" i="22"/>
  <c r="I289" i="22"/>
  <c r="H289" i="22"/>
  <c r="F289" i="22"/>
  <c r="G289" i="22" s="1"/>
  <c r="C289" i="22"/>
  <c r="B289" i="22"/>
  <c r="I288" i="22"/>
  <c r="H288" i="22"/>
  <c r="F288" i="22"/>
  <c r="G288" i="22" s="1"/>
  <c r="C288" i="22"/>
  <c r="B288" i="22"/>
  <c r="I287" i="22"/>
  <c r="H287" i="22"/>
  <c r="F287" i="22"/>
  <c r="G287" i="22" s="1"/>
  <c r="C287" i="22"/>
  <c r="B287" i="22"/>
  <c r="I286" i="22"/>
  <c r="H286" i="22"/>
  <c r="F286" i="22"/>
  <c r="G286" i="22" s="1"/>
  <c r="C286" i="22"/>
  <c r="B286" i="22"/>
  <c r="I285" i="22"/>
  <c r="H285" i="22"/>
  <c r="F285" i="22"/>
  <c r="G285" i="22" s="1"/>
  <c r="C285" i="22"/>
  <c r="B285" i="22"/>
  <c r="I284" i="22"/>
  <c r="H284" i="22"/>
  <c r="F284" i="22"/>
  <c r="G284" i="22" s="1"/>
  <c r="C284" i="22"/>
  <c r="B284" i="22"/>
  <c r="I283" i="22"/>
  <c r="H283" i="22"/>
  <c r="F283" i="22"/>
  <c r="G283" i="22" s="1"/>
  <c r="C283" i="22"/>
  <c r="B283" i="22"/>
  <c r="I282" i="22"/>
  <c r="H282" i="22"/>
  <c r="F282" i="22"/>
  <c r="G282" i="22" s="1"/>
  <c r="C282" i="22"/>
  <c r="B282" i="22"/>
  <c r="I281" i="22"/>
  <c r="H281" i="22"/>
  <c r="F281" i="22"/>
  <c r="G281" i="22" s="1"/>
  <c r="C281" i="22"/>
  <c r="B281" i="22"/>
  <c r="I280" i="22"/>
  <c r="H280" i="22"/>
  <c r="F280" i="22"/>
  <c r="G280" i="22" s="1"/>
  <c r="C280" i="22"/>
  <c r="B280" i="22"/>
  <c r="I279" i="22"/>
  <c r="H279" i="22"/>
  <c r="F279" i="22"/>
  <c r="G279" i="22" s="1"/>
  <c r="C279" i="22"/>
  <c r="B279" i="22"/>
  <c r="I278" i="22"/>
  <c r="H278" i="22"/>
  <c r="F278" i="22"/>
  <c r="G278" i="22" s="1"/>
  <c r="C278" i="22"/>
  <c r="B278" i="22"/>
  <c r="I277" i="22"/>
  <c r="H277" i="22"/>
  <c r="F277" i="22"/>
  <c r="G277" i="22" s="1"/>
  <c r="C277" i="22"/>
  <c r="B277" i="22"/>
  <c r="I276" i="22"/>
  <c r="H276" i="22"/>
  <c r="F276" i="22"/>
  <c r="G276" i="22" s="1"/>
  <c r="C276" i="22"/>
  <c r="B276" i="22"/>
  <c r="I275" i="22"/>
  <c r="H275" i="22"/>
  <c r="F275" i="22"/>
  <c r="G275" i="22" s="1"/>
  <c r="C275" i="22"/>
  <c r="B275" i="22"/>
  <c r="I274" i="22"/>
  <c r="H274" i="22"/>
  <c r="F274" i="22"/>
  <c r="G274" i="22" s="1"/>
  <c r="C274" i="22"/>
  <c r="B274" i="22"/>
  <c r="I273" i="22"/>
  <c r="H273" i="22"/>
  <c r="F273" i="22"/>
  <c r="G273" i="22" s="1"/>
  <c r="C273" i="22"/>
  <c r="B273" i="22"/>
  <c r="I272" i="22"/>
  <c r="H272" i="22"/>
  <c r="F272" i="22"/>
  <c r="G272" i="22" s="1"/>
  <c r="C272" i="22"/>
  <c r="B272" i="22"/>
  <c r="I271" i="22"/>
  <c r="H271" i="22"/>
  <c r="F271" i="22"/>
  <c r="G271" i="22" s="1"/>
  <c r="C271" i="22"/>
  <c r="B271" i="22"/>
  <c r="I270" i="22"/>
  <c r="H270" i="22"/>
  <c r="F270" i="22"/>
  <c r="G270" i="22" s="1"/>
  <c r="C270" i="22"/>
  <c r="B270" i="22"/>
  <c r="I269" i="22"/>
  <c r="H269" i="22"/>
  <c r="F269" i="22"/>
  <c r="G269" i="22" s="1"/>
  <c r="C269" i="22"/>
  <c r="B269" i="22"/>
  <c r="I268" i="22"/>
  <c r="H268" i="22"/>
  <c r="F268" i="22"/>
  <c r="G268" i="22" s="1"/>
  <c r="C268" i="22"/>
  <c r="B268" i="22"/>
  <c r="I267" i="22"/>
  <c r="H267" i="22"/>
  <c r="F267" i="22"/>
  <c r="G267" i="22" s="1"/>
  <c r="C267" i="22"/>
  <c r="B267" i="22"/>
  <c r="I266" i="22"/>
  <c r="H266" i="22"/>
  <c r="F266" i="22"/>
  <c r="G266" i="22" s="1"/>
  <c r="C266" i="22"/>
  <c r="B266" i="22"/>
  <c r="I265" i="22"/>
  <c r="H265" i="22"/>
  <c r="F265" i="22"/>
  <c r="G265" i="22" s="1"/>
  <c r="C265" i="22"/>
  <c r="B265" i="22"/>
  <c r="I264" i="22"/>
  <c r="H264" i="22"/>
  <c r="F264" i="22"/>
  <c r="G264" i="22" s="1"/>
  <c r="C264" i="22"/>
  <c r="B264" i="22"/>
  <c r="I263" i="22"/>
  <c r="H263" i="22"/>
  <c r="F263" i="22"/>
  <c r="G263" i="22" s="1"/>
  <c r="C263" i="22"/>
  <c r="B263" i="22"/>
  <c r="I262" i="22"/>
  <c r="H262" i="22"/>
  <c r="F262" i="22"/>
  <c r="G262" i="22" s="1"/>
  <c r="C262" i="22"/>
  <c r="B262" i="22"/>
  <c r="I261" i="22"/>
  <c r="H261" i="22"/>
  <c r="F261" i="22"/>
  <c r="G261" i="22" s="1"/>
  <c r="C261" i="22"/>
  <c r="B261" i="22"/>
  <c r="I260" i="22"/>
  <c r="H260" i="22"/>
  <c r="F260" i="22"/>
  <c r="G260" i="22" s="1"/>
  <c r="C260" i="22"/>
  <c r="B260" i="22"/>
  <c r="I259" i="22"/>
  <c r="H259" i="22"/>
  <c r="F259" i="22"/>
  <c r="G259" i="22" s="1"/>
  <c r="C259" i="22"/>
  <c r="B259" i="22"/>
  <c r="I258" i="22"/>
  <c r="H258" i="22"/>
  <c r="F258" i="22"/>
  <c r="G258" i="22" s="1"/>
  <c r="C258" i="22"/>
  <c r="B258" i="22"/>
  <c r="I257" i="22"/>
  <c r="H257" i="22"/>
  <c r="F257" i="22"/>
  <c r="G257" i="22" s="1"/>
  <c r="C257" i="22"/>
  <c r="B257" i="22"/>
  <c r="I256" i="22"/>
  <c r="H256" i="22"/>
  <c r="F256" i="22"/>
  <c r="G256" i="22" s="1"/>
  <c r="C256" i="22"/>
  <c r="B256" i="22"/>
  <c r="I255" i="22"/>
  <c r="H255" i="22"/>
  <c r="F255" i="22"/>
  <c r="G255" i="22" s="1"/>
  <c r="C255" i="22"/>
  <c r="B255" i="22"/>
  <c r="I254" i="22"/>
  <c r="H254" i="22"/>
  <c r="F254" i="22"/>
  <c r="G254" i="22" s="1"/>
  <c r="C254" i="22"/>
  <c r="B254" i="22"/>
  <c r="I253" i="22"/>
  <c r="H253" i="22"/>
  <c r="F253" i="22"/>
  <c r="G253" i="22" s="1"/>
  <c r="C253" i="22"/>
  <c r="B253" i="22"/>
  <c r="I252" i="22"/>
  <c r="H252" i="22"/>
  <c r="F252" i="22"/>
  <c r="G252" i="22" s="1"/>
  <c r="C252" i="22"/>
  <c r="B252" i="22"/>
  <c r="I251" i="22"/>
  <c r="H251" i="22"/>
  <c r="F251" i="22"/>
  <c r="G251" i="22" s="1"/>
  <c r="C251" i="22"/>
  <c r="B251" i="22"/>
  <c r="I250" i="22"/>
  <c r="H250" i="22"/>
  <c r="F250" i="22"/>
  <c r="G250" i="22" s="1"/>
  <c r="C250" i="22"/>
  <c r="B250" i="22"/>
  <c r="I249" i="22"/>
  <c r="H249" i="22"/>
  <c r="F249" i="22"/>
  <c r="G249" i="22" s="1"/>
  <c r="C249" i="22"/>
  <c r="B249" i="22"/>
  <c r="I248" i="22"/>
  <c r="H248" i="22"/>
  <c r="F248" i="22"/>
  <c r="G248" i="22" s="1"/>
  <c r="C248" i="22"/>
  <c r="B248" i="22"/>
  <c r="I247" i="22"/>
  <c r="H247" i="22"/>
  <c r="F247" i="22"/>
  <c r="G247" i="22" s="1"/>
  <c r="C247" i="22"/>
  <c r="B247" i="22"/>
  <c r="I246" i="22"/>
  <c r="H246" i="22"/>
  <c r="F246" i="22"/>
  <c r="G246" i="22" s="1"/>
  <c r="C246" i="22"/>
  <c r="B246" i="22"/>
  <c r="I245" i="22"/>
  <c r="H245" i="22"/>
  <c r="F245" i="22"/>
  <c r="G245" i="22" s="1"/>
  <c r="C245" i="22"/>
  <c r="B245" i="22"/>
  <c r="I244" i="22"/>
  <c r="H244" i="22"/>
  <c r="F244" i="22"/>
  <c r="G244" i="22" s="1"/>
  <c r="C244" i="22"/>
  <c r="B244" i="22"/>
  <c r="I243" i="22"/>
  <c r="H243" i="22"/>
  <c r="F243" i="22"/>
  <c r="G243" i="22" s="1"/>
  <c r="C243" i="22"/>
  <c r="B243" i="22"/>
  <c r="I242" i="22"/>
  <c r="H242" i="22"/>
  <c r="F242" i="22"/>
  <c r="G242" i="22" s="1"/>
  <c r="C242" i="22"/>
  <c r="B242" i="22"/>
  <c r="I241" i="22"/>
  <c r="H241" i="22"/>
  <c r="F241" i="22"/>
  <c r="G241" i="22" s="1"/>
  <c r="C241" i="22"/>
  <c r="B241" i="22"/>
  <c r="I240" i="22"/>
  <c r="H240" i="22"/>
  <c r="F240" i="22"/>
  <c r="G240" i="22" s="1"/>
  <c r="C240" i="22"/>
  <c r="B240" i="22"/>
  <c r="I239" i="22"/>
  <c r="H239" i="22"/>
  <c r="F239" i="22"/>
  <c r="G239" i="22" s="1"/>
  <c r="C239" i="22"/>
  <c r="B239" i="22"/>
  <c r="I238" i="22"/>
  <c r="H238" i="22"/>
  <c r="F238" i="22"/>
  <c r="G238" i="22" s="1"/>
  <c r="C238" i="22"/>
  <c r="B238" i="22"/>
  <c r="I237" i="22"/>
  <c r="H237" i="22"/>
  <c r="F237" i="22"/>
  <c r="G237" i="22" s="1"/>
  <c r="C237" i="22"/>
  <c r="B237" i="22"/>
  <c r="I236" i="22"/>
  <c r="H236" i="22"/>
  <c r="F236" i="22"/>
  <c r="G236" i="22" s="1"/>
  <c r="C236" i="22"/>
  <c r="B236" i="22"/>
  <c r="I235" i="22"/>
  <c r="H235" i="22"/>
  <c r="F235" i="22"/>
  <c r="G235" i="22" s="1"/>
  <c r="C235" i="22"/>
  <c r="B235" i="22"/>
  <c r="I234" i="22"/>
  <c r="H234" i="22"/>
  <c r="F234" i="22"/>
  <c r="G234" i="22" s="1"/>
  <c r="C234" i="22"/>
  <c r="B234" i="22"/>
  <c r="I233" i="22"/>
  <c r="H233" i="22"/>
  <c r="F233" i="22"/>
  <c r="G233" i="22" s="1"/>
  <c r="C233" i="22"/>
  <c r="B233" i="22"/>
  <c r="I232" i="22"/>
  <c r="H232" i="22"/>
  <c r="F232" i="22"/>
  <c r="G232" i="22" s="1"/>
  <c r="C232" i="22"/>
  <c r="B232" i="22"/>
  <c r="I231" i="22"/>
  <c r="H231" i="22"/>
  <c r="F231" i="22"/>
  <c r="G231" i="22" s="1"/>
  <c r="C231" i="22"/>
  <c r="B231" i="22"/>
  <c r="I230" i="22"/>
  <c r="H230" i="22"/>
  <c r="F230" i="22"/>
  <c r="G230" i="22" s="1"/>
  <c r="C230" i="22"/>
  <c r="B230" i="22"/>
  <c r="I229" i="22"/>
  <c r="H229" i="22"/>
  <c r="F229" i="22"/>
  <c r="G229" i="22" s="1"/>
  <c r="C229" i="22"/>
  <c r="B229" i="22"/>
  <c r="I228" i="22"/>
  <c r="H228" i="22"/>
  <c r="F228" i="22"/>
  <c r="G228" i="22" s="1"/>
  <c r="C228" i="22"/>
  <c r="B228" i="22"/>
  <c r="I227" i="22"/>
  <c r="H227" i="22"/>
  <c r="F227" i="22"/>
  <c r="G227" i="22" s="1"/>
  <c r="C227" i="22"/>
  <c r="B227" i="22"/>
  <c r="I226" i="22"/>
  <c r="H226" i="22"/>
  <c r="F226" i="22"/>
  <c r="G226" i="22" s="1"/>
  <c r="C226" i="22"/>
  <c r="B226" i="22"/>
  <c r="I225" i="22"/>
  <c r="H225" i="22"/>
  <c r="F225" i="22"/>
  <c r="G225" i="22" s="1"/>
  <c r="C225" i="22"/>
  <c r="B225" i="22"/>
  <c r="I224" i="22"/>
  <c r="H224" i="22"/>
  <c r="F224" i="22"/>
  <c r="G224" i="22" s="1"/>
  <c r="C224" i="22"/>
  <c r="B224" i="22"/>
  <c r="I223" i="22"/>
  <c r="H223" i="22"/>
  <c r="F223" i="22"/>
  <c r="G223" i="22" s="1"/>
  <c r="C223" i="22"/>
  <c r="B223" i="22"/>
  <c r="I222" i="22"/>
  <c r="H222" i="22"/>
  <c r="F222" i="22"/>
  <c r="G222" i="22" s="1"/>
  <c r="C222" i="22"/>
  <c r="B222" i="22"/>
  <c r="I221" i="22"/>
  <c r="H221" i="22"/>
  <c r="F221" i="22"/>
  <c r="G221" i="22" s="1"/>
  <c r="C221" i="22"/>
  <c r="B221" i="22"/>
  <c r="I220" i="22"/>
  <c r="H220" i="22"/>
  <c r="F220" i="22"/>
  <c r="G220" i="22" s="1"/>
  <c r="C220" i="22"/>
  <c r="B220" i="22"/>
  <c r="I219" i="22"/>
  <c r="H219" i="22"/>
  <c r="F219" i="22"/>
  <c r="G219" i="22" s="1"/>
  <c r="C219" i="22"/>
  <c r="B219" i="22"/>
  <c r="I218" i="22"/>
  <c r="H218" i="22"/>
  <c r="F218" i="22"/>
  <c r="G218" i="22" s="1"/>
  <c r="C218" i="22"/>
  <c r="B218" i="22"/>
  <c r="I217" i="22"/>
  <c r="H217" i="22"/>
  <c r="F217" i="22"/>
  <c r="G217" i="22" s="1"/>
  <c r="C217" i="22"/>
  <c r="B217" i="22"/>
  <c r="I216" i="22"/>
  <c r="H216" i="22"/>
  <c r="F216" i="22"/>
  <c r="G216" i="22" s="1"/>
  <c r="C216" i="22"/>
  <c r="B216" i="22"/>
  <c r="I215" i="22"/>
  <c r="H215" i="22"/>
  <c r="F215" i="22"/>
  <c r="G215" i="22" s="1"/>
  <c r="C215" i="22"/>
  <c r="B215" i="22"/>
  <c r="I214" i="22"/>
  <c r="H214" i="22"/>
  <c r="F214" i="22"/>
  <c r="G214" i="22" s="1"/>
  <c r="C214" i="22"/>
  <c r="B214" i="22"/>
  <c r="I213" i="22"/>
  <c r="H213" i="22"/>
  <c r="F213" i="22"/>
  <c r="G213" i="22" s="1"/>
  <c r="C213" i="22"/>
  <c r="B213" i="22"/>
  <c r="I212" i="22"/>
  <c r="H212" i="22"/>
  <c r="F212" i="22"/>
  <c r="G212" i="22" s="1"/>
  <c r="C212" i="22"/>
  <c r="B212" i="22"/>
  <c r="I211" i="22"/>
  <c r="H211" i="22"/>
  <c r="F211" i="22"/>
  <c r="G211" i="22" s="1"/>
  <c r="C211" i="22"/>
  <c r="B211" i="22"/>
  <c r="I210" i="22"/>
  <c r="H210" i="22"/>
  <c r="F210" i="22"/>
  <c r="G210" i="22" s="1"/>
  <c r="C210" i="22"/>
  <c r="B210" i="22"/>
  <c r="I209" i="22"/>
  <c r="H209" i="22"/>
  <c r="F209" i="22"/>
  <c r="G209" i="22" s="1"/>
  <c r="C209" i="22"/>
  <c r="B209" i="22"/>
  <c r="I208" i="22"/>
  <c r="H208" i="22"/>
  <c r="F208" i="22"/>
  <c r="G208" i="22" s="1"/>
  <c r="C208" i="22"/>
  <c r="B208" i="22"/>
  <c r="I207" i="22"/>
  <c r="H207" i="22"/>
  <c r="F207" i="22"/>
  <c r="G207" i="22" s="1"/>
  <c r="C207" i="22"/>
  <c r="B207" i="22"/>
  <c r="I206" i="22"/>
  <c r="H206" i="22"/>
  <c r="F206" i="22"/>
  <c r="G206" i="22" s="1"/>
  <c r="C206" i="22"/>
  <c r="B206" i="22"/>
  <c r="I205" i="22"/>
  <c r="H205" i="22"/>
  <c r="F205" i="22"/>
  <c r="G205" i="22" s="1"/>
  <c r="C205" i="22"/>
  <c r="B205" i="22"/>
  <c r="I204" i="22"/>
  <c r="H204" i="22"/>
  <c r="F204" i="22"/>
  <c r="G204" i="22" s="1"/>
  <c r="C204" i="22"/>
  <c r="B204" i="22"/>
  <c r="I203" i="22"/>
  <c r="H203" i="22"/>
  <c r="F203" i="22"/>
  <c r="G203" i="22" s="1"/>
  <c r="C203" i="22"/>
  <c r="B203" i="22"/>
  <c r="I202" i="22"/>
  <c r="H202" i="22"/>
  <c r="F202" i="22"/>
  <c r="G202" i="22" s="1"/>
  <c r="C202" i="22"/>
  <c r="B202" i="22"/>
  <c r="I201" i="22"/>
  <c r="H201" i="22"/>
  <c r="F201" i="22"/>
  <c r="G201" i="22" s="1"/>
  <c r="C201" i="22"/>
  <c r="B201" i="22"/>
  <c r="I200" i="22"/>
  <c r="H200" i="22"/>
  <c r="F200" i="22"/>
  <c r="G200" i="22" s="1"/>
  <c r="C200" i="22"/>
  <c r="B200" i="22"/>
  <c r="I199" i="22"/>
  <c r="H199" i="22"/>
  <c r="F199" i="22"/>
  <c r="G199" i="22" s="1"/>
  <c r="C199" i="22"/>
  <c r="B199" i="22"/>
  <c r="I198" i="22"/>
  <c r="H198" i="22"/>
  <c r="F198" i="22"/>
  <c r="G198" i="22" s="1"/>
  <c r="C198" i="22"/>
  <c r="B198" i="22"/>
  <c r="I197" i="22"/>
  <c r="H197" i="22"/>
  <c r="F197" i="22"/>
  <c r="G197" i="22" s="1"/>
  <c r="C197" i="22"/>
  <c r="B197" i="22"/>
  <c r="I196" i="22"/>
  <c r="H196" i="22"/>
  <c r="F196" i="22"/>
  <c r="G196" i="22" s="1"/>
  <c r="C196" i="22"/>
  <c r="B196" i="22"/>
  <c r="I195" i="22"/>
  <c r="H195" i="22"/>
  <c r="F195" i="22"/>
  <c r="G195" i="22" s="1"/>
  <c r="C195" i="22"/>
  <c r="B195" i="22"/>
  <c r="I194" i="22"/>
  <c r="H194" i="22"/>
  <c r="F194" i="22"/>
  <c r="G194" i="22" s="1"/>
  <c r="C194" i="22"/>
  <c r="B194" i="22"/>
  <c r="I193" i="22"/>
  <c r="H193" i="22"/>
  <c r="F193" i="22"/>
  <c r="G193" i="22" s="1"/>
  <c r="C193" i="22"/>
  <c r="B193" i="22"/>
  <c r="I192" i="22"/>
  <c r="H192" i="22"/>
  <c r="F192" i="22"/>
  <c r="G192" i="22" s="1"/>
  <c r="C192" i="22"/>
  <c r="B192" i="22"/>
  <c r="I191" i="22"/>
  <c r="H191" i="22"/>
  <c r="F191" i="22"/>
  <c r="G191" i="22" s="1"/>
  <c r="C191" i="22"/>
  <c r="B191" i="22"/>
  <c r="I190" i="22"/>
  <c r="H190" i="22"/>
  <c r="F190" i="22"/>
  <c r="G190" i="22" s="1"/>
  <c r="C190" i="22"/>
  <c r="B190" i="22"/>
  <c r="I189" i="22"/>
  <c r="H189" i="22"/>
  <c r="F189" i="22"/>
  <c r="G189" i="22" s="1"/>
  <c r="C189" i="22"/>
  <c r="B189" i="22"/>
  <c r="I188" i="22"/>
  <c r="H188" i="22"/>
  <c r="F188" i="22"/>
  <c r="G188" i="22" s="1"/>
  <c r="C188" i="22"/>
  <c r="B188" i="22"/>
  <c r="I187" i="22"/>
  <c r="H187" i="22"/>
  <c r="F187" i="22"/>
  <c r="G187" i="22" s="1"/>
  <c r="C187" i="22"/>
  <c r="B187" i="22"/>
  <c r="I186" i="22"/>
  <c r="H186" i="22"/>
  <c r="F186" i="22"/>
  <c r="G186" i="22" s="1"/>
  <c r="C186" i="22"/>
  <c r="B186" i="22"/>
  <c r="I185" i="22"/>
  <c r="H185" i="22"/>
  <c r="F185" i="22"/>
  <c r="G185" i="22" s="1"/>
  <c r="C185" i="22"/>
  <c r="B185" i="22"/>
  <c r="I184" i="22"/>
  <c r="H184" i="22"/>
  <c r="F184" i="22"/>
  <c r="G184" i="22" s="1"/>
  <c r="C184" i="22"/>
  <c r="B184" i="22"/>
  <c r="I183" i="22"/>
  <c r="H183" i="22"/>
  <c r="F183" i="22"/>
  <c r="G183" i="22" s="1"/>
  <c r="C183" i="22"/>
  <c r="B183" i="22"/>
  <c r="I182" i="22"/>
  <c r="H182" i="22"/>
  <c r="F182" i="22"/>
  <c r="G182" i="22" s="1"/>
  <c r="C182" i="22"/>
  <c r="B182" i="22"/>
  <c r="I181" i="22"/>
  <c r="H181" i="22"/>
  <c r="F181" i="22"/>
  <c r="G181" i="22" s="1"/>
  <c r="C181" i="22"/>
  <c r="B181" i="22"/>
  <c r="I180" i="22"/>
  <c r="H180" i="22"/>
  <c r="F180" i="22"/>
  <c r="G180" i="22" s="1"/>
  <c r="C180" i="22"/>
  <c r="B180" i="22"/>
  <c r="I179" i="22"/>
  <c r="H179" i="22"/>
  <c r="F179" i="22"/>
  <c r="G179" i="22" s="1"/>
  <c r="C179" i="22"/>
  <c r="B179" i="22"/>
  <c r="I178" i="22"/>
  <c r="H178" i="22"/>
  <c r="F178" i="22"/>
  <c r="G178" i="22" s="1"/>
  <c r="C178" i="22"/>
  <c r="B178" i="22"/>
  <c r="I177" i="22"/>
  <c r="H177" i="22"/>
  <c r="F177" i="22"/>
  <c r="G177" i="22" s="1"/>
  <c r="C177" i="22"/>
  <c r="B177" i="22"/>
  <c r="I176" i="22"/>
  <c r="H176" i="22"/>
  <c r="F176" i="22"/>
  <c r="G176" i="22" s="1"/>
  <c r="C176" i="22"/>
  <c r="B176" i="22"/>
  <c r="I175" i="22"/>
  <c r="H175" i="22"/>
  <c r="F175" i="22"/>
  <c r="G175" i="22" s="1"/>
  <c r="C175" i="22"/>
  <c r="B175" i="22"/>
  <c r="I174" i="22"/>
  <c r="H174" i="22"/>
  <c r="F174" i="22"/>
  <c r="G174" i="22" s="1"/>
  <c r="C174" i="22"/>
  <c r="B174" i="22"/>
  <c r="I173" i="22"/>
  <c r="H173" i="22"/>
  <c r="F173" i="22"/>
  <c r="G173" i="22" s="1"/>
  <c r="C173" i="22"/>
  <c r="B173" i="22"/>
  <c r="I172" i="22"/>
  <c r="H172" i="22"/>
  <c r="F172" i="22"/>
  <c r="G172" i="22" s="1"/>
  <c r="C172" i="22"/>
  <c r="B172" i="22"/>
  <c r="I171" i="22"/>
  <c r="H171" i="22"/>
  <c r="F171" i="22"/>
  <c r="G171" i="22" s="1"/>
  <c r="C171" i="22"/>
  <c r="B171" i="22"/>
  <c r="I170" i="22"/>
  <c r="H170" i="22"/>
  <c r="F170" i="22"/>
  <c r="G170" i="22" s="1"/>
  <c r="C170" i="22"/>
  <c r="B170" i="22"/>
  <c r="I169" i="22"/>
  <c r="H169" i="22"/>
  <c r="F169" i="22"/>
  <c r="G169" i="22" s="1"/>
  <c r="C169" i="22"/>
  <c r="B169" i="22"/>
  <c r="I168" i="22"/>
  <c r="H168" i="22"/>
  <c r="F168" i="22"/>
  <c r="G168" i="22" s="1"/>
  <c r="C168" i="22"/>
  <c r="B168" i="22"/>
  <c r="I167" i="22"/>
  <c r="H167" i="22"/>
  <c r="F167" i="22"/>
  <c r="G167" i="22" s="1"/>
  <c r="C167" i="22"/>
  <c r="B167" i="22"/>
  <c r="I166" i="22"/>
  <c r="H166" i="22"/>
  <c r="F166" i="22"/>
  <c r="G166" i="22" s="1"/>
  <c r="C166" i="22"/>
  <c r="B166" i="22"/>
  <c r="I165" i="22"/>
  <c r="H165" i="22"/>
  <c r="F165" i="22"/>
  <c r="G165" i="22" s="1"/>
  <c r="C165" i="22"/>
  <c r="B165" i="22"/>
  <c r="I164" i="22"/>
  <c r="H164" i="22"/>
  <c r="F164" i="22"/>
  <c r="G164" i="22" s="1"/>
  <c r="C164" i="22"/>
  <c r="B164" i="22"/>
  <c r="I163" i="22"/>
  <c r="H163" i="22"/>
  <c r="F163" i="22"/>
  <c r="G163" i="22" s="1"/>
  <c r="C163" i="22"/>
  <c r="B163" i="22"/>
  <c r="I162" i="22"/>
  <c r="H162" i="22"/>
  <c r="F162" i="22"/>
  <c r="G162" i="22" s="1"/>
  <c r="C162" i="22"/>
  <c r="B162" i="22"/>
  <c r="I161" i="22"/>
  <c r="H161" i="22"/>
  <c r="F161" i="22"/>
  <c r="G161" i="22" s="1"/>
  <c r="C161" i="22"/>
  <c r="B161" i="22"/>
  <c r="I160" i="22"/>
  <c r="H160" i="22"/>
  <c r="F160" i="22"/>
  <c r="G160" i="22" s="1"/>
  <c r="C160" i="22"/>
  <c r="B160" i="22"/>
  <c r="I159" i="22"/>
  <c r="H159" i="22"/>
  <c r="F159" i="22"/>
  <c r="G159" i="22" s="1"/>
  <c r="C159" i="22"/>
  <c r="B159" i="22"/>
  <c r="I158" i="22"/>
  <c r="H158" i="22"/>
  <c r="F158" i="22"/>
  <c r="G158" i="22" s="1"/>
  <c r="C158" i="22"/>
  <c r="B158" i="22"/>
  <c r="I157" i="22"/>
  <c r="H157" i="22"/>
  <c r="F157" i="22"/>
  <c r="G157" i="22" s="1"/>
  <c r="C157" i="22"/>
  <c r="B157" i="22"/>
  <c r="I156" i="22"/>
  <c r="H156" i="22"/>
  <c r="F156" i="22"/>
  <c r="G156" i="22" s="1"/>
  <c r="C156" i="22"/>
  <c r="B156" i="22"/>
  <c r="I155" i="22"/>
  <c r="H155" i="22"/>
  <c r="F155" i="22"/>
  <c r="G155" i="22" s="1"/>
  <c r="C155" i="22"/>
  <c r="B155" i="22"/>
  <c r="I154" i="22"/>
  <c r="H154" i="22"/>
  <c r="F154" i="22"/>
  <c r="G154" i="22" s="1"/>
  <c r="C154" i="22"/>
  <c r="B154" i="22"/>
  <c r="I153" i="22"/>
  <c r="H153" i="22"/>
  <c r="F153" i="22"/>
  <c r="G153" i="22" s="1"/>
  <c r="C153" i="22"/>
  <c r="D153" i="22"/>
  <c r="I152" i="22"/>
  <c r="H152" i="22"/>
  <c r="F152" i="22"/>
  <c r="G152" i="22" s="1"/>
  <c r="C152" i="22"/>
  <c r="B152" i="22"/>
  <c r="I151" i="22"/>
  <c r="H151" i="22"/>
  <c r="F151" i="22"/>
  <c r="G151" i="22" s="1"/>
  <c r="C151" i="22"/>
  <c r="B151" i="22"/>
  <c r="I150" i="22"/>
  <c r="H150" i="22"/>
  <c r="F150" i="22"/>
  <c r="G150" i="22" s="1"/>
  <c r="C150" i="22"/>
  <c r="B150" i="22"/>
  <c r="I149" i="22"/>
  <c r="H149" i="22"/>
  <c r="F149" i="22"/>
  <c r="G149" i="22" s="1"/>
  <c r="C149" i="22"/>
  <c r="B149" i="22"/>
  <c r="I148" i="22"/>
  <c r="H148" i="22"/>
  <c r="F148" i="22"/>
  <c r="G148" i="22" s="1"/>
  <c r="C148" i="22"/>
  <c r="B148" i="22"/>
  <c r="I147" i="22"/>
  <c r="H147" i="22"/>
  <c r="F147" i="22"/>
  <c r="G147" i="22" s="1"/>
  <c r="C147" i="22"/>
  <c r="B147" i="22"/>
  <c r="I146" i="22"/>
  <c r="H146" i="22"/>
  <c r="F146" i="22"/>
  <c r="G146" i="22" s="1"/>
  <c r="C146" i="22"/>
  <c r="B146" i="22"/>
  <c r="I145" i="22"/>
  <c r="H145" i="22"/>
  <c r="F145" i="22"/>
  <c r="G145" i="22" s="1"/>
  <c r="C145" i="22"/>
  <c r="B145" i="22"/>
  <c r="I144" i="22"/>
  <c r="H144" i="22"/>
  <c r="F144" i="22"/>
  <c r="G144" i="22" s="1"/>
  <c r="C144" i="22"/>
  <c r="B144" i="22"/>
  <c r="I143" i="22"/>
  <c r="H143" i="22"/>
  <c r="F143" i="22"/>
  <c r="G143" i="22" s="1"/>
  <c r="C143" i="22"/>
  <c r="B143" i="22"/>
  <c r="I142" i="22"/>
  <c r="H142" i="22"/>
  <c r="F142" i="22"/>
  <c r="G142" i="22" s="1"/>
  <c r="C142" i="22"/>
  <c r="B142" i="22"/>
  <c r="I141" i="22"/>
  <c r="H141" i="22"/>
  <c r="F141" i="22"/>
  <c r="G141" i="22" s="1"/>
  <c r="C141" i="22"/>
  <c r="B141" i="22"/>
  <c r="I140" i="22"/>
  <c r="H140" i="22"/>
  <c r="F140" i="22"/>
  <c r="G140" i="22" s="1"/>
  <c r="C140" i="22"/>
  <c r="B140" i="22"/>
  <c r="I139" i="22"/>
  <c r="H139" i="22"/>
  <c r="F139" i="22"/>
  <c r="G139" i="22" s="1"/>
  <c r="C139" i="22"/>
  <c r="B139" i="22"/>
  <c r="I138" i="22"/>
  <c r="H138" i="22"/>
  <c r="F138" i="22"/>
  <c r="G138" i="22" s="1"/>
  <c r="C138" i="22"/>
  <c r="B138" i="22"/>
  <c r="I137" i="22"/>
  <c r="H137" i="22"/>
  <c r="F137" i="22"/>
  <c r="G137" i="22" s="1"/>
  <c r="C137" i="22"/>
  <c r="B137" i="22"/>
  <c r="I136" i="22"/>
  <c r="H136" i="22"/>
  <c r="F136" i="22"/>
  <c r="G136" i="22" s="1"/>
  <c r="C136" i="22"/>
  <c r="B136" i="22"/>
  <c r="I135" i="22"/>
  <c r="H135" i="22"/>
  <c r="F135" i="22"/>
  <c r="G135" i="22" s="1"/>
  <c r="C135" i="22"/>
  <c r="B135" i="22"/>
  <c r="I134" i="22"/>
  <c r="H134" i="22"/>
  <c r="F134" i="22"/>
  <c r="G134" i="22" s="1"/>
  <c r="C134" i="22"/>
  <c r="B134" i="22"/>
  <c r="I133" i="22"/>
  <c r="H133" i="22"/>
  <c r="F133" i="22"/>
  <c r="G133" i="22" s="1"/>
  <c r="C133" i="22"/>
  <c r="B133" i="22"/>
  <c r="I132" i="22"/>
  <c r="H132" i="22"/>
  <c r="F132" i="22"/>
  <c r="G132" i="22" s="1"/>
  <c r="C132" i="22"/>
  <c r="B132" i="22"/>
  <c r="I131" i="22"/>
  <c r="H131" i="22"/>
  <c r="F131" i="22"/>
  <c r="G131" i="22" s="1"/>
  <c r="C131" i="22"/>
  <c r="B131" i="22"/>
  <c r="I130" i="22"/>
  <c r="H130" i="22"/>
  <c r="F130" i="22"/>
  <c r="G130" i="22" s="1"/>
  <c r="C130" i="22"/>
  <c r="B130" i="22"/>
  <c r="I129" i="22"/>
  <c r="H129" i="22"/>
  <c r="F129" i="22"/>
  <c r="G129" i="22" s="1"/>
  <c r="C129" i="22"/>
  <c r="B129" i="22"/>
  <c r="I128" i="22"/>
  <c r="H128" i="22"/>
  <c r="F128" i="22"/>
  <c r="G128" i="22" s="1"/>
  <c r="C128" i="22"/>
  <c r="B128" i="22"/>
  <c r="I127" i="22"/>
  <c r="H127" i="22"/>
  <c r="F127" i="22"/>
  <c r="G127" i="22" s="1"/>
  <c r="C127" i="22"/>
  <c r="B127" i="22"/>
  <c r="I126" i="22"/>
  <c r="H126" i="22"/>
  <c r="F126" i="22"/>
  <c r="G126" i="22" s="1"/>
  <c r="C126" i="22"/>
  <c r="B126" i="22"/>
  <c r="I125" i="22"/>
  <c r="H125" i="22"/>
  <c r="F125" i="22"/>
  <c r="G125" i="22" s="1"/>
  <c r="C125" i="22"/>
  <c r="B125" i="22"/>
  <c r="I124" i="22"/>
  <c r="H124" i="22"/>
  <c r="F124" i="22"/>
  <c r="G124" i="22" s="1"/>
  <c r="C124" i="22"/>
  <c r="B124" i="22"/>
  <c r="I123" i="22"/>
  <c r="H123" i="22"/>
  <c r="F123" i="22"/>
  <c r="G123" i="22" s="1"/>
  <c r="C123" i="22"/>
  <c r="B123" i="22"/>
  <c r="I122" i="22"/>
  <c r="H122" i="22"/>
  <c r="F122" i="22"/>
  <c r="G122" i="22" s="1"/>
  <c r="C122" i="22"/>
  <c r="B122" i="22"/>
  <c r="I121" i="22"/>
  <c r="H121" i="22"/>
  <c r="F121" i="22"/>
  <c r="G121" i="22" s="1"/>
  <c r="C121" i="22"/>
  <c r="B121" i="22"/>
  <c r="I120" i="22"/>
  <c r="H120" i="22"/>
  <c r="F120" i="22"/>
  <c r="G120" i="22" s="1"/>
  <c r="C120" i="22"/>
  <c r="B120" i="22"/>
  <c r="I119" i="22"/>
  <c r="H119" i="22"/>
  <c r="C119" i="22"/>
  <c r="B119" i="22"/>
  <c r="I118" i="22"/>
  <c r="H118" i="22"/>
  <c r="F118" i="22"/>
  <c r="G118" i="22" s="1"/>
  <c r="C118" i="22"/>
  <c r="B118" i="22"/>
  <c r="I117" i="22"/>
  <c r="H117" i="22"/>
  <c r="F117" i="22"/>
  <c r="G117" i="22" s="1"/>
  <c r="C117" i="22"/>
  <c r="B117" i="22"/>
  <c r="I116" i="22"/>
  <c r="H116" i="22"/>
  <c r="F116" i="22"/>
  <c r="G116" i="22" s="1"/>
  <c r="C116" i="22"/>
  <c r="B116" i="22"/>
  <c r="I115" i="22"/>
  <c r="H115" i="22"/>
  <c r="F115" i="22"/>
  <c r="G115" i="22" s="1"/>
  <c r="C115" i="22"/>
  <c r="B115" i="22"/>
  <c r="I114" i="22"/>
  <c r="H114" i="22"/>
  <c r="F114" i="22"/>
  <c r="G114" i="22" s="1"/>
  <c r="C114" i="22"/>
  <c r="B114" i="22"/>
  <c r="I113" i="22"/>
  <c r="H113" i="22"/>
  <c r="F113" i="22"/>
  <c r="G113" i="22" s="1"/>
  <c r="C113" i="22"/>
  <c r="B113" i="22"/>
  <c r="I112" i="22"/>
  <c r="H112" i="22"/>
  <c r="F112" i="22"/>
  <c r="G112" i="22" s="1"/>
  <c r="C112" i="22"/>
  <c r="B112" i="22"/>
  <c r="I111" i="22"/>
  <c r="H111" i="22"/>
  <c r="F111" i="22"/>
  <c r="G111" i="22" s="1"/>
  <c r="C111" i="22"/>
  <c r="B111" i="22"/>
  <c r="I110" i="22"/>
  <c r="H110" i="22"/>
  <c r="F110" i="22"/>
  <c r="G110" i="22" s="1"/>
  <c r="C110" i="22"/>
  <c r="B110" i="22"/>
  <c r="I109" i="22"/>
  <c r="H109" i="22"/>
  <c r="F109" i="22"/>
  <c r="G109" i="22" s="1"/>
  <c r="C109" i="22"/>
  <c r="B109" i="22"/>
  <c r="I108" i="22"/>
  <c r="H108" i="22"/>
  <c r="F108" i="22"/>
  <c r="G108" i="22" s="1"/>
  <c r="C108" i="22"/>
  <c r="B108" i="22"/>
  <c r="I107" i="22"/>
  <c r="H107" i="22"/>
  <c r="F107" i="22"/>
  <c r="G107" i="22" s="1"/>
  <c r="C107" i="22"/>
  <c r="B107" i="22"/>
  <c r="I106" i="22"/>
  <c r="H106" i="22"/>
  <c r="F106" i="22"/>
  <c r="G106" i="22" s="1"/>
  <c r="C106" i="22"/>
  <c r="B106" i="22"/>
  <c r="I105" i="22"/>
  <c r="H105" i="22"/>
  <c r="F105" i="22"/>
  <c r="G105" i="22" s="1"/>
  <c r="C105" i="22"/>
  <c r="B105" i="22"/>
  <c r="I104" i="22"/>
  <c r="H104" i="22"/>
  <c r="F104" i="22"/>
  <c r="G104" i="22" s="1"/>
  <c r="C104" i="22"/>
  <c r="B104" i="22"/>
  <c r="I103" i="22"/>
  <c r="H103" i="22"/>
  <c r="F103" i="22"/>
  <c r="G103" i="22" s="1"/>
  <c r="C103" i="22"/>
  <c r="B103" i="22"/>
  <c r="I102" i="22"/>
  <c r="H102" i="22"/>
  <c r="F102" i="22"/>
  <c r="G102" i="22" s="1"/>
  <c r="C102" i="22"/>
  <c r="B102" i="22"/>
  <c r="I101" i="22"/>
  <c r="H101" i="22"/>
  <c r="F101" i="22"/>
  <c r="G101" i="22" s="1"/>
  <c r="C101" i="22"/>
  <c r="B101" i="22"/>
  <c r="I100" i="22"/>
  <c r="H100" i="22"/>
  <c r="F100" i="22"/>
  <c r="G100" i="22" s="1"/>
  <c r="C100" i="22"/>
  <c r="B100" i="22"/>
  <c r="I99" i="22"/>
  <c r="H99" i="22"/>
  <c r="F99" i="22"/>
  <c r="G99" i="22" s="1"/>
  <c r="C99" i="22"/>
  <c r="B99" i="22"/>
  <c r="I98" i="22"/>
  <c r="H98" i="22"/>
  <c r="F98" i="22"/>
  <c r="G98" i="22" s="1"/>
  <c r="C98" i="22"/>
  <c r="B98" i="22"/>
  <c r="I97" i="22"/>
  <c r="H97" i="22"/>
  <c r="F97" i="22"/>
  <c r="G97" i="22" s="1"/>
  <c r="C97" i="22"/>
  <c r="B97" i="22"/>
  <c r="I96" i="22"/>
  <c r="H96" i="22"/>
  <c r="F96" i="22"/>
  <c r="G96" i="22" s="1"/>
  <c r="C96" i="22"/>
  <c r="B96" i="22"/>
  <c r="I95" i="22"/>
  <c r="H95" i="22"/>
  <c r="F95" i="22"/>
  <c r="G95" i="22" s="1"/>
  <c r="C95" i="22"/>
  <c r="B95" i="22"/>
  <c r="I94" i="22"/>
  <c r="H94" i="22"/>
  <c r="F94" i="22"/>
  <c r="G94" i="22" s="1"/>
  <c r="C94" i="22"/>
  <c r="B94" i="22"/>
  <c r="I93" i="22"/>
  <c r="H93" i="22"/>
  <c r="F93" i="22"/>
  <c r="G93" i="22" s="1"/>
  <c r="C93" i="22"/>
  <c r="B93" i="22"/>
  <c r="I92" i="22"/>
  <c r="H92" i="22"/>
  <c r="F92" i="22"/>
  <c r="G92" i="22" s="1"/>
  <c r="C92" i="22"/>
  <c r="B92" i="22"/>
  <c r="I91" i="22"/>
  <c r="H91" i="22"/>
  <c r="F91" i="22"/>
  <c r="G91" i="22" s="1"/>
  <c r="C91" i="22"/>
  <c r="B91" i="22"/>
  <c r="I90" i="22"/>
  <c r="H90" i="22"/>
  <c r="F90" i="22"/>
  <c r="G90" i="22" s="1"/>
  <c r="C90" i="22"/>
  <c r="B90" i="22"/>
  <c r="I89" i="22"/>
  <c r="H89" i="22"/>
  <c r="F89" i="22"/>
  <c r="G89" i="22" s="1"/>
  <c r="C89" i="22"/>
  <c r="B89" i="22"/>
  <c r="I88" i="22"/>
  <c r="H88" i="22"/>
  <c r="F88" i="22"/>
  <c r="G88" i="22" s="1"/>
  <c r="C88" i="22"/>
  <c r="B88" i="22"/>
  <c r="I87" i="22"/>
  <c r="H87" i="22"/>
  <c r="F87" i="22"/>
  <c r="G87" i="22" s="1"/>
  <c r="C87" i="22"/>
  <c r="B87" i="22"/>
  <c r="I86" i="22"/>
  <c r="H86" i="22"/>
  <c r="F86" i="22"/>
  <c r="G86" i="22" s="1"/>
  <c r="C86" i="22"/>
  <c r="B86" i="22"/>
  <c r="I85" i="22"/>
  <c r="H85" i="22"/>
  <c r="F85" i="22"/>
  <c r="G85" i="22" s="1"/>
  <c r="C85" i="22"/>
  <c r="B85" i="22"/>
  <c r="I84" i="22"/>
  <c r="H84" i="22"/>
  <c r="F84" i="22"/>
  <c r="G84" i="22" s="1"/>
  <c r="C84" i="22"/>
  <c r="B84" i="22"/>
  <c r="I83" i="22"/>
  <c r="H83" i="22"/>
  <c r="F83" i="22"/>
  <c r="G83" i="22" s="1"/>
  <c r="C83" i="22"/>
  <c r="B83" i="22"/>
  <c r="I82" i="22"/>
  <c r="H82" i="22"/>
  <c r="F82" i="22"/>
  <c r="G82" i="22" s="1"/>
  <c r="C82" i="22"/>
  <c r="B82" i="22"/>
  <c r="I81" i="22"/>
  <c r="H81" i="22"/>
  <c r="F81" i="22"/>
  <c r="G81" i="22" s="1"/>
  <c r="C81" i="22"/>
  <c r="B81" i="22"/>
  <c r="I80" i="22"/>
  <c r="H80" i="22"/>
  <c r="F80" i="22"/>
  <c r="G80" i="22" s="1"/>
  <c r="C80" i="22"/>
  <c r="B80" i="22"/>
  <c r="I79" i="22"/>
  <c r="H79" i="22"/>
  <c r="F79" i="22"/>
  <c r="G79" i="22" s="1"/>
  <c r="C79" i="22"/>
  <c r="B79" i="22"/>
  <c r="I78" i="22"/>
  <c r="H78" i="22"/>
  <c r="F78" i="22"/>
  <c r="G78" i="22" s="1"/>
  <c r="C78" i="22"/>
  <c r="B78" i="22"/>
  <c r="I77" i="22"/>
  <c r="H77" i="22"/>
  <c r="F77" i="22"/>
  <c r="G77" i="22" s="1"/>
  <c r="C77" i="22"/>
  <c r="B77" i="22"/>
  <c r="I76" i="22"/>
  <c r="H76" i="22"/>
  <c r="F76" i="22"/>
  <c r="G76" i="22" s="1"/>
  <c r="C76" i="22"/>
  <c r="B76" i="22"/>
  <c r="I75" i="22"/>
  <c r="H75" i="22"/>
  <c r="F75" i="22"/>
  <c r="G75" i="22" s="1"/>
  <c r="C75" i="22"/>
  <c r="B75" i="22"/>
  <c r="I74" i="22"/>
  <c r="H74" i="22"/>
  <c r="F74" i="22"/>
  <c r="G74" i="22" s="1"/>
  <c r="C74" i="22"/>
  <c r="B74" i="22"/>
  <c r="I73" i="22"/>
  <c r="H73" i="22"/>
  <c r="F73" i="22"/>
  <c r="G73" i="22" s="1"/>
  <c r="C73" i="22"/>
  <c r="B73" i="22"/>
  <c r="I72" i="22"/>
  <c r="H72" i="22"/>
  <c r="F72" i="22"/>
  <c r="G72" i="22" s="1"/>
  <c r="C72" i="22"/>
  <c r="B72" i="22"/>
  <c r="I71" i="22"/>
  <c r="H71" i="22"/>
  <c r="F71" i="22"/>
  <c r="G71" i="22" s="1"/>
  <c r="C71" i="22"/>
  <c r="B71" i="22"/>
  <c r="I70" i="22"/>
  <c r="H70" i="22"/>
  <c r="F70" i="22"/>
  <c r="G70" i="22" s="1"/>
  <c r="C70" i="22"/>
  <c r="B70" i="22"/>
  <c r="I69" i="22"/>
  <c r="H69" i="22"/>
  <c r="F69" i="22"/>
  <c r="G69" i="22" s="1"/>
  <c r="C69" i="22"/>
  <c r="B69" i="22"/>
  <c r="I68" i="22"/>
  <c r="H68" i="22"/>
  <c r="F68" i="22"/>
  <c r="G68" i="22" s="1"/>
  <c r="C68" i="22"/>
  <c r="B68" i="22"/>
  <c r="I67" i="22"/>
  <c r="H67" i="22"/>
  <c r="F67" i="22"/>
  <c r="G67" i="22" s="1"/>
  <c r="C67" i="22"/>
  <c r="B67" i="22"/>
  <c r="I66" i="22"/>
  <c r="H66" i="22"/>
  <c r="F66" i="22"/>
  <c r="G66" i="22" s="1"/>
  <c r="C66" i="22"/>
  <c r="B66" i="22"/>
  <c r="I65" i="22"/>
  <c r="H65" i="22"/>
  <c r="F65" i="22"/>
  <c r="G65" i="22" s="1"/>
  <c r="C65" i="22"/>
  <c r="B65" i="22"/>
  <c r="I64" i="22"/>
  <c r="H64" i="22"/>
  <c r="F64" i="22"/>
  <c r="G64" i="22" s="1"/>
  <c r="C64" i="22"/>
  <c r="B64" i="22"/>
  <c r="I63" i="22"/>
  <c r="H63" i="22"/>
  <c r="F63" i="22"/>
  <c r="G63" i="22" s="1"/>
  <c r="C63" i="22"/>
  <c r="B63" i="22"/>
  <c r="I62" i="22"/>
  <c r="H62" i="22"/>
  <c r="F62" i="22"/>
  <c r="G62" i="22" s="1"/>
  <c r="C62" i="22"/>
  <c r="B62" i="22"/>
  <c r="I61" i="22"/>
  <c r="H61" i="22"/>
  <c r="F61" i="22"/>
  <c r="G61" i="22" s="1"/>
  <c r="C61" i="22"/>
  <c r="B61" i="22"/>
  <c r="I60" i="22"/>
  <c r="H60" i="22"/>
  <c r="F60" i="22"/>
  <c r="G60" i="22" s="1"/>
  <c r="C60" i="22"/>
  <c r="B60" i="22"/>
  <c r="I59" i="22"/>
  <c r="H59" i="22"/>
  <c r="F59" i="22"/>
  <c r="G59" i="22" s="1"/>
  <c r="C59" i="22"/>
  <c r="B59" i="22"/>
  <c r="I58" i="22"/>
  <c r="H58" i="22"/>
  <c r="F58" i="22"/>
  <c r="G58" i="22" s="1"/>
  <c r="C58" i="22"/>
  <c r="B58" i="22"/>
  <c r="I57" i="22"/>
  <c r="H57" i="22"/>
  <c r="F57" i="22"/>
  <c r="G57" i="22" s="1"/>
  <c r="C57" i="22"/>
  <c r="B57" i="22"/>
  <c r="I56" i="22"/>
  <c r="H56" i="22"/>
  <c r="F56" i="22"/>
  <c r="G56" i="22" s="1"/>
  <c r="C56" i="22"/>
  <c r="B56" i="22"/>
  <c r="I55" i="22"/>
  <c r="H55" i="22"/>
  <c r="F55" i="22"/>
  <c r="G55" i="22" s="1"/>
  <c r="C55" i="22"/>
  <c r="B55" i="22"/>
  <c r="I54" i="22"/>
  <c r="H54" i="22"/>
  <c r="F54" i="22"/>
  <c r="G54" i="22" s="1"/>
  <c r="C54" i="22"/>
  <c r="B54" i="22"/>
  <c r="I53" i="22"/>
  <c r="H53" i="22"/>
  <c r="F53" i="22"/>
  <c r="G53" i="22" s="1"/>
  <c r="C53" i="22"/>
  <c r="B53" i="22"/>
  <c r="I52" i="22"/>
  <c r="H52" i="22"/>
  <c r="F52" i="22"/>
  <c r="G52" i="22" s="1"/>
  <c r="C52" i="22"/>
  <c r="B52" i="22"/>
  <c r="I51" i="22"/>
  <c r="H51" i="22"/>
  <c r="F51" i="22"/>
  <c r="G51" i="22" s="1"/>
  <c r="C51" i="22"/>
  <c r="B51" i="22"/>
  <c r="I50" i="22"/>
  <c r="H50" i="22"/>
  <c r="F50" i="22"/>
  <c r="G50" i="22" s="1"/>
  <c r="C50" i="22"/>
  <c r="B50" i="22"/>
  <c r="I49" i="22"/>
  <c r="H49" i="22"/>
  <c r="F49" i="22"/>
  <c r="G49" i="22" s="1"/>
  <c r="C49" i="22"/>
  <c r="B49" i="22"/>
  <c r="I48" i="22"/>
  <c r="H48" i="22"/>
  <c r="F48" i="22"/>
  <c r="G48" i="22" s="1"/>
  <c r="C48" i="22"/>
  <c r="B48" i="22"/>
  <c r="I47" i="22"/>
  <c r="H47" i="22"/>
  <c r="F47" i="22"/>
  <c r="G47" i="22" s="1"/>
  <c r="C47" i="22"/>
  <c r="B47" i="22"/>
  <c r="I46" i="22"/>
  <c r="H46" i="22"/>
  <c r="F46" i="22"/>
  <c r="G46" i="22" s="1"/>
  <c r="C46" i="22"/>
  <c r="B46" i="22"/>
  <c r="I45" i="22"/>
  <c r="H45" i="22"/>
  <c r="F45" i="22"/>
  <c r="G45" i="22" s="1"/>
  <c r="C45" i="22"/>
  <c r="B45" i="22"/>
  <c r="I44" i="22"/>
  <c r="H44" i="22"/>
  <c r="F44" i="22"/>
  <c r="G44" i="22" s="1"/>
  <c r="C44" i="22"/>
  <c r="B44" i="22"/>
  <c r="I43" i="22"/>
  <c r="H43" i="22"/>
  <c r="F43" i="22"/>
  <c r="G43" i="22" s="1"/>
  <c r="C43" i="22"/>
  <c r="B43" i="22"/>
  <c r="I42" i="22"/>
  <c r="H42" i="22"/>
  <c r="F42" i="22"/>
  <c r="G42" i="22" s="1"/>
  <c r="C42" i="22"/>
  <c r="B42" i="22"/>
  <c r="I41" i="22"/>
  <c r="H41" i="22"/>
  <c r="F41" i="22"/>
  <c r="G41" i="22" s="1"/>
  <c r="C41" i="22"/>
  <c r="B41" i="22"/>
  <c r="I40" i="22"/>
  <c r="H40" i="22"/>
  <c r="F40" i="22"/>
  <c r="G40" i="22" s="1"/>
  <c r="C40" i="22"/>
  <c r="B40" i="22"/>
  <c r="I39" i="22"/>
  <c r="H39" i="22"/>
  <c r="F39" i="22"/>
  <c r="G39" i="22" s="1"/>
  <c r="C39" i="22"/>
  <c r="B39" i="22"/>
  <c r="I38" i="22"/>
  <c r="H38" i="22"/>
  <c r="F38" i="22"/>
  <c r="G38" i="22" s="1"/>
  <c r="C38" i="22"/>
  <c r="B38" i="22"/>
  <c r="I37" i="22"/>
  <c r="H37" i="22"/>
  <c r="F37" i="22"/>
  <c r="G37" i="22" s="1"/>
  <c r="C37" i="22"/>
  <c r="B37" i="22"/>
  <c r="I36" i="22"/>
  <c r="H36" i="22"/>
  <c r="F36" i="22"/>
  <c r="G36" i="22" s="1"/>
  <c r="C36" i="22"/>
  <c r="B36" i="22"/>
  <c r="I35" i="22"/>
  <c r="H35" i="22"/>
  <c r="F35" i="22"/>
  <c r="G35" i="22" s="1"/>
  <c r="C35" i="22"/>
  <c r="B35" i="22"/>
  <c r="I34" i="22"/>
  <c r="H34" i="22"/>
  <c r="F34" i="22"/>
  <c r="G34" i="22" s="1"/>
  <c r="C34" i="22"/>
  <c r="B34" i="22"/>
  <c r="I33" i="22"/>
  <c r="H33" i="22"/>
  <c r="F33" i="22"/>
  <c r="G33" i="22" s="1"/>
  <c r="C33" i="22"/>
  <c r="B33" i="22"/>
  <c r="I32" i="22"/>
  <c r="H32" i="22"/>
  <c r="F32" i="22"/>
  <c r="G32" i="22" s="1"/>
  <c r="C32" i="22"/>
  <c r="B32" i="22"/>
  <c r="I31" i="22"/>
  <c r="H31" i="22"/>
  <c r="F31" i="22"/>
  <c r="G31" i="22" s="1"/>
  <c r="C31" i="22"/>
  <c r="B31" i="22"/>
  <c r="I30" i="22"/>
  <c r="H30" i="22"/>
  <c r="F30" i="22"/>
  <c r="G30" i="22" s="1"/>
  <c r="C30" i="22"/>
  <c r="B30" i="22"/>
  <c r="I29" i="22"/>
  <c r="H29" i="22"/>
  <c r="F29" i="22"/>
  <c r="G29" i="22" s="1"/>
  <c r="C29" i="22"/>
  <c r="B29" i="22"/>
  <c r="I28" i="22"/>
  <c r="H28" i="22"/>
  <c r="F28" i="22"/>
  <c r="G28" i="22" s="1"/>
  <c r="C28" i="22"/>
  <c r="B28" i="22"/>
  <c r="I27" i="22"/>
  <c r="H27" i="22"/>
  <c r="F27" i="22"/>
  <c r="G27" i="22" s="1"/>
  <c r="C27" i="22"/>
  <c r="B27" i="22"/>
  <c r="I26" i="22"/>
  <c r="H26" i="22"/>
  <c r="F26" i="22"/>
  <c r="G26" i="22" s="1"/>
  <c r="C26" i="22"/>
  <c r="B26" i="22"/>
  <c r="I25" i="22"/>
  <c r="H25" i="22"/>
  <c r="F25" i="22"/>
  <c r="G25" i="22" s="1"/>
  <c r="C25" i="22"/>
  <c r="B25" i="22"/>
  <c r="I24" i="22"/>
  <c r="H24" i="22"/>
  <c r="F24" i="22"/>
  <c r="G24" i="22" s="1"/>
  <c r="C24" i="22"/>
  <c r="B24" i="22"/>
  <c r="I23" i="22"/>
  <c r="H23" i="22"/>
  <c r="F23" i="22"/>
  <c r="G23" i="22" s="1"/>
  <c r="C23" i="22"/>
  <c r="B23" i="22"/>
  <c r="I22" i="22"/>
  <c r="H22" i="22"/>
  <c r="F22" i="22"/>
  <c r="G22" i="22" s="1"/>
  <c r="C22" i="22"/>
  <c r="B22" i="22"/>
  <c r="I21" i="22"/>
  <c r="H21" i="22"/>
  <c r="F21" i="22"/>
  <c r="G21" i="22" s="1"/>
  <c r="C21" i="22"/>
  <c r="B21" i="22"/>
  <c r="I20" i="22"/>
  <c r="H20" i="22"/>
  <c r="F20" i="22"/>
  <c r="G20" i="22" s="1"/>
  <c r="C20" i="22"/>
  <c r="B20" i="22"/>
  <c r="I19" i="22"/>
  <c r="H19" i="22"/>
  <c r="F19" i="22"/>
  <c r="G19" i="22" s="1"/>
  <c r="C19" i="22"/>
  <c r="B19" i="22"/>
  <c r="I18" i="22"/>
  <c r="H18" i="22"/>
  <c r="F18" i="22"/>
  <c r="G18" i="22" s="1"/>
  <c r="C18" i="22"/>
  <c r="B18" i="22"/>
  <c r="I17" i="22"/>
  <c r="H17" i="22"/>
  <c r="F17" i="22"/>
  <c r="G17" i="22" s="1"/>
  <c r="C17" i="22"/>
  <c r="B17" i="22"/>
  <c r="I16" i="22"/>
  <c r="H16" i="22"/>
  <c r="F16" i="22"/>
  <c r="G16" i="22" s="1"/>
  <c r="C16" i="22"/>
  <c r="B16" i="22"/>
  <c r="I15" i="22"/>
  <c r="H15" i="22"/>
  <c r="F15" i="22"/>
  <c r="G15" i="22" s="1"/>
  <c r="C15" i="22"/>
  <c r="B15" i="22"/>
  <c r="I14" i="22"/>
  <c r="H14" i="22"/>
  <c r="F14" i="22"/>
  <c r="G14" i="22" s="1"/>
  <c r="C14" i="22"/>
  <c r="B14" i="22"/>
  <c r="I13" i="22"/>
  <c r="H13" i="22"/>
  <c r="F13" i="22"/>
  <c r="G13" i="22" s="1"/>
  <c r="C13" i="22"/>
  <c r="B13" i="22"/>
  <c r="I12" i="22"/>
  <c r="H12" i="22"/>
  <c r="F12" i="22"/>
  <c r="G12" i="22" s="1"/>
  <c r="C12" i="22"/>
  <c r="B12" i="22"/>
  <c r="I11" i="22"/>
  <c r="H11" i="22"/>
  <c r="F11" i="22"/>
  <c r="G11" i="22" s="1"/>
  <c r="C11" i="22"/>
  <c r="B11" i="22"/>
  <c r="I10" i="22"/>
  <c r="H10" i="22"/>
  <c r="F10" i="22"/>
  <c r="G10" i="22" s="1"/>
  <c r="C10" i="22"/>
  <c r="B10" i="22"/>
  <c r="I9" i="22"/>
  <c r="H9" i="22"/>
  <c r="F9" i="22"/>
  <c r="G9" i="22" s="1"/>
  <c r="C9" i="22"/>
  <c r="B9" i="22"/>
  <c r="I8" i="22"/>
  <c r="H8" i="22"/>
  <c r="F8" i="22"/>
  <c r="G8" i="22" s="1"/>
  <c r="C8" i="22"/>
  <c r="B8" i="22"/>
  <c r="I7" i="22"/>
  <c r="H7" i="22"/>
  <c r="F7" i="22"/>
  <c r="G7" i="22" s="1"/>
  <c r="C7" i="22"/>
  <c r="B7" i="22"/>
  <c r="I6" i="22"/>
  <c r="H6" i="22"/>
  <c r="F6" i="22"/>
  <c r="G6" i="22" s="1"/>
  <c r="C6" i="22"/>
  <c r="B6" i="22"/>
  <c r="I5" i="22"/>
  <c r="H5" i="22"/>
  <c r="F5" i="22"/>
  <c r="G5" i="22" s="1"/>
  <c r="C5" i="22"/>
  <c r="B5" i="22"/>
  <c r="I4" i="22"/>
  <c r="H4" i="22"/>
  <c r="F4" i="22"/>
  <c r="G4" i="22" s="1"/>
  <c r="C4" i="22"/>
  <c r="B4" i="22"/>
  <c r="I3" i="22"/>
  <c r="H3" i="22"/>
  <c r="F3" i="22"/>
  <c r="G3" i="22" s="1"/>
  <c r="C3" i="22"/>
  <c r="B3" i="22"/>
  <c r="F786" i="53"/>
  <c r="F1079" i="53"/>
  <c r="F1083" i="53"/>
  <c r="F1335" i="53"/>
  <c r="F1347" i="53"/>
  <c r="F807" i="53"/>
  <c r="F1098" i="53"/>
  <c r="F1105" i="53"/>
  <c r="F1157" i="53"/>
  <c r="F1413" i="53"/>
  <c r="F755" i="53"/>
  <c r="F757" i="53"/>
  <c r="F673" i="53"/>
  <c r="F756" i="53"/>
  <c r="F686" i="53"/>
  <c r="F672" i="53"/>
  <c r="F1296" i="53"/>
  <c r="F310" i="53"/>
  <c r="F342" i="53"/>
  <c r="F370" i="53"/>
  <c r="F407" i="53"/>
  <c r="F459" i="53"/>
  <c r="F508" i="53"/>
  <c r="F576" i="53"/>
  <c r="F608" i="53"/>
  <c r="J1353" i="53"/>
  <c r="F1353" i="53"/>
  <c r="F1352" i="53"/>
  <c r="F1351" i="53"/>
  <c r="F2137" i="53"/>
  <c r="F378" i="53"/>
  <c r="F521" i="53"/>
  <c r="F805" i="53"/>
  <c r="F762" i="53"/>
  <c r="F850" i="53"/>
  <c r="F849" i="53"/>
  <c r="F44" i="53"/>
  <c r="F43" i="53"/>
  <c r="J619" i="53"/>
  <c r="F619" i="53"/>
  <c r="F618" i="53"/>
  <c r="J630" i="53"/>
  <c r="F630" i="53"/>
  <c r="F629" i="53"/>
  <c r="F1357" i="53"/>
  <c r="F1361" i="53"/>
  <c r="F1576" i="53"/>
  <c r="F1578" i="53"/>
  <c r="F1580" i="53"/>
  <c r="F1582" i="53"/>
  <c r="F1584" i="53"/>
  <c r="F1586" i="53"/>
  <c r="F1588" i="53"/>
  <c r="F1674" i="53"/>
  <c r="F1676" i="53"/>
  <c r="F1853" i="53"/>
  <c r="F1858" i="53"/>
  <c r="F1863" i="53"/>
  <c r="F1868" i="53"/>
  <c r="F1976" i="53"/>
  <c r="F1980" i="53"/>
  <c r="F1984" i="53"/>
  <c r="F2067" i="53"/>
  <c r="F2074" i="53"/>
  <c r="F2105" i="53"/>
  <c r="F2118" i="53"/>
  <c r="F2122" i="53"/>
  <c r="F2125" i="53"/>
  <c r="F2203" i="53"/>
  <c r="F2205" i="53"/>
  <c r="F2219" i="53"/>
  <c r="F2225" i="53"/>
  <c r="F2311" i="53"/>
  <c r="F2315" i="53"/>
  <c r="F125" i="53"/>
  <c r="F870" i="53"/>
  <c r="F1187" i="53"/>
  <c r="F1354" i="53"/>
  <c r="F1518" i="53"/>
  <c r="F1622" i="53"/>
  <c r="F1726" i="53"/>
  <c r="F1753" i="53"/>
  <c r="F266" i="53"/>
  <c r="F309" i="53"/>
  <c r="F406" i="53"/>
  <c r="F308" i="53"/>
  <c r="F263" i="53"/>
  <c r="F405" i="53"/>
  <c r="F458" i="53"/>
  <c r="F507" i="53"/>
  <c r="F543" i="53"/>
  <c r="F262" i="53"/>
  <c r="F307" i="53"/>
  <c r="F341" i="53"/>
  <c r="F369" i="53"/>
  <c r="F404" i="53"/>
  <c r="F457" i="53"/>
  <c r="F506" i="53"/>
  <c r="F542" i="53"/>
  <c r="F261" i="53"/>
  <c r="F306" i="53"/>
  <c r="F340" i="53"/>
  <c r="F368" i="53"/>
  <c r="F505" i="53"/>
  <c r="F456" i="53"/>
  <c r="F403" i="53"/>
  <c r="F541" i="53"/>
  <c r="F260" i="53"/>
  <c r="F305" i="53"/>
  <c r="F339" i="53"/>
  <c r="F367" i="53"/>
  <c r="F402" i="53"/>
  <c r="F455" i="53"/>
  <c r="F503" i="53"/>
  <c r="F540" i="53"/>
  <c r="F258" i="53"/>
  <c r="F304" i="53"/>
  <c r="F338" i="53"/>
  <c r="F365" i="53"/>
  <c r="F401" i="53"/>
  <c r="F454" i="53"/>
  <c r="F502" i="53"/>
  <c r="F539" i="53"/>
  <c r="F257" i="53"/>
  <c r="F303" i="53"/>
  <c r="F337" i="53"/>
  <c r="F364" i="53"/>
  <c r="F400" i="53"/>
  <c r="F453" i="53"/>
  <c r="F501" i="53"/>
  <c r="F538" i="53"/>
  <c r="F575" i="53"/>
  <c r="F607" i="53"/>
  <c r="F574" i="53"/>
  <c r="F606" i="53"/>
  <c r="F256" i="53"/>
  <c r="F302" i="53"/>
  <c r="F399" i="53"/>
  <c r="F452" i="53"/>
  <c r="F500" i="53"/>
  <c r="F537" i="53"/>
  <c r="F301" i="53"/>
  <c r="F336" i="53"/>
  <c r="F363" i="53"/>
  <c r="F398" i="53"/>
  <c r="F451" i="53"/>
  <c r="F499" i="53"/>
  <c r="F536" i="53"/>
  <c r="F255" i="53"/>
  <c r="F300" i="53"/>
  <c r="F335" i="53"/>
  <c r="F362" i="53"/>
  <c r="F397" i="53"/>
  <c r="F450" i="53"/>
  <c r="F535" i="53"/>
  <c r="F605" i="53"/>
  <c r="F604" i="53"/>
  <c r="F556" i="53"/>
  <c r="F712" i="53"/>
  <c r="F2048" i="53"/>
  <c r="F180" i="53"/>
  <c r="F396" i="53"/>
  <c r="F449" i="53"/>
  <c r="F498" i="53"/>
  <c r="F534" i="53"/>
  <c r="F573" i="53"/>
  <c r="F603" i="53"/>
  <c r="F448" i="53"/>
  <c r="F497" i="53"/>
  <c r="O572" i="53"/>
  <c r="F572" i="53"/>
  <c r="F602" i="53"/>
  <c r="F1914" i="53"/>
  <c r="J1944" i="53"/>
  <c r="F1944" i="53"/>
  <c r="F1943" i="53"/>
  <c r="F1942" i="53"/>
  <c r="F721" i="53"/>
  <c r="F711" i="53"/>
  <c r="F1897" i="53"/>
  <c r="F1910" i="53"/>
  <c r="F1905" i="53"/>
  <c r="F1896" i="53"/>
  <c r="F1909" i="53"/>
  <c r="F1904" i="53"/>
  <c r="F1223" i="53"/>
  <c r="F193" i="53"/>
  <c r="F208" i="53"/>
  <c r="F230" i="53"/>
  <c r="F241" i="53"/>
  <c r="F547" i="53"/>
  <c r="F552" i="53"/>
  <c r="F254" i="53"/>
  <c r="F299" i="53"/>
  <c r="F334" i="53"/>
  <c r="F361" i="53"/>
  <c r="F395" i="53"/>
  <c r="F447" i="53"/>
  <c r="F496" i="53"/>
  <c r="F571" i="53"/>
  <c r="F601" i="53"/>
  <c r="F253" i="53"/>
  <c r="F333" i="53"/>
  <c r="F360" i="53"/>
  <c r="F394" i="53"/>
  <c r="F570" i="53"/>
  <c r="F600" i="53"/>
  <c r="F569" i="53"/>
  <c r="F1194" i="53"/>
  <c r="F1193" i="53"/>
  <c r="F1618" i="53"/>
  <c r="F1745" i="53"/>
  <c r="F1742" i="53"/>
  <c r="F1192" i="53"/>
  <c r="F1617" i="53"/>
  <c r="F1741" i="53"/>
  <c r="F1739" i="53"/>
  <c r="F1454" i="53"/>
  <c r="F697" i="53"/>
  <c r="F700" i="53"/>
  <c r="F69" i="53"/>
  <c r="F166" i="53"/>
  <c r="F179" i="53"/>
  <c r="F696" i="53"/>
  <c r="F699" i="53"/>
  <c r="F68" i="53"/>
  <c r="F695" i="53"/>
  <c r="F11" i="53"/>
  <c r="F10" i="53"/>
  <c r="F26" i="53"/>
  <c r="F1186" i="53"/>
  <c r="F1225" i="53"/>
  <c r="F710" i="53"/>
  <c r="F121" i="53"/>
  <c r="F124" i="53"/>
  <c r="F150" i="53"/>
  <c r="F853" i="53"/>
  <c r="F866" i="53"/>
  <c r="F869" i="53"/>
  <c r="F868" i="53"/>
  <c r="F872" i="53"/>
  <c r="F875" i="53"/>
  <c r="F878" i="53"/>
  <c r="F879" i="53"/>
  <c r="F880" i="53"/>
  <c r="F785" i="53"/>
  <c r="F804" i="53"/>
  <c r="F813" i="53"/>
  <c r="F812" i="53"/>
  <c r="F818" i="53"/>
  <c r="F817" i="53"/>
  <c r="F117" i="53"/>
  <c r="F119" i="53"/>
  <c r="F852" i="53"/>
  <c r="F856" i="53"/>
  <c r="F784" i="53"/>
  <c r="F803" i="53"/>
  <c r="F783" i="53"/>
  <c r="F802" i="53"/>
  <c r="F2314" i="53"/>
  <c r="F720" i="53"/>
  <c r="F736" i="53"/>
  <c r="F810" i="53"/>
  <c r="F2224" i="53"/>
  <c r="F2218" i="53"/>
  <c r="F2150" i="53"/>
  <c r="F709" i="53"/>
  <c r="F252" i="53"/>
  <c r="F25" i="53"/>
  <c r="F67" i="53"/>
  <c r="F393" i="53"/>
  <c r="F231" i="53"/>
  <c r="F66" i="53"/>
  <c r="F767" i="53"/>
  <c r="F82" i="53"/>
  <c r="F1936" i="53"/>
  <c r="F1333" i="53"/>
  <c r="F392" i="53"/>
  <c r="F708" i="53"/>
  <c r="F1817" i="53"/>
  <c r="F801" i="53"/>
  <c r="F105" i="53"/>
  <c r="F774" i="53"/>
  <c r="J1825" i="53"/>
  <c r="F1825" i="53"/>
  <c r="F1833" i="53"/>
  <c r="F1832" i="53"/>
  <c r="J1838" i="53"/>
  <c r="F1838" i="53"/>
  <c r="F1837" i="53"/>
  <c r="J1845" i="53"/>
  <c r="F1845" i="53"/>
  <c r="F1844" i="53"/>
  <c r="F2310" i="53"/>
  <c r="F1850" i="53"/>
  <c r="F1855" i="53"/>
  <c r="F1975" i="53"/>
  <c r="F111" i="53"/>
  <c r="F1979" i="53"/>
  <c r="F123" i="53"/>
  <c r="F1983" i="53"/>
  <c r="F2103" i="53"/>
  <c r="F138" i="53"/>
  <c r="F2117" i="53"/>
  <c r="F2121" i="53"/>
  <c r="F2124" i="53"/>
  <c r="F140" i="53"/>
  <c r="F1748" i="53"/>
  <c r="F165" i="53"/>
  <c r="F1738" i="53"/>
  <c r="F1816" i="53"/>
  <c r="F1815" i="53"/>
  <c r="F2313" i="53"/>
  <c r="F164" i="53"/>
  <c r="F178" i="53"/>
  <c r="F177" i="53"/>
  <c r="F698" i="53"/>
  <c r="F694" i="53"/>
  <c r="F651" i="53"/>
  <c r="F650" i="53"/>
  <c r="F671" i="53"/>
  <c r="F685" i="53"/>
  <c r="F684" i="53"/>
  <c r="F683" i="53"/>
  <c r="F682" i="53"/>
  <c r="F681" i="53"/>
  <c r="F251" i="53"/>
  <c r="F298" i="53"/>
  <c r="F391" i="53"/>
  <c r="F297" i="53"/>
  <c r="F296" i="53"/>
  <c r="F295" i="53"/>
  <c r="F568" i="53"/>
  <c r="F332" i="53"/>
  <c r="F1290" i="53"/>
  <c r="F1996" i="53"/>
  <c r="F2097" i="53"/>
  <c r="F24" i="53"/>
  <c r="F649" i="53"/>
  <c r="F707" i="53"/>
  <c r="F158" i="53"/>
  <c r="F157" i="53"/>
  <c r="F77" i="53"/>
  <c r="F75" i="53"/>
  <c r="F162" i="53"/>
  <c r="F161" i="53"/>
  <c r="F753" i="53"/>
  <c r="F1412" i="53"/>
  <c r="F1411" i="53"/>
  <c r="F1479" i="53"/>
  <c r="F1410" i="53"/>
  <c r="F1478" i="53"/>
  <c r="F331" i="53"/>
  <c r="F359" i="53"/>
  <c r="F1447" i="53"/>
  <c r="F1453" i="53"/>
  <c r="F1408" i="53"/>
  <c r="F1452" i="53"/>
  <c r="F1407" i="53"/>
  <c r="F358" i="53"/>
  <c r="F1406" i="53"/>
  <c r="F1446" i="53"/>
  <c r="F1451" i="53"/>
  <c r="F1450" i="53"/>
  <c r="F1449" i="53"/>
  <c r="F1075" i="53"/>
  <c r="F1097" i="53"/>
  <c r="F1104" i="53"/>
  <c r="F1405" i="53"/>
  <c r="F390" i="53"/>
  <c r="F1404" i="53"/>
  <c r="F389" i="53"/>
  <c r="F1403" i="53"/>
  <c r="F1096" i="53"/>
  <c r="F1103" i="53"/>
  <c r="F388" i="53"/>
  <c r="F1160" i="53"/>
  <c r="F387" i="53"/>
  <c r="F1156" i="53"/>
  <c r="F1402" i="53"/>
  <c r="F386" i="53"/>
  <c r="F250" i="53"/>
  <c r="F1339" i="53"/>
  <c r="F1401" i="53"/>
  <c r="F1095" i="53"/>
  <c r="F1155" i="53"/>
  <c r="F446" i="53"/>
  <c r="F1400" i="53"/>
  <c r="F445" i="53"/>
  <c r="F444" i="53"/>
  <c r="F443" i="53"/>
  <c r="F1399" i="53"/>
  <c r="F1074" i="53"/>
  <c r="F1222" i="53"/>
  <c r="F1221" i="53"/>
  <c r="F1220" i="53"/>
  <c r="F614" i="53"/>
  <c r="F2304" i="53"/>
  <c r="F1993" i="53"/>
  <c r="F1289" i="53"/>
  <c r="F1442" i="53"/>
  <c r="F249" i="53"/>
  <c r="F442" i="53"/>
  <c r="F330" i="53"/>
  <c r="F480" i="53"/>
  <c r="F385" i="53"/>
  <c r="F441" i="53"/>
  <c r="F495" i="53"/>
  <c r="F567" i="53"/>
  <c r="F494" i="53"/>
  <c r="F440" i="53"/>
  <c r="F493" i="53"/>
  <c r="F599" i="53"/>
  <c r="F492" i="53"/>
  <c r="F1614" i="53"/>
  <c r="F1613" i="53"/>
  <c r="F846" i="53"/>
  <c r="F848" i="53"/>
  <c r="F1168" i="53"/>
  <c r="F1173" i="53"/>
  <c r="F1277" i="53"/>
  <c r="F1279" i="53"/>
  <c r="F1288" i="53"/>
  <c r="F1295" i="53"/>
  <c r="F1299" i="53"/>
  <c r="F491" i="53"/>
  <c r="F1546" i="53"/>
  <c r="F1966" i="53"/>
  <c r="F1968" i="53"/>
  <c r="F2015" i="53"/>
  <c r="F490" i="53"/>
  <c r="F489" i="53"/>
  <c r="F2278" i="53"/>
  <c r="F2302" i="53"/>
  <c r="F488" i="53"/>
  <c r="F2306" i="53"/>
  <c r="F112" i="53"/>
  <c r="F648" i="53"/>
  <c r="F706" i="53"/>
  <c r="F1600" i="53"/>
  <c r="J1073" i="53"/>
  <c r="F1073" i="53"/>
  <c r="F1072" i="53"/>
  <c r="J800" i="53"/>
  <c r="F800" i="53"/>
  <c r="F799" i="53"/>
  <c r="F798" i="53"/>
  <c r="F797" i="53"/>
  <c r="F1094" i="53"/>
  <c r="F1398" i="53"/>
  <c r="F1397" i="53"/>
  <c r="F1396" i="53"/>
  <c r="F1395" i="53"/>
  <c r="F487" i="53"/>
  <c r="F439" i="53"/>
  <c r="F486" i="53"/>
  <c r="F384" i="53"/>
  <c r="F438" i="53"/>
  <c r="F485" i="53"/>
  <c r="F532" i="53"/>
  <c r="F531" i="53"/>
  <c r="F530" i="53"/>
  <c r="F529" i="53"/>
  <c r="F566" i="53"/>
  <c r="F528" i="53"/>
  <c r="F527" i="53"/>
  <c r="F526" i="53"/>
  <c r="F565" i="53"/>
  <c r="F383" i="53"/>
  <c r="F557" i="53"/>
  <c r="F564" i="53"/>
  <c r="F563" i="53"/>
  <c r="F598" i="53"/>
  <c r="F382" i="53"/>
  <c r="F437" i="53"/>
  <c r="F562" i="53"/>
  <c r="F561" i="53"/>
  <c r="F560" i="53"/>
  <c r="F381" i="53"/>
  <c r="F436" i="53"/>
  <c r="F484" i="53"/>
  <c r="F525" i="53"/>
  <c r="F597" i="53"/>
  <c r="F596" i="53"/>
  <c r="F595" i="53"/>
  <c r="F594" i="53"/>
  <c r="F593" i="53"/>
  <c r="F592" i="53"/>
  <c r="F637" i="53"/>
  <c r="F636" i="53"/>
  <c r="F1306" i="53"/>
  <c r="F1287" i="53"/>
  <c r="F1266" i="53"/>
  <c r="F867" i="53"/>
  <c r="F435" i="53"/>
  <c r="F115" i="53"/>
  <c r="F130" i="53"/>
  <c r="F139" i="53"/>
  <c r="F149" i="53"/>
  <c r="F185" i="53"/>
  <c r="F829" i="53"/>
  <c r="F2047" i="53"/>
  <c r="F248" i="53"/>
  <c r="F294" i="53"/>
  <c r="F705" i="53"/>
  <c r="F746" i="53"/>
  <c r="F998" i="53"/>
  <c r="F2046" i="53"/>
  <c r="F1507" i="53"/>
  <c r="F1550" i="53"/>
  <c r="F676" i="53"/>
  <c r="F1934" i="53"/>
  <c r="F1990" i="53"/>
  <c r="F2096" i="53"/>
  <c r="F2095" i="53"/>
  <c r="F1191" i="53"/>
  <c r="F1195" i="53"/>
  <c r="F1199" i="53"/>
  <c r="F1504" i="53"/>
  <c r="F1549" i="53"/>
  <c r="F1556" i="53"/>
  <c r="F1557" i="53"/>
  <c r="F1275" i="53"/>
  <c r="F1274" i="53"/>
  <c r="F1760" i="53"/>
  <c r="F647" i="53"/>
  <c r="F776" i="53"/>
  <c r="F2092" i="53"/>
  <c r="F2094" i="53"/>
  <c r="F2093" i="53"/>
  <c r="F865" i="53"/>
  <c r="F1197" i="53"/>
  <c r="F1511" i="53"/>
  <c r="F1548" i="53"/>
  <c r="F1737" i="53"/>
  <c r="F1759" i="53"/>
  <c r="F796" i="53"/>
  <c r="F871" i="53"/>
  <c r="F520" i="53"/>
  <c r="F874" i="53"/>
  <c r="F1093" i="53"/>
  <c r="F837" i="53"/>
  <c r="F1092" i="53"/>
  <c r="F1271" i="53"/>
  <c r="F1273" i="53"/>
  <c r="F247" i="53"/>
  <c r="F293" i="53"/>
  <c r="F380" i="53"/>
  <c r="F434" i="53"/>
  <c r="F555" i="53"/>
  <c r="F558" i="53"/>
  <c r="F1592" i="53"/>
  <c r="F1593" i="53"/>
  <c r="F1804" i="53"/>
  <c r="F1870" i="53"/>
  <c r="F795" i="53"/>
  <c r="F782" i="53"/>
  <c r="F679" i="53"/>
  <c r="F1091" i="53"/>
  <c r="F1330" i="53"/>
  <c r="F1090" i="53"/>
  <c r="F1089" i="53"/>
  <c r="F1154" i="53"/>
  <c r="F128" i="53"/>
  <c r="F1153" i="53"/>
  <c r="F148" i="53"/>
  <c r="F1196" i="53"/>
  <c r="F1218" i="53"/>
  <c r="F1329" i="53"/>
  <c r="F1331" i="53"/>
  <c r="F1332" i="53"/>
  <c r="F234" i="53"/>
  <c r="F288" i="53"/>
  <c r="F1338" i="53"/>
  <c r="F1394" i="53"/>
  <c r="F1393" i="53"/>
  <c r="F1185" i="53"/>
  <c r="F1444" i="53"/>
  <c r="F1509" i="53"/>
  <c r="F1510" i="53"/>
  <c r="F1688" i="53"/>
  <c r="F1689" i="53"/>
  <c r="F1757" i="53"/>
  <c r="F1758" i="53"/>
  <c r="F1314" i="53"/>
  <c r="F1317" i="53"/>
  <c r="F2136" i="53"/>
  <c r="F2152" i="53"/>
  <c r="F1313" i="53"/>
  <c r="F1316" i="53"/>
  <c r="F2135" i="53"/>
  <c r="F2151" i="53"/>
  <c r="F1312" i="53"/>
  <c r="F1315" i="53"/>
  <c r="F2133" i="53"/>
  <c r="F1392" i="53"/>
  <c r="F219" i="53"/>
  <c r="F816" i="53"/>
  <c r="F1391" i="53"/>
  <c r="F763" i="53"/>
  <c r="F1311" i="53"/>
  <c r="F1445" i="53"/>
  <c r="F1448" i="53"/>
  <c r="F2132" i="53"/>
  <c r="F195" i="53"/>
  <c r="F218" i="53"/>
  <c r="F815" i="53"/>
  <c r="F1217" i="53"/>
  <c r="F1305" i="53"/>
  <c r="F1310" i="53"/>
  <c r="F1809" i="53"/>
  <c r="F1543" i="53"/>
  <c r="F2131" i="53"/>
  <c r="F2215" i="53"/>
  <c r="F194" i="53"/>
  <c r="F217" i="53"/>
  <c r="F814" i="53"/>
  <c r="F1216" i="53"/>
  <c r="F1304" i="53"/>
  <c r="F1309" i="53"/>
  <c r="F1808" i="53"/>
  <c r="F1814" i="53"/>
  <c r="F2130" i="53"/>
  <c r="F2214" i="53"/>
  <c r="F794" i="53"/>
  <c r="F554" i="53"/>
  <c r="F1694" i="53"/>
  <c r="F766" i="53"/>
  <c r="F191" i="53"/>
  <c r="F678" i="53"/>
  <c r="F377" i="53"/>
  <c r="F1807" i="53"/>
  <c r="F751" i="53"/>
  <c r="F811" i="53"/>
  <c r="F127" i="53"/>
  <c r="F855" i="53"/>
  <c r="F873" i="53"/>
  <c r="F842" i="53"/>
  <c r="F775" i="53"/>
  <c r="F329" i="53"/>
  <c r="F430" i="53"/>
  <c r="F479" i="53"/>
  <c r="F836" i="53"/>
  <c r="J839" i="53"/>
  <c r="F1791" i="53"/>
  <c r="F1798" i="53"/>
  <c r="F1811" i="53"/>
  <c r="F1821" i="53"/>
  <c r="F2014" i="53"/>
  <c r="F861" i="53"/>
  <c r="F2013" i="53"/>
  <c r="F1048" i="53"/>
  <c r="F1069" i="53"/>
  <c r="F997" i="53"/>
  <c r="F1047" i="53"/>
  <c r="F1068" i="53"/>
  <c r="F996" i="53"/>
  <c r="F995" i="53"/>
  <c r="F1046" i="53"/>
  <c r="F1067" i="53"/>
  <c r="F1066" i="53"/>
  <c r="F994" i="53"/>
  <c r="F1045" i="53"/>
  <c r="F292" i="53"/>
  <c r="F246" i="53"/>
  <c r="F793" i="53"/>
  <c r="F781" i="53"/>
  <c r="F792" i="53"/>
  <c r="F1974" i="53"/>
  <c r="F780" i="53"/>
  <c r="F791" i="53"/>
  <c r="F790" i="53"/>
  <c r="F779" i="53"/>
  <c r="J789" i="53"/>
  <c r="F789" i="53"/>
  <c r="F788" i="53"/>
  <c r="F704" i="53"/>
  <c r="F2012" i="53"/>
  <c r="F42" i="53"/>
  <c r="F1978" i="53"/>
  <c r="F1982" i="53"/>
  <c r="F2035" i="53"/>
  <c r="F2102" i="53"/>
  <c r="F2213" i="53"/>
  <c r="F2217" i="53"/>
  <c r="F2223" i="53"/>
  <c r="F129" i="53"/>
  <c r="F2277" i="53"/>
  <c r="F2303" i="53"/>
  <c r="F33" i="32"/>
  <c r="F32" i="32"/>
  <c r="F31" i="32"/>
  <c r="F30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F3" i="32"/>
  <c r="D7" i="22"/>
  <c r="D24" i="22"/>
  <c r="D40" i="22"/>
  <c r="D56" i="22"/>
  <c r="D72" i="22"/>
  <c r="D88" i="22"/>
  <c r="D104" i="22"/>
  <c r="D121" i="22"/>
  <c r="D125" i="22"/>
  <c r="D129" i="22"/>
  <c r="D133" i="22"/>
  <c r="D137" i="22"/>
  <c r="D141" i="22"/>
  <c r="D145" i="22"/>
  <c r="D149" i="22"/>
  <c r="D154" i="22"/>
  <c r="D158" i="22"/>
  <c r="D166" i="22"/>
  <c r="D170" i="22"/>
  <c r="D174" i="22"/>
  <c r="D23" i="22"/>
  <c r="D172" i="22"/>
  <c r="D5" i="22"/>
  <c r="D9" i="22"/>
  <c r="D17" i="22"/>
  <c r="D21" i="22"/>
  <c r="D25" i="22"/>
  <c r="D33" i="22"/>
  <c r="D41" i="22"/>
  <c r="D57" i="22"/>
  <c r="D65" i="22"/>
  <c r="D69" i="22"/>
  <c r="D73" i="22"/>
  <c r="D81" i="22"/>
  <c r="D85" i="22"/>
  <c r="D91" i="22"/>
  <c r="D43" i="22"/>
  <c r="D47" i="22"/>
  <c r="D95" i="22"/>
  <c r="D168" i="22"/>
  <c r="D89" i="22"/>
  <c r="D97" i="22"/>
  <c r="D101" i="22"/>
  <c r="D105" i="22"/>
  <c r="D113" i="22"/>
  <c r="D71" i="22"/>
  <c r="D87" i="22"/>
  <c r="D119" i="22"/>
  <c r="D117" i="22"/>
  <c r="D27" i="22"/>
  <c r="D31" i="22"/>
  <c r="D156" i="22"/>
  <c r="D160" i="22"/>
  <c r="D164" i="22"/>
  <c r="D37" i="22"/>
  <c r="D55" i="22"/>
  <c r="D59" i="22"/>
  <c r="B17" i="21"/>
  <c r="J17" i="21"/>
  <c r="D63" i="22"/>
  <c r="D169" i="22"/>
  <c r="D8" i="22"/>
  <c r="D11" i="22"/>
  <c r="D15" i="22"/>
  <c r="D49" i="22"/>
  <c r="D53" i="22"/>
  <c r="D75" i="22"/>
  <c r="D79" i="22"/>
  <c r="D162" i="22"/>
  <c r="D38" i="21"/>
  <c r="D39" i="22"/>
  <c r="D103" i="22"/>
  <c r="D107" i="22"/>
  <c r="D111" i="22"/>
  <c r="D161" i="22"/>
  <c r="D3" i="22"/>
  <c r="B16" i="21"/>
  <c r="D13" i="22"/>
  <c r="D16" i="22"/>
  <c r="D19" i="22"/>
  <c r="D29" i="22"/>
  <c r="D32" i="22"/>
  <c r="D35" i="22"/>
  <c r="D45" i="22"/>
  <c r="D48" i="22"/>
  <c r="D51" i="22"/>
  <c r="D61" i="22"/>
  <c r="D64" i="22"/>
  <c r="D67" i="22"/>
  <c r="D77" i="22"/>
  <c r="D80" i="22"/>
  <c r="D83" i="22"/>
  <c r="D93" i="22"/>
  <c r="D96" i="22"/>
  <c r="D99" i="22"/>
  <c r="D109" i="22"/>
  <c r="D112" i="22"/>
  <c r="D115" i="22"/>
  <c r="D122" i="22"/>
  <c r="D126" i="22"/>
  <c r="D130" i="22"/>
  <c r="D134" i="22"/>
  <c r="D138" i="22"/>
  <c r="D142" i="22"/>
  <c r="D146" i="22"/>
  <c r="B21" i="21"/>
  <c r="D150" i="22"/>
  <c r="D120" i="22"/>
  <c r="D124" i="22"/>
  <c r="D128" i="22"/>
  <c r="B20" i="21"/>
  <c r="D132" i="22"/>
  <c r="D136" i="22"/>
  <c r="D140" i="22"/>
  <c r="D144" i="22"/>
  <c r="D148" i="22"/>
  <c r="D152" i="22"/>
  <c r="D200" i="22"/>
  <c r="L38" i="21"/>
  <c r="I8" i="21"/>
  <c r="D4" i="22"/>
  <c r="D12" i="22"/>
  <c r="D20" i="22"/>
  <c r="D28" i="22"/>
  <c r="D36" i="22"/>
  <c r="D44" i="22"/>
  <c r="D52" i="22"/>
  <c r="D60" i="22"/>
  <c r="D68" i="22"/>
  <c r="D76" i="22"/>
  <c r="D84" i="22"/>
  <c r="D92" i="22"/>
  <c r="D100" i="22"/>
  <c r="D108" i="22"/>
  <c r="D116" i="22"/>
  <c r="D123" i="22"/>
  <c r="D127" i="22"/>
  <c r="D131" i="22"/>
  <c r="D135" i="22"/>
  <c r="D139" i="22"/>
  <c r="D143" i="22"/>
  <c r="D147" i="22"/>
  <c r="D151" i="22"/>
  <c r="D157" i="22"/>
  <c r="D165" i="22"/>
  <c r="D173" i="22"/>
  <c r="D10" i="22"/>
  <c r="D18" i="22"/>
  <c r="D26" i="22"/>
  <c r="D34" i="22"/>
  <c r="D42" i="22"/>
  <c r="D50" i="22"/>
  <c r="D58" i="22"/>
  <c r="D66" i="22"/>
  <c r="D74" i="22"/>
  <c r="D82" i="22"/>
  <c r="D90" i="22"/>
  <c r="D98" i="22"/>
  <c r="D106" i="22"/>
  <c r="D114" i="22"/>
  <c r="D155" i="22"/>
  <c r="D163" i="22"/>
  <c r="D171" i="22"/>
  <c r="D177" i="22"/>
  <c r="D181" i="22"/>
  <c r="D185" i="22"/>
  <c r="D189" i="22"/>
  <c r="D193" i="22"/>
  <c r="D197" i="22"/>
  <c r="D201" i="22"/>
  <c r="D205" i="22"/>
  <c r="D209" i="22"/>
  <c r="D213" i="22"/>
  <c r="D217" i="22"/>
  <c r="D221" i="22"/>
  <c r="D225" i="22"/>
  <c r="D229" i="22"/>
  <c r="D233" i="22"/>
  <c r="D237" i="22"/>
  <c r="D241" i="22"/>
  <c r="D245" i="22"/>
  <c r="D249" i="22"/>
  <c r="D253" i="22"/>
  <c r="D257" i="22"/>
  <c r="D261" i="22"/>
  <c r="D265" i="22"/>
  <c r="D269" i="22"/>
  <c r="D273" i="22"/>
  <c r="D277" i="22"/>
  <c r="D281" i="22"/>
  <c r="D285" i="22"/>
  <c r="D289" i="22"/>
  <c r="D293" i="22"/>
  <c r="D297" i="22"/>
  <c r="D301" i="22"/>
  <c r="D305" i="22"/>
  <c r="F23" i="21"/>
  <c r="D6" i="22"/>
  <c r="D14" i="22"/>
  <c r="D22" i="22"/>
  <c r="D30" i="22"/>
  <c r="D38" i="22"/>
  <c r="D46" i="22"/>
  <c r="D54" i="22"/>
  <c r="D62" i="22"/>
  <c r="D70" i="22"/>
  <c r="D78" i="22"/>
  <c r="B18" i="21"/>
  <c r="D86" i="22"/>
  <c r="D94" i="22"/>
  <c r="D102" i="22"/>
  <c r="D110" i="22"/>
  <c r="D118" i="22"/>
  <c r="D159" i="22"/>
  <c r="D167" i="22"/>
  <c r="D175" i="22"/>
  <c r="D179" i="22"/>
  <c r="D183" i="22"/>
  <c r="D187" i="22"/>
  <c r="D191" i="22"/>
  <c r="D195" i="22"/>
  <c r="D199" i="22"/>
  <c r="D203" i="22"/>
  <c r="D207" i="22"/>
  <c r="D211" i="22"/>
  <c r="D215" i="22"/>
  <c r="D219" i="22"/>
  <c r="D223" i="22"/>
  <c r="D227" i="22"/>
  <c r="D231" i="22"/>
  <c r="D235" i="22"/>
  <c r="D239" i="22"/>
  <c r="B26" i="21"/>
  <c r="D243" i="22"/>
  <c r="D247" i="22"/>
  <c r="D251" i="22"/>
  <c r="D255" i="22"/>
  <c r="D259" i="22"/>
  <c r="D263" i="22"/>
  <c r="D267" i="22"/>
  <c r="D271" i="22"/>
  <c r="D275" i="22"/>
  <c r="B27" i="21"/>
  <c r="D279" i="22"/>
  <c r="D283" i="22"/>
  <c r="D287" i="22"/>
  <c r="D291" i="22"/>
  <c r="D295" i="22"/>
  <c r="D299" i="22"/>
  <c r="D303" i="22"/>
  <c r="D306" i="22"/>
  <c r="D307" i="22"/>
  <c r="B24" i="21"/>
  <c r="B22" i="21"/>
  <c r="B23" i="21"/>
  <c r="B19" i="21"/>
  <c r="F17" i="21"/>
  <c r="F16" i="21"/>
  <c r="F28" i="21"/>
  <c r="F26" i="21"/>
  <c r="F24" i="21"/>
  <c r="F22" i="21"/>
  <c r="F20" i="21"/>
  <c r="F18" i="21"/>
  <c r="AH8" i="21"/>
  <c r="AD8" i="21"/>
  <c r="Z8" i="21"/>
  <c r="V8" i="21"/>
  <c r="R8" i="21"/>
  <c r="N8" i="21"/>
  <c r="J8" i="21"/>
  <c r="F8" i="21"/>
  <c r="B8" i="21"/>
  <c r="AF8" i="21"/>
  <c r="AB8" i="21"/>
  <c r="X8" i="21"/>
  <c r="T8" i="21"/>
  <c r="P8" i="21"/>
  <c r="L8" i="21"/>
  <c r="H8" i="21"/>
  <c r="D8" i="21"/>
  <c r="AE8" i="21"/>
  <c r="AA8" i="21"/>
  <c r="W8" i="21"/>
  <c r="S8" i="21"/>
  <c r="O8" i="21"/>
  <c r="K8" i="21"/>
  <c r="G8" i="21"/>
  <c r="C8" i="21"/>
  <c r="Q8" i="21"/>
  <c r="AG8" i="21"/>
  <c r="F19" i="21"/>
  <c r="F27" i="21"/>
  <c r="D178" i="22"/>
  <c r="D182" i="22"/>
  <c r="D186" i="22"/>
  <c r="D190" i="22"/>
  <c r="D194" i="22"/>
  <c r="D198" i="22"/>
  <c r="D202" i="22"/>
  <c r="D206" i="22"/>
  <c r="D210" i="22"/>
  <c r="D214" i="22"/>
  <c r="D218" i="22"/>
  <c r="B25" i="21"/>
  <c r="D222" i="22"/>
  <c r="D226" i="22"/>
  <c r="D230" i="22"/>
  <c r="D234" i="22"/>
  <c r="D238" i="22"/>
  <c r="D242" i="22"/>
  <c r="D246" i="22"/>
  <c r="D250" i="22"/>
  <c r="D254" i="22"/>
  <c r="D258" i="22"/>
  <c r="D262" i="22"/>
  <c r="D266" i="22"/>
  <c r="D270" i="22"/>
  <c r="D274" i="22"/>
  <c r="D278" i="22"/>
  <c r="D282" i="22"/>
  <c r="D286" i="22"/>
  <c r="D290" i="22"/>
  <c r="D294" i="22"/>
  <c r="D298" i="22"/>
  <c r="D302" i="22"/>
  <c r="E8" i="21"/>
  <c r="U8" i="21"/>
  <c r="F21" i="21"/>
  <c r="D176" i="22"/>
  <c r="D180" i="22"/>
  <c r="D184" i="22"/>
  <c r="D188" i="22"/>
  <c r="D192" i="22"/>
  <c r="D196" i="22"/>
  <c r="D204" i="22"/>
  <c r="D208" i="22"/>
  <c r="D212" i="22"/>
  <c r="D216" i="22"/>
  <c r="D220" i="22"/>
  <c r="D224" i="22"/>
  <c r="D228" i="22"/>
  <c r="D232" i="22"/>
  <c r="D236" i="22"/>
  <c r="D240" i="22"/>
  <c r="D244" i="22"/>
  <c r="D248" i="22"/>
  <c r="D252" i="22"/>
  <c r="D256" i="22"/>
  <c r="D260" i="22"/>
  <c r="D264" i="22"/>
  <c r="D268" i="22"/>
  <c r="D272" i="22"/>
  <c r="D276" i="22"/>
  <c r="D280" i="22"/>
  <c r="D284" i="22"/>
  <c r="D288" i="22"/>
  <c r="D292" i="22"/>
  <c r="D296" i="22"/>
  <c r="D300" i="22"/>
  <c r="D304" i="22"/>
  <c r="M8" i="21"/>
  <c r="AC8" i="21"/>
  <c r="F25" i="21"/>
  <c r="H38" i="21"/>
  <c r="B38" i="21"/>
  <c r="J38" i="21"/>
  <c r="F38" i="21"/>
  <c r="C38" i="21"/>
  <c r="E38" i="21"/>
  <c r="G38" i="21"/>
  <c r="I38" i="21"/>
  <c r="B28" i="21"/>
  <c r="J16" i="21"/>
  <c r="F1889" i="53"/>
  <c r="L1711" i="53"/>
  <c r="B42" i="21" l="1"/>
  <c r="M43" i="21" s="1"/>
  <c r="C42" i="21"/>
  <c r="D42" i="21"/>
  <c r="E42" i="21"/>
  <c r="F42" i="21"/>
  <c r="G42" i="21"/>
  <c r="H42" i="21"/>
  <c r="I42" i="21"/>
  <c r="J42" i="21"/>
  <c r="K42" i="21"/>
  <c r="L42" i="21"/>
  <c r="O2471" i="53"/>
  <c r="O1982" i="53"/>
  <c r="O1699" i="53"/>
  <c r="O1618" i="53"/>
  <c r="O1570" i="53"/>
  <c r="O653" i="53"/>
  <c r="O2398" i="53"/>
  <c r="O2396" i="53"/>
  <c r="O2393" i="53"/>
  <c r="O1569" i="53"/>
  <c r="O974" i="53"/>
  <c r="O652" i="53"/>
  <c r="O650" i="53"/>
  <c r="L2580" i="53"/>
  <c r="L628" i="53"/>
  <c r="O628" i="53"/>
  <c r="L2576" i="53"/>
  <c r="O2576" i="53"/>
  <c r="L2565" i="53"/>
  <c r="O2565" i="53"/>
  <c r="L2561" i="53"/>
  <c r="O2561" i="53"/>
  <c r="L2549" i="53"/>
  <c r="O2549" i="53"/>
  <c r="L2510" i="53"/>
  <c r="O2510" i="53"/>
  <c r="L2483" i="53"/>
  <c r="O2483" i="53"/>
  <c r="L2469" i="53"/>
  <c r="O2469" i="53"/>
  <c r="L2461" i="53"/>
  <c r="O2461" i="53"/>
  <c r="L2459" i="53"/>
  <c r="O2459" i="53"/>
  <c r="L2453" i="53"/>
  <c r="O2453" i="53"/>
  <c r="L2449" i="53"/>
  <c r="O2449" i="53"/>
  <c r="L2443" i="53"/>
  <c r="O2443" i="53"/>
  <c r="L2401" i="53"/>
  <c r="O2401" i="53"/>
  <c r="L2399" i="53"/>
  <c r="O2399" i="53"/>
  <c r="L2370" i="53"/>
  <c r="O2370" i="53"/>
  <c r="O2362" i="53"/>
  <c r="L2360" i="53"/>
  <c r="O2360" i="53"/>
  <c r="L2358" i="53"/>
  <c r="O2358" i="53"/>
  <c r="L2355" i="53"/>
  <c r="O2355" i="53"/>
  <c r="L2342" i="53"/>
  <c r="O2342" i="53"/>
  <c r="L2338" i="53"/>
  <c r="O2338" i="53"/>
  <c r="L2335" i="53"/>
  <c r="O2335" i="53"/>
  <c r="L2333" i="53"/>
  <c r="O2333" i="53"/>
  <c r="L2329" i="53"/>
  <c r="O2329" i="53"/>
  <c r="L2327" i="53"/>
  <c r="O2327" i="53"/>
  <c r="L2315" i="53"/>
  <c r="O2315" i="53"/>
  <c r="L2309" i="53"/>
  <c r="O2309" i="53"/>
  <c r="L2299" i="53"/>
  <c r="O2299" i="53"/>
  <c r="L2297" i="53"/>
  <c r="O2297" i="53"/>
  <c r="L2291" i="53"/>
  <c r="O2291" i="53"/>
  <c r="L2253" i="53"/>
  <c r="O2253" i="53"/>
  <c r="O2234" i="53"/>
  <c r="L2226" i="53"/>
  <c r="O2226" i="53"/>
  <c r="L2213" i="53"/>
  <c r="O2213" i="53"/>
  <c r="O2171" i="53"/>
  <c r="L2169" i="53"/>
  <c r="O2169" i="53"/>
  <c r="L2102" i="53"/>
  <c r="O2102" i="53"/>
  <c r="L2071" i="53"/>
  <c r="O2071" i="53"/>
  <c r="L2053" i="53"/>
  <c r="O2053" i="53"/>
  <c r="L2047" i="53"/>
  <c r="O2047" i="53"/>
  <c r="L2030" i="53"/>
  <c r="O2030" i="53"/>
  <c r="O2028" i="53"/>
  <c r="O2026" i="53"/>
  <c r="L1950" i="53"/>
  <c r="O1950" i="53"/>
  <c r="L1948" i="53"/>
  <c r="O1948" i="53"/>
  <c r="O1944" i="53"/>
  <c r="L1942" i="53"/>
  <c r="O1942" i="53"/>
  <c r="L1932" i="53"/>
  <c r="O1932" i="53"/>
  <c r="O1884" i="53"/>
  <c r="L1871" i="53"/>
  <c r="O1871" i="53"/>
  <c r="O1863" i="53"/>
  <c r="O1853" i="53"/>
  <c r="O1847" i="53"/>
  <c r="O1845" i="53"/>
  <c r="L1841" i="53"/>
  <c r="O1841" i="53"/>
  <c r="O1835" i="53"/>
  <c r="O1827" i="53"/>
  <c r="O1825" i="53"/>
  <c r="L1794" i="53"/>
  <c r="O1794" i="53"/>
  <c r="L1783" i="53"/>
  <c r="O1783" i="53"/>
  <c r="L1776" i="53"/>
  <c r="O1776" i="53"/>
  <c r="L1774" i="53"/>
  <c r="O1774" i="53"/>
  <c r="L1765" i="53"/>
  <c r="O1765" i="53"/>
  <c r="L1747" i="53"/>
  <c r="O1747" i="53"/>
  <c r="O1745" i="53"/>
  <c r="L1737" i="53"/>
  <c r="O1737" i="53"/>
  <c r="O1701" i="53"/>
  <c r="L1693" i="53"/>
  <c r="O1693" i="53"/>
  <c r="L1684" i="53"/>
  <c r="O1684" i="53"/>
  <c r="L1677" i="53"/>
  <c r="O1677" i="53"/>
  <c r="L1675" i="53"/>
  <c r="O1675" i="53"/>
  <c r="L1666" i="53"/>
  <c r="O1666" i="53"/>
  <c r="O1664" i="53"/>
  <c r="O1656" i="53"/>
  <c r="L1645" i="53"/>
  <c r="O1645" i="53"/>
  <c r="L1636" i="53"/>
  <c r="O1636" i="53"/>
  <c r="L1568" i="53"/>
  <c r="O1568" i="53"/>
  <c r="L1549" i="53"/>
  <c r="O1549" i="53"/>
  <c r="O1486" i="53"/>
  <c r="L1474" i="53"/>
  <c r="O1474" i="53"/>
  <c r="O1470" i="53"/>
  <c r="O1462" i="53"/>
  <c r="L1460" i="53"/>
  <c r="O1460" i="53"/>
  <c r="L1431" i="53"/>
  <c r="O1431" i="53"/>
  <c r="O1425" i="53"/>
  <c r="L1423" i="53"/>
  <c r="O1423" i="53"/>
  <c r="L1368" i="53"/>
  <c r="O1368" i="53"/>
  <c r="L1366" i="53"/>
  <c r="O1366" i="53"/>
  <c r="L1360" i="53"/>
  <c r="O1360" i="53"/>
  <c r="L1354" i="53"/>
  <c r="O1354" i="53"/>
  <c r="L1342" i="53"/>
  <c r="O1342" i="53"/>
  <c r="L1338" i="53"/>
  <c r="O1338" i="53"/>
  <c r="L1336" i="53"/>
  <c r="O1336" i="53"/>
  <c r="L1334" i="53"/>
  <c r="O1334" i="53"/>
  <c r="L1306" i="53"/>
  <c r="O1306" i="53"/>
  <c r="L1304" i="53"/>
  <c r="O1304" i="53"/>
  <c r="L1275" i="53"/>
  <c r="O1275" i="53"/>
  <c r="L1265" i="53"/>
  <c r="O1265" i="53"/>
  <c r="L1199" i="53"/>
  <c r="O1199" i="53"/>
  <c r="L1195" i="53"/>
  <c r="O1195" i="53"/>
  <c r="L1193" i="53"/>
  <c r="O1193" i="53"/>
  <c r="L1106" i="53"/>
  <c r="O1106" i="53"/>
  <c r="L1100" i="53"/>
  <c r="O1100" i="53"/>
  <c r="L1084" i="53"/>
  <c r="O1084" i="53"/>
  <c r="L1075" i="53"/>
  <c r="O1075" i="53"/>
  <c r="O1073" i="53"/>
  <c r="L1071" i="53"/>
  <c r="O1071" i="53"/>
  <c r="L1061" i="53"/>
  <c r="O1061" i="53"/>
  <c r="L1057" i="53"/>
  <c r="O1057" i="53"/>
  <c r="L1055" i="53"/>
  <c r="O1055" i="53"/>
  <c r="L1043" i="53"/>
  <c r="O1043" i="53"/>
  <c r="L1039" i="53"/>
  <c r="O1039" i="53"/>
  <c r="L1035" i="53"/>
  <c r="O1035" i="53"/>
  <c r="L1031" i="53"/>
  <c r="O1031" i="53"/>
  <c r="L1007" i="53"/>
  <c r="O1007" i="53"/>
  <c r="L991" i="53"/>
  <c r="O991" i="53"/>
  <c r="L963" i="53"/>
  <c r="O963" i="53"/>
  <c r="L959" i="53"/>
  <c r="O959" i="53"/>
  <c r="L957" i="53"/>
  <c r="O957" i="53"/>
  <c r="O953" i="53"/>
  <c r="L951" i="53"/>
  <c r="O951" i="53"/>
  <c r="L949" i="53"/>
  <c r="O949" i="53"/>
  <c r="L947" i="53"/>
  <c r="O947" i="53"/>
  <c r="L941" i="53"/>
  <c r="O941" i="53"/>
  <c r="L926" i="53"/>
  <c r="O926" i="53"/>
  <c r="L922" i="53"/>
  <c r="O922" i="53"/>
  <c r="L918" i="53"/>
  <c r="O918" i="53"/>
  <c r="L916" i="53"/>
  <c r="O916" i="53"/>
  <c r="L902" i="53"/>
  <c r="O902" i="53"/>
  <c r="L900" i="53"/>
  <c r="O900" i="53"/>
  <c r="L898" i="53"/>
  <c r="O898" i="53"/>
  <c r="O890" i="53"/>
  <c r="L888" i="53"/>
  <c r="O888" i="53"/>
  <c r="L886" i="53"/>
  <c r="O886" i="53"/>
  <c r="L875" i="53"/>
  <c r="O875" i="53"/>
  <c r="L866" i="53"/>
  <c r="O866" i="53"/>
  <c r="L850" i="53"/>
  <c r="O850" i="53"/>
  <c r="L841" i="53"/>
  <c r="O841" i="53"/>
  <c r="L806" i="53"/>
  <c r="O806" i="53"/>
  <c r="O800" i="53"/>
  <c r="L784" i="53"/>
  <c r="O784" i="53"/>
  <c r="L775" i="53"/>
  <c r="O775" i="53"/>
  <c r="L738" i="53"/>
  <c r="O738" i="53"/>
  <c r="L727" i="53"/>
  <c r="O727" i="53"/>
  <c r="L716" i="53"/>
  <c r="O716" i="53"/>
  <c r="L714" i="53"/>
  <c r="O714" i="53"/>
  <c r="O671" i="53"/>
  <c r="L669" i="53"/>
  <c r="O669" i="53"/>
  <c r="L660" i="53"/>
  <c r="O660" i="53"/>
  <c r="L658" i="53"/>
  <c r="O658" i="53"/>
  <c r="L651" i="53"/>
  <c r="O651" i="53"/>
  <c r="O635" i="53"/>
  <c r="L622" i="53"/>
  <c r="O622" i="53"/>
  <c r="L614" i="53"/>
  <c r="O614" i="53"/>
  <c r="O93" i="53"/>
  <c r="O20" i="53"/>
  <c r="L2574" i="53"/>
  <c r="O2574" i="53"/>
  <c r="L2572" i="53"/>
  <c r="O2572" i="53"/>
  <c r="L2568" i="53"/>
  <c r="O2568" i="53"/>
  <c r="L2562" i="53"/>
  <c r="O2562" i="53"/>
  <c r="L2476" i="53"/>
  <c r="O2476" i="53"/>
  <c r="L2470" i="53"/>
  <c r="O2470" i="53"/>
  <c r="L2468" i="53"/>
  <c r="O2468" i="53"/>
  <c r="L2466" i="53"/>
  <c r="O2466" i="53"/>
  <c r="L2404" i="53"/>
  <c r="O2404" i="53"/>
  <c r="L2402" i="53"/>
  <c r="O2402" i="53"/>
  <c r="L2400" i="53"/>
  <c r="O2400" i="53"/>
  <c r="L2367" i="53"/>
  <c r="O2367" i="53"/>
  <c r="L2363" i="53"/>
  <c r="O2363" i="53"/>
  <c r="L2334" i="53"/>
  <c r="O2334" i="53"/>
  <c r="L2332" i="53"/>
  <c r="O2332" i="53"/>
  <c r="L2330" i="53"/>
  <c r="O2330" i="53"/>
  <c r="L2326" i="53"/>
  <c r="O2326" i="53"/>
  <c r="L2310" i="53"/>
  <c r="O2310" i="53"/>
  <c r="L2296" i="53"/>
  <c r="O2296" i="53"/>
  <c r="L2267" i="53"/>
  <c r="O2267" i="53"/>
  <c r="L2258" i="53"/>
  <c r="O2258" i="53"/>
  <c r="L2229" i="53"/>
  <c r="O2229" i="53"/>
  <c r="L2202" i="53"/>
  <c r="O2202" i="53"/>
  <c r="L2174" i="53"/>
  <c r="O2174" i="53"/>
  <c r="L2172" i="53"/>
  <c r="O2172" i="53"/>
  <c r="L2170" i="53"/>
  <c r="O2170" i="53"/>
  <c r="L2121" i="53"/>
  <c r="O2121" i="53"/>
  <c r="L2119" i="53"/>
  <c r="O2119" i="53"/>
  <c r="L2117" i="53"/>
  <c r="O2117" i="53"/>
  <c r="L2114" i="53"/>
  <c r="O2114" i="53"/>
  <c r="O2105" i="53"/>
  <c r="L2087" i="53"/>
  <c r="O2087" i="53"/>
  <c r="L2064" i="53"/>
  <c r="O2064" i="53"/>
  <c r="L2058" i="53"/>
  <c r="O2058" i="53"/>
  <c r="L2040" i="53"/>
  <c r="O2040" i="53"/>
  <c r="L2031" i="53"/>
  <c r="O2031" i="53"/>
  <c r="L2027" i="53"/>
  <c r="O2027" i="53"/>
  <c r="L2021" i="53"/>
  <c r="O2021" i="53"/>
  <c r="L1985" i="53"/>
  <c r="O1985" i="53"/>
  <c r="L1979" i="53"/>
  <c r="O1979" i="53"/>
  <c r="L1967" i="53"/>
  <c r="O1967" i="53"/>
  <c r="L1905" i="53"/>
  <c r="O1905" i="53"/>
  <c r="L1897" i="53"/>
  <c r="O1897" i="53"/>
  <c r="L1889" i="53"/>
  <c r="O1889" i="53"/>
  <c r="L1879" i="53"/>
  <c r="O1879" i="53"/>
  <c r="L1877" i="53"/>
  <c r="O1877" i="53"/>
  <c r="O1868" i="53"/>
  <c r="O1858" i="53"/>
  <c r="L1854" i="53"/>
  <c r="O1854" i="53"/>
  <c r="L1848" i="53"/>
  <c r="O1848" i="53"/>
  <c r="L1842" i="53"/>
  <c r="O1842" i="53"/>
  <c r="O1840" i="53"/>
  <c r="O1838" i="53"/>
  <c r="L1779" i="53"/>
  <c r="O1779" i="53"/>
  <c r="L1777" i="53"/>
  <c r="O1777" i="53"/>
  <c r="L1775" i="53"/>
  <c r="O1775" i="53"/>
  <c r="L1772" i="53"/>
  <c r="O1772" i="53"/>
  <c r="L1770" i="53"/>
  <c r="O1770" i="53"/>
  <c r="O1768" i="53"/>
  <c r="L1766" i="53"/>
  <c r="O1766" i="53"/>
  <c r="L1764" i="53"/>
  <c r="O1764" i="53"/>
  <c r="L1744" i="53"/>
  <c r="O1744" i="53"/>
  <c r="L1740" i="53"/>
  <c r="O1740" i="53"/>
  <c r="L1738" i="53"/>
  <c r="O1738" i="53"/>
  <c r="O1708" i="53"/>
  <c r="O1706" i="53"/>
  <c r="L1700" i="53"/>
  <c r="O1700" i="53"/>
  <c r="L1676" i="53"/>
  <c r="O1676" i="53"/>
  <c r="L1674" i="53"/>
  <c r="O1674" i="53"/>
  <c r="L1657" i="53"/>
  <c r="O1657" i="53"/>
  <c r="L1655" i="53"/>
  <c r="O1655" i="53"/>
  <c r="L1646" i="53"/>
  <c r="O1646" i="53"/>
  <c r="L1623" i="53"/>
  <c r="O1623" i="53"/>
  <c r="O1621" i="53"/>
  <c r="L1607" i="53"/>
  <c r="O1607" i="53"/>
  <c r="L1605" i="53"/>
  <c r="O1605" i="53"/>
  <c r="L1589" i="53"/>
  <c r="O1589" i="53"/>
  <c r="L1585" i="53"/>
  <c r="O1585" i="53"/>
  <c r="L1583" i="53"/>
  <c r="O1583" i="53"/>
  <c r="L1581" i="53"/>
  <c r="O1581" i="53"/>
  <c r="L1575" i="53"/>
  <c r="O1575" i="53"/>
  <c r="L1564" i="53"/>
  <c r="O1564" i="53"/>
  <c r="L1562" i="53"/>
  <c r="O1562" i="53"/>
  <c r="L1560" i="53"/>
  <c r="O1560" i="53"/>
  <c r="L1554" i="53"/>
  <c r="O1554" i="53"/>
  <c r="L1531" i="53"/>
  <c r="O1531" i="53"/>
  <c r="L1518" i="53"/>
  <c r="O1518" i="53"/>
  <c r="L1494" i="53"/>
  <c r="O1494" i="53"/>
  <c r="L1487" i="53"/>
  <c r="O1487" i="53"/>
  <c r="L1473" i="53"/>
  <c r="O1473" i="53"/>
  <c r="L1465" i="53"/>
  <c r="O1465" i="53"/>
  <c r="L1463" i="53"/>
  <c r="O1463" i="53"/>
  <c r="L1461" i="53"/>
  <c r="O1461" i="53"/>
  <c r="L1459" i="53"/>
  <c r="O1459" i="53"/>
  <c r="L1449" i="53"/>
  <c r="O1449" i="53"/>
  <c r="O1438" i="53"/>
  <c r="O1434" i="53"/>
  <c r="L1430" i="53"/>
  <c r="O1430" i="53"/>
  <c r="L1418" i="53"/>
  <c r="O1418" i="53"/>
  <c r="L1414" i="53"/>
  <c r="O1414" i="53"/>
  <c r="L1402" i="53"/>
  <c r="O1402" i="53"/>
  <c r="L1400" i="53"/>
  <c r="O1400" i="53"/>
  <c r="L1398" i="53"/>
  <c r="O1398" i="53"/>
  <c r="L1394" i="53"/>
  <c r="O1394" i="53"/>
  <c r="L1381" i="53"/>
  <c r="O1381" i="53"/>
  <c r="L1357" i="53"/>
  <c r="O1357" i="53"/>
  <c r="O1353" i="53"/>
  <c r="L1347" i="53"/>
  <c r="O1347" i="53"/>
  <c r="L1345" i="53"/>
  <c r="O1345" i="53"/>
  <c r="L1339" i="53"/>
  <c r="O1339" i="53"/>
  <c r="O1327" i="53"/>
  <c r="L1309" i="53"/>
  <c r="O1309" i="53"/>
  <c r="L1264" i="53"/>
  <c r="O1264" i="53"/>
  <c r="L1218" i="53"/>
  <c r="O1218" i="53"/>
  <c r="L1216" i="53"/>
  <c r="O1216" i="53"/>
  <c r="L1204" i="53"/>
  <c r="O1204" i="53"/>
  <c r="L1198" i="53"/>
  <c r="O1198" i="53"/>
  <c r="O1194" i="53"/>
  <c r="L1169" i="53"/>
  <c r="O1169" i="53"/>
  <c r="L1099" i="53"/>
  <c r="O1099" i="53"/>
  <c r="L1068" i="53"/>
  <c r="O1068" i="53"/>
  <c r="L1044" i="53"/>
  <c r="O1044" i="53"/>
  <c r="O1042" i="53"/>
  <c r="L1040" i="53"/>
  <c r="O1040" i="53"/>
  <c r="L1036" i="53"/>
  <c r="O1036" i="53"/>
  <c r="L1034" i="53"/>
  <c r="O1034" i="53"/>
  <c r="L1032" i="53"/>
  <c r="O1032" i="53"/>
  <c r="L1024" i="53"/>
  <c r="O1024" i="53"/>
  <c r="L1012" i="53"/>
  <c r="O1012" i="53"/>
  <c r="L1006" i="53"/>
  <c r="O1006" i="53"/>
  <c r="L1004" i="53"/>
  <c r="O1004" i="53"/>
  <c r="O1000" i="53"/>
  <c r="L988" i="53"/>
  <c r="O988" i="53"/>
  <c r="L978" i="53"/>
  <c r="O978" i="53"/>
  <c r="L976" i="53"/>
  <c r="O976" i="53"/>
  <c r="L962" i="53"/>
  <c r="O962" i="53"/>
  <c r="L925" i="53"/>
  <c r="O925" i="53"/>
  <c r="L923" i="53"/>
  <c r="O923" i="53"/>
  <c r="L921" i="53"/>
  <c r="O921" i="53"/>
  <c r="L909" i="53"/>
  <c r="O909" i="53"/>
  <c r="L903" i="53"/>
  <c r="O903" i="53"/>
  <c r="L901" i="53"/>
  <c r="O901" i="53"/>
  <c r="L895" i="53"/>
  <c r="O895" i="53"/>
  <c r="L893" i="53"/>
  <c r="O893" i="53"/>
  <c r="L889" i="53"/>
  <c r="O889" i="53"/>
  <c r="L887" i="53"/>
  <c r="O887" i="53"/>
  <c r="L880" i="53"/>
  <c r="O880" i="53"/>
  <c r="L851" i="53"/>
  <c r="O851" i="53"/>
  <c r="L809" i="53"/>
  <c r="O809" i="53"/>
  <c r="O807" i="53"/>
  <c r="L799" i="53"/>
  <c r="O799" i="53"/>
  <c r="O789" i="53"/>
  <c r="L757" i="53"/>
  <c r="O757" i="53"/>
  <c r="L755" i="53"/>
  <c r="O755" i="53"/>
  <c r="L739" i="53"/>
  <c r="O739" i="53"/>
  <c r="L731" i="53"/>
  <c r="O731" i="53"/>
  <c r="L726" i="53"/>
  <c r="O726" i="53"/>
  <c r="O724" i="53"/>
  <c r="L722" i="53"/>
  <c r="O722" i="53"/>
  <c r="L634" i="53"/>
  <c r="O634" i="53"/>
  <c r="O630" i="53"/>
  <c r="O619" i="53"/>
  <c r="O134" i="53"/>
  <c r="O102" i="53"/>
  <c r="L94" i="53"/>
  <c r="O94" i="53"/>
  <c r="L92" i="53"/>
  <c r="O92" i="53"/>
  <c r="L58" i="53"/>
  <c r="O58" i="53"/>
  <c r="O44" i="53"/>
  <c r="L9" i="53"/>
  <c r="O9" i="53"/>
  <c r="O7" i="53"/>
  <c r="L244" i="53"/>
  <c r="O241" i="53"/>
  <c r="O13" i="53"/>
  <c r="L263" i="53"/>
  <c r="L648" i="53"/>
  <c r="L68" i="53"/>
  <c r="L2557" i="53"/>
  <c r="O2557" i="53"/>
  <c r="L2555" i="53"/>
  <c r="L2553" i="53"/>
  <c r="L2551" i="53"/>
  <c r="L2506" i="53"/>
  <c r="L2502" i="53"/>
  <c r="L2492" i="53"/>
  <c r="L2392" i="53"/>
  <c r="L2388" i="53"/>
  <c r="L2386" i="53"/>
  <c r="O2386" i="53"/>
  <c r="L2384" i="53"/>
  <c r="O2384" i="53"/>
  <c r="L2382" i="53"/>
  <c r="L2380" i="53"/>
  <c r="L2378" i="53"/>
  <c r="L2376" i="53"/>
  <c r="O2376" i="53"/>
  <c r="L2372" i="53"/>
  <c r="O2372" i="53"/>
  <c r="L2247" i="53"/>
  <c r="O2247" i="53"/>
  <c r="L2209" i="53"/>
  <c r="O2209" i="53"/>
  <c r="L2183" i="53"/>
  <c r="O2183" i="53"/>
  <c r="L2181" i="53"/>
  <c r="O2181" i="53"/>
  <c r="L2179" i="53"/>
  <c r="L2165" i="53"/>
  <c r="L2163" i="53"/>
  <c r="O2163" i="53"/>
  <c r="L2161" i="53"/>
  <c r="O2161" i="53"/>
  <c r="L2158" i="53"/>
  <c r="O2158" i="53"/>
  <c r="L2142" i="53"/>
  <c r="O2142" i="53"/>
  <c r="L2140" i="53"/>
  <c r="O2140" i="53"/>
  <c r="L2138" i="53"/>
  <c r="O2138" i="53"/>
  <c r="L2129" i="53"/>
  <c r="O2129" i="53"/>
  <c r="L2127" i="53"/>
  <c r="L1991" i="53"/>
  <c r="L1989" i="53"/>
  <c r="L1849" i="53"/>
  <c r="L1831" i="53"/>
  <c r="L1806" i="53"/>
  <c r="O1806" i="53"/>
  <c r="L1802" i="53"/>
  <c r="L1793" i="53"/>
  <c r="L1782" i="53"/>
  <c r="L1761" i="53"/>
  <c r="L1734" i="53"/>
  <c r="L1728" i="53"/>
  <c r="L1683" i="53"/>
  <c r="L1670" i="53"/>
  <c r="L1649" i="53"/>
  <c r="L1642" i="53"/>
  <c r="O1642" i="53"/>
  <c r="L1640" i="53"/>
  <c r="O1640" i="53"/>
  <c r="L1627" i="53"/>
  <c r="L1611" i="53"/>
  <c r="L1595" i="53"/>
  <c r="O1595" i="53"/>
  <c r="L1558" i="53"/>
  <c r="L1539" i="53"/>
  <c r="L1529" i="53"/>
  <c r="L1523" i="53"/>
  <c r="L1517" i="53"/>
  <c r="L1505" i="53"/>
  <c r="O1505" i="53"/>
  <c r="L1477" i="53"/>
  <c r="L1475" i="53"/>
  <c r="L1469" i="53"/>
  <c r="L1440" i="53"/>
  <c r="L1436" i="53"/>
  <c r="L1383" i="53"/>
  <c r="L1379" i="53"/>
  <c r="O1379" i="53"/>
  <c r="L1375" i="53"/>
  <c r="O1375" i="53"/>
  <c r="L1371" i="53"/>
  <c r="L1369" i="53"/>
  <c r="L1365" i="53"/>
  <c r="L1341" i="53"/>
  <c r="L1285" i="53"/>
  <c r="L1272" i="53"/>
  <c r="L1255" i="53"/>
  <c r="O1255" i="53"/>
  <c r="L1245" i="53"/>
  <c r="O1245" i="53"/>
  <c r="L1243" i="53"/>
  <c r="O1243" i="53"/>
  <c r="L1234" i="53"/>
  <c r="O1234" i="53"/>
  <c r="L1228" i="53"/>
  <c r="O1228" i="53"/>
  <c r="L1209" i="53"/>
  <c r="L1201" i="53"/>
  <c r="L1190" i="53"/>
  <c r="L1184" i="53"/>
  <c r="O1184" i="53"/>
  <c r="L1181" i="53"/>
  <c r="O1181" i="53"/>
  <c r="L1161" i="53"/>
  <c r="O1161" i="53"/>
  <c r="L1159" i="53"/>
  <c r="L1152" i="53"/>
  <c r="L1150" i="53"/>
  <c r="L1148" i="53"/>
  <c r="L1130" i="53"/>
  <c r="O1130" i="53"/>
  <c r="L1110" i="53"/>
  <c r="L1102" i="53"/>
  <c r="L1053" i="53"/>
  <c r="L1041" i="53"/>
  <c r="L1033" i="53"/>
  <c r="L999" i="53"/>
  <c r="L971" i="53"/>
  <c r="L945" i="53"/>
  <c r="L937" i="53"/>
  <c r="L920" i="53"/>
  <c r="L912" i="53"/>
  <c r="L908" i="53"/>
  <c r="L884" i="53"/>
  <c r="L860" i="53"/>
  <c r="L644" i="53"/>
  <c r="O644" i="53"/>
  <c r="L617" i="53"/>
  <c r="L575" i="53"/>
  <c r="O575" i="53"/>
  <c r="L518" i="53"/>
  <c r="O518" i="53"/>
  <c r="L516" i="53"/>
  <c r="O516" i="53"/>
  <c r="L504" i="53"/>
  <c r="O504" i="53"/>
  <c r="L473" i="53"/>
  <c r="O473" i="53"/>
  <c r="L424" i="53"/>
  <c r="O424" i="53"/>
  <c r="L422" i="53"/>
  <c r="O422" i="53"/>
  <c r="L415" i="53"/>
  <c r="O415" i="53"/>
  <c r="L405" i="53"/>
  <c r="O405" i="53"/>
  <c r="L374" i="53"/>
  <c r="O374" i="53"/>
  <c r="L366" i="53"/>
  <c r="O366" i="53"/>
  <c r="L353" i="53"/>
  <c r="O353" i="53"/>
  <c r="L351" i="53"/>
  <c r="O351" i="53"/>
  <c r="L347" i="53"/>
  <c r="O347" i="53"/>
  <c r="L321" i="53"/>
  <c r="O321" i="53"/>
  <c r="L315" i="53"/>
  <c r="O315" i="53"/>
  <c r="L313" i="53"/>
  <c r="O313" i="53"/>
  <c r="L301" i="53"/>
  <c r="O301" i="53"/>
  <c r="L287" i="53"/>
  <c r="O287" i="53"/>
  <c r="L273" i="53"/>
  <c r="O273" i="53"/>
  <c r="O259" i="53"/>
  <c r="L174" i="53"/>
  <c r="O174" i="53"/>
  <c r="L79" i="53"/>
  <c r="L23" i="53"/>
  <c r="L19" i="53"/>
  <c r="L2566" i="53"/>
  <c r="L2556" i="53"/>
  <c r="L2554" i="53"/>
  <c r="L2552" i="53"/>
  <c r="L2544" i="53"/>
  <c r="O2544" i="53"/>
  <c r="L2533" i="53"/>
  <c r="O2533" i="53"/>
  <c r="L2529" i="53"/>
  <c r="O2529" i="53"/>
  <c r="L2527" i="53"/>
  <c r="O2527" i="53"/>
  <c r="L2525" i="53"/>
  <c r="L2523" i="53"/>
  <c r="L2519" i="53"/>
  <c r="L2515" i="53"/>
  <c r="L2499" i="53"/>
  <c r="L2495" i="53"/>
  <c r="L2490" i="53"/>
  <c r="L2281" i="53"/>
  <c r="L2248" i="53"/>
  <c r="L2246" i="53"/>
  <c r="O2246" i="53"/>
  <c r="L2242" i="53"/>
  <c r="O2242" i="53"/>
  <c r="L2233" i="53"/>
  <c r="L2190" i="53"/>
  <c r="O2190" i="53"/>
  <c r="L2184" i="53"/>
  <c r="O2184" i="53"/>
  <c r="L2168" i="53"/>
  <c r="L2164" i="53"/>
  <c r="O2164" i="53"/>
  <c r="L2159" i="53"/>
  <c r="O2159" i="53"/>
  <c r="O2149" i="53"/>
  <c r="L2144" i="53"/>
  <c r="O2144" i="53"/>
  <c r="L2120" i="53"/>
  <c r="L2079" i="53"/>
  <c r="L2029" i="53"/>
  <c r="L2005" i="53"/>
  <c r="L1956" i="53"/>
  <c r="L1916" i="53"/>
  <c r="L1915" i="53"/>
  <c r="L1873" i="53"/>
  <c r="O1873" i="53"/>
  <c r="L1830" i="53"/>
  <c r="L1813" i="53"/>
  <c r="O1813" i="53"/>
  <c r="L1796" i="53"/>
  <c r="L1788" i="53"/>
  <c r="L1781" i="53"/>
  <c r="L1763" i="53"/>
  <c r="L1752" i="53"/>
  <c r="L1743" i="53"/>
  <c r="L1736" i="53"/>
  <c r="L1669" i="53"/>
  <c r="L1641" i="53"/>
  <c r="O1641" i="53"/>
  <c r="L1628" i="53"/>
  <c r="L1620" i="53"/>
  <c r="L1616" i="53"/>
  <c r="L1612" i="53"/>
  <c r="L1590" i="53"/>
  <c r="L1574" i="53"/>
  <c r="O1574" i="53"/>
  <c r="L1573" i="53"/>
  <c r="L1555" i="53"/>
  <c r="L1536" i="53"/>
  <c r="L1532" i="53"/>
  <c r="L1530" i="53"/>
  <c r="L1526" i="53"/>
  <c r="L1515" i="53"/>
  <c r="L1482" i="53"/>
  <c r="L1476" i="53"/>
  <c r="L1468" i="53"/>
  <c r="L1439" i="53"/>
  <c r="L1433" i="53"/>
  <c r="L1389" i="53"/>
  <c r="L1387" i="53"/>
  <c r="L1378" i="53"/>
  <c r="O1378" i="53"/>
  <c r="L1364" i="53"/>
  <c r="L1346" i="53"/>
  <c r="L1344" i="53"/>
  <c r="L1340" i="53"/>
  <c r="L1269" i="53"/>
  <c r="L1254" i="53"/>
  <c r="O1254" i="53"/>
  <c r="L1252" i="53"/>
  <c r="O1252" i="53"/>
  <c r="L1248" i="53"/>
  <c r="O1248" i="53"/>
  <c r="L1244" i="53"/>
  <c r="O1244" i="53"/>
  <c r="L1233" i="53"/>
  <c r="O1233" i="53"/>
  <c r="L1231" i="53"/>
  <c r="O1231" i="53"/>
  <c r="L1229" i="53"/>
  <c r="O1229" i="53"/>
  <c r="L1215" i="53"/>
  <c r="O1215" i="53"/>
  <c r="L1212" i="53"/>
  <c r="O1212" i="53"/>
  <c r="L1210" i="53"/>
  <c r="O1210" i="53"/>
  <c r="L1206" i="53"/>
  <c r="L1180" i="53"/>
  <c r="O1180" i="53"/>
  <c r="L1151" i="53"/>
  <c r="L1147" i="53"/>
  <c r="L1144" i="53"/>
  <c r="L1129" i="53"/>
  <c r="O1129" i="53"/>
  <c r="L1109" i="53"/>
  <c r="L1050" i="53"/>
  <c r="L1026" i="53"/>
  <c r="L990" i="53"/>
  <c r="L964" i="53"/>
  <c r="L956" i="53"/>
  <c r="L948" i="53"/>
  <c r="L942" i="53"/>
  <c r="L930" i="53"/>
  <c r="L917" i="53"/>
  <c r="L913" i="53"/>
  <c r="L911" i="53"/>
  <c r="L905" i="53"/>
  <c r="L883" i="53"/>
  <c r="L730" i="53"/>
  <c r="L718" i="53"/>
  <c r="L677" i="53"/>
  <c r="O677" i="53"/>
  <c r="L664" i="53"/>
  <c r="O664" i="53"/>
  <c r="L641" i="53"/>
  <c r="O641" i="53"/>
  <c r="L623" i="53"/>
  <c r="L586" i="53"/>
  <c r="O586" i="53"/>
  <c r="L569" i="53"/>
  <c r="O569" i="53"/>
  <c r="L511" i="53"/>
  <c r="O511" i="53"/>
  <c r="L470" i="53"/>
  <c r="O470" i="53"/>
  <c r="L425" i="53"/>
  <c r="O425" i="53"/>
  <c r="L417" i="53"/>
  <c r="O417" i="53"/>
  <c r="L320" i="53"/>
  <c r="O320" i="53"/>
  <c r="L291" i="53"/>
  <c r="O291" i="53"/>
  <c r="L282" i="53"/>
  <c r="O282" i="53"/>
  <c r="L264" i="53"/>
  <c r="O264" i="53"/>
  <c r="L239" i="53"/>
  <c r="O239" i="53"/>
  <c r="L118" i="53"/>
  <c r="L80" i="53"/>
  <c r="O80" i="53"/>
  <c r="L63" i="53"/>
  <c r="O63" i="53"/>
  <c r="L2000" i="53"/>
  <c r="L1673" i="53"/>
  <c r="O1673" i="53"/>
  <c r="L1998" i="53"/>
  <c r="O1998" i="53"/>
  <c r="L1935" i="53"/>
  <c r="O1935" i="53"/>
  <c r="L1176" i="53"/>
  <c r="L2082" i="53"/>
  <c r="L2016" i="53"/>
  <c r="L703" i="53"/>
  <c r="O703" i="53"/>
  <c r="L831" i="53"/>
  <c r="O225" i="53"/>
  <c r="L225" i="53"/>
  <c r="O821" i="53"/>
  <c r="O823" i="53"/>
  <c r="L14" i="53"/>
  <c r="L18" i="53"/>
  <c r="O459" i="53"/>
  <c r="L281" i="53"/>
  <c r="L384" i="53"/>
  <c r="L2579" i="53"/>
  <c r="L2002" i="53"/>
  <c r="L1732" i="53"/>
  <c r="L1133" i="53"/>
  <c r="L1326" i="53"/>
  <c r="L1134" i="53"/>
  <c r="L732" i="53"/>
  <c r="L2359" i="53"/>
  <c r="L2264" i="53"/>
  <c r="L2273" i="53"/>
  <c r="L1117" i="53"/>
  <c r="L57" i="53"/>
  <c r="O74" i="53"/>
  <c r="L477" i="53"/>
  <c r="L1005" i="53"/>
  <c r="L1284" i="53"/>
  <c r="O761" i="53"/>
  <c r="L269" i="53"/>
  <c r="L1280" i="53"/>
  <c r="O489" i="53"/>
  <c r="O208" i="53"/>
  <c r="O372" i="53"/>
  <c r="L610" i="53"/>
  <c r="O207" i="53"/>
  <c r="O341" i="53"/>
  <c r="O500" i="53"/>
  <c r="O12" i="53"/>
  <c r="L1188" i="53"/>
  <c r="L1027" i="53"/>
  <c r="O1240" i="53"/>
  <c r="O744" i="53"/>
  <c r="L1202" i="53"/>
  <c r="L583" i="53"/>
  <c r="L986" i="53"/>
  <c r="L801" i="53"/>
  <c r="L138" i="53"/>
  <c r="O865" i="53"/>
  <c r="L1267" i="53"/>
  <c r="L1292" i="53"/>
  <c r="L1183" i="53"/>
  <c r="L1258" i="53"/>
  <c r="L1191" i="53"/>
  <c r="O1225" i="53"/>
  <c r="L1222" i="53"/>
  <c r="L1069" i="53"/>
  <c r="L675" i="53"/>
  <c r="L22" i="53"/>
  <c r="O514" i="53"/>
  <c r="L60" i="53"/>
  <c r="L662" i="53"/>
  <c r="L1200" i="53"/>
  <c r="L1019" i="53"/>
  <c r="L1208" i="53"/>
  <c r="L1262" i="53"/>
  <c r="L1282" i="53"/>
  <c r="L1286" i="53"/>
  <c r="L1372" i="53"/>
  <c r="L742" i="53"/>
  <c r="L1250" i="53"/>
  <c r="L993" i="53"/>
  <c r="L828" i="53"/>
  <c r="O1300" i="53"/>
  <c r="L1220" i="53"/>
  <c r="L1246" i="53"/>
  <c r="L1273" i="53"/>
  <c r="L636" i="53"/>
  <c r="O357" i="53"/>
  <c r="O508" i="53"/>
  <c r="L271" i="53"/>
  <c r="O1314" i="53"/>
  <c r="L72" i="53"/>
  <c r="O261" i="53"/>
  <c r="L343" i="53"/>
  <c r="O393" i="53"/>
  <c r="L510" i="53"/>
  <c r="O386" i="53"/>
  <c r="L1197" i="53"/>
  <c r="O296" i="53"/>
  <c r="L434" i="53"/>
  <c r="L997" i="53"/>
  <c r="L1045" i="53"/>
  <c r="L1122" i="53"/>
  <c r="O27" i="53"/>
  <c r="L954" i="53"/>
  <c r="L81" i="53"/>
  <c r="O107" i="53"/>
  <c r="L899" i="53"/>
  <c r="L803" i="53"/>
  <c r="L873" i="53"/>
  <c r="O810" i="53"/>
  <c r="L105" i="53"/>
  <c r="O817" i="53"/>
  <c r="L827" i="53"/>
  <c r="L780" i="53"/>
  <c r="L762" i="53"/>
  <c r="L1569" i="53"/>
  <c r="L2069" i="53"/>
  <c r="L1484" i="53"/>
  <c r="L1891" i="53"/>
  <c r="L2409" i="53"/>
  <c r="L1298" i="53"/>
  <c r="L2397" i="53"/>
  <c r="L1859" i="53"/>
  <c r="L650" i="53"/>
  <c r="L1973" i="53"/>
  <c r="O1973" i="53"/>
  <c r="L1817" i="53"/>
  <c r="L1702" i="53"/>
  <c r="L1467" i="53"/>
  <c r="O1386" i="53"/>
  <c r="L1386" i="53"/>
  <c r="L1351" i="53"/>
  <c r="L1335" i="53"/>
  <c r="L1155" i="53"/>
  <c r="L1108" i="53"/>
  <c r="L1098" i="53"/>
  <c r="L1096" i="53"/>
  <c r="L1094" i="53"/>
  <c r="L1062" i="53"/>
  <c r="L1022" i="53"/>
  <c r="L998" i="53"/>
  <c r="L919" i="53"/>
  <c r="L915" i="53"/>
  <c r="L907" i="53"/>
  <c r="L885" i="53"/>
  <c r="L878" i="53"/>
  <c r="L872" i="53"/>
  <c r="L870" i="53"/>
  <c r="L868" i="53"/>
  <c r="L863" i="53"/>
  <c r="L853" i="53"/>
  <c r="O848" i="53"/>
  <c r="L848" i="53"/>
  <c r="L844" i="53"/>
  <c r="L836" i="53"/>
  <c r="O836" i="53"/>
  <c r="L835" i="53"/>
  <c r="O835" i="53"/>
  <c r="O829" i="53"/>
  <c r="L829" i="53"/>
  <c r="L819" i="53"/>
  <c r="O815" i="53"/>
  <c r="L815" i="53"/>
  <c r="L797" i="53"/>
  <c r="L796" i="53"/>
  <c r="L794" i="53"/>
  <c r="L793" i="53"/>
  <c r="L791" i="53"/>
  <c r="O769" i="53"/>
  <c r="L769" i="53"/>
  <c r="L682" i="53"/>
  <c r="O678" i="53"/>
  <c r="L678" i="53"/>
  <c r="L670" i="53"/>
  <c r="O656" i="53"/>
  <c r="L656" i="53"/>
  <c r="L626" i="53"/>
  <c r="O612" i="53"/>
  <c r="L612" i="53"/>
  <c r="L606" i="53"/>
  <c r="L604" i="53"/>
  <c r="O600" i="53"/>
  <c r="L600" i="53"/>
  <c r="L594" i="53"/>
  <c r="O594" i="53"/>
  <c r="L590" i="53"/>
  <c r="O590" i="53"/>
  <c r="L585" i="53"/>
  <c r="L581" i="53"/>
  <c r="O581" i="53"/>
  <c r="L577" i="53"/>
  <c r="O577" i="53"/>
  <c r="L568" i="53"/>
  <c r="O568" i="53"/>
  <c r="L562" i="53"/>
  <c r="O562" i="53"/>
  <c r="O560" i="53"/>
  <c r="L560" i="53"/>
  <c r="L557" i="53"/>
  <c r="O557" i="53"/>
  <c r="L543" i="53"/>
  <c r="O541" i="53"/>
  <c r="L541" i="53"/>
  <c r="L530" i="53"/>
  <c r="O530" i="53"/>
  <c r="L526" i="53"/>
  <c r="O526" i="53"/>
  <c r="L506" i="53"/>
  <c r="O506" i="53"/>
  <c r="L502" i="53"/>
  <c r="O502" i="53"/>
  <c r="O495" i="53"/>
  <c r="L495" i="53"/>
  <c r="O487" i="53"/>
  <c r="L487" i="53"/>
  <c r="L479" i="53"/>
  <c r="O479" i="53"/>
  <c r="O475" i="53"/>
  <c r="L475" i="53"/>
  <c r="L469" i="53"/>
  <c r="L461" i="53"/>
  <c r="O461" i="53"/>
  <c r="L457" i="53"/>
  <c r="O457" i="53"/>
  <c r="L453" i="53"/>
  <c r="L451" i="53"/>
  <c r="O447" i="53"/>
  <c r="L447" i="53"/>
  <c r="O440" i="53"/>
  <c r="L440" i="53"/>
  <c r="L436" i="53"/>
  <c r="O436" i="53"/>
  <c r="L428" i="53"/>
  <c r="O428" i="53"/>
  <c r="O426" i="53"/>
  <c r="L426" i="53"/>
  <c r="L420" i="53"/>
  <c r="L413" i="53"/>
  <c r="L411" i="53"/>
  <c r="L401" i="53"/>
  <c r="O401" i="53"/>
  <c r="O390" i="53"/>
  <c r="L390" i="53"/>
  <c r="O380" i="53"/>
  <c r="L380" i="53"/>
  <c r="L376" i="53"/>
  <c r="O376" i="53"/>
  <c r="O370" i="53"/>
  <c r="L370" i="53"/>
  <c r="L368" i="53"/>
  <c r="O368" i="53"/>
  <c r="L360" i="53"/>
  <c r="O360" i="53"/>
  <c r="L349" i="53"/>
  <c r="O349" i="53"/>
  <c r="O345" i="53"/>
  <c r="L345" i="53"/>
  <c r="L337" i="53"/>
  <c r="O335" i="53"/>
  <c r="L335" i="53"/>
  <c r="L331" i="53"/>
  <c r="O331" i="53"/>
  <c r="L327" i="53"/>
  <c r="O327" i="53"/>
  <c r="O323" i="53"/>
  <c r="L323" i="53"/>
  <c r="L319" i="53"/>
  <c r="L317" i="53"/>
  <c r="O311" i="53"/>
  <c r="L311" i="53"/>
  <c r="O309" i="53"/>
  <c r="L309" i="53"/>
  <c r="L299" i="53"/>
  <c r="O299" i="53"/>
  <c r="O294" i="53"/>
  <c r="L294" i="53"/>
  <c r="O292" i="53"/>
  <c r="L292" i="53"/>
  <c r="L283" i="53"/>
  <c r="L279" i="53"/>
  <c r="O279" i="53"/>
  <c r="L275" i="53"/>
  <c r="L257" i="53"/>
  <c r="O253" i="53"/>
  <c r="L253" i="53"/>
  <c r="O237" i="53"/>
  <c r="L237" i="53"/>
  <c r="L231" i="53"/>
  <c r="O231" i="53"/>
  <c r="L227" i="53"/>
  <c r="O227" i="53"/>
  <c r="L223" i="53"/>
  <c r="O223" i="53"/>
  <c r="O215" i="53"/>
  <c r="L215" i="53"/>
  <c r="L212" i="53"/>
  <c r="O212" i="53"/>
  <c r="O205" i="53"/>
  <c r="L205" i="53"/>
  <c r="L199" i="53"/>
  <c r="O199" i="53"/>
  <c r="L198" i="53"/>
  <c r="O198" i="53"/>
  <c r="O192" i="53"/>
  <c r="L192" i="53"/>
  <c r="L184" i="53"/>
  <c r="O184" i="53"/>
  <c r="L175" i="53"/>
  <c r="O175" i="53"/>
  <c r="O168" i="53"/>
  <c r="L168" i="53"/>
  <c r="O162" i="53"/>
  <c r="L162" i="53"/>
  <c r="O62" i="53"/>
  <c r="L62" i="53"/>
  <c r="L43" i="53"/>
  <c r="L35" i="53"/>
  <c r="L33" i="53"/>
  <c r="L25" i="53"/>
  <c r="O25" i="53"/>
  <c r="L16" i="53"/>
  <c r="L4" i="53"/>
  <c r="L48" i="53"/>
  <c r="L29" i="53"/>
  <c r="L1680" i="53"/>
  <c r="L1064" i="53"/>
  <c r="L833" i="53"/>
  <c r="L858" i="53"/>
  <c r="L1088" i="53"/>
  <c r="O285" i="53"/>
  <c r="L728" i="53"/>
  <c r="L857" i="53"/>
  <c r="L621" i="53"/>
  <c r="L720" i="53"/>
  <c r="L805" i="53"/>
  <c r="L813" i="53"/>
  <c r="L825" i="53"/>
  <c r="O433" i="53"/>
  <c r="L579" i="53"/>
  <c r="L467" i="53"/>
  <c r="L209" i="53"/>
  <c r="L1384" i="53"/>
  <c r="L70" i="53"/>
  <c r="L277" i="53"/>
  <c r="O378" i="53"/>
  <c r="O403" i="53"/>
  <c r="O455" i="53"/>
  <c r="L587" i="53"/>
  <c r="L608" i="53"/>
  <c r="L598" i="53"/>
  <c r="L846" i="53"/>
  <c r="O66" i="53"/>
  <c r="O196" i="53"/>
  <c r="L218" i="53"/>
  <c r="O232" i="53"/>
  <c r="O250" i="53"/>
  <c r="O362" i="53"/>
  <c r="O399" i="53"/>
  <c r="L465" i="53"/>
  <c r="L855" i="53"/>
  <c r="L10" i="53"/>
  <c r="O242" i="53"/>
  <c r="L564" i="53"/>
  <c r="L553" i="53"/>
  <c r="L1163" i="53"/>
  <c r="L1663" i="53"/>
  <c r="L2383" i="53"/>
  <c r="L1165" i="53"/>
  <c r="L1086" i="53"/>
  <c r="L1104" i="53"/>
  <c r="L1092" i="53"/>
  <c r="L1090" i="53"/>
  <c r="L2268" i="53"/>
  <c r="O2148" i="53"/>
  <c r="L2427" i="53"/>
  <c r="L1278" i="53"/>
  <c r="L1256" i="53"/>
  <c r="L1227" i="53"/>
  <c r="L1276" i="53"/>
  <c r="L1242" i="53"/>
  <c r="O1260" i="53"/>
  <c r="L1235" i="53"/>
  <c r="L1290" i="53"/>
  <c r="L1296" i="53"/>
  <c r="L1271" i="53"/>
  <c r="L1178" i="53"/>
  <c r="L2465" i="53"/>
  <c r="L2431" i="53"/>
  <c r="L2423" i="53"/>
  <c r="L2413" i="53"/>
  <c r="L2405" i="53"/>
  <c r="L2314" i="53"/>
  <c r="L2003" i="53"/>
  <c r="L1864" i="53"/>
  <c r="L1780" i="53"/>
  <c r="L1773" i="53"/>
  <c r="O1773" i="53"/>
  <c r="L1626" i="53"/>
  <c r="L1582" i="53"/>
  <c r="L1419" i="53"/>
  <c r="L1363" i="53"/>
  <c r="L1355" i="53"/>
  <c r="L1343" i="53"/>
  <c r="L1333" i="53"/>
  <c r="O1333" i="53"/>
  <c r="L1323" i="53"/>
  <c r="L1157" i="53"/>
  <c r="L1153" i="53"/>
  <c r="L1135" i="53"/>
  <c r="L1120" i="53"/>
  <c r="L1114" i="53"/>
  <c r="L1080" i="53"/>
  <c r="L1076" i="53"/>
  <c r="L1065" i="53"/>
  <c r="L1059" i="53"/>
  <c r="L1049" i="53"/>
  <c r="L1047" i="53"/>
  <c r="L1037" i="53"/>
  <c r="L1029" i="53"/>
  <c r="L1025" i="53"/>
  <c r="L1021" i="53"/>
  <c r="L1017" i="53"/>
  <c r="L1015" i="53"/>
  <c r="L1009" i="53"/>
  <c r="L1001" i="53"/>
  <c r="L987" i="53"/>
  <c r="L981" i="53"/>
  <c r="L977" i="53"/>
  <c r="L973" i="53"/>
  <c r="L969" i="53"/>
  <c r="L943" i="53"/>
  <c r="L856" i="53"/>
  <c r="L854" i="53"/>
  <c r="L768" i="53"/>
  <c r="O768" i="53"/>
  <c r="O759" i="53"/>
  <c r="L759" i="53"/>
  <c r="L673" i="53"/>
  <c r="L625" i="53"/>
  <c r="L582" i="53"/>
  <c r="O554" i="53"/>
  <c r="L554" i="53"/>
  <c r="O552" i="53"/>
  <c r="L552" i="53"/>
  <c r="O509" i="53"/>
  <c r="L509" i="53"/>
  <c r="L507" i="53"/>
  <c r="L480" i="53"/>
  <c r="O480" i="53"/>
  <c r="L478" i="53"/>
  <c r="L452" i="53"/>
  <c r="O452" i="53"/>
  <c r="O369" i="53"/>
  <c r="L369" i="53"/>
  <c r="L221" i="53"/>
  <c r="O221" i="53"/>
  <c r="L181" i="53"/>
  <c r="O181" i="53"/>
  <c r="O169" i="53"/>
  <c r="L169" i="53"/>
  <c r="L142" i="53"/>
  <c r="L140" i="53"/>
  <c r="O128" i="53"/>
  <c r="L128" i="53"/>
  <c r="L126" i="53"/>
  <c r="L122" i="53"/>
  <c r="L90" i="53"/>
  <c r="O69" i="53"/>
  <c r="L69" i="53"/>
  <c r="L1624" i="53"/>
  <c r="O1790" i="53"/>
  <c r="L1987" i="53"/>
  <c r="L1704" i="53"/>
  <c r="L326" i="53"/>
  <c r="L1464" i="53"/>
  <c r="L740" i="53"/>
  <c r="L702" i="53"/>
  <c r="L96" i="53"/>
  <c r="L286" i="53"/>
  <c r="L924" i="53"/>
  <c r="L1167" i="53"/>
  <c r="L1541" i="53"/>
  <c r="L2417" i="53"/>
  <c r="L2435" i="53"/>
  <c r="L2345" i="53"/>
  <c r="L2088" i="53"/>
  <c r="L939" i="53"/>
  <c r="L1952" i="53"/>
  <c r="L1011" i="53"/>
  <c r="L1023" i="53"/>
  <c r="L1063" i="53"/>
  <c r="L1116" i="53"/>
  <c r="L1639" i="53"/>
  <c r="L1917" i="53"/>
  <c r="L1524" i="53"/>
  <c r="L931" i="53"/>
  <c r="L1173" i="53"/>
  <c r="L700" i="53"/>
  <c r="L111" i="53"/>
  <c r="L607" i="53"/>
  <c r="L1078" i="53"/>
  <c r="L240" i="53"/>
  <c r="L753" i="53"/>
  <c r="L161" i="53"/>
  <c r="L124" i="53"/>
  <c r="L1353" i="53"/>
  <c r="L102" i="53"/>
  <c r="L910" i="53"/>
  <c r="O1171" i="53"/>
  <c r="L965" i="53"/>
  <c r="L894" i="53"/>
  <c r="L979" i="53"/>
  <c r="L1428" i="53"/>
  <c r="L1535" i="53"/>
  <c r="L1247" i="53"/>
  <c r="L961" i="53"/>
  <c r="L1051" i="53"/>
  <c r="L1112" i="53"/>
  <c r="L1125" i="53"/>
  <c r="L1013" i="53"/>
  <c r="L975" i="53"/>
  <c r="L983" i="53"/>
  <c r="L989" i="53"/>
  <c r="L955" i="53"/>
  <c r="L1124" i="53"/>
  <c r="O1131" i="53"/>
  <c r="L995" i="53"/>
  <c r="L1074" i="53"/>
  <c r="L2008" i="53"/>
  <c r="L1553" i="53"/>
  <c r="L1483" i="53"/>
  <c r="L1546" i="53"/>
  <c r="L1471" i="53"/>
  <c r="L1466" i="53"/>
  <c r="L1349" i="53"/>
  <c r="L2077" i="53"/>
  <c r="L1566" i="53"/>
  <c r="L1551" i="53"/>
  <c r="L1544" i="53"/>
  <c r="O1508" i="53"/>
  <c r="O1638" i="53"/>
  <c r="L1310" i="53"/>
  <c r="L1302" i="53"/>
  <c r="L1521" i="53"/>
  <c r="L1435" i="53"/>
  <c r="L1441" i="53"/>
  <c r="L176" i="53"/>
  <c r="O176" i="53"/>
  <c r="L229" i="53"/>
  <c r="O229" i="53"/>
  <c r="L1742" i="53"/>
  <c r="O874" i="53"/>
  <c r="L874" i="53"/>
  <c r="L782" i="53"/>
  <c r="L749" i="53"/>
  <c r="L687" i="53"/>
  <c r="O597" i="53"/>
  <c r="L597" i="53"/>
  <c r="L503" i="53"/>
  <c r="O503" i="53"/>
  <c r="L499" i="53"/>
  <c r="O499" i="53"/>
  <c r="L454" i="53"/>
  <c r="O454" i="53"/>
  <c r="O361" i="53"/>
  <c r="L361" i="53"/>
  <c r="O251" i="53"/>
  <c r="L251" i="53"/>
  <c r="L228" i="53"/>
  <c r="O228" i="53"/>
  <c r="O224" i="53"/>
  <c r="L224" i="53"/>
  <c r="L206" i="53"/>
  <c r="O206" i="53"/>
  <c r="L200" i="53"/>
  <c r="O200" i="53"/>
  <c r="O179" i="53"/>
  <c r="L179" i="53"/>
  <c r="O167" i="53"/>
  <c r="L167" i="53"/>
  <c r="L160" i="53"/>
  <c r="O160" i="53"/>
  <c r="L144" i="53"/>
  <c r="L136" i="53"/>
  <c r="L76" i="53"/>
  <c r="L71" i="53"/>
  <c r="O71" i="53"/>
  <c r="L1453" i="53"/>
  <c r="L1408" i="53"/>
  <c r="O767" i="53"/>
  <c r="L767" i="53"/>
  <c r="L736" i="53"/>
  <c r="O734" i="53"/>
  <c r="L734" i="53"/>
  <c r="L712" i="53"/>
  <c r="L708" i="53"/>
  <c r="L692" i="53"/>
  <c r="L603" i="53"/>
  <c r="L589" i="53"/>
  <c r="O589" i="53"/>
  <c r="L574" i="53"/>
  <c r="O548" i="53"/>
  <c r="L548" i="53"/>
  <c r="O540" i="53"/>
  <c r="L540" i="53"/>
  <c r="L529" i="53"/>
  <c r="O529" i="53"/>
  <c r="O332" i="53"/>
  <c r="L332" i="53"/>
  <c r="L300" i="53"/>
  <c r="O300" i="53"/>
  <c r="O256" i="53"/>
  <c r="L256" i="53"/>
  <c r="L191" i="53"/>
  <c r="O191" i="53"/>
  <c r="O120" i="53"/>
  <c r="L120" i="53"/>
  <c r="L645" i="53"/>
  <c r="L2109" i="53"/>
  <c r="O2157" i="53"/>
  <c r="L2243" i="53"/>
  <c r="L1691" i="53"/>
  <c r="L1820" i="53"/>
  <c r="L914" i="53"/>
  <c r="L1016" i="53"/>
  <c r="L354" i="53"/>
  <c r="L772" i="53"/>
  <c r="L49" i="53"/>
  <c r="L284" i="53"/>
  <c r="L627" i="53"/>
  <c r="L950" i="53"/>
  <c r="O1224" i="53"/>
  <c r="L1503" i="53"/>
  <c r="L1697" i="53"/>
  <c r="O1785" i="53"/>
  <c r="L1963" i="53"/>
  <c r="L1665" i="53"/>
  <c r="L2366" i="53"/>
  <c r="L1604" i="53"/>
  <c r="L1929" i="53"/>
  <c r="L1166" i="53"/>
  <c r="L1370" i="53"/>
  <c r="L1376" i="53"/>
  <c r="O1390" i="53"/>
  <c r="L1420" i="53"/>
  <c r="L1481" i="53"/>
  <c r="L1513" i="53"/>
  <c r="L1545" i="53"/>
  <c r="L1586" i="53"/>
  <c r="L1596" i="53"/>
  <c r="L1650" i="53"/>
  <c r="L1717" i="53"/>
  <c r="L1754" i="53"/>
  <c r="L1886" i="53"/>
  <c r="L1938" i="53"/>
  <c r="L476" i="53"/>
  <c r="L1522" i="53"/>
  <c r="L1735" i="53"/>
  <c r="O690" i="53"/>
  <c r="L723" i="53"/>
  <c r="L1358" i="53"/>
  <c r="L1534" i="53"/>
  <c r="L770" i="53"/>
  <c r="L786" i="53"/>
  <c r="L1446" i="53"/>
  <c r="O1757" i="53"/>
  <c r="L631" i="53"/>
  <c r="L696" i="53"/>
  <c r="L747" i="53"/>
  <c r="L83" i="53"/>
  <c r="L545" i="53"/>
  <c r="O77" i="53"/>
  <c r="L534" i="53"/>
  <c r="L649" i="53"/>
  <c r="L112" i="53"/>
  <c r="L571" i="53"/>
  <c r="L247" i="53"/>
  <c r="L114" i="53"/>
  <c r="L152" i="53"/>
  <c r="O260" i="53"/>
  <c r="L595" i="53"/>
  <c r="L398" i="53"/>
  <c r="L605" i="53"/>
  <c r="L295" i="53"/>
  <c r="L2318" i="53"/>
  <c r="O2318" i="53"/>
  <c r="L2308" i="53"/>
  <c r="O2308" i="53"/>
  <c r="O2302" i="53"/>
  <c r="L2302" i="53"/>
  <c r="L2123" i="53"/>
  <c r="O2112" i="53"/>
  <c r="L2112" i="53"/>
  <c r="L2091" i="53"/>
  <c r="L2080" i="53"/>
  <c r="L2076" i="53"/>
  <c r="L2060" i="53"/>
  <c r="L2052" i="53"/>
  <c r="L2048" i="53"/>
  <c r="O2037" i="53"/>
  <c r="L2007" i="53"/>
  <c r="L1999" i="53"/>
  <c r="L1975" i="53"/>
  <c r="L1955" i="53"/>
  <c r="L1937" i="53"/>
  <c r="O1937" i="53"/>
  <c r="O1912" i="53"/>
  <c r="L1882" i="53"/>
  <c r="L1860" i="53"/>
  <c r="L1846" i="53"/>
  <c r="L1844" i="53"/>
  <c r="L1836" i="53"/>
  <c r="L1826" i="53"/>
  <c r="L1824" i="53"/>
  <c r="O1822" i="53"/>
  <c r="L1822" i="53"/>
  <c r="L1778" i="53"/>
  <c r="L1748" i="53"/>
  <c r="L1726" i="53"/>
  <c r="O1690" i="53"/>
  <c r="L1690" i="53"/>
  <c r="L1672" i="53"/>
  <c r="L1661" i="53"/>
  <c r="L1658" i="53"/>
  <c r="L1634" i="53"/>
  <c r="L1622" i="53"/>
  <c r="L1610" i="53"/>
  <c r="L1608" i="53"/>
  <c r="L1606" i="53"/>
  <c r="L1580" i="53"/>
  <c r="L1538" i="53"/>
  <c r="L1519" i="53"/>
  <c r="L1507" i="53"/>
  <c r="O1507" i="53"/>
  <c r="L1500" i="53"/>
  <c r="L1496" i="53"/>
  <c r="L1492" i="53"/>
  <c r="L1490" i="53"/>
  <c r="L1485" i="53"/>
  <c r="L1479" i="53"/>
  <c r="L1457" i="53"/>
  <c r="L1455" i="53"/>
  <c r="L1451" i="53"/>
  <c r="L1448" i="53"/>
  <c r="L1444" i="53"/>
  <c r="O1444" i="53"/>
  <c r="O1442" i="53"/>
  <c r="L1442" i="53"/>
  <c r="L1426" i="53"/>
  <c r="L1424" i="53"/>
  <c r="L1422" i="53"/>
  <c r="L1416" i="53"/>
  <c r="L1412" i="53"/>
  <c r="L1410" i="53"/>
  <c r="L1406" i="53"/>
  <c r="L1404" i="53"/>
  <c r="L1396" i="53"/>
  <c r="L1392" i="53"/>
  <c r="L1388" i="53"/>
  <c r="L1380" i="53"/>
  <c r="L1374" i="53"/>
  <c r="L1362" i="53"/>
  <c r="L1348" i="53"/>
  <c r="L1270" i="53"/>
  <c r="O1226" i="53"/>
  <c r="L1226" i="53"/>
  <c r="L1203" i="53"/>
  <c r="L1121" i="53"/>
  <c r="L1115" i="53"/>
  <c r="L1105" i="53"/>
  <c r="L1103" i="53"/>
  <c r="L1058" i="53"/>
  <c r="L1038" i="53"/>
  <c r="L2387" i="53"/>
  <c r="L2379" i="53"/>
  <c r="L2371" i="53"/>
  <c r="L2357" i="53"/>
  <c r="L2349" i="53"/>
  <c r="L2341" i="53"/>
  <c r="L2328" i="53"/>
  <c r="L2206" i="53"/>
  <c r="L2198" i="53"/>
  <c r="O2191" i="53"/>
  <c r="L2191" i="53"/>
  <c r="L2095" i="53"/>
  <c r="L2086" i="53"/>
  <c r="L2070" i="53"/>
  <c r="L2062" i="53"/>
  <c r="O2042" i="53"/>
  <c r="L2042" i="53"/>
  <c r="L2038" i="53"/>
  <c r="O2035" i="53"/>
  <c r="L2035" i="53"/>
  <c r="L2024" i="53"/>
  <c r="L2018" i="53"/>
  <c r="L2013" i="53"/>
  <c r="O2013" i="53"/>
  <c r="L1981" i="53"/>
  <c r="O1961" i="53"/>
  <c r="L1961" i="53"/>
  <c r="L1957" i="53"/>
  <c r="O1957" i="53"/>
  <c r="L1945" i="53"/>
  <c r="L1941" i="53"/>
  <c r="O1939" i="53"/>
  <c r="L1939" i="53"/>
  <c r="L1931" i="53"/>
  <c r="L1921" i="53"/>
  <c r="L1914" i="53"/>
  <c r="L1899" i="53"/>
  <c r="O1899" i="53"/>
  <c r="L1898" i="53"/>
  <c r="L1892" i="53"/>
  <c r="L1876" i="53"/>
  <c r="L1685" i="53"/>
  <c r="L1810" i="53"/>
  <c r="L1797" i="53"/>
  <c r="O1969" i="53"/>
  <c r="L1695" i="53"/>
  <c r="O2098" i="53"/>
  <c r="L1678" i="53"/>
  <c r="O1801" i="53"/>
  <c r="O2245" i="53"/>
  <c r="L1977" i="53"/>
  <c r="L1654" i="53"/>
  <c r="L1667" i="53"/>
  <c r="L1771" i="53"/>
  <c r="L1828" i="53"/>
  <c r="L2116" i="53"/>
  <c r="L1852" i="53"/>
  <c r="O2324" i="53"/>
  <c r="L2337" i="53"/>
  <c r="L2354" i="53"/>
  <c r="L2375" i="53"/>
  <c r="L2391" i="53"/>
  <c r="L1946" i="53"/>
  <c r="L1721" i="53"/>
  <c r="L1632" i="53"/>
  <c r="L1880" i="53"/>
  <c r="L1888" i="53"/>
  <c r="L1722" i="53"/>
  <c r="L2068" i="53"/>
  <c r="L1584" i="53"/>
  <c r="L1588" i="53"/>
  <c r="L1594" i="53"/>
  <c r="L1630" i="53"/>
  <c r="O1637" i="53"/>
  <c r="L1643" i="53"/>
  <c r="L1719" i="53"/>
  <c r="L1746" i="53"/>
  <c r="L1878" i="53"/>
  <c r="L1925" i="53"/>
  <c r="L1949" i="53"/>
  <c r="L1799" i="53"/>
  <c r="O1959" i="53"/>
  <c r="L1618" i="53"/>
  <c r="L1018" i="53"/>
  <c r="L1002" i="53"/>
  <c r="L1656" i="53"/>
  <c r="L2298" i="53"/>
  <c r="L2294" i="53"/>
  <c r="L2276" i="53"/>
  <c r="L2227" i="53"/>
  <c r="L2208" i="53"/>
  <c r="L2125" i="53"/>
  <c r="L2107" i="53"/>
  <c r="L2084" i="53"/>
  <c r="L2074" i="53"/>
  <c r="L2072" i="53"/>
  <c r="L2056" i="53"/>
  <c r="L2054" i="53"/>
  <c r="L2046" i="53"/>
  <c r="O2045" i="53"/>
  <c r="L2045" i="53"/>
  <c r="L2032" i="53"/>
  <c r="L2014" i="53"/>
  <c r="L2011" i="53"/>
  <c r="L2009" i="53"/>
  <c r="L1994" i="53"/>
  <c r="L1971" i="53"/>
  <c r="L1943" i="53"/>
  <c r="O1933" i="53"/>
  <c r="L1933" i="53"/>
  <c r="L1927" i="53"/>
  <c r="L1923" i="53"/>
  <c r="L1919" i="53"/>
  <c r="O1909" i="53"/>
  <c r="L1904" i="53"/>
  <c r="L1902" i="53"/>
  <c r="L1900" i="53"/>
  <c r="L1896" i="53"/>
  <c r="L1894" i="53"/>
  <c r="L1890" i="53"/>
  <c r="L1866" i="53"/>
  <c r="L1862" i="53"/>
  <c r="L1850" i="53"/>
  <c r="L1834" i="53"/>
  <c r="O2099" i="53"/>
  <c r="O2189" i="53"/>
  <c r="L2240" i="53"/>
  <c r="L2155" i="53"/>
  <c r="L2101" i="53"/>
  <c r="L2239" i="53"/>
  <c r="L2200" i="53"/>
  <c r="L2204" i="53"/>
  <c r="L2212" i="53"/>
  <c r="O2317" i="53"/>
  <c r="O2322" i="53"/>
  <c r="L2339" i="53"/>
  <c r="L2343" i="53"/>
  <c r="L2352" i="53"/>
  <c r="L2364" i="53"/>
  <c r="L2368" i="53"/>
  <c r="L2373" i="53"/>
  <c r="L2377" i="53"/>
  <c r="L2381" i="53"/>
  <c r="L2385" i="53"/>
  <c r="L2389" i="53"/>
  <c r="L2312" i="53"/>
  <c r="L2097" i="53"/>
  <c r="L1840" i="53"/>
  <c r="L928" i="53"/>
  <c r="L2463" i="53"/>
  <c r="O2463" i="53"/>
  <c r="L2441" i="53"/>
  <c r="L2437" i="53"/>
  <c r="L2421" i="53"/>
  <c r="O2421" i="53"/>
  <c r="L2244" i="53"/>
  <c r="O2244" i="53"/>
  <c r="L2215" i="53"/>
  <c r="L2113" i="53"/>
  <c r="O2043" i="53"/>
  <c r="L2043" i="53"/>
  <c r="L1926" i="53"/>
  <c r="L1875" i="53"/>
  <c r="O1875" i="53"/>
  <c r="L1751" i="53"/>
  <c r="L1687" i="53"/>
  <c r="L1644" i="53"/>
  <c r="L1598" i="53"/>
  <c r="L1565" i="53"/>
  <c r="L1550" i="53"/>
  <c r="L1542" i="53"/>
  <c r="L1527" i="53"/>
  <c r="L1514" i="53"/>
  <c r="L1502" i="53"/>
  <c r="L1499" i="53"/>
  <c r="L1456" i="53"/>
  <c r="L1454" i="53"/>
  <c r="L1452" i="53"/>
  <c r="O1443" i="53"/>
  <c r="L1443" i="53"/>
  <c r="L1415" i="53"/>
  <c r="L1407" i="53"/>
  <c r="L1393" i="53"/>
  <c r="L1361" i="53"/>
  <c r="L1359" i="53"/>
  <c r="L1356" i="53"/>
  <c r="O1329" i="53"/>
  <c r="L1329" i="53"/>
  <c r="L1315" i="53"/>
  <c r="O1315" i="53"/>
  <c r="L1297" i="53"/>
  <c r="O1293" i="53"/>
  <c r="L1293" i="53"/>
  <c r="O1281" i="53"/>
  <c r="L1281" i="53"/>
  <c r="L1277" i="53"/>
  <c r="L1259" i="53"/>
  <c r="O1259" i="53"/>
  <c r="L1257" i="53"/>
  <c r="L1249" i="53"/>
  <c r="L1236" i="53"/>
  <c r="L1230" i="53"/>
  <c r="L1223" i="53"/>
  <c r="L1219" i="53"/>
  <c r="L1211" i="53"/>
  <c r="L1207" i="53"/>
  <c r="L1205" i="53"/>
  <c r="L1192" i="53"/>
  <c r="L1189" i="53"/>
  <c r="L1187" i="53"/>
  <c r="L1182" i="53"/>
  <c r="O1182" i="53"/>
  <c r="L1177" i="53"/>
  <c r="L1164" i="53"/>
  <c r="L1145" i="53"/>
  <c r="L1139" i="53"/>
  <c r="L1128" i="53"/>
  <c r="L1123" i="53"/>
  <c r="L1113" i="53"/>
  <c r="L1089" i="53"/>
  <c r="L1087" i="53"/>
  <c r="L1081" i="53"/>
  <c r="L1060" i="53"/>
  <c r="L1056" i="53"/>
  <c r="L1052" i="53"/>
  <c r="L1020" i="53"/>
  <c r="L1014" i="53"/>
  <c r="L1008" i="53"/>
  <c r="L996" i="53"/>
  <c r="L994" i="53"/>
  <c r="L972" i="53"/>
  <c r="L958" i="53"/>
  <c r="L952" i="53"/>
  <c r="L944" i="53"/>
  <c r="L940" i="53"/>
  <c r="L936" i="53"/>
  <c r="L934" i="53"/>
  <c r="L904" i="53"/>
  <c r="L896" i="53"/>
  <c r="L877" i="53"/>
  <c r="L876" i="53"/>
  <c r="L867" i="53"/>
  <c r="O867" i="53"/>
  <c r="L802" i="53"/>
  <c r="L795" i="53"/>
  <c r="L781" i="53"/>
  <c r="L779" i="53"/>
  <c r="O777" i="53"/>
  <c r="L777" i="53"/>
  <c r="L774" i="53"/>
  <c r="O766" i="53"/>
  <c r="L766" i="53"/>
  <c r="O764" i="53"/>
  <c r="L764" i="53"/>
  <c r="L756" i="53"/>
  <c r="L752" i="53"/>
  <c r="O752" i="53"/>
  <c r="L725" i="53"/>
  <c r="L721" i="53"/>
  <c r="L717" i="53"/>
  <c r="L711" i="53"/>
  <c r="L709" i="53"/>
  <c r="L707" i="53"/>
  <c r="L705" i="53"/>
  <c r="L701" i="53"/>
  <c r="O699" i="53"/>
  <c r="L699" i="53"/>
  <c r="O697" i="53"/>
  <c r="L697" i="53"/>
  <c r="O695" i="53"/>
  <c r="L695" i="53"/>
  <c r="O693" i="53"/>
  <c r="L693" i="53"/>
  <c r="L686" i="53"/>
  <c r="L684" i="53"/>
  <c r="O680" i="53"/>
  <c r="L680" i="53"/>
  <c r="L676" i="53"/>
  <c r="O676" i="53"/>
  <c r="L674" i="53"/>
  <c r="L672" i="53"/>
  <c r="O667" i="53"/>
  <c r="L667" i="53"/>
  <c r="O665" i="53"/>
  <c r="L665" i="53"/>
  <c r="L663" i="53"/>
  <c r="O663" i="53"/>
  <c r="L661" i="53"/>
  <c r="L659" i="53"/>
  <c r="L652" i="53"/>
  <c r="O646" i="53"/>
  <c r="L646" i="53"/>
  <c r="L639" i="53"/>
  <c r="O639" i="53"/>
  <c r="L2473" i="53"/>
  <c r="L2455" i="53"/>
  <c r="L2451" i="53"/>
  <c r="L2447" i="53"/>
  <c r="L2307" i="53"/>
  <c r="L2293" i="53"/>
  <c r="L1692" i="53"/>
  <c r="L1563" i="53"/>
  <c r="L1552" i="53"/>
  <c r="L1537" i="53"/>
  <c r="L1533" i="53"/>
  <c r="L1510" i="53"/>
  <c r="O1510" i="53"/>
  <c r="L1488" i="53"/>
  <c r="L2395" i="53"/>
  <c r="O1213" i="53"/>
  <c r="L1429" i="53"/>
  <c r="L2004" i="53"/>
  <c r="L1263" i="53"/>
  <c r="L2041" i="53"/>
  <c r="L2403" i="53"/>
  <c r="L2407" i="53"/>
  <c r="L2411" i="53"/>
  <c r="L2415" i="53"/>
  <c r="L2419" i="53"/>
  <c r="L2425" i="53"/>
  <c r="L2429" i="53"/>
  <c r="L2433" i="53"/>
  <c r="L2439" i="53"/>
  <c r="L1158" i="53"/>
  <c r="L1179" i="53"/>
  <c r="L1501" i="53"/>
  <c r="L1540" i="53"/>
  <c r="L1829" i="53"/>
  <c r="L1253" i="53"/>
  <c r="O1480" i="53"/>
  <c r="O1317" i="53"/>
  <c r="L1232" i="53"/>
  <c r="L1251" i="53"/>
  <c r="L1377" i="53"/>
  <c r="L1217" i="53"/>
  <c r="L637" i="53"/>
  <c r="O637" i="53"/>
  <c r="O555" i="53"/>
  <c r="L555" i="53"/>
  <c r="O551" i="53"/>
  <c r="L551" i="53"/>
  <c r="O547" i="53"/>
  <c r="L547" i="53"/>
  <c r="L546" i="53"/>
  <c r="L539" i="53"/>
  <c r="O539" i="53"/>
  <c r="O535" i="53"/>
  <c r="L535" i="53"/>
  <c r="L528" i="53"/>
  <c r="O528" i="53"/>
  <c r="L523" i="53"/>
  <c r="O523" i="53"/>
  <c r="L430" i="53"/>
  <c r="O430" i="53"/>
  <c r="O246" i="53"/>
  <c r="L246" i="53"/>
  <c r="L220" i="53"/>
  <c r="O220" i="53"/>
  <c r="L194" i="53"/>
  <c r="O194" i="53"/>
  <c r="L189" i="53"/>
  <c r="O189" i="53"/>
  <c r="O182" i="53"/>
  <c r="L182" i="53"/>
  <c r="L91" i="53"/>
  <c r="L61" i="53"/>
  <c r="O26" i="53"/>
  <c r="L26" i="53"/>
  <c r="L24" i="53"/>
  <c r="O24" i="53"/>
  <c r="O570" i="53"/>
  <c r="L570" i="53"/>
  <c r="O566" i="53"/>
  <c r="L566" i="53"/>
  <c r="L558" i="53"/>
  <c r="O558" i="53"/>
  <c r="O544" i="53"/>
  <c r="O537" i="53"/>
  <c r="L533" i="53"/>
  <c r="O358" i="53"/>
  <c r="L358" i="53"/>
  <c r="L303" i="53"/>
  <c r="O255" i="53"/>
  <c r="L255" i="53"/>
  <c r="O248" i="53"/>
  <c r="L248" i="53"/>
  <c r="L222" i="53"/>
  <c r="O222" i="53"/>
  <c r="O190" i="53"/>
  <c r="L190" i="53"/>
  <c r="L186" i="53"/>
  <c r="O186" i="53"/>
  <c r="L185" i="53"/>
  <c r="O185" i="53"/>
  <c r="L173" i="53"/>
  <c r="O173" i="53"/>
  <c r="O171" i="53"/>
  <c r="L171" i="53"/>
  <c r="O157" i="53"/>
  <c r="L157" i="53"/>
  <c r="L78" i="53"/>
  <c r="L28" i="53"/>
  <c r="L512" i="53"/>
  <c r="L21" i="53"/>
  <c r="L203" i="53"/>
  <c r="O325" i="53"/>
  <c r="L265" i="53"/>
  <c r="L355" i="53"/>
  <c r="L418" i="53"/>
  <c r="L290" i="53"/>
  <c r="O407" i="53"/>
  <c r="O3" i="53"/>
  <c r="L409" i="53"/>
  <c r="O491" i="53"/>
  <c r="O520" i="53"/>
  <c r="L143" i="53"/>
  <c r="O267" i="53"/>
  <c r="L129" i="53"/>
  <c r="L382" i="53"/>
  <c r="L388" i="53"/>
  <c r="L395" i="53"/>
  <c r="L438" i="53"/>
  <c r="L442" i="53"/>
  <c r="O449" i="53"/>
  <c r="O463" i="53"/>
  <c r="L485" i="53"/>
  <c r="L493" i="53"/>
  <c r="O497" i="53"/>
  <c r="O592" i="53"/>
  <c r="O596" i="53"/>
  <c r="L298" i="53"/>
  <c r="L121" i="53"/>
  <c r="L235" i="53"/>
  <c r="L307" i="53"/>
  <c r="L364" i="53"/>
  <c r="L397" i="53"/>
  <c r="L180" i="53"/>
  <c r="L187" i="53"/>
  <c r="L153" i="53"/>
  <c r="L305" i="53"/>
  <c r="L446" i="53"/>
  <c r="L99" i="53"/>
  <c r="O163" i="53"/>
  <c r="O178" i="53"/>
  <c r="O339" i="53"/>
  <c r="O444" i="53"/>
  <c r="O201" i="53"/>
  <c r="O329" i="53"/>
  <c r="O481" i="53"/>
  <c r="L123" i="53"/>
  <c r="L549" i="53"/>
  <c r="O165" i="53"/>
  <c r="L259" i="53"/>
  <c r="L7" i="53"/>
  <c r="L2541" i="53"/>
  <c r="L2393" i="53"/>
  <c r="O2185" i="53"/>
  <c r="L2187" i="53"/>
  <c r="L2210" i="53"/>
  <c r="L2237" i="53"/>
  <c r="O2146" i="53"/>
  <c r="L2193" i="53"/>
  <c r="L2162" i="53"/>
  <c r="L2160" i="53"/>
  <c r="L2250" i="53"/>
  <c r="L2305" i="53"/>
  <c r="L2316" i="53"/>
  <c r="L2256" i="53"/>
  <c r="L2266" i="53"/>
  <c r="L2231" i="53"/>
  <c r="L2288" i="53"/>
  <c r="L2220" i="53"/>
  <c r="L44" i="53"/>
  <c r="L134" i="53"/>
  <c r="L1101" i="53"/>
  <c r="L982" i="53"/>
  <c r="L970" i="53"/>
  <c r="L960" i="53"/>
  <c r="L967" i="53"/>
  <c r="L1107" i="53"/>
  <c r="L2546" i="53"/>
  <c r="O2546" i="53"/>
  <c r="L980" i="53"/>
  <c r="L2369" i="53"/>
  <c r="L2452" i="53"/>
  <c r="L635" i="53"/>
  <c r="L974" i="53"/>
  <c r="L653" i="53"/>
  <c r="L483" i="53"/>
  <c r="L2436" i="53"/>
  <c r="L2406" i="53"/>
  <c r="L2340" i="53"/>
  <c r="L2331" i="53"/>
  <c r="O2331" i="53"/>
  <c r="L2323" i="53"/>
  <c r="L2313" i="53"/>
  <c r="O2304" i="53"/>
  <c r="L2304" i="53"/>
  <c r="L2300" i="53"/>
  <c r="O2300" i="53"/>
  <c r="L2287" i="53"/>
  <c r="L2285" i="53"/>
  <c r="L2261" i="53"/>
  <c r="L2390" i="53"/>
  <c r="O2321" i="53"/>
  <c r="L2321" i="53"/>
  <c r="L2295" i="53"/>
  <c r="L2283" i="53"/>
  <c r="L2275" i="53"/>
  <c r="L2263" i="53"/>
  <c r="L2249" i="53"/>
  <c r="L2232" i="53"/>
  <c r="L2216" i="53"/>
  <c r="O2216" i="53"/>
  <c r="L2205" i="53"/>
  <c r="L2201" i="53"/>
  <c r="O2201" i="53"/>
  <c r="O2186" i="53"/>
  <c r="L2186" i="53"/>
  <c r="L2154" i="53"/>
  <c r="L2150" i="53"/>
  <c r="L2147" i="53"/>
  <c r="L2111" i="53"/>
  <c r="L2063" i="53"/>
  <c r="L2051" i="53"/>
  <c r="L2039" i="53"/>
  <c r="L2010" i="53"/>
  <c r="L1997" i="53"/>
  <c r="L1988" i="53"/>
  <c r="L1984" i="53"/>
  <c r="L1970" i="53"/>
  <c r="O1970" i="53"/>
  <c r="L1947" i="53"/>
  <c r="L1940" i="53"/>
  <c r="O1940" i="53"/>
  <c r="L1930" i="53"/>
  <c r="O1930" i="53"/>
  <c r="L1924" i="53"/>
  <c r="L1903" i="53"/>
  <c r="L1893" i="53"/>
  <c r="L1887" i="53"/>
  <c r="L1885" i="53"/>
  <c r="L1867" i="53"/>
  <c r="O1843" i="53"/>
  <c r="L1843" i="53"/>
  <c r="O1823" i="53"/>
  <c r="L1823" i="53"/>
  <c r="O1803" i="53"/>
  <c r="L1803" i="53"/>
  <c r="L1795" i="53"/>
  <c r="L1786" i="53"/>
  <c r="O1786" i="53"/>
  <c r="L1784" i="53"/>
  <c r="L1762" i="53"/>
  <c r="L1755" i="53"/>
  <c r="L1749" i="53"/>
  <c r="L1739" i="53"/>
  <c r="L1727" i="53"/>
  <c r="L1723" i="53"/>
  <c r="L1715" i="53"/>
  <c r="L1705" i="53"/>
  <c r="L1698" i="53"/>
  <c r="L1679" i="53"/>
  <c r="L1671" i="53"/>
  <c r="L1635" i="53"/>
  <c r="L1633" i="53"/>
  <c r="L1631" i="53"/>
  <c r="L1629" i="53"/>
  <c r="L1619" i="53"/>
  <c r="L1601" i="53"/>
  <c r="L1597" i="53"/>
  <c r="L1593" i="53"/>
  <c r="L1591" i="53"/>
  <c r="L1587" i="53"/>
  <c r="L1577" i="53"/>
  <c r="L2394" i="53"/>
  <c r="L1682" i="53"/>
  <c r="L2156" i="53"/>
  <c r="L2175" i="53"/>
  <c r="L1615" i="53"/>
  <c r="L2259" i="53"/>
  <c r="L1872" i="53"/>
  <c r="L2221" i="53"/>
  <c r="L2230" i="53"/>
  <c r="L2057" i="53"/>
  <c r="L2257" i="53"/>
  <c r="L1603" i="53"/>
  <c r="L1918" i="53"/>
  <c r="L1953" i="53"/>
  <c r="L2061" i="53"/>
  <c r="L2265" i="53"/>
  <c r="L2344" i="53"/>
  <c r="L2420" i="53"/>
  <c r="L2110" i="53"/>
  <c r="L1789" i="53"/>
  <c r="L1579" i="53"/>
  <c r="L1812" i="53"/>
  <c r="L2134" i="53"/>
  <c r="O2134" i="53"/>
  <c r="L1759" i="53"/>
  <c r="L1703" i="53"/>
  <c r="L1699" i="53"/>
  <c r="L1613" i="53"/>
  <c r="L1458" i="53"/>
  <c r="O1447" i="53"/>
  <c r="L1447" i="53"/>
  <c r="O1331" i="53"/>
  <c r="L1331" i="53"/>
  <c r="L1279" i="53"/>
  <c r="O1279" i="53"/>
  <c r="L1156" i="53"/>
  <c r="L1149" i="53"/>
  <c r="O1132" i="53"/>
  <c r="L1132" i="53"/>
  <c r="L1091" i="53"/>
  <c r="L1083" i="53"/>
  <c r="L1054" i="53"/>
  <c r="L1046" i="53"/>
  <c r="L871" i="53"/>
  <c r="O871" i="53"/>
  <c r="L852" i="53"/>
  <c r="L849" i="53"/>
  <c r="O818" i="53"/>
  <c r="L818" i="53"/>
  <c r="O814" i="53"/>
  <c r="L814" i="53"/>
  <c r="O811" i="53"/>
  <c r="L811" i="53"/>
  <c r="L808" i="53"/>
  <c r="L804" i="53"/>
  <c r="L785" i="53"/>
  <c r="L778" i="53"/>
  <c r="O778" i="53"/>
  <c r="L760" i="53"/>
  <c r="O760" i="53"/>
  <c r="L754" i="53"/>
  <c r="O754" i="53"/>
  <c r="L750" i="53"/>
  <c r="L741" i="53"/>
  <c r="L735" i="53"/>
  <c r="O735" i="53"/>
  <c r="O719" i="53"/>
  <c r="L719" i="53"/>
  <c r="L704" i="53"/>
  <c r="L618" i="53"/>
  <c r="L615" i="53"/>
  <c r="L601" i="53"/>
  <c r="O601" i="53"/>
  <c r="O565" i="53"/>
  <c r="L565" i="53"/>
  <c r="L538" i="53"/>
  <c r="L525" i="53"/>
  <c r="O525" i="53"/>
  <c r="O517" i="53"/>
  <c r="L517" i="53"/>
  <c r="L513" i="53"/>
  <c r="O496" i="53"/>
  <c r="L496" i="53"/>
  <c r="L492" i="53"/>
  <c r="O492" i="53"/>
  <c r="L488" i="53"/>
  <c r="O488" i="53"/>
  <c r="L482" i="53"/>
  <c r="O482" i="53"/>
  <c r="L474" i="53"/>
  <c r="L466" i="53"/>
  <c r="L462" i="53"/>
  <c r="L456" i="53"/>
  <c r="O456" i="53"/>
  <c r="L445" i="53"/>
  <c r="O445" i="53"/>
  <c r="L441" i="53"/>
  <c r="O441" i="53"/>
  <c r="O432" i="53"/>
  <c r="L432" i="53"/>
  <c r="L410" i="53"/>
  <c r="L402" i="53"/>
  <c r="O402" i="53"/>
  <c r="L394" i="53"/>
  <c r="O394" i="53"/>
  <c r="L387" i="53"/>
  <c r="O387" i="53"/>
  <c r="L383" i="53"/>
  <c r="O383" i="53"/>
  <c r="O379" i="53"/>
  <c r="L379" i="53"/>
  <c r="L377" i="53"/>
  <c r="O377" i="53"/>
  <c r="O365" i="53"/>
  <c r="L365" i="53"/>
  <c r="L352" i="53"/>
  <c r="L348" i="53"/>
  <c r="O344" i="53"/>
  <c r="L344" i="53"/>
  <c r="O340" i="53"/>
  <c r="L340" i="53"/>
  <c r="L328" i="53"/>
  <c r="O328" i="53"/>
  <c r="O310" i="53"/>
  <c r="L310" i="53"/>
  <c r="O308" i="53"/>
  <c r="L308" i="53"/>
  <c r="O304" i="53"/>
  <c r="L304" i="53"/>
  <c r="L288" i="53"/>
  <c r="O288" i="53"/>
  <c r="O258" i="53"/>
  <c r="L258" i="53"/>
  <c r="O236" i="53"/>
  <c r="L236" i="53"/>
  <c r="O230" i="53"/>
  <c r="L230" i="53"/>
  <c r="L217" i="53"/>
  <c r="O217" i="53"/>
  <c r="O214" i="53"/>
  <c r="L214" i="53"/>
  <c r="O211" i="53"/>
  <c r="L211" i="53"/>
  <c r="O204" i="53"/>
  <c r="L204" i="53"/>
  <c r="L151" i="53"/>
  <c r="L139" i="53"/>
  <c r="O73" i="53"/>
  <c r="L73" i="53"/>
  <c r="L17" i="53"/>
  <c r="L2145" i="53"/>
  <c r="L2015" i="53"/>
  <c r="L1855" i="53"/>
  <c r="L1800" i="53"/>
  <c r="L1472" i="53"/>
  <c r="L1196" i="53"/>
  <c r="L1174" i="53"/>
  <c r="L1162" i="53"/>
  <c r="L1146" i="53"/>
  <c r="L1118" i="53"/>
  <c r="L1085" i="53"/>
  <c r="L1030" i="53"/>
  <c r="L932" i="53"/>
  <c r="L882" i="53"/>
  <c r="L869" i="53"/>
  <c r="L862" i="53"/>
  <c r="L861" i="53"/>
  <c r="L859" i="53"/>
  <c r="L847" i="53"/>
  <c r="O847" i="53"/>
  <c r="O843" i="53"/>
  <c r="L843" i="53"/>
  <c r="L842" i="53"/>
  <c r="L840" i="53"/>
  <c r="O840" i="53"/>
  <c r="O837" i="53"/>
  <c r="L837" i="53"/>
  <c r="L834" i="53"/>
  <c r="O834" i="53"/>
  <c r="L820" i="53"/>
  <c r="O820" i="53"/>
  <c r="L816" i="53"/>
  <c r="O816" i="53"/>
  <c r="O812" i="53"/>
  <c r="L812" i="53"/>
  <c r="L792" i="53"/>
  <c r="O787" i="53"/>
  <c r="L787" i="53"/>
  <c r="L783" i="53"/>
  <c r="L776" i="53"/>
  <c r="O771" i="53"/>
  <c r="L771" i="53"/>
  <c r="L758" i="53"/>
  <c r="O758" i="53"/>
  <c r="O745" i="53"/>
  <c r="L745" i="53"/>
  <c r="L743" i="53"/>
  <c r="O743" i="53"/>
  <c r="O733" i="53"/>
  <c r="L733" i="53"/>
  <c r="L638" i="53"/>
  <c r="O638" i="53"/>
  <c r="L620" i="53"/>
  <c r="L611" i="53"/>
  <c r="L599" i="53"/>
  <c r="O599" i="53"/>
  <c r="O593" i="53"/>
  <c r="L593" i="53"/>
  <c r="L588" i="53"/>
  <c r="O580" i="53"/>
  <c r="L580" i="53"/>
  <c r="O567" i="53"/>
  <c r="L567" i="53"/>
  <c r="L531" i="53"/>
  <c r="O531" i="53"/>
  <c r="L527" i="53"/>
  <c r="O527" i="53"/>
  <c r="L522" i="53"/>
  <c r="O522" i="53"/>
  <c r="L515" i="53"/>
  <c r="L505" i="53"/>
  <c r="O505" i="53"/>
  <c r="L501" i="53"/>
  <c r="O498" i="53"/>
  <c r="L498" i="53"/>
  <c r="L494" i="53"/>
  <c r="O494" i="53"/>
  <c r="L490" i="53"/>
  <c r="O490" i="53"/>
  <c r="L486" i="53"/>
  <c r="O486" i="53"/>
  <c r="L484" i="53"/>
  <c r="O484" i="53"/>
  <c r="L468" i="53"/>
  <c r="L464" i="53"/>
  <c r="O464" i="53"/>
  <c r="O460" i="53"/>
  <c r="L460" i="53"/>
  <c r="L458" i="53"/>
  <c r="O450" i="53"/>
  <c r="L450" i="53"/>
  <c r="L443" i="53"/>
  <c r="O443" i="53"/>
  <c r="L439" i="53"/>
  <c r="O439" i="53"/>
  <c r="L435" i="53"/>
  <c r="O435" i="53"/>
  <c r="L431" i="53"/>
  <c r="O431" i="53"/>
  <c r="O408" i="53"/>
  <c r="L408" i="53"/>
  <c r="L404" i="53"/>
  <c r="O404" i="53"/>
  <c r="L400" i="53"/>
  <c r="O396" i="53"/>
  <c r="L396" i="53"/>
  <c r="L389" i="53"/>
  <c r="O389" i="53"/>
  <c r="L381" i="53"/>
  <c r="O381" i="53"/>
  <c r="L375" i="53"/>
  <c r="L371" i="53"/>
  <c r="L367" i="53"/>
  <c r="O367" i="53"/>
  <c r="L363" i="53"/>
  <c r="O342" i="53"/>
  <c r="L342" i="53"/>
  <c r="L336" i="53"/>
  <c r="O334" i="53"/>
  <c r="L334" i="53"/>
  <c r="O318" i="53"/>
  <c r="L318" i="53"/>
  <c r="L316" i="53"/>
  <c r="O312" i="53"/>
  <c r="L312" i="53"/>
  <c r="O306" i="53"/>
  <c r="L306" i="53"/>
  <c r="O302" i="53"/>
  <c r="L302" i="53"/>
  <c r="O297" i="53"/>
  <c r="L297" i="53"/>
  <c r="O293" i="53"/>
  <c r="L293" i="53"/>
  <c r="O289" i="53"/>
  <c r="L289" i="53"/>
  <c r="L274" i="53"/>
  <c r="O274" i="53"/>
  <c r="L268" i="53"/>
  <c r="L252" i="53"/>
  <c r="O252" i="53"/>
  <c r="O243" i="53"/>
  <c r="L243" i="53"/>
  <c r="O234" i="53"/>
  <c r="L234" i="53"/>
  <c r="L226" i="53"/>
  <c r="O226" i="53"/>
  <c r="L219" i="53"/>
  <c r="O219" i="53"/>
  <c r="L213" i="53"/>
  <c r="O213" i="53"/>
  <c r="O202" i="53"/>
  <c r="L202" i="53"/>
  <c r="O183" i="53"/>
  <c r="L183" i="53"/>
  <c r="L172" i="53"/>
  <c r="O172" i="53"/>
  <c r="O170" i="53"/>
  <c r="L170" i="53"/>
  <c r="L159" i="53"/>
  <c r="O159" i="53"/>
  <c r="O158" i="53"/>
  <c r="L158" i="53"/>
  <c r="L137" i="53"/>
  <c r="L130" i="53"/>
  <c r="L125" i="53"/>
  <c r="L119" i="53"/>
  <c r="L117" i="53"/>
  <c r="L115" i="53"/>
  <c r="O86" i="53"/>
  <c r="L86" i="53"/>
  <c r="L82" i="53"/>
  <c r="O82" i="53"/>
  <c r="L67" i="53"/>
  <c r="O67" i="53"/>
  <c r="L2365" i="53"/>
  <c r="L1625" i="53"/>
  <c r="L1350" i="53"/>
  <c r="L2065" i="53"/>
  <c r="O2286" i="53"/>
  <c r="O1995" i="53"/>
  <c r="L1895" i="53"/>
  <c r="L2006" i="53"/>
  <c r="L1725" i="53"/>
  <c r="L2059" i="53"/>
  <c r="L2085" i="53"/>
  <c r="L2255" i="53"/>
  <c r="L2033" i="53"/>
  <c r="L633" i="53"/>
  <c r="L1373" i="53"/>
  <c r="O245" i="53"/>
  <c r="L1307" i="53"/>
  <c r="L1427" i="53"/>
  <c r="L1322" i="53"/>
  <c r="L1111" i="53"/>
  <c r="L1010" i="53"/>
  <c r="L324" i="53"/>
  <c r="L1070" i="53"/>
  <c r="L132" i="53"/>
  <c r="L2289" i="53"/>
  <c r="L1881" i="53"/>
  <c r="L2089" i="53"/>
  <c r="L1268" i="53"/>
  <c r="L1720" i="53"/>
  <c r="O2319" i="53"/>
  <c r="O2325" i="53"/>
  <c r="L2412" i="53"/>
  <c r="L2428" i="53"/>
  <c r="L2444" i="53"/>
  <c r="L2462" i="53"/>
  <c r="L1718" i="53"/>
  <c r="L1857" i="53"/>
  <c r="L1883" i="53"/>
  <c r="L1922" i="53"/>
  <c r="O1301" i="53"/>
  <c r="L1324" i="53"/>
  <c r="L1489" i="53"/>
  <c r="O2141" i="53"/>
  <c r="L1787" i="53"/>
  <c r="L1818" i="53"/>
  <c r="L1972" i="53"/>
  <c r="L2217" i="53"/>
  <c r="L1028" i="53"/>
  <c r="L145" i="53"/>
  <c r="L1417" i="53"/>
  <c r="L2251" i="53"/>
  <c r="L1303" i="53"/>
  <c r="L1861" i="53"/>
  <c r="L1413" i="53"/>
  <c r="L1401" i="53"/>
  <c r="L2067" i="53"/>
  <c r="L2130" i="53"/>
  <c r="O1445" i="53"/>
  <c r="O2151" i="53"/>
  <c r="O1758" i="53"/>
  <c r="L1958" i="53"/>
  <c r="L2241" i="53"/>
  <c r="L2173" i="53"/>
  <c r="O688" i="53"/>
  <c r="L938" i="53"/>
  <c r="L1237" i="53"/>
  <c r="L1617" i="53"/>
  <c r="L2197" i="53"/>
  <c r="O15" i="53"/>
  <c r="L906" i="53"/>
  <c r="L1261" i="53"/>
  <c r="L830" i="53"/>
  <c r="L832" i="53"/>
  <c r="L1095" i="53"/>
  <c r="L698" i="53"/>
  <c r="L643" i="53"/>
  <c r="L683" i="53"/>
  <c r="L1048" i="53"/>
  <c r="L681" i="53"/>
  <c r="L1093" i="53"/>
  <c r="L1066" i="53"/>
  <c r="L694" i="53"/>
  <c r="L706" i="53"/>
  <c r="L1079" i="53"/>
  <c r="L1097" i="53"/>
  <c r="L30" i="53"/>
  <c r="O542" i="53"/>
  <c r="L559" i="53"/>
  <c r="L556" i="53"/>
  <c r="L149" i="53"/>
  <c r="L164" i="53"/>
  <c r="O188" i="53"/>
  <c r="O532" i="53"/>
  <c r="L536" i="53"/>
  <c r="L561" i="53"/>
  <c r="L657" i="53"/>
  <c r="L679" i="53"/>
  <c r="L710" i="53"/>
  <c r="O1543" i="53"/>
  <c r="O11" i="53"/>
  <c r="L113" i="53"/>
  <c r="L166" i="53"/>
  <c r="L177" i="53"/>
  <c r="L550" i="53"/>
  <c r="L563" i="53"/>
  <c r="L591" i="53"/>
  <c r="L262" i="53"/>
  <c r="L576" i="53"/>
  <c r="L1804" i="53"/>
  <c r="O64" i="53"/>
  <c r="L75" i="53"/>
  <c r="L216" i="53"/>
  <c r="L233" i="53"/>
  <c r="L584" i="53"/>
  <c r="L1186" i="53"/>
  <c r="L95" i="53"/>
  <c r="L106" i="53"/>
  <c r="L197" i="53"/>
  <c r="L249" i="53"/>
  <c r="L524" i="53"/>
  <c r="L578" i="53"/>
  <c r="L798" i="53"/>
  <c r="O845" i="53"/>
  <c r="O763" i="53"/>
  <c r="O751" i="53"/>
  <c r="L790" i="53"/>
  <c r="L647" i="53"/>
  <c r="O822" i="53"/>
  <c r="L330" i="53"/>
  <c r="L195" i="53"/>
  <c r="L1170" i="53"/>
  <c r="L838" i="53"/>
  <c r="L338" i="53"/>
  <c r="L448" i="53"/>
  <c r="L193" i="53"/>
  <c r="L210" i="53"/>
  <c r="L746" i="53"/>
  <c r="L879" i="53"/>
  <c r="L359" i="53"/>
  <c r="L472" i="53"/>
  <c r="O613" i="53"/>
  <c r="L437" i="53"/>
  <c r="L2464" i="53"/>
  <c r="O2456" i="53"/>
  <c r="L2456" i="53"/>
  <c r="L2450" i="53"/>
  <c r="L2446" i="53"/>
  <c r="L2442" i="53"/>
  <c r="L2438" i="53"/>
  <c r="L2434" i="53"/>
  <c r="L2430" i="53"/>
  <c r="L2426" i="53"/>
  <c r="L2422" i="53"/>
  <c r="L2418" i="53"/>
  <c r="L2414" i="53"/>
  <c r="L2410" i="53"/>
  <c r="L2277" i="53"/>
  <c r="O2277" i="53"/>
  <c r="L2271" i="53"/>
  <c r="L2269" i="53"/>
  <c r="L2238" i="53"/>
  <c r="L2223" i="53"/>
  <c r="O2211" i="53"/>
  <c r="L2211" i="53"/>
  <c r="L2207" i="53"/>
  <c r="L2203" i="53"/>
  <c r="L2199" i="53"/>
  <c r="O2192" i="53"/>
  <c r="L2192" i="53"/>
  <c r="O2188" i="53"/>
  <c r="L2188" i="53"/>
  <c r="L2180" i="53"/>
  <c r="L2139" i="53"/>
  <c r="O2139" i="53"/>
  <c r="O2137" i="53"/>
  <c r="L2137" i="53"/>
  <c r="L2135" i="53"/>
  <c r="O2135" i="53"/>
  <c r="L2132" i="53"/>
  <c r="L2128" i="53"/>
  <c r="L2126" i="53"/>
  <c r="L2122" i="53"/>
  <c r="L2118" i="53"/>
  <c r="L2108" i="53"/>
  <c r="L2106" i="53"/>
  <c r="L2100" i="53"/>
  <c r="L2083" i="53"/>
  <c r="L2075" i="53"/>
  <c r="L2055" i="53"/>
  <c r="L2049" i="53"/>
  <c r="L1966" i="53"/>
  <c r="L1936" i="53"/>
  <c r="O1936" i="53"/>
  <c r="L1928" i="53"/>
  <c r="L1920" i="53"/>
  <c r="O1910" i="53"/>
  <c r="L1901" i="53"/>
  <c r="L1839" i="53"/>
  <c r="L1837" i="53"/>
  <c r="L1816" i="53"/>
  <c r="L1814" i="53"/>
  <c r="L1807" i="53"/>
  <c r="O1798" i="53"/>
  <c r="L1798" i="53"/>
  <c r="L2348" i="53"/>
  <c r="L2472" i="53"/>
  <c r="L2408" i="53"/>
  <c r="L2416" i="53"/>
  <c r="L2424" i="53"/>
  <c r="L2432" i="53"/>
  <c r="L2440" i="53"/>
  <c r="L2448" i="53"/>
  <c r="L2458" i="53"/>
  <c r="L2311" i="53"/>
  <c r="L1741" i="53"/>
  <c r="L1662" i="53"/>
  <c r="L1561" i="53"/>
  <c r="L1559" i="53"/>
  <c r="L1548" i="53"/>
  <c r="L1525" i="53"/>
  <c r="O1506" i="53"/>
  <c r="L1506" i="53"/>
  <c r="L1504" i="53"/>
  <c r="O1504" i="53"/>
  <c r="L1403" i="53"/>
  <c r="L1391" i="53"/>
  <c r="L1313" i="53"/>
  <c r="O1313" i="53"/>
  <c r="L1311" i="53"/>
  <c r="L1299" i="53"/>
  <c r="O1299" i="53"/>
  <c r="L1295" i="53"/>
  <c r="O1283" i="53"/>
  <c r="L1283" i="53"/>
  <c r="L1274" i="53"/>
  <c r="O1266" i="53"/>
  <c r="L1266" i="53"/>
  <c r="L1753" i="53"/>
  <c r="L1707" i="53"/>
  <c r="L1980" i="53"/>
  <c r="L1851" i="53"/>
  <c r="L1833" i="53"/>
  <c r="L1809" i="53"/>
  <c r="O1172" i="53"/>
  <c r="L737" i="53"/>
  <c r="O826" i="53"/>
  <c r="O773" i="53"/>
  <c r="L93" i="53"/>
  <c r="L1621" i="53"/>
  <c r="L1042" i="53"/>
  <c r="L2396" i="53"/>
  <c r="L864" i="53"/>
  <c r="O1214" i="53"/>
  <c r="O609" i="53"/>
  <c r="L2194" i="53"/>
  <c r="O2194" i="53"/>
  <c r="L2176" i="53"/>
  <c r="L1965" i="53"/>
  <c r="O1965" i="53"/>
  <c r="L1964" i="53"/>
  <c r="O1964" i="53"/>
  <c r="L1962" i="53"/>
  <c r="O1962" i="53"/>
  <c r="L1498" i="53"/>
  <c r="K668" i="53"/>
  <c r="O668" i="53" s="1"/>
  <c r="L1983" i="53"/>
  <c r="L1289" i="53"/>
  <c r="L36" i="53"/>
  <c r="L2460" i="53"/>
  <c r="L2301" i="53"/>
  <c r="L1825" i="53"/>
  <c r="L1570" i="53"/>
  <c r="L2398" i="53"/>
  <c r="L34" i="53"/>
  <c r="L2171" i="53"/>
  <c r="L1653" i="53"/>
  <c r="L654" i="53"/>
  <c r="L655" i="53"/>
  <c r="K729" i="53"/>
  <c r="O729" i="53" s="1"/>
  <c r="L2471" i="53"/>
  <c r="L1175" i="53"/>
  <c r="L1136" i="53"/>
  <c r="L2445" i="53"/>
  <c r="O2457" i="53"/>
  <c r="L1337" i="53"/>
  <c r="L1138" i="53"/>
  <c r="L1137" i="53"/>
  <c r="L108" i="53"/>
  <c r="L5" i="53"/>
  <c r="L2019" i="53"/>
  <c r="L1701" i="53"/>
  <c r="L1768" i="53"/>
  <c r="L890" i="53"/>
  <c r="O471" i="53"/>
  <c r="L1713" i="53"/>
  <c r="L1710" i="53"/>
  <c r="L2500" i="53"/>
  <c r="L2478" i="53"/>
  <c r="L1714" i="53"/>
  <c r="L1712" i="53"/>
  <c r="L2001" i="53"/>
  <c r="L1432" i="53"/>
  <c r="L897" i="53"/>
  <c r="L1437" i="53"/>
  <c r="L1073" i="53"/>
  <c r="L1986" i="53"/>
  <c r="L1308" i="53"/>
  <c r="L946" i="53"/>
  <c r="O765" i="53"/>
  <c r="L765" i="53"/>
  <c r="L748" i="53"/>
  <c r="L713" i="53"/>
  <c r="L427" i="53"/>
  <c r="O427" i="53"/>
  <c r="L373" i="53"/>
  <c r="L322" i="53"/>
  <c r="L278" i="53"/>
  <c r="L272" i="53"/>
  <c r="L270" i="53"/>
  <c r="O156" i="53"/>
  <c r="L156" i="53"/>
  <c r="L127" i="53"/>
  <c r="O127" i="53"/>
  <c r="L45" i="53"/>
  <c r="L666" i="53"/>
  <c r="L691" i="53"/>
  <c r="L20" i="53"/>
  <c r="L1694" i="53"/>
  <c r="L1325" i="53"/>
  <c r="L992" i="53"/>
  <c r="L429" i="53"/>
  <c r="L141" i="53"/>
  <c r="L104" i="53"/>
  <c r="L2103" i="53"/>
  <c r="L1845" i="53"/>
  <c r="L1853" i="53"/>
  <c r="L2105" i="53"/>
  <c r="L966" i="53"/>
  <c r="L1000" i="53"/>
  <c r="O642" i="53"/>
  <c r="L1470" i="53"/>
  <c r="L1960" i="53"/>
  <c r="L254" i="53"/>
  <c r="L1305" i="53"/>
  <c r="L1291" i="53"/>
  <c r="L1287" i="53"/>
  <c r="O1239" i="53"/>
  <c r="L1239" i="53"/>
  <c r="L602" i="53"/>
  <c r="O602" i="53"/>
  <c r="O391" i="53"/>
  <c r="L391" i="53"/>
  <c r="L147" i="53"/>
  <c r="L109" i="53"/>
  <c r="L98" i="53"/>
  <c r="L85" i="53"/>
  <c r="L1660" i="53"/>
  <c r="L471" i="53"/>
  <c r="L2235" i="53"/>
  <c r="L2078" i="53"/>
  <c r="L2066" i="53"/>
  <c r="L2073" i="53"/>
  <c r="L2236" i="53"/>
  <c r="L2090" i="53"/>
  <c r="L2454" i="53"/>
  <c r="O2320" i="53"/>
  <c r="L2320" i="53"/>
  <c r="L2278" i="53"/>
  <c r="O2278" i="53"/>
  <c r="L2225" i="53"/>
  <c r="L2218" i="53"/>
  <c r="L2214" i="53"/>
  <c r="L2131" i="53"/>
  <c r="L2124" i="53"/>
  <c r="L2115" i="53"/>
  <c r="L2104" i="53"/>
  <c r="L2094" i="53"/>
  <c r="L2017" i="53"/>
  <c r="L1993" i="53"/>
  <c r="L1934" i="53"/>
  <c r="L1870" i="53"/>
  <c r="L1832" i="53"/>
  <c r="L1821" i="53"/>
  <c r="O1821" i="53"/>
  <c r="L1811" i="53"/>
  <c r="O1811" i="53"/>
  <c r="L1805" i="53"/>
  <c r="L1760" i="53"/>
  <c r="L1724" i="53"/>
  <c r="L1696" i="53"/>
  <c r="L1652" i="53"/>
  <c r="L1602" i="53"/>
  <c r="L1600" i="53"/>
  <c r="L1592" i="53"/>
  <c r="L1576" i="53"/>
  <c r="L1557" i="53"/>
  <c r="O1547" i="53"/>
  <c r="L1547" i="53"/>
  <c r="L1512" i="53"/>
  <c r="L1497" i="53"/>
  <c r="L1495" i="53"/>
  <c r="L1478" i="53"/>
  <c r="L1411" i="53"/>
  <c r="L1405" i="53"/>
  <c r="L1397" i="53"/>
  <c r="L1395" i="53"/>
  <c r="O1385" i="53"/>
  <c r="L1385" i="53"/>
  <c r="L1367" i="53"/>
  <c r="L1332" i="53"/>
  <c r="O1332" i="53"/>
  <c r="O1294" i="53"/>
  <c r="L1294" i="53"/>
  <c r="L1288" i="53"/>
  <c r="L2292" i="53"/>
  <c r="L2270" i="53"/>
  <c r="L2306" i="53"/>
  <c r="L2274" i="53"/>
  <c r="L2222" i="53"/>
  <c r="O2133" i="53"/>
  <c r="L1689" i="53"/>
  <c r="L1664" i="53"/>
  <c r="L1884" i="53"/>
  <c r="L1486" i="53"/>
  <c r="L1858" i="53"/>
  <c r="L2252" i="53"/>
  <c r="L1767" i="53"/>
  <c r="L2228" i="53"/>
  <c r="L1168" i="53"/>
  <c r="L2254" i="53"/>
  <c r="L2096" i="53"/>
  <c r="L2025" i="53"/>
  <c r="L1856" i="53"/>
  <c r="L1567" i="53"/>
  <c r="L1659" i="53"/>
  <c r="L1328" i="53"/>
  <c r="L685" i="53"/>
  <c r="L1982" i="53"/>
  <c r="L2272" i="53"/>
  <c r="L2262" i="53"/>
  <c r="L2224" i="53"/>
  <c r="L2219" i="53"/>
  <c r="L2152" i="53"/>
  <c r="O2152" i="53"/>
  <c r="L2136" i="53"/>
  <c r="O2136" i="53"/>
  <c r="L2093" i="53"/>
  <c r="O2092" i="53"/>
  <c r="L2092" i="53"/>
  <c r="L2050" i="53"/>
  <c r="O2012" i="53"/>
  <c r="L2012" i="53"/>
  <c r="L1996" i="53"/>
  <c r="L1990" i="53"/>
  <c r="L1978" i="53"/>
  <c r="L1976" i="53"/>
  <c r="L1974" i="53"/>
  <c r="O1968" i="53"/>
  <c r="L1968" i="53"/>
  <c r="L1874" i="53"/>
  <c r="L1865" i="53"/>
  <c r="L1815" i="53"/>
  <c r="L1808" i="53"/>
  <c r="L1792" i="53"/>
  <c r="O1792" i="53"/>
  <c r="L1791" i="53"/>
  <c r="O1791" i="53"/>
  <c r="L1688" i="53"/>
  <c r="O1688" i="53"/>
  <c r="L1648" i="53"/>
  <c r="L1614" i="53"/>
  <c r="L1599" i="53"/>
  <c r="L1578" i="53"/>
  <c r="L1556" i="53"/>
  <c r="L1528" i="53"/>
  <c r="L1509" i="53"/>
  <c r="O1509" i="53"/>
  <c r="L1493" i="53"/>
  <c r="L1450" i="53"/>
  <c r="L1382" i="53"/>
  <c r="L1352" i="53"/>
  <c r="L1330" i="53"/>
  <c r="O1330" i="53"/>
  <c r="L1316" i="53"/>
  <c r="O1316" i="53"/>
  <c r="L1312" i="53"/>
  <c r="O1312" i="53"/>
  <c r="L642" i="53"/>
  <c r="O1511" i="53"/>
  <c r="L1409" i="53"/>
  <c r="L1399" i="53"/>
  <c r="L935" i="53"/>
  <c r="L933" i="53"/>
  <c r="L715" i="53"/>
  <c r="L689" i="53"/>
  <c r="O689" i="53"/>
  <c r="L412" i="53"/>
  <c r="O356" i="53"/>
  <c r="L356" i="53"/>
  <c r="L280" i="53"/>
  <c r="L276" i="53"/>
  <c r="L266" i="53"/>
  <c r="O266" i="53"/>
  <c r="L155" i="53"/>
  <c r="L150" i="53"/>
  <c r="O148" i="53"/>
  <c r="L148" i="53"/>
  <c r="L146" i="53"/>
  <c r="L133" i="53"/>
  <c r="L116" i="53"/>
  <c r="O84" i="53"/>
  <c r="L84" i="53"/>
  <c r="L55" i="53"/>
  <c r="L42" i="53"/>
  <c r="O39" i="53"/>
  <c r="O37" i="53"/>
  <c r="L37" i="53"/>
  <c r="L8" i="53"/>
  <c r="L6" i="53"/>
  <c r="O1241" i="53"/>
  <c r="O1185" i="53"/>
  <c r="L1077" i="53"/>
  <c r="L1003" i="53"/>
  <c r="L1221" i="53"/>
  <c r="L1154" i="53"/>
  <c r="L1067" i="53"/>
  <c r="L788" i="53"/>
  <c r="L1072" i="53"/>
  <c r="O1160" i="53"/>
  <c r="L839" i="53"/>
  <c r="O385" i="53"/>
  <c r="O640" i="53"/>
  <c r="O392" i="53"/>
  <c r="O406" i="53"/>
  <c r="L346" i="53"/>
  <c r="L314" i="53"/>
  <c r="O414" i="53"/>
  <c r="O419" i="53"/>
  <c r="L423" i="53"/>
  <c r="L350" i="53"/>
  <c r="L421" i="53"/>
  <c r="L632" i="53"/>
  <c r="L927" i="53"/>
  <c r="L1194" i="53"/>
  <c r="O573" i="53"/>
  <c r="L131" i="53"/>
  <c r="L103" i="53"/>
  <c r="L97" i="53"/>
  <c r="L46" i="53"/>
  <c r="L101" i="53"/>
  <c r="O666" i="53"/>
  <c r="O691" i="53"/>
  <c r="L1327" i="53"/>
  <c r="L1745" i="53"/>
  <c r="L1706" i="53"/>
  <c r="L100" i="53"/>
  <c r="L619" i="53"/>
  <c r="L2558" i="53"/>
  <c r="L2570" i="53"/>
  <c r="L2583" i="53"/>
  <c r="L1421" i="53"/>
  <c r="L1438" i="53"/>
  <c r="L724" i="53"/>
  <c r="L953" i="53"/>
  <c r="L2028" i="53"/>
  <c r="L1708" i="53"/>
  <c r="L2584" i="53"/>
  <c r="L2582" i="53"/>
  <c r="L1651" i="53"/>
  <c r="L1238" i="53"/>
  <c r="L1835" i="53"/>
  <c r="L2026" i="53"/>
  <c r="O839" i="53"/>
  <c r="L1462" i="53"/>
  <c r="L1863" i="53"/>
  <c r="L1434" i="53"/>
  <c r="L800" i="53"/>
  <c r="L1847" i="53"/>
  <c r="L2498" i="53"/>
  <c r="L2550" i="53"/>
  <c r="L2548" i="53"/>
  <c r="L2545" i="53"/>
  <c r="L2531" i="53"/>
  <c r="L2517" i="53"/>
  <c r="L2513" i="53"/>
  <c r="L2362" i="53"/>
  <c r="L2361" i="53"/>
  <c r="L1838" i="53"/>
  <c r="L1868" i="53"/>
  <c r="L1944" i="53"/>
  <c r="L671" i="53"/>
  <c r="L1425" i="53"/>
  <c r="L2535" i="53"/>
  <c r="L789" i="53"/>
  <c r="L2489" i="53"/>
  <c r="L2543" i="53"/>
  <c r="L2578" i="53"/>
  <c r="L2564" i="53"/>
  <c r="L2560" i="53"/>
  <c r="L2504" i="53"/>
  <c r="L2496" i="53"/>
  <c r="L630" i="53"/>
  <c r="L807" i="53"/>
  <c r="L1827" i="53"/>
  <c r="L2485" i="53"/>
  <c r="L38" i="53"/>
  <c r="L154" i="53"/>
  <c r="L2234" i="53"/>
  <c r="O108" i="53"/>
  <c r="L2540" i="53"/>
  <c r="L2538" i="53"/>
  <c r="L2536" i="53"/>
  <c r="L2534" i="53"/>
  <c r="L2532" i="53"/>
  <c r="L2530" i="53"/>
  <c r="L2528" i="53"/>
  <c r="L2526" i="53"/>
  <c r="L2524" i="53"/>
  <c r="L2522" i="53"/>
  <c r="L2518" i="53"/>
  <c r="L2516" i="53"/>
  <c r="L2514" i="53"/>
  <c r="L2512" i="53"/>
  <c r="L2511" i="53"/>
  <c r="L2509" i="53"/>
  <c r="L2503" i="53"/>
  <c r="L2486" i="53"/>
  <c r="L1769" i="53"/>
  <c r="L2547" i="53"/>
  <c r="L2507" i="53"/>
  <c r="L1491" i="53"/>
  <c r="L2505" i="53"/>
  <c r="L2501" i="53"/>
  <c r="L2497" i="53"/>
  <c r="L2488" i="53"/>
  <c r="L2484" i="53"/>
  <c r="L2479" i="53"/>
  <c r="L2559" i="53"/>
  <c r="L2563" i="53"/>
  <c r="L2567" i="53"/>
  <c r="L2569" i="53"/>
  <c r="L2571" i="53"/>
  <c r="L2573" i="53"/>
  <c r="L2577" i="53"/>
  <c r="L729" i="53" l="1"/>
  <c r="L668" i="53"/>
  <c r="K1869" i="53" l="1"/>
  <c r="O1869" i="53" s="1"/>
  <c r="L1869" i="53" l="1"/>
  <c r="A22" i="53"/>
  <c r="K1668" i="53" l="1"/>
  <c r="O1668" i="53" s="1"/>
  <c r="L1668" i="53" l="1"/>
  <c r="A36" i="53" l="1"/>
  <c r="A41" i="53" l="1"/>
  <c r="A23" i="53" l="1"/>
  <c r="G3311" i="53" l="1"/>
  <c r="G3131" i="53"/>
  <c r="G3125" i="53"/>
  <c r="G3098" i="53"/>
  <c r="G3394" i="53"/>
  <c r="G2241" i="53"/>
  <c r="G2647" i="53"/>
  <c r="G3327" i="53"/>
  <c r="G3053" i="53"/>
  <c r="G2766" i="53"/>
  <c r="G3302" i="53"/>
  <c r="G2902" i="53"/>
  <c r="G2583" i="53"/>
  <c r="G3193" i="53"/>
  <c r="G2798" i="53"/>
  <c r="G2495" i="53"/>
  <c r="G3136" i="53"/>
  <c r="G2782" i="53"/>
  <c r="G2492" i="53"/>
  <c r="G606" i="53"/>
  <c r="G607" i="53"/>
  <c r="G3340" i="53"/>
  <c r="G3393" i="53"/>
  <c r="G3392" i="53"/>
  <c r="G3381" i="53"/>
  <c r="G3382" i="53"/>
  <c r="G3380" i="53"/>
  <c r="G3377" i="53"/>
  <c r="G3369" i="53"/>
  <c r="G3373" i="53"/>
  <c r="G3378" i="53"/>
  <c r="G3370" i="53"/>
  <c r="G3374" i="53"/>
  <c r="G3379" i="53"/>
  <c r="G3371" i="53"/>
  <c r="G3375" i="53"/>
  <c r="G3368" i="53"/>
  <c r="G3372" i="53"/>
  <c r="G3376" i="53"/>
  <c r="G3357" i="53"/>
  <c r="G3361" i="53"/>
  <c r="G3365" i="53"/>
  <c r="G3356" i="53"/>
  <c r="G3360" i="53"/>
  <c r="G3364" i="53"/>
  <c r="G3355" i="53"/>
  <c r="G3359" i="53"/>
  <c r="G3363" i="53"/>
  <c r="G3367" i="53"/>
  <c r="G3358" i="53"/>
  <c r="G3362" i="53"/>
  <c r="G3366" i="53"/>
  <c r="G3028" i="53"/>
  <c r="G3353" i="53"/>
  <c r="G3352" i="53"/>
  <c r="G3351" i="53"/>
  <c r="G3350" i="53"/>
  <c r="G3354" i="53"/>
  <c r="G3349" i="53"/>
  <c r="G3347" i="53"/>
  <c r="G3348" i="53"/>
  <c r="G3337" i="53"/>
  <c r="G3341" i="53"/>
  <c r="G3345" i="53"/>
  <c r="G3338" i="53"/>
  <c r="G3344" i="53"/>
  <c r="G3339" i="53"/>
  <c r="G3343" i="53"/>
  <c r="G3342" i="53"/>
  <c r="G3346" i="53"/>
  <c r="G824" i="53"/>
  <c r="G3336" i="53"/>
  <c r="G3334" i="53"/>
  <c r="G3335" i="53"/>
  <c r="G3332" i="53"/>
  <c r="G3333" i="53"/>
  <c r="G3331" i="53"/>
  <c r="G3328" i="53"/>
  <c r="G3329" i="53"/>
  <c r="G3330" i="53"/>
  <c r="G3319" i="53"/>
  <c r="G3320" i="53"/>
  <c r="G3321" i="53"/>
  <c r="G3315" i="53"/>
  <c r="G3314" i="53"/>
  <c r="G3310" i="53"/>
  <c r="G3318" i="53"/>
  <c r="G3317" i="53"/>
  <c r="G3312" i="53"/>
  <c r="G3316" i="53"/>
  <c r="G3313" i="53"/>
  <c r="G3265" i="53"/>
  <c r="G3308" i="53"/>
  <c r="G3307" i="53"/>
  <c r="G3306" i="53"/>
  <c r="G3303" i="53"/>
  <c r="G3304" i="53"/>
  <c r="G3305" i="53"/>
  <c r="G3282" i="53"/>
  <c r="G3286" i="53"/>
  <c r="G3290" i="53"/>
  <c r="G3294" i="53"/>
  <c r="G3298" i="53"/>
  <c r="G3276" i="53"/>
  <c r="G3280" i="53"/>
  <c r="G3283" i="53"/>
  <c r="G3287" i="53"/>
  <c r="G3291" i="53"/>
  <c r="G3295" i="53"/>
  <c r="G3299" i="53"/>
  <c r="G3277" i="53"/>
  <c r="G3281" i="53"/>
  <c r="G3284" i="53"/>
  <c r="G3288" i="53"/>
  <c r="G3292" i="53"/>
  <c r="G3296" i="53"/>
  <c r="G3300" i="53"/>
  <c r="G3278" i="53"/>
  <c r="G3271" i="53"/>
  <c r="G3285" i="53"/>
  <c r="G3289" i="53"/>
  <c r="G3293" i="53"/>
  <c r="G3297" i="53"/>
  <c r="G3301" i="53"/>
  <c r="G3279" i="53"/>
  <c r="G3273" i="53"/>
  <c r="G3270" i="53"/>
  <c r="G3272" i="53"/>
  <c r="G3274" i="53"/>
  <c r="G3275" i="53"/>
  <c r="G3262" i="53"/>
  <c r="G3266" i="53"/>
  <c r="G3261" i="53"/>
  <c r="G3254" i="53"/>
  <c r="G3258" i="53"/>
  <c r="G3249" i="53"/>
  <c r="G3245" i="53"/>
  <c r="G3263" i="53"/>
  <c r="G3267" i="53"/>
  <c r="G3260" i="53"/>
  <c r="G3255" i="53"/>
  <c r="G3259" i="53"/>
  <c r="G3248" i="53"/>
  <c r="G3244" i="53"/>
  <c r="G3242" i="53"/>
  <c r="G3264" i="53"/>
  <c r="G3268" i="53"/>
  <c r="G3252" i="53"/>
  <c r="G3256" i="53"/>
  <c r="G3251" i="53"/>
  <c r="G3247" i="53"/>
  <c r="G3243" i="53"/>
  <c r="G3269" i="53"/>
  <c r="G3253" i="53"/>
  <c r="G3257" i="53"/>
  <c r="G3250" i="53"/>
  <c r="G3246" i="53"/>
  <c r="G3232" i="53"/>
  <c r="G3236" i="53"/>
  <c r="G3240" i="53"/>
  <c r="G3218" i="53"/>
  <c r="G3222" i="53"/>
  <c r="G3226" i="53"/>
  <c r="G3230" i="53"/>
  <c r="G3235" i="53"/>
  <c r="G3239" i="53"/>
  <c r="G3217" i="53"/>
  <c r="G3221" i="53"/>
  <c r="G3225" i="53"/>
  <c r="G3234" i="53"/>
  <c r="G3238" i="53"/>
  <c r="G3216" i="53"/>
  <c r="G3220" i="53"/>
  <c r="G3224" i="53"/>
  <c r="G3228" i="53"/>
  <c r="G3233" i="53"/>
  <c r="G3237" i="53"/>
  <c r="G3241" i="53"/>
  <c r="G3219" i="53"/>
  <c r="G3223" i="53"/>
  <c r="G3227" i="53"/>
  <c r="G3229" i="53"/>
  <c r="G3215" i="53"/>
  <c r="G3205" i="53"/>
  <c r="G3209" i="53"/>
  <c r="G3213" i="53"/>
  <c r="G3200" i="53"/>
  <c r="G3214" i="53"/>
  <c r="G3206" i="53"/>
  <c r="G3210" i="53"/>
  <c r="G3197" i="53"/>
  <c r="G3201" i="53"/>
  <c r="G3203" i="53"/>
  <c r="G3207" i="53"/>
  <c r="G3211" i="53"/>
  <c r="G3198" i="53"/>
  <c r="G3202" i="53"/>
  <c r="G3204" i="53"/>
  <c r="G3208" i="53"/>
  <c r="G3212" i="53"/>
  <c r="G3199" i="53"/>
  <c r="G3196" i="53"/>
  <c r="G3190" i="53"/>
  <c r="G3192" i="53"/>
  <c r="G3191" i="53"/>
  <c r="G3195" i="53"/>
  <c r="G3194" i="53"/>
  <c r="G1831" i="53"/>
  <c r="G1830" i="53"/>
  <c r="G1829" i="53"/>
  <c r="G1828" i="53"/>
  <c r="G1826" i="53"/>
  <c r="G1827" i="53"/>
  <c r="G3046" i="53"/>
  <c r="G3184" i="53"/>
  <c r="G3188" i="53"/>
  <c r="G3181" i="53"/>
  <c r="G3185" i="53"/>
  <c r="G3189" i="53"/>
  <c r="G3180" i="53"/>
  <c r="G3186" i="53"/>
  <c r="G3183" i="53"/>
  <c r="G3179" i="53"/>
  <c r="G3187" i="53"/>
  <c r="G3182" i="53"/>
  <c r="G2128" i="53"/>
  <c r="G1730" i="53"/>
  <c r="G1793" i="53"/>
  <c r="G1729" i="53"/>
  <c r="G3057" i="53"/>
  <c r="G2976" i="53"/>
  <c r="G2977" i="53"/>
  <c r="G2978" i="53"/>
  <c r="G3049" i="53"/>
  <c r="G3050" i="53"/>
  <c r="G3051" i="53"/>
  <c r="G3055" i="53"/>
  <c r="G3177" i="53"/>
  <c r="G3178" i="53"/>
  <c r="G49" i="53"/>
  <c r="G1261" i="53"/>
  <c r="G1387" i="53"/>
  <c r="G612" i="53"/>
  <c r="G1365" i="53"/>
  <c r="G1323" i="53"/>
  <c r="G1822" i="53"/>
  <c r="G715" i="53"/>
  <c r="G1478" i="53"/>
  <c r="G1802" i="53"/>
  <c r="G1184" i="53"/>
  <c r="G2310" i="53"/>
  <c r="G1766" i="53"/>
  <c r="G1211" i="53"/>
  <c r="G754" i="53"/>
  <c r="G1109" i="53"/>
  <c r="G732" i="53"/>
  <c r="G231" i="53"/>
  <c r="G1120" i="53"/>
  <c r="G1330" i="53"/>
  <c r="G357" i="53"/>
  <c r="G682" i="53"/>
  <c r="G1665" i="53"/>
  <c r="G777" i="53"/>
  <c r="G177" i="53"/>
  <c r="G1528" i="53"/>
  <c r="G1894" i="53"/>
  <c r="G1148" i="53"/>
  <c r="G2409" i="53"/>
  <c r="G1409" i="53"/>
  <c r="G491" i="53"/>
  <c r="G71" i="53"/>
  <c r="G2160" i="53"/>
  <c r="G721" i="53"/>
  <c r="G1237" i="53"/>
  <c r="G2286" i="53"/>
  <c r="G499" i="53"/>
  <c r="G2176" i="53"/>
  <c r="G417" i="53"/>
  <c r="G1818" i="53"/>
  <c r="G2394" i="53"/>
  <c r="G2341" i="53"/>
  <c r="G1336" i="53"/>
  <c r="G1258" i="53"/>
  <c r="G761" i="53"/>
  <c r="G5" i="53"/>
  <c r="G107" i="53"/>
  <c r="G2234" i="53"/>
  <c r="G1276" i="53"/>
  <c r="G285" i="53"/>
  <c r="G1362" i="53"/>
  <c r="G1801" i="53"/>
  <c r="G440" i="53"/>
  <c r="G329" i="53"/>
  <c r="G2017" i="53"/>
  <c r="G2364" i="53"/>
  <c r="G2016" i="53"/>
  <c r="G282" i="53"/>
  <c r="G41" i="53"/>
  <c r="G2076" i="53"/>
  <c r="G1065" i="53"/>
  <c r="G2403" i="53"/>
  <c r="G1127" i="53"/>
  <c r="G1559" i="53"/>
  <c r="G1510" i="53"/>
  <c r="G605" i="53"/>
  <c r="G183" i="53"/>
  <c r="G561" i="53"/>
  <c r="G1763" i="53"/>
  <c r="G2053" i="53"/>
  <c r="G1401" i="53"/>
  <c r="G1297" i="53"/>
  <c r="G783" i="53"/>
  <c r="G993" i="53"/>
  <c r="G1061" i="53"/>
  <c r="G576" i="53"/>
  <c r="G972" i="53"/>
  <c r="G599" i="53"/>
  <c r="G1310" i="53"/>
  <c r="G1863" i="53"/>
  <c r="G1295" i="53"/>
  <c r="G584" i="53"/>
  <c r="G2595" i="53"/>
  <c r="G784" i="53"/>
  <c r="G1111" i="53"/>
  <c r="G168" i="53"/>
  <c r="G286" i="53"/>
  <c r="G86" i="53"/>
  <c r="G80" i="53"/>
  <c r="G3017" i="53"/>
  <c r="G3003" i="53"/>
  <c r="G2991" i="53"/>
  <c r="G2089" i="53"/>
  <c r="G1351" i="53"/>
  <c r="G1384" i="53"/>
  <c r="G2384" i="53"/>
  <c r="G2170" i="53"/>
  <c r="G1789" i="53"/>
  <c r="G1563" i="53"/>
  <c r="G1108" i="53"/>
  <c r="G645" i="53"/>
  <c r="G300" i="53"/>
  <c r="G359" i="53"/>
  <c r="G1722" i="53"/>
  <c r="G2122" i="53"/>
  <c r="G2466" i="53"/>
  <c r="G705" i="53"/>
  <c r="G610" i="53"/>
  <c r="G996" i="53"/>
  <c r="G526" i="53"/>
  <c r="G2593" i="53"/>
  <c r="G1589" i="53"/>
  <c r="G2390" i="53"/>
  <c r="G1104" i="53"/>
  <c r="G634" i="53"/>
  <c r="G1158" i="53"/>
  <c r="G2304" i="53"/>
  <c r="G495" i="53"/>
  <c r="G1475" i="53"/>
  <c r="G1252" i="53"/>
  <c r="G2072" i="53"/>
  <c r="G1988" i="53"/>
  <c r="G2354" i="53"/>
  <c r="G2296" i="53"/>
  <c r="G2607" i="53"/>
  <c r="G903" i="53"/>
  <c r="G1366" i="53"/>
  <c r="G214" i="53"/>
  <c r="G773" i="53"/>
  <c r="G442" i="53"/>
  <c r="G20" i="53"/>
  <c r="G1000" i="53"/>
  <c r="G924" i="53"/>
  <c r="G755" i="53"/>
  <c r="G145" i="53"/>
  <c r="G188" i="53"/>
  <c r="G1869" i="53"/>
  <c r="G441" i="53"/>
  <c r="G1817" i="53"/>
  <c r="G552" i="53"/>
  <c r="G1471" i="53"/>
  <c r="G161" i="53"/>
  <c r="G863" i="53"/>
  <c r="G432" i="53"/>
  <c r="G862" i="53"/>
  <c r="G2027" i="53"/>
  <c r="G1240" i="53"/>
  <c r="G548" i="53"/>
  <c r="G2077" i="53"/>
  <c r="G712" i="53"/>
  <c r="G2659" i="53"/>
  <c r="G1641" i="53"/>
  <c r="G1937" i="53"/>
  <c r="G2620" i="53"/>
  <c r="G1690" i="53"/>
  <c r="G2278" i="53"/>
  <c r="G2185" i="53"/>
  <c r="G1871" i="53"/>
  <c r="G1348" i="53"/>
  <c r="G1741" i="53"/>
  <c r="G1753" i="53"/>
  <c r="G2402" i="53"/>
  <c r="G2008" i="53"/>
  <c r="G1278" i="53"/>
  <c r="G2158" i="53"/>
  <c r="G812" i="53"/>
  <c r="G1428" i="53"/>
  <c r="G1182" i="53"/>
  <c r="G923" i="53"/>
  <c r="G2401" i="53"/>
  <c r="G2074" i="53"/>
  <c r="G540" i="53"/>
  <c r="G274" i="53"/>
  <c r="G1689" i="53"/>
  <c r="G568" i="53"/>
  <c r="G1654" i="53"/>
  <c r="G1414" i="53"/>
  <c r="G2412" i="53"/>
  <c r="G2033" i="53"/>
  <c r="G339" i="53"/>
  <c r="G1979" i="53"/>
  <c r="G1143" i="53"/>
  <c r="G2140" i="53"/>
  <c r="G344" i="53"/>
  <c r="G291" i="53"/>
  <c r="G221" i="53"/>
  <c r="G1710" i="53"/>
  <c r="G105" i="53"/>
  <c r="G1755" i="53"/>
  <c r="G1617" i="53"/>
  <c r="G1369" i="53"/>
  <c r="G2594" i="53"/>
  <c r="G2623" i="53"/>
  <c r="G2359" i="53"/>
  <c r="G949" i="53"/>
  <c r="G1096" i="53"/>
  <c r="G845" i="53"/>
  <c r="G1866" i="53"/>
  <c r="G1090" i="53"/>
  <c r="G953" i="53"/>
  <c r="G1649" i="53"/>
  <c r="G1537" i="53"/>
  <c r="G1700" i="53"/>
  <c r="G2110" i="53"/>
  <c r="G2062" i="53"/>
  <c r="G1491" i="53"/>
  <c r="G2132" i="53"/>
  <c r="G571" i="53"/>
  <c r="G676" i="53"/>
  <c r="G1756" i="53"/>
  <c r="G876" i="53"/>
  <c r="G1467" i="53"/>
  <c r="G1693" i="53"/>
  <c r="G1987" i="53"/>
  <c r="G2330" i="53"/>
  <c r="G586" i="53"/>
  <c r="G230" i="53"/>
  <c r="G2271" i="53"/>
  <c r="G2315" i="53"/>
  <c r="G2237" i="53"/>
  <c r="G779" i="53"/>
  <c r="G1253" i="53"/>
  <c r="G408" i="53"/>
  <c r="G2443" i="53"/>
  <c r="G2387" i="53"/>
  <c r="G2272" i="53"/>
  <c r="G2254" i="53"/>
  <c r="G15" i="53"/>
  <c r="G2181" i="53"/>
  <c r="G320" i="53"/>
  <c r="G1389" i="53"/>
  <c r="G166" i="53"/>
  <c r="G1291" i="53"/>
  <c r="G2193" i="53"/>
  <c r="G280" i="53"/>
  <c r="G1788" i="53"/>
  <c r="G2007" i="53"/>
  <c r="G203" i="53"/>
  <c r="G2232" i="53"/>
  <c r="G902" i="53"/>
  <c r="G113" i="53"/>
  <c r="G2058" i="53"/>
  <c r="G813" i="53"/>
  <c r="G765" i="53"/>
  <c r="G1525" i="53"/>
  <c r="G977" i="53"/>
  <c r="G823" i="53"/>
  <c r="G1618" i="53"/>
  <c r="G58" i="53"/>
  <c r="G372" i="53"/>
  <c r="G2796" i="53"/>
  <c r="G218" i="53"/>
  <c r="G1107" i="53"/>
  <c r="G30" i="53"/>
  <c r="G698" i="53"/>
  <c r="G1696" i="53"/>
  <c r="G1604" i="53"/>
  <c r="G2035" i="53"/>
  <c r="G2282" i="53"/>
  <c r="G969" i="53"/>
  <c r="G1983" i="53"/>
  <c r="G2496" i="53"/>
  <c r="G659" i="53"/>
  <c r="G1255" i="53"/>
  <c r="G497" i="53"/>
  <c r="G2602" i="53"/>
  <c r="G2484" i="53"/>
  <c r="G2757" i="53"/>
  <c r="G654" i="53"/>
  <c r="G2104" i="53"/>
  <c r="G2469" i="53"/>
  <c r="G1296" i="53"/>
  <c r="G364" i="53"/>
  <c r="G1246" i="53"/>
  <c r="G658" i="53"/>
  <c r="G1300" i="53"/>
  <c r="G469" i="53"/>
  <c r="G1908" i="53"/>
  <c r="G136" i="53"/>
  <c r="G29" i="53"/>
  <c r="G1994" i="53"/>
  <c r="G1594" i="53"/>
  <c r="G2223" i="53"/>
  <c r="G2473" i="53"/>
  <c r="G1616" i="53"/>
  <c r="G1191" i="53"/>
  <c r="G343" i="53"/>
  <c r="G1200" i="53"/>
  <c r="G899" i="53"/>
  <c r="G1542" i="53"/>
  <c r="G2453" i="53"/>
  <c r="G150" i="53"/>
  <c r="G2498" i="53"/>
  <c r="G1582" i="53"/>
  <c r="G1342" i="53"/>
  <c r="G588" i="53"/>
  <c r="G2339" i="53"/>
  <c r="G830" i="53"/>
  <c r="G63" i="53"/>
  <c r="G2247" i="53"/>
  <c r="G186" i="53"/>
  <c r="G666" i="53"/>
  <c r="G1585" i="53"/>
  <c r="G420" i="53"/>
  <c r="G1353" i="53"/>
  <c r="G1825" i="53"/>
  <c r="G2064" i="53"/>
  <c r="G503" i="53"/>
  <c r="G2116" i="53"/>
  <c r="G1474" i="53"/>
  <c r="G1534" i="53"/>
  <c r="G1268" i="53"/>
  <c r="G2886" i="53"/>
  <c r="G1002" i="53"/>
  <c r="G2214" i="53"/>
  <c r="G493" i="53"/>
  <c r="G443" i="53"/>
  <c r="G550" i="53"/>
  <c r="G2298" i="53"/>
  <c r="G1399" i="53"/>
  <c r="G310" i="53"/>
  <c r="G2220" i="53"/>
  <c r="G1980" i="53"/>
  <c r="G1701" i="53"/>
  <c r="G1394" i="53"/>
  <c r="G669" i="53"/>
  <c r="G2204" i="53"/>
  <c r="G1953" i="53"/>
  <c r="G1114" i="53"/>
  <c r="G702" i="53"/>
  <c r="G2450" i="53"/>
  <c r="G511" i="53"/>
  <c r="G635" i="53"/>
  <c r="G1653" i="53"/>
  <c r="G8" i="53"/>
  <c r="G2653" i="53"/>
  <c r="G363" i="53"/>
  <c r="G1238" i="53"/>
  <c r="G1925" i="53"/>
  <c r="G1622" i="53"/>
  <c r="G822" i="53"/>
  <c r="G1101" i="53"/>
  <c r="G3023" i="53"/>
  <c r="G3006" i="53"/>
  <c r="G1621" i="53"/>
  <c r="G207" i="53"/>
  <c r="G975" i="53"/>
  <c r="G1481" i="53"/>
  <c r="G1978" i="53"/>
  <c r="G1039" i="53"/>
  <c r="G2006" i="53"/>
  <c r="G2454" i="53"/>
  <c r="G1205" i="53"/>
  <c r="G649" i="53"/>
  <c r="G1271" i="53"/>
  <c r="G289" i="53"/>
  <c r="G1345" i="53"/>
  <c r="G1555" i="53"/>
  <c r="G2621" i="53"/>
  <c r="G467" i="53"/>
  <c r="G2252" i="53"/>
  <c r="G951" i="53"/>
  <c r="G968" i="53"/>
  <c r="G269" i="53"/>
  <c r="G620" i="53"/>
  <c r="G730" i="53"/>
  <c r="G1852" i="53"/>
  <c r="G642" i="53"/>
  <c r="G1576" i="53"/>
  <c r="G2631" i="53"/>
  <c r="G1023" i="53"/>
  <c r="G2389" i="53"/>
  <c r="G1561" i="53"/>
  <c r="G1533" i="53"/>
  <c r="G1903" i="53"/>
  <c r="G1846" i="53"/>
  <c r="G1938" i="53"/>
  <c r="G283" i="53"/>
  <c r="G2448" i="53"/>
  <c r="G1524" i="53"/>
  <c r="G1123" i="53"/>
  <c r="G1636" i="53"/>
  <c r="G1634" i="53"/>
  <c r="G2379" i="53"/>
  <c r="G2250" i="53"/>
  <c r="G694" i="53"/>
  <c r="G2370" i="53"/>
  <c r="G1708" i="53"/>
  <c r="G517" i="53"/>
  <c r="G546" i="53"/>
  <c r="G2585" i="53"/>
  <c r="G789" i="53"/>
  <c r="G1816" i="53"/>
  <c r="G2455" i="53"/>
  <c r="G883" i="53"/>
  <c r="G802" i="53"/>
  <c r="G381" i="53"/>
  <c r="G1213" i="53"/>
  <c r="G362" i="53"/>
  <c r="G1820" i="53"/>
  <c r="G986" i="53"/>
  <c r="G1059" i="53"/>
  <c r="G360" i="53"/>
  <c r="G537" i="53"/>
  <c r="G1011" i="53"/>
  <c r="G1977" i="53"/>
  <c r="G2117" i="53"/>
  <c r="G193" i="53"/>
  <c r="G1118" i="53"/>
  <c r="G75" i="53"/>
  <c r="G96" i="53"/>
  <c r="G887" i="53"/>
  <c r="G559" i="53"/>
  <c r="G1106" i="53"/>
  <c r="G72" i="53"/>
  <c r="G959" i="53"/>
  <c r="G2588" i="53"/>
  <c r="G2285" i="53"/>
  <c r="G2432" i="53"/>
  <c r="G2375" i="53"/>
  <c r="G1923" i="53"/>
  <c r="G2345" i="53"/>
  <c r="G933" i="53"/>
  <c r="G1990" i="53"/>
  <c r="G512" i="53"/>
  <c r="G939" i="53"/>
  <c r="G2391" i="53"/>
  <c r="G1639" i="53"/>
  <c r="G2413" i="53"/>
  <c r="G1421" i="53"/>
  <c r="G1728" i="53"/>
  <c r="G1804" i="53"/>
  <c r="G1562" i="53"/>
  <c r="G2362" i="53"/>
  <c r="G602" i="53"/>
  <c r="G129" i="53"/>
  <c r="G1659" i="53"/>
  <c r="G403" i="53"/>
  <c r="G1193" i="53"/>
  <c r="G2640" i="53"/>
  <c r="G1663" i="53"/>
  <c r="G1361" i="53"/>
  <c r="G1535" i="53"/>
  <c r="G22" i="53"/>
  <c r="G1724" i="53"/>
  <c r="G1898" i="53"/>
  <c r="G169" i="53"/>
  <c r="G2063" i="53"/>
  <c r="G1279" i="53"/>
  <c r="G87" i="53"/>
  <c r="G173" i="53"/>
  <c r="G2622" i="53"/>
  <c r="G1868" i="53"/>
  <c r="G1944" i="53"/>
  <c r="G570" i="53"/>
  <c r="G1651" i="53"/>
  <c r="G1265" i="53"/>
  <c r="G1018" i="53"/>
  <c r="G1367" i="53"/>
  <c r="G2256" i="53"/>
  <c r="G1855" i="53"/>
  <c r="G2198" i="53"/>
  <c r="G834" i="53"/>
  <c r="G827" i="53"/>
  <c r="G771" i="53"/>
  <c r="G1412" i="53"/>
  <c r="G2445" i="53"/>
  <c r="G2050" i="53"/>
  <c r="G2536" i="53"/>
  <c r="G2199" i="53"/>
  <c r="G2419" i="53"/>
  <c r="G1015" i="53"/>
  <c r="G451" i="53"/>
  <c r="G1069" i="53"/>
  <c r="G201" i="53"/>
  <c r="G272" i="53"/>
  <c r="G2144" i="53"/>
  <c r="G2482" i="53"/>
  <c r="G2119" i="53"/>
  <c r="G764" i="53"/>
  <c r="G542" i="53"/>
  <c r="G1225" i="53"/>
  <c r="G2165" i="53"/>
  <c r="G720" i="53"/>
  <c r="G1640" i="53"/>
  <c r="G1308" i="53"/>
  <c r="G538" i="53"/>
  <c r="G273" i="53"/>
  <c r="G617" i="53"/>
  <c r="G2554" i="53"/>
  <c r="G210" i="53"/>
  <c r="G43" i="53"/>
  <c r="G2106" i="53"/>
  <c r="G2065" i="53"/>
  <c r="G2431" i="53"/>
  <c r="G533" i="53"/>
  <c r="G108" i="53"/>
  <c r="G1814" i="53"/>
  <c r="G1580" i="53"/>
  <c r="G1886" i="53"/>
  <c r="G1613" i="53"/>
  <c r="G2352" i="53"/>
  <c r="G309" i="53"/>
  <c r="G2429" i="53"/>
  <c r="G481" i="53"/>
  <c r="G2875" i="53"/>
  <c r="G2655" i="53"/>
  <c r="G1551" i="53"/>
  <c r="G1717" i="53"/>
  <c r="G242" i="53"/>
  <c r="G1457" i="53"/>
  <c r="G2312" i="53"/>
  <c r="G326" i="53"/>
  <c r="G2275" i="53"/>
  <c r="G2505" i="53"/>
  <c r="G2124" i="53"/>
  <c r="G1178" i="53"/>
  <c r="G2287" i="53"/>
  <c r="G2228" i="53"/>
  <c r="G850" i="53"/>
  <c r="G1877" i="53"/>
  <c r="G306" i="53"/>
  <c r="G2884" i="53"/>
  <c r="G2635" i="53"/>
  <c r="G121" i="53"/>
  <c r="G805" i="53"/>
  <c r="G2848" i="53"/>
  <c r="G1725" i="53"/>
  <c r="G816" i="53"/>
  <c r="G1309" i="53"/>
  <c r="G1629" i="53"/>
  <c r="G2238" i="53"/>
  <c r="G2592" i="53"/>
  <c r="G1177" i="53"/>
  <c r="G122" i="53"/>
  <c r="G1338" i="53"/>
  <c r="G1845" i="53"/>
  <c r="G1548" i="53"/>
  <c r="G1088" i="53"/>
  <c r="G2502" i="53"/>
  <c r="G1476" i="53"/>
  <c r="G2399" i="53"/>
  <c r="G2322" i="53"/>
  <c r="G102" i="53"/>
  <c r="G2088" i="53"/>
  <c r="G861" i="53"/>
  <c r="G869" i="53"/>
  <c r="G496" i="53"/>
  <c r="G650" i="53"/>
  <c r="G1762" i="53"/>
  <c r="G1233" i="53"/>
  <c r="G119" i="53"/>
  <c r="G2302" i="53"/>
  <c r="G1989" i="53"/>
  <c r="G1752" i="53"/>
  <c r="G1163" i="53"/>
  <c r="G1294" i="53"/>
  <c r="G2194" i="53"/>
  <c r="G2632" i="53"/>
  <c r="G714" i="53"/>
  <c r="G1424" i="53"/>
  <c r="G1924" i="53"/>
  <c r="G2656" i="53"/>
  <c r="G475" i="53"/>
  <c r="G1080" i="53"/>
  <c r="G2097" i="53"/>
  <c r="G1324" i="53"/>
  <c r="G1198" i="53"/>
  <c r="G1646" i="53"/>
  <c r="G247" i="53"/>
  <c r="G2722" i="53"/>
  <c r="G2833" i="53"/>
  <c r="G1479" i="53"/>
  <c r="G174" i="53"/>
  <c r="G1028" i="53"/>
  <c r="G202" i="53"/>
  <c r="G2163" i="53"/>
  <c r="G874" i="53"/>
  <c r="G2790" i="53"/>
  <c r="G1477" i="53"/>
  <c r="G2558" i="53"/>
  <c r="G196" i="53"/>
  <c r="G1388" i="53"/>
  <c r="G2243" i="53"/>
  <c r="G158" i="53"/>
  <c r="G494" i="53"/>
  <c r="G1427" i="53"/>
  <c r="G860" i="53"/>
  <c r="G665" i="53"/>
  <c r="G1072" i="53"/>
  <c r="G1569" i="53"/>
  <c r="G1759" i="53"/>
  <c r="G2590" i="53"/>
  <c r="G914" i="53"/>
  <c r="G590" i="53"/>
  <c r="G2705" i="53"/>
  <c r="G2546" i="53"/>
  <c r="G527" i="53"/>
  <c r="G1431" i="53"/>
  <c r="G154" i="53"/>
  <c r="G1484" i="53"/>
  <c r="G675" i="53"/>
  <c r="G2887" i="53"/>
  <c r="G1719" i="53"/>
  <c r="G2601" i="53"/>
  <c r="G1809" i="53"/>
  <c r="G2105" i="53"/>
  <c r="G1185" i="53"/>
  <c r="G1094" i="53"/>
  <c r="G2596" i="53"/>
  <c r="G2288" i="53"/>
  <c r="G1301" i="53"/>
  <c r="G1960" i="53"/>
  <c r="G1683" i="53"/>
  <c r="G115" i="53"/>
  <c r="G233" i="53"/>
  <c r="G1078" i="53"/>
  <c r="G733" i="53"/>
  <c r="G146" i="53"/>
  <c r="G2208" i="53"/>
  <c r="G1785" i="53"/>
  <c r="G2726" i="53"/>
  <c r="G555" i="53"/>
  <c r="G2323" i="53"/>
  <c r="G1664" i="53"/>
  <c r="G543" i="53"/>
  <c r="G2340" i="53"/>
  <c r="G325" i="53"/>
  <c r="G958" i="53"/>
  <c r="G118" i="53"/>
  <c r="G2616" i="53"/>
  <c r="G2161" i="53"/>
  <c r="G2031" i="53"/>
  <c r="G244" i="53"/>
  <c r="G855" i="53"/>
  <c r="G1757" i="53"/>
  <c r="G507" i="53"/>
  <c r="G628" i="53"/>
  <c r="G1579" i="53"/>
  <c r="G1208" i="53"/>
  <c r="G468" i="53"/>
  <c r="G424" i="53"/>
  <c r="G2274" i="53"/>
  <c r="G1391" i="53"/>
  <c r="G998" i="53"/>
  <c r="G1378" i="53"/>
  <c r="G1247" i="53"/>
  <c r="G2395" i="53"/>
  <c r="G2245" i="53"/>
  <c r="G297" i="53"/>
  <c r="G2178" i="53"/>
  <c r="G27" i="53"/>
  <c r="G301" i="53"/>
  <c r="G2637" i="53"/>
  <c r="G2295" i="53"/>
  <c r="G2133" i="53"/>
  <c r="G706" i="53"/>
  <c r="G1599" i="53"/>
  <c r="G1841" i="53"/>
  <c r="G1081" i="53"/>
  <c r="G463" i="53"/>
  <c r="G232" i="53"/>
  <c r="G545" i="53"/>
  <c r="G1942" i="53"/>
  <c r="G1687" i="53"/>
  <c r="G1124" i="53"/>
  <c r="G2260" i="53"/>
  <c r="G748" i="53"/>
  <c r="G1630" i="53"/>
  <c r="G2864" i="53"/>
  <c r="G89" i="53"/>
  <c r="G1426" i="53"/>
  <c r="G1243" i="53"/>
  <c r="G126" i="53"/>
  <c r="G2012" i="53"/>
  <c r="G2447" i="53"/>
  <c r="G26" i="53"/>
  <c r="G1959" i="53"/>
  <c r="G1796" i="53"/>
  <c r="G2418" i="53"/>
  <c r="G2452" i="53"/>
  <c r="G1499" i="53"/>
  <c r="G40" i="53"/>
  <c r="G387" i="53"/>
  <c r="G2279" i="53"/>
  <c r="G2141" i="53"/>
  <c r="G1919" i="53"/>
  <c r="G237" i="53"/>
  <c r="G2227" i="53"/>
  <c r="G2108" i="53"/>
  <c r="G346" i="53"/>
  <c r="G1329" i="53"/>
  <c r="G1531" i="53"/>
  <c r="G471" i="53"/>
  <c r="G636" i="53"/>
  <c r="G828" i="53"/>
  <c r="G1497" i="53"/>
  <c r="G747" i="53"/>
  <c r="G131" i="53"/>
  <c r="G1334" i="53"/>
  <c r="G321" i="53"/>
  <c r="G427" i="53"/>
  <c r="G2264" i="53"/>
  <c r="G1195" i="53"/>
  <c r="G518" i="53"/>
  <c r="G984" i="53"/>
  <c r="G1575" i="53"/>
  <c r="G560" i="53"/>
  <c r="G477" i="53"/>
  <c r="G667" i="53"/>
  <c r="G1567" i="53"/>
  <c r="G1795" i="53"/>
  <c r="G978" i="53"/>
  <c r="G2626" i="53"/>
  <c r="G2151" i="53"/>
  <c r="G21" i="53"/>
  <c r="G1549" i="53"/>
  <c r="G577" i="53"/>
  <c r="G2156" i="53"/>
  <c r="G965" i="53"/>
  <c r="G1317" i="53"/>
  <c r="G574" i="53"/>
  <c r="G2095" i="53"/>
  <c r="G2111" i="53"/>
  <c r="G1290" i="53"/>
  <c r="G2552" i="53"/>
  <c r="G2055" i="53"/>
  <c r="G1373" i="53"/>
  <c r="G756" i="53"/>
  <c r="G277" i="53"/>
  <c r="G1912" i="53"/>
  <c r="G1732" i="53"/>
  <c r="G2628" i="53"/>
  <c r="G2366" i="53"/>
  <c r="G2812" i="53"/>
  <c r="G25" i="53"/>
  <c r="G2164" i="53"/>
  <c r="G1304" i="53"/>
  <c r="G2255" i="53"/>
  <c r="G2869" i="53"/>
  <c r="G740" i="53"/>
  <c r="G69" i="53"/>
  <c r="G2523" i="53"/>
  <c r="G614" i="53"/>
  <c r="G1554" i="53"/>
  <c r="G661" i="53"/>
  <c r="G2039" i="53"/>
  <c r="G809" i="53"/>
  <c r="G615" i="53"/>
  <c r="G461" i="53"/>
  <c r="G1807" i="53"/>
  <c r="G187" i="53"/>
  <c r="G50" i="53"/>
  <c r="G2510" i="53"/>
  <c r="G435" i="53"/>
  <c r="G2810" i="53"/>
  <c r="G1610" i="53"/>
  <c r="G1780" i="53"/>
  <c r="G2514" i="53"/>
  <c r="G2081" i="53"/>
  <c r="G2212" i="53"/>
  <c r="G957" i="53"/>
  <c r="G2761" i="53"/>
  <c r="G1901" i="53"/>
  <c r="G2853" i="53"/>
  <c r="G1032" i="53"/>
  <c r="G751" i="53"/>
  <c r="G2627" i="53"/>
  <c r="G950" i="53"/>
  <c r="G2518" i="53"/>
  <c r="G449" i="53"/>
  <c r="G921" i="53"/>
  <c r="G734" i="53"/>
  <c r="G786" i="53"/>
  <c r="G2112" i="53"/>
  <c r="G738" i="53"/>
  <c r="G217" i="53"/>
  <c r="G638" i="53"/>
  <c r="G1130" i="53"/>
  <c r="G1017" i="53"/>
  <c r="G211" i="53"/>
  <c r="G1749" i="53"/>
  <c r="G640" i="53"/>
  <c r="G1991" i="53"/>
  <c r="G1823" i="53"/>
  <c r="G2479" i="53"/>
  <c r="G245" i="53"/>
  <c r="G774" i="53"/>
  <c r="G2862" i="53"/>
  <c r="G2458" i="53"/>
  <c r="G419" i="53"/>
  <c r="G2308" i="53"/>
  <c r="G92" i="53"/>
  <c r="G1591" i="53"/>
  <c r="G2654" i="53"/>
  <c r="G994" i="53"/>
  <c r="G345" i="53"/>
  <c r="G2301" i="53"/>
  <c r="G2871" i="53"/>
  <c r="G653" i="53"/>
  <c r="G528" i="53"/>
  <c r="G1721" i="53"/>
  <c r="G832" i="53"/>
  <c r="G164" i="53"/>
  <c r="G1928" i="53"/>
  <c r="G2331" i="53"/>
  <c r="G2534" i="53"/>
  <c r="G752" i="53"/>
  <c r="G1095" i="53"/>
  <c r="G180" i="53"/>
  <c r="G2806" i="53"/>
  <c r="G976" i="53"/>
  <c r="G1565" i="53"/>
  <c r="G1691" i="53"/>
  <c r="G970" i="53"/>
  <c r="G793" i="53"/>
  <c r="G2642" i="53"/>
  <c r="G1744" i="53"/>
  <c r="G853" i="53"/>
  <c r="G2745" i="53"/>
  <c r="G2815" i="53"/>
  <c r="G1570" i="53"/>
  <c r="G2421" i="53"/>
  <c r="G1547" i="53"/>
  <c r="G371" i="53"/>
  <c r="G1839" i="53"/>
  <c r="G1322" i="53"/>
  <c r="G1723" i="53"/>
  <c r="G383" i="53"/>
  <c r="G1770" i="53"/>
  <c r="G2599" i="53"/>
  <c r="G1501" i="53"/>
  <c r="G856" i="53"/>
  <c r="G1718" i="53"/>
  <c r="G17" i="53"/>
  <c r="G780" i="53"/>
  <c r="G390" i="53"/>
  <c r="G1650" i="53"/>
  <c r="G2342" i="53"/>
  <c r="G2634" i="53"/>
  <c r="G1874" i="53"/>
  <c r="G1833" i="53"/>
  <c r="G2617" i="53"/>
  <c r="G1186" i="53"/>
  <c r="G2126" i="53"/>
  <c r="G2741" i="53"/>
  <c r="G2643" i="53"/>
  <c r="G405" i="53"/>
  <c r="G398" i="53"/>
  <c r="G1682" i="53"/>
  <c r="G1847" i="53"/>
  <c r="G1907" i="53"/>
  <c r="G2380" i="53"/>
  <c r="G204" i="53"/>
  <c r="G2385" i="53"/>
  <c r="G342" i="53"/>
  <c r="G1400" i="53"/>
  <c r="G990" i="53"/>
  <c r="G854" i="53"/>
  <c r="G385" i="53"/>
  <c r="G1098" i="53"/>
  <c r="G1673" i="53"/>
  <c r="G2360" i="53"/>
  <c r="G535" i="53"/>
  <c r="G890" i="53"/>
  <c r="G199" i="53"/>
  <c r="G697" i="53"/>
  <c r="G2462" i="53"/>
  <c r="G692" i="53"/>
  <c r="G46" i="53"/>
  <c r="G2042" i="53"/>
  <c r="G513" i="53"/>
  <c r="G1199" i="53"/>
  <c r="G1070" i="53"/>
  <c r="G736" i="53"/>
  <c r="G912" i="53"/>
  <c r="G2486" i="53"/>
  <c r="G2313" i="53"/>
  <c r="G1464" i="53"/>
  <c r="G1861" i="53"/>
  <c r="G171" i="53"/>
  <c r="G396" i="53"/>
  <c r="G1040" i="53"/>
  <c r="G352" i="53"/>
  <c r="G2533" i="53"/>
  <c r="G768" i="53"/>
  <c r="G1410" i="53"/>
  <c r="G1523" i="53"/>
  <c r="G935" i="53"/>
  <c r="G1596" i="53"/>
  <c r="G1686" i="53"/>
  <c r="G2229" i="53"/>
  <c r="G2814" i="53"/>
  <c r="G2284" i="53"/>
  <c r="G216" i="53"/>
  <c r="G386" i="53"/>
  <c r="G436" i="53"/>
  <c r="G389" i="53"/>
  <c r="G1891" i="53"/>
  <c r="G1403" i="53"/>
  <c r="G910" i="53"/>
  <c r="G2468" i="53"/>
  <c r="G2244" i="53"/>
  <c r="G801" i="53"/>
  <c r="G1566" i="53"/>
  <c r="G1799" i="53"/>
  <c r="G735" i="53"/>
  <c r="G1451" i="53"/>
  <c r="G1751" i="53"/>
  <c r="G2351" i="53"/>
  <c r="G1899" i="53"/>
  <c r="G1068" i="53"/>
  <c r="G946" i="53"/>
  <c r="G170" i="53"/>
  <c r="G2828" i="53"/>
  <c r="G2213" i="53"/>
  <c r="G267" i="53"/>
  <c r="G955" i="53"/>
  <c r="G340" i="53"/>
  <c r="G375" i="53"/>
  <c r="G2685" i="53"/>
  <c r="G795" i="53"/>
  <c r="G1783" i="53"/>
  <c r="G401" i="53"/>
  <c r="G1219" i="53"/>
  <c r="G1985" i="53"/>
  <c r="G544" i="53"/>
  <c r="G1436" i="53"/>
  <c r="G1326" i="53"/>
  <c r="G2866" i="53"/>
  <c r="G1805" i="53"/>
  <c r="G466" i="53"/>
  <c r="G954" i="53"/>
  <c r="G1132" i="53"/>
  <c r="G1540" i="53"/>
  <c r="G140" i="53"/>
  <c r="G1776" i="53"/>
  <c r="G1207" i="53"/>
  <c r="G2543" i="53"/>
  <c r="G1020" i="53"/>
  <c r="G2381" i="53"/>
  <c r="G1086" i="53"/>
  <c r="G1262" i="53"/>
  <c r="G819" i="53"/>
  <c r="G1588" i="53"/>
  <c r="G55" i="53"/>
  <c r="G2216" i="53"/>
  <c r="G971" i="53"/>
  <c r="G433" i="53"/>
  <c r="G718" i="53"/>
  <c r="G716" i="53"/>
  <c r="G938" i="53"/>
  <c r="G1522" i="53"/>
  <c r="G2057" i="53"/>
  <c r="G2686" i="53"/>
  <c r="G1048" i="53"/>
  <c r="G2405" i="53"/>
  <c r="G1012" i="53"/>
  <c r="G1707" i="53"/>
  <c r="G1288" i="53"/>
  <c r="G1633" i="53"/>
  <c r="G1851" i="53"/>
  <c r="G1453" i="53"/>
  <c r="G1848" i="53"/>
  <c r="G1254" i="53"/>
  <c r="G1853" i="53"/>
  <c r="G1077" i="53"/>
  <c r="G864" i="53"/>
  <c r="G74" i="53"/>
  <c r="G1986" i="53"/>
  <c r="G331" i="53"/>
  <c r="G2532" i="53"/>
  <c r="G2569" i="53"/>
  <c r="G2239" i="53"/>
  <c r="G125" i="53"/>
  <c r="G1270" i="53"/>
  <c r="G2240" i="53"/>
  <c r="G32" i="53"/>
  <c r="G2139" i="53"/>
  <c r="G1349" i="53"/>
  <c r="G1858" i="53"/>
  <c r="G1600" i="53"/>
  <c r="G1152" i="53"/>
  <c r="G2467" i="53"/>
  <c r="G2544" i="53"/>
  <c r="G2371" i="53"/>
  <c r="G750" i="53"/>
  <c r="G1929" i="53"/>
  <c r="G2578" i="53"/>
  <c r="G2791" i="53"/>
  <c r="G1150" i="53"/>
  <c r="G2002" i="53"/>
  <c r="G529" i="53"/>
  <c r="G1044" i="53"/>
  <c r="G1280" i="53"/>
  <c r="G1857" i="53"/>
  <c r="G1189" i="53"/>
  <c r="G2207" i="53"/>
  <c r="G1962" i="53"/>
  <c r="G1637" i="53"/>
  <c r="G356" i="53"/>
  <c r="G2438" i="53"/>
  <c r="G811" i="53"/>
  <c r="G2535" i="53"/>
  <c r="G1688" i="53"/>
  <c r="G2703" i="53"/>
  <c r="G13" i="53"/>
  <c r="G2292" i="53"/>
  <c r="G2746" i="53"/>
  <c r="G521" i="53"/>
  <c r="G1557" i="53"/>
  <c r="G500" i="53"/>
  <c r="G66" i="53"/>
  <c r="G2730" i="53"/>
  <c r="G871" i="53"/>
  <c r="G400" i="53"/>
  <c r="G858" i="53"/>
  <c r="G1494" i="53"/>
  <c r="G2618" i="53"/>
  <c r="G2874" i="53"/>
  <c r="G2689" i="53"/>
  <c r="G2894" i="53"/>
  <c r="G1435" i="53"/>
  <c r="G859" i="53"/>
  <c r="G788" i="53"/>
  <c r="G262" i="53"/>
  <c r="G1214" i="53"/>
  <c r="G1914" i="53"/>
  <c r="G2333" i="53"/>
  <c r="G2699" i="53"/>
  <c r="G2221" i="53"/>
  <c r="G670" i="53"/>
  <c r="G1100" i="53"/>
  <c r="G2840" i="53"/>
  <c r="G566" i="53"/>
  <c r="G1327" i="53"/>
  <c r="G332" i="53"/>
  <c r="G2343" i="53"/>
  <c r="G2831" i="53"/>
  <c r="G907" i="53"/>
  <c r="G1181" i="53"/>
  <c r="G485" i="53"/>
  <c r="G581" i="53"/>
  <c r="G852" i="53"/>
  <c r="G905" i="53"/>
  <c r="G1164" i="53"/>
  <c r="G1595" i="53"/>
  <c r="G2573" i="53"/>
  <c r="G2147" i="53"/>
  <c r="G2236" i="53"/>
  <c r="G1354" i="53"/>
  <c r="G1266" i="53"/>
  <c r="G305" i="53"/>
  <c r="G2258" i="53"/>
  <c r="G579" i="53"/>
  <c r="G112" i="53"/>
  <c r="G2526" i="53"/>
  <c r="G2289" i="53"/>
  <c r="G1747" i="53"/>
  <c r="G1121" i="53"/>
  <c r="G1488" i="53"/>
  <c r="G558" i="53"/>
  <c r="G829" i="53"/>
  <c r="G745" i="53"/>
  <c r="G2082" i="53"/>
  <c r="G1407" i="53"/>
  <c r="G2774" i="53"/>
  <c r="G2136" i="53"/>
  <c r="G2460" i="53"/>
  <c r="G2781" i="53"/>
  <c r="G2825" i="53"/>
  <c r="G2693" i="53"/>
  <c r="G2206" i="53"/>
  <c r="G1141" i="53"/>
  <c r="G686" i="53"/>
  <c r="G2135" i="53"/>
  <c r="G388" i="53"/>
  <c r="G437" i="53"/>
  <c r="G1030" i="53"/>
  <c r="G1970" i="53"/>
  <c r="G1856" i="53"/>
  <c r="G2349" i="53"/>
  <c r="G1511" i="53"/>
  <c r="G2605" i="53"/>
  <c r="G618" i="53"/>
  <c r="G1425" i="53"/>
  <c r="G1289" i="53"/>
  <c r="G549" i="53"/>
  <c r="G1779" i="53"/>
  <c r="G1892" i="53"/>
  <c r="G1545" i="53"/>
  <c r="G1051" i="53"/>
  <c r="G290" i="53"/>
  <c r="G110" i="53"/>
  <c r="G476" i="53"/>
  <c r="G2528" i="53"/>
  <c r="G2347" i="53"/>
  <c r="G2710" i="53"/>
  <c r="G2855" i="53"/>
  <c r="G1918" i="53"/>
  <c r="G1461" i="53"/>
  <c r="G2629" i="53"/>
  <c r="G2744" i="53"/>
  <c r="G304" i="53"/>
  <c r="G1204" i="53"/>
  <c r="G2789" i="53"/>
  <c r="G2704" i="53"/>
  <c r="G2800" i="53"/>
  <c r="G254" i="53"/>
  <c r="G1448" i="53"/>
  <c r="G646" i="53"/>
  <c r="G1442" i="53"/>
  <c r="G2179" i="53"/>
  <c r="G1147" i="53"/>
  <c r="G1376" i="53"/>
  <c r="G2196" i="53"/>
  <c r="G2067" i="53"/>
  <c r="G1934" i="53"/>
  <c r="G1642" i="53"/>
  <c r="G59" i="53"/>
  <c r="G1046" i="53"/>
  <c r="G1735" i="53"/>
  <c r="G2682" i="53"/>
  <c r="G1434" i="53"/>
  <c r="G919" i="53"/>
  <c r="G2889" i="53"/>
  <c r="G2475" i="53"/>
  <c r="G1875" i="53"/>
  <c r="G1079" i="53"/>
  <c r="G2821" i="53"/>
  <c r="G2400" i="53"/>
  <c r="G2775" i="53"/>
  <c r="G1212" i="53"/>
  <c r="G2772" i="53"/>
  <c r="G911" i="53"/>
  <c r="G1775" i="53"/>
  <c r="G2551" i="53"/>
  <c r="G843" i="53"/>
  <c r="G2799" i="53"/>
  <c r="G1486" i="53"/>
  <c r="G1112" i="53"/>
  <c r="G1217" i="53"/>
  <c r="G2845" i="53"/>
  <c r="G826" i="53"/>
  <c r="G457" i="53"/>
  <c r="G483" i="53"/>
  <c r="G2879" i="53"/>
  <c r="G587" i="53"/>
  <c r="G2436" i="53"/>
  <c r="G2297" i="53"/>
  <c r="G2224" i="53"/>
  <c r="G2316" i="53"/>
  <c r="G81" i="53"/>
  <c r="G746" i="53"/>
  <c r="G1656" i="53"/>
  <c r="G2430" i="53"/>
  <c r="G2773" i="53"/>
  <c r="G731" i="53"/>
  <c r="G1681" i="53"/>
  <c r="G707" i="53"/>
  <c r="G2011" i="53"/>
  <c r="G1382" i="53"/>
  <c r="G2444" i="53"/>
  <c r="G501" i="53"/>
  <c r="G159" i="53"/>
  <c r="G835" i="53"/>
  <c r="G695" i="53"/>
  <c r="G1940" i="53"/>
  <c r="G2566" i="53"/>
  <c r="G2959" i="53"/>
  <c r="G2246" i="53"/>
  <c r="G1343" i="53"/>
  <c r="G2785" i="53"/>
  <c r="G690" i="53"/>
  <c r="G1678" i="53"/>
  <c r="G2501" i="53"/>
  <c r="G851" i="53"/>
  <c r="G1372" i="53"/>
  <c r="G1066" i="53"/>
  <c r="G709" i="53"/>
  <c r="G2320" i="53"/>
  <c r="G2837" i="53"/>
  <c r="G271" i="53"/>
  <c r="G882" i="53"/>
  <c r="G2835" i="53"/>
  <c r="G775" i="53"/>
  <c r="G1419" i="53"/>
  <c r="G691" i="53"/>
  <c r="G836" i="53"/>
  <c r="G450" i="53"/>
  <c r="G744" i="53"/>
  <c r="G1226" i="53"/>
  <c r="G1008" i="53"/>
  <c r="G1626" i="53"/>
  <c r="G266" i="53"/>
  <c r="G2823" i="53"/>
  <c r="G197" i="53"/>
  <c r="G2054" i="53"/>
  <c r="G992" i="53"/>
  <c r="G365" i="53"/>
  <c r="G276" i="53"/>
  <c r="G1263" i="53"/>
  <c r="G741" i="53"/>
  <c r="G1087" i="53"/>
  <c r="G2009" i="53"/>
  <c r="G1745" i="53"/>
  <c r="G2865" i="53"/>
  <c r="G776" i="53"/>
  <c r="G668" i="53"/>
  <c r="G293" i="53"/>
  <c r="G2813" i="53"/>
  <c r="G1168" i="53"/>
  <c r="G556" i="53"/>
  <c r="G1347" i="53"/>
  <c r="G870" i="53"/>
  <c r="G2478" i="53"/>
  <c r="G2291" i="53"/>
  <c r="G2277" i="53"/>
  <c r="G2374" i="53"/>
  <c r="G2433" i="53"/>
  <c r="G2046" i="53"/>
  <c r="G1674" i="53"/>
  <c r="G185" i="53"/>
  <c r="G1584" i="53"/>
  <c r="G582" i="53"/>
  <c r="G1485" i="53"/>
  <c r="G2556" i="53"/>
  <c r="G2283" i="53"/>
  <c r="G557" i="53"/>
  <c r="G1703" i="53"/>
  <c r="G1216" i="53"/>
  <c r="G220" i="53"/>
  <c r="G42" i="53"/>
  <c r="G2541" i="53"/>
  <c r="G2834" i="53"/>
  <c r="G2838" i="53"/>
  <c r="G916" i="53"/>
  <c r="G1473" i="53"/>
  <c r="G2880" i="53"/>
  <c r="G2305" i="53"/>
  <c r="G2276" i="53"/>
  <c r="G1492" i="53"/>
  <c r="G595" i="53"/>
  <c r="G1031" i="53"/>
  <c r="G2624" i="53"/>
  <c r="G2120" i="53"/>
  <c r="G2463" i="53"/>
  <c r="G2876" i="53"/>
  <c r="G1411" i="53"/>
  <c r="G791" i="53"/>
  <c r="G652" i="53"/>
  <c r="G114" i="53"/>
  <c r="G647" i="53"/>
  <c r="G134" i="53"/>
  <c r="G181" i="53"/>
  <c r="G2465" i="53"/>
  <c r="G598" i="53"/>
  <c r="G2570" i="53"/>
  <c r="G462" i="53"/>
  <c r="G979" i="53"/>
  <c r="G2816" i="53"/>
  <c r="G225" i="53"/>
  <c r="G1179" i="53"/>
  <c r="G1798" i="53"/>
  <c r="G95" i="53"/>
  <c r="G1699" i="53"/>
  <c r="G2650" i="53"/>
  <c r="G1824" i="53"/>
  <c r="G184" i="53"/>
  <c r="G279" i="53"/>
  <c r="G2123" i="53"/>
  <c r="G78" i="53"/>
  <c r="G1406" i="53"/>
  <c r="G2189" i="53"/>
  <c r="G1803" i="53"/>
  <c r="G708" i="53"/>
  <c r="G2584" i="53"/>
  <c r="G368" i="53"/>
  <c r="G1655" i="53"/>
  <c r="G932" i="53"/>
  <c r="G2336" i="53"/>
  <c r="G2032" i="53"/>
  <c r="G1936" i="53"/>
  <c r="G2778" i="53"/>
  <c r="G2713" i="53"/>
  <c r="G674" i="53"/>
  <c r="G1363" i="53"/>
  <c r="G630" i="53"/>
  <c r="G2092" i="53"/>
  <c r="G2873" i="53"/>
  <c r="G726" i="53"/>
  <c r="G696" i="53"/>
  <c r="G2098" i="53"/>
  <c r="G2742" i="53"/>
  <c r="G2649" i="53"/>
  <c r="G2568" i="53"/>
  <c r="G1160" i="53"/>
  <c r="G937" i="53"/>
  <c r="G2961" i="53"/>
  <c r="G1592" i="53"/>
  <c r="G2559" i="53"/>
  <c r="G1666" i="53"/>
  <c r="G2257" i="53"/>
  <c r="G2003" i="53"/>
  <c r="G2952" i="53"/>
  <c r="G2096" i="53"/>
  <c r="G2849" i="53"/>
  <c r="G1577" i="53"/>
  <c r="G2736" i="53"/>
  <c r="G2231" i="53"/>
  <c r="G83" i="53"/>
  <c r="G767" i="53"/>
  <c r="G2720" i="53"/>
  <c r="G2763" i="53"/>
  <c r="G1368" i="53"/>
  <c r="G1260" i="53"/>
  <c r="G70" i="53"/>
  <c r="G2694" i="53"/>
  <c r="G1383" i="53"/>
  <c r="G604" i="53"/>
  <c r="G643" i="53"/>
  <c r="G1797" i="53"/>
  <c r="G227" i="53"/>
  <c r="G439" i="53"/>
  <c r="G2612" i="53"/>
  <c r="G1312" i="53"/>
  <c r="G1963" i="53"/>
  <c r="G1927" i="53"/>
  <c r="G2149" i="53"/>
  <c r="G683" i="53"/>
  <c r="G1001" i="53"/>
  <c r="G142" i="53"/>
  <c r="G572" i="53"/>
  <c r="G348" i="53"/>
  <c r="G1286" i="53"/>
  <c r="G1997" i="53"/>
  <c r="G1791" i="53"/>
  <c r="G888" i="53"/>
  <c r="G2080" i="53"/>
  <c r="G1241" i="53"/>
  <c r="G1131" i="53"/>
  <c r="G1183" i="53"/>
  <c r="G782" i="53"/>
  <c r="G2817" i="53"/>
  <c r="G2138" i="53"/>
  <c r="G1256" i="53"/>
  <c r="G1192" i="53"/>
  <c r="G2737" i="53"/>
  <c r="G1371" i="53"/>
  <c r="G596" i="53"/>
  <c r="G2947" i="53"/>
  <c r="G2509" i="53"/>
  <c r="G2792" i="53"/>
  <c r="G2706" i="53"/>
  <c r="G2580" i="53"/>
  <c r="G722" i="53"/>
  <c r="G327" i="53"/>
  <c r="G1248" i="53"/>
  <c r="G1202" i="53"/>
  <c r="G163" i="53"/>
  <c r="G1792" i="53"/>
  <c r="G1236" i="53"/>
  <c r="G1888" i="53"/>
  <c r="G2426" i="53"/>
  <c r="G2068" i="53"/>
  <c r="G2069" i="53"/>
  <c r="G2094" i="53"/>
  <c r="G2809" i="53"/>
  <c r="G2377" i="53"/>
  <c r="G1173" i="53"/>
  <c r="G1316" i="53"/>
  <c r="G2210" i="53"/>
  <c r="G2248" i="53"/>
  <c r="G1075" i="53"/>
  <c r="G2318" i="53"/>
  <c r="G155" i="53"/>
  <c r="G2877" i="53"/>
  <c r="G2708" i="53"/>
  <c r="G997" i="53"/>
  <c r="G257" i="53"/>
  <c r="G2702" i="53"/>
  <c r="G1036" i="53"/>
  <c r="G2225" i="53"/>
  <c r="G1162" i="53"/>
  <c r="G841" i="53"/>
  <c r="G831" i="53"/>
  <c r="G10" i="53"/>
  <c r="G995" i="53"/>
  <c r="G778" i="53"/>
  <c r="G1456" i="53"/>
  <c r="G1220" i="53"/>
  <c r="G1862" i="53"/>
  <c r="G2396" i="53"/>
  <c r="G2758" i="53"/>
  <c r="G2346" i="53"/>
  <c r="G143" i="53"/>
  <c r="G1465" i="53"/>
  <c r="G1624" i="53"/>
  <c r="G1543" i="53"/>
  <c r="G1006" i="53"/>
  <c r="G927" i="53"/>
  <c r="G1133" i="53"/>
  <c r="G2841" i="53"/>
  <c r="G2344" i="53"/>
  <c r="G2829" i="53"/>
  <c r="G2169" i="53"/>
  <c r="G530" i="53"/>
  <c r="G1608" i="53"/>
  <c r="G191" i="53"/>
  <c r="G2173" i="53"/>
  <c r="G226" i="53"/>
  <c r="G261" i="53"/>
  <c r="G175" i="53"/>
  <c r="G111" i="53"/>
  <c r="G2727" i="53"/>
  <c r="G2754" i="53"/>
  <c r="G45" i="53"/>
  <c r="G2109" i="53"/>
  <c r="G1396" i="53"/>
  <c r="G2861" i="53"/>
  <c r="G807" i="53"/>
  <c r="G1720" i="53"/>
  <c r="G1074" i="53"/>
  <c r="G794" i="53"/>
  <c r="G260" i="53"/>
  <c r="G2740" i="53"/>
  <c r="G1339" i="53"/>
  <c r="G1885" i="53"/>
  <c r="G127" i="53"/>
  <c r="G1521" i="53"/>
  <c r="G1161" i="53"/>
  <c r="G2870" i="53"/>
  <c r="G580" i="53"/>
  <c r="G547" i="53"/>
  <c r="G2888" i="53"/>
  <c r="G1832" i="53"/>
  <c r="G394" i="53"/>
  <c r="G1843" i="53"/>
  <c r="G2078" i="53"/>
  <c r="G2805" i="53"/>
  <c r="G409" i="53"/>
  <c r="G2657" i="53"/>
  <c r="G2851" i="53"/>
  <c r="G1167" i="53"/>
  <c r="G68" i="53"/>
  <c r="G1972" i="53"/>
  <c r="G1597" i="53"/>
  <c r="G2043" i="53"/>
  <c r="G872" i="53"/>
  <c r="G460" i="53"/>
  <c r="G374" i="53"/>
  <c r="G693" i="53"/>
  <c r="G1601" i="53"/>
  <c r="G601" i="53"/>
  <c r="G1787" i="53"/>
  <c r="G1935" i="53"/>
  <c r="G896" i="53"/>
  <c r="G2625" i="53"/>
  <c r="G1840" i="53"/>
  <c r="G603" i="53"/>
  <c r="G1897" i="53"/>
  <c r="G1357" i="53"/>
  <c r="G1228" i="53"/>
  <c r="G1931" i="53"/>
  <c r="G473" i="53"/>
  <c r="G1709" i="53"/>
  <c r="G2476" i="53"/>
  <c r="G2836" i="53"/>
  <c r="G562" i="53"/>
  <c r="G2751" i="53"/>
  <c r="G1393" i="53"/>
  <c r="G1519" i="53"/>
  <c r="G2963" i="53"/>
  <c r="G2958" i="53"/>
  <c r="G2764" i="53"/>
  <c r="G1298" i="53"/>
  <c r="G2457" i="53"/>
  <c r="G1552" i="53"/>
  <c r="G337" i="53"/>
  <c r="G292" i="53"/>
  <c r="G1662" i="53"/>
  <c r="G2197" i="53"/>
  <c r="G868" i="53"/>
  <c r="G229" i="53"/>
  <c r="G120" i="53"/>
  <c r="G2026" i="53"/>
  <c r="G1958" i="53"/>
  <c r="G2021" i="53"/>
  <c r="G2795" i="53"/>
  <c r="G2437" i="53"/>
  <c r="G567" i="53"/>
  <c r="G2619" i="53"/>
  <c r="G455" i="53"/>
  <c r="G662" i="53"/>
  <c r="G109" i="53"/>
  <c r="G1502" i="53"/>
  <c r="G2005" i="53"/>
  <c r="G2729" i="53"/>
  <c r="G1705" i="53"/>
  <c r="G18" i="53"/>
  <c r="G2793" i="53"/>
  <c r="G930" i="53"/>
  <c r="G1194" i="53"/>
  <c r="G956" i="53"/>
  <c r="G2506" i="53"/>
  <c r="G844" i="53"/>
  <c r="G315" i="53"/>
  <c r="G2249" i="53"/>
  <c r="G2019" i="53"/>
  <c r="G1045" i="53"/>
  <c r="G631" i="53"/>
  <c r="G2127" i="53"/>
  <c r="G1462" i="53"/>
  <c r="G2567" i="53"/>
  <c r="G99" i="53"/>
  <c r="G703" i="53"/>
  <c r="G541" i="53"/>
  <c r="G2733" i="53"/>
  <c r="G2130" i="53"/>
  <c r="G2550" i="53"/>
  <c r="G268" i="53"/>
  <c r="G351" i="53"/>
  <c r="G2803" i="53"/>
  <c r="G785" i="53"/>
  <c r="G909" i="53"/>
  <c r="G846" i="53"/>
  <c r="G347" i="53"/>
  <c r="G1135" i="53"/>
  <c r="G1060" i="53"/>
  <c r="G1187" i="53"/>
  <c r="G687" i="53"/>
  <c r="G2684" i="53"/>
  <c r="G597" i="53"/>
  <c r="G901" i="53"/>
  <c r="G840" i="53"/>
  <c r="G349" i="53"/>
  <c r="G2332" i="53"/>
  <c r="G2818" i="53"/>
  <c r="G1913" i="53"/>
  <c r="G117" i="53"/>
  <c r="G1386" i="53"/>
  <c r="G1356" i="53"/>
  <c r="G2563" i="53"/>
  <c r="G1933" i="53"/>
  <c r="G1117" i="53"/>
  <c r="G1638" i="53"/>
  <c r="G1739" i="53"/>
  <c r="G1116" i="53"/>
  <c r="G1677" i="53"/>
  <c r="G804" i="53"/>
  <c r="G334" i="53"/>
  <c r="G2424" i="53"/>
  <c r="G2052" i="53"/>
  <c r="G2512" i="53"/>
  <c r="G1438" i="53"/>
  <c r="G1129" i="53"/>
  <c r="G1598" i="53"/>
  <c r="G922" i="53"/>
  <c r="G2000" i="53"/>
  <c r="G1529" i="53"/>
  <c r="G611" i="53"/>
  <c r="G2760" i="53"/>
  <c r="G672" i="53"/>
  <c r="G2723" i="53"/>
  <c r="G2373" i="53"/>
  <c r="G2860" i="53"/>
  <c r="G627" i="53"/>
  <c r="G2273" i="53"/>
  <c r="G884" i="53"/>
  <c r="G2868" i="53"/>
  <c r="G1447" i="53"/>
  <c r="G539" i="53"/>
  <c r="G23" i="53"/>
  <c r="G1325" i="53"/>
  <c r="G766" i="53"/>
  <c r="G1064" i="53"/>
  <c r="G235" i="53"/>
  <c r="G2878" i="53"/>
  <c r="G609" i="53"/>
  <c r="G2850" i="53"/>
  <c r="G38" i="53"/>
  <c r="G1047" i="53"/>
  <c r="G2581" i="53"/>
  <c r="G2700" i="53"/>
  <c r="G2490" i="53"/>
  <c r="G875" i="53"/>
  <c r="G1084" i="53"/>
  <c r="G423" i="53"/>
  <c r="G681" i="53"/>
  <c r="G942" i="53"/>
  <c r="G1026" i="53"/>
  <c r="G1607" i="53"/>
  <c r="G1811" i="53"/>
  <c r="G2525" i="53"/>
  <c r="G2717" i="53"/>
  <c r="G2739" i="53"/>
  <c r="G2951" i="53"/>
  <c r="G1245" i="53"/>
  <c r="G2687" i="53"/>
  <c r="G2807" i="53"/>
  <c r="G429" i="53"/>
  <c r="G2191" i="53"/>
  <c r="G2709" i="53"/>
  <c r="G684" i="53"/>
  <c r="G2753" i="53"/>
  <c r="G1454" i="53"/>
  <c r="G502" i="53"/>
  <c r="G2577" i="53"/>
  <c r="G1726" i="53"/>
  <c r="G2565" i="53"/>
  <c r="G2824" i="53"/>
  <c r="G323" i="53"/>
  <c r="G459" i="53"/>
  <c r="G1507" i="53"/>
  <c r="G2691" i="53"/>
  <c r="G2797" i="53"/>
  <c r="G2956" i="53"/>
  <c r="G719" i="53"/>
  <c r="G2610" i="53"/>
  <c r="G2428" i="53"/>
  <c r="G2755" i="53"/>
  <c r="G2317" i="53"/>
  <c r="G1993" i="53"/>
  <c r="G2083" i="53"/>
  <c r="G2714" i="53"/>
  <c r="G594" i="53"/>
  <c r="G434" i="53"/>
  <c r="G2767" i="53"/>
  <c r="G1374" i="53"/>
  <c r="G2446" i="53"/>
  <c r="G2695" i="53"/>
  <c r="G222" i="53"/>
  <c r="G2808" i="53"/>
  <c r="G1439" i="53"/>
  <c r="G2707" i="53"/>
  <c r="G413" i="53"/>
  <c r="G1956" i="53"/>
  <c r="G2759" i="53"/>
  <c r="G2964" i="53"/>
  <c r="G2519" i="53"/>
  <c r="G2508" i="53"/>
  <c r="G2203" i="53"/>
  <c r="G2721" i="53"/>
  <c r="G2365" i="53"/>
  <c r="G2290" i="53"/>
  <c r="G2944" i="53"/>
  <c r="G2242" i="53"/>
  <c r="G2524" i="53"/>
  <c r="G2728" i="53"/>
  <c r="G1760" i="53"/>
  <c r="G1067" i="53"/>
  <c r="G182" i="53"/>
  <c r="G452" i="53"/>
  <c r="G688" i="53"/>
  <c r="G915" i="53"/>
  <c r="G2056" i="53"/>
  <c r="G2962" i="53"/>
  <c r="G464" i="53"/>
  <c r="G2553" i="53"/>
  <c r="G2949" i="53"/>
  <c r="G2858" i="53"/>
  <c r="G270" i="53"/>
  <c r="G1754" i="53"/>
  <c r="G2732" i="53"/>
  <c r="G2784" i="53"/>
  <c r="G147" i="53"/>
  <c r="G2946" i="53"/>
  <c r="G2749" i="53"/>
  <c r="G2113" i="53"/>
  <c r="G1520" i="53"/>
  <c r="G2451" i="53"/>
  <c r="G1544" i="53"/>
  <c r="G2750" i="53"/>
  <c r="G3027" i="53"/>
  <c r="G3026" i="53"/>
  <c r="G3033" i="53"/>
  <c r="G3039" i="53"/>
  <c r="G2041" i="53"/>
  <c r="G1541" i="53"/>
  <c r="G1867" i="53"/>
  <c r="G77" i="53"/>
  <c r="G2712" i="53"/>
  <c r="G2561" i="53"/>
  <c r="G1203" i="53"/>
  <c r="G1909" i="53"/>
  <c r="G505" i="53"/>
  <c r="G1954" i="53"/>
  <c r="G2776" i="53"/>
  <c r="G1786" i="53"/>
  <c r="G2328" i="53"/>
  <c r="G1321" i="53"/>
  <c r="G1169" i="53"/>
  <c r="G2125" i="53"/>
  <c r="G2517" i="53"/>
  <c r="G525" i="53"/>
  <c r="G1878" i="53"/>
  <c r="G1034" i="53"/>
  <c r="G172" i="53"/>
  <c r="G2953" i="53"/>
  <c r="G132" i="53"/>
  <c r="G1615" i="53"/>
  <c r="G2101" i="53"/>
  <c r="G2049" i="53"/>
  <c r="G2300" i="53"/>
  <c r="G1714" i="53"/>
  <c r="G2786" i="53"/>
  <c r="G1415" i="53"/>
  <c r="G1153" i="53"/>
  <c r="G1392" i="53"/>
  <c r="G1930" i="53"/>
  <c r="G314" i="53"/>
  <c r="G2827" i="53"/>
  <c r="G2037" i="53"/>
  <c r="G2765" i="53"/>
  <c r="G2826" i="53"/>
  <c r="G2820" i="53"/>
  <c r="G1126" i="53"/>
  <c r="G2731" i="53"/>
  <c r="G757" i="53"/>
  <c r="G704" i="53"/>
  <c r="G2188" i="53"/>
  <c r="G1890" i="53"/>
  <c r="G1712" i="53"/>
  <c r="G821" i="53"/>
  <c r="G2715" i="53"/>
  <c r="G1881" i="53"/>
  <c r="G1904" i="53"/>
  <c r="G857" i="53"/>
  <c r="G2253" i="53"/>
  <c r="G1103" i="53"/>
  <c r="G1838" i="53"/>
  <c r="G2867" i="53"/>
  <c r="G833" i="53"/>
  <c r="G787" i="53"/>
  <c r="G867" i="53"/>
  <c r="G2701" i="53"/>
  <c r="G1201" i="53"/>
  <c r="G2881" i="53"/>
  <c r="G2719" i="53"/>
  <c r="G660" i="53"/>
  <c r="G2780" i="53"/>
  <c r="G234" i="53"/>
  <c r="G2690" i="53"/>
  <c r="G739" i="53"/>
  <c r="G61" i="53"/>
  <c r="G1377" i="53"/>
  <c r="G2103" i="53"/>
  <c r="G2771" i="53"/>
  <c r="G2822" i="53"/>
  <c r="G406" i="53"/>
  <c r="G28" i="53"/>
  <c r="G1450" i="53"/>
  <c r="G1172" i="53"/>
  <c r="G1049" i="53"/>
  <c r="G2636" i="53"/>
  <c r="G2215" i="53"/>
  <c r="G1037" i="53"/>
  <c r="G194" i="53"/>
  <c r="G1900" i="53"/>
  <c r="G1302" i="53"/>
  <c r="G2115" i="53"/>
  <c r="G519" i="53"/>
  <c r="G2589" i="53"/>
  <c r="G763" i="53"/>
  <c r="G2892" i="53"/>
  <c r="G2386" i="53"/>
  <c r="G1105" i="53"/>
  <c r="G2652" i="53"/>
  <c r="G2148" i="53"/>
  <c r="G980" i="53"/>
  <c r="G2202" i="53"/>
  <c r="G2321" i="53"/>
  <c r="G1671" i="53"/>
  <c r="G2608" i="53"/>
  <c r="G322" i="53"/>
  <c r="G1395" i="53"/>
  <c r="G2648" i="53"/>
  <c r="G472" i="53"/>
  <c r="G964" i="53"/>
  <c r="G1870" i="53"/>
  <c r="G1657" i="53"/>
  <c r="G2367" i="53"/>
  <c r="G1895" i="53"/>
  <c r="G2417" i="53"/>
  <c r="G573" i="53"/>
  <c r="G2326" i="53"/>
  <c r="G2459" i="53"/>
  <c r="G781" i="53"/>
  <c r="G246" i="53"/>
  <c r="G2846" i="53"/>
  <c r="G2852" i="53"/>
  <c r="G2324" i="53"/>
  <c r="G1489" i="53"/>
  <c r="G2611" i="53"/>
  <c r="G769" i="53"/>
  <c r="G2779" i="53"/>
  <c r="G93" i="53"/>
  <c r="G2882" i="53"/>
  <c r="G2572" i="53"/>
  <c r="G657" i="53"/>
  <c r="G236" i="53"/>
  <c r="G1206" i="53"/>
  <c r="G1197" i="53"/>
  <c r="G308" i="53"/>
  <c r="G2856" i="53"/>
  <c r="G1982" i="53"/>
  <c r="G1350" i="53"/>
  <c r="G2489" i="53"/>
  <c r="G2598" i="53"/>
  <c r="G629" i="53"/>
  <c r="G2425" i="53"/>
  <c r="G2768" i="53"/>
  <c r="G2393" i="53"/>
  <c r="G200" i="53"/>
  <c r="G2219" i="53"/>
  <c r="G2145" i="53"/>
  <c r="G2843" i="53"/>
  <c r="G522" i="53"/>
  <c r="G1166" i="53"/>
  <c r="G1091" i="53"/>
  <c r="G2945" i="53"/>
  <c r="G2047" i="53"/>
  <c r="G1498" i="53"/>
  <c r="G2769" i="53"/>
  <c r="G62" i="53"/>
  <c r="G2683" i="53"/>
  <c r="G139" i="53"/>
  <c r="G2263" i="53"/>
  <c r="G284" i="53"/>
  <c r="G404" i="53"/>
  <c r="G250" i="53"/>
  <c r="G2832" i="53"/>
  <c r="G2957" i="53"/>
  <c r="G2847" i="53"/>
  <c r="G2167" i="53"/>
  <c r="G1926" i="53"/>
  <c r="G2948" i="53"/>
  <c r="G2711" i="53"/>
  <c r="G1661" i="53"/>
  <c r="G2427" i="53"/>
  <c r="G2503" i="53"/>
  <c r="G2993" i="53"/>
  <c r="G258" i="53"/>
  <c r="G14" i="53"/>
  <c r="G1995" i="53"/>
  <c r="G1146" i="53"/>
  <c r="G35" i="53"/>
  <c r="G3029" i="53"/>
  <c r="G2483" i="53"/>
  <c r="G487" i="53"/>
  <c r="G2540" i="53"/>
  <c r="G2013" i="53"/>
  <c r="G1951" i="53"/>
  <c r="G3037" i="53"/>
  <c r="G3044" i="53"/>
  <c r="G3041" i="53"/>
  <c r="G796" i="53"/>
  <c r="G2857" i="53"/>
  <c r="G2950" i="53"/>
  <c r="G2972" i="53"/>
  <c r="G3035" i="53"/>
  <c r="G3047" i="53"/>
  <c r="G3048" i="53"/>
  <c r="G2985" i="53"/>
  <c r="G3064" i="53"/>
  <c r="G3062" i="53"/>
  <c r="G3070" i="53"/>
  <c r="G3063" i="53"/>
  <c r="G3071" i="53"/>
  <c r="G3069" i="53"/>
  <c r="G3072" i="53"/>
  <c r="G3065" i="53"/>
  <c r="G3077" i="53"/>
  <c r="G3059" i="53"/>
  <c r="G3099" i="53"/>
  <c r="G3091" i="53"/>
  <c r="G3083" i="53"/>
  <c r="G3100" i="53"/>
  <c r="G3092" i="53"/>
  <c r="G3084" i="53"/>
  <c r="G3097" i="53"/>
  <c r="G3089" i="53"/>
  <c r="G3081" i="53"/>
  <c r="G3090" i="53"/>
  <c r="G3082" i="53"/>
  <c r="G1089" i="53"/>
  <c r="G2441" i="53"/>
  <c r="G508" i="53"/>
  <c r="G104" i="53"/>
  <c r="G1619" i="53"/>
  <c r="G2777" i="53"/>
  <c r="G1251" i="53"/>
  <c r="G1893" i="53"/>
  <c r="G2734" i="53"/>
  <c r="G897" i="53"/>
  <c r="G2001" i="53"/>
  <c r="G1016" i="53"/>
  <c r="G3034" i="53"/>
  <c r="G2872" i="53"/>
  <c r="G520" i="53"/>
  <c r="G1750" i="53"/>
  <c r="G2651" i="53"/>
  <c r="G3031" i="53"/>
  <c r="G2350" i="53"/>
  <c r="G1887" i="53"/>
  <c r="G1227" i="53"/>
  <c r="G1305" i="53"/>
  <c r="G219" i="53"/>
  <c r="G478" i="53"/>
  <c r="G215" i="53"/>
  <c r="G1731" i="53"/>
  <c r="G1815" i="53"/>
  <c r="G2218" i="53"/>
  <c r="G338" i="53"/>
  <c r="G624" i="53"/>
  <c r="G3043" i="53"/>
  <c r="G3045" i="53"/>
  <c r="G3042" i="53"/>
  <c r="G3040" i="53"/>
  <c r="G2891" i="53"/>
  <c r="G2971" i="53"/>
  <c r="G2979" i="53"/>
  <c r="G2522" i="53"/>
  <c r="G3058" i="53"/>
  <c r="G3066" i="53"/>
  <c r="G3074" i="53"/>
  <c r="G3067" i="53"/>
  <c r="G3075" i="53"/>
  <c r="G3061" i="53"/>
  <c r="G3076" i="53"/>
  <c r="G3060" i="53"/>
  <c r="G3068" i="53"/>
  <c r="G3073" i="53"/>
  <c r="G3095" i="53"/>
  <c r="G3087" i="53"/>
  <c r="G3079" i="53"/>
  <c r="G3096" i="53"/>
  <c r="G3088" i="53"/>
  <c r="G3080" i="53"/>
  <c r="G3093" i="53"/>
  <c r="G3085" i="53"/>
  <c r="G3094" i="53"/>
  <c r="G3086" i="53"/>
  <c r="G3078" i="53"/>
  <c r="G3103" i="53"/>
  <c r="G3173" i="53"/>
  <c r="G3169" i="53"/>
  <c r="G3165" i="53"/>
  <c r="G3161" i="53"/>
  <c r="G3157" i="53"/>
  <c r="G3153" i="53"/>
  <c r="G3149" i="53"/>
  <c r="G3145" i="53"/>
  <c r="G3141" i="53"/>
  <c r="G3137" i="53"/>
  <c r="G3133" i="53"/>
  <c r="G3129" i="53"/>
  <c r="G3121" i="53"/>
  <c r="G3117" i="53"/>
  <c r="G3174" i="53"/>
  <c r="G3170" i="53"/>
  <c r="G3166" i="53"/>
  <c r="G3162" i="53"/>
  <c r="G3158" i="53"/>
  <c r="G3154" i="53"/>
  <c r="G3150" i="53"/>
  <c r="G3146" i="53"/>
  <c r="G3142" i="53"/>
  <c r="G3138" i="53"/>
  <c r="G3134" i="53"/>
  <c r="G3130" i="53"/>
  <c r="G3126" i="53"/>
  <c r="G3122" i="53"/>
  <c r="G3118" i="53"/>
  <c r="G3115" i="53"/>
  <c r="G3113" i="53"/>
  <c r="G3111" i="53"/>
  <c r="G3109" i="53"/>
  <c r="G3107" i="53"/>
  <c r="G3105" i="53"/>
  <c r="G3102" i="53"/>
  <c r="G3101" i="53"/>
  <c r="G3175" i="53"/>
  <c r="G3171" i="53"/>
  <c r="G3167" i="53"/>
  <c r="G3163" i="53"/>
  <c r="G3159" i="53"/>
  <c r="G3155" i="53"/>
  <c r="G3151" i="53"/>
  <c r="G3147" i="53"/>
  <c r="G3143" i="53"/>
  <c r="G3139" i="53"/>
  <c r="G3135" i="53"/>
  <c r="G3127" i="53"/>
  <c r="G3123" i="53"/>
  <c r="G3119" i="53"/>
  <c r="G3176" i="53"/>
  <c r="G3172" i="53"/>
  <c r="G3168" i="53"/>
  <c r="G3164" i="53"/>
  <c r="G3160" i="53"/>
  <c r="G3156" i="53"/>
  <c r="G3152" i="53"/>
  <c r="G3148" i="53"/>
  <c r="G3144" i="53"/>
  <c r="G3140" i="53"/>
  <c r="G3132" i="53"/>
  <c r="G3128" i="53"/>
  <c r="G3124" i="53"/>
  <c r="G3120" i="53"/>
  <c r="G3116" i="53"/>
  <c r="G3114" i="53"/>
  <c r="G3112" i="53"/>
  <c r="G3110" i="53"/>
  <c r="G3108" i="53"/>
  <c r="G3106" i="53"/>
  <c r="G3104" i="53"/>
  <c r="G1746" i="53" l="1"/>
  <c r="G2086" i="53"/>
  <c r="G725" i="53"/>
  <c r="G2537" i="53"/>
  <c r="G1974" i="53"/>
  <c r="G2644" i="53"/>
  <c r="G1882" i="53"/>
  <c r="G1249" i="53"/>
  <c r="G3" i="53"/>
  <c r="G2107" i="53"/>
  <c r="G799" i="53"/>
  <c r="G249" i="53"/>
  <c r="G1097" i="53"/>
  <c r="G167" i="53"/>
  <c r="G57" i="53"/>
  <c r="G1483" i="53"/>
  <c r="G165" i="53"/>
  <c r="G1800" i="53"/>
  <c r="G138" i="53"/>
  <c r="G2172" i="53"/>
  <c r="G810" i="53"/>
  <c r="G1965" i="53"/>
  <c r="G2615" i="53"/>
  <c r="G820" i="53"/>
  <c r="G1303" i="53"/>
  <c r="G1564" i="53"/>
  <c r="G2268" i="53"/>
  <c r="G213" i="53"/>
  <c r="G367" i="53"/>
  <c r="G1644" i="53"/>
  <c r="G2045" i="53"/>
  <c r="G1115" i="53"/>
  <c r="G144" i="53"/>
  <c r="G2464" i="53"/>
  <c r="G3021" i="53"/>
  <c r="G1174" i="53"/>
  <c r="G578" i="53"/>
  <c r="G2998" i="53"/>
  <c r="G2999" i="53"/>
  <c r="G2974" i="53"/>
  <c r="G243" i="53"/>
  <c r="G1889" i="53"/>
  <c r="G1138" i="53"/>
  <c r="G2890" i="53"/>
  <c r="G1441" i="53"/>
  <c r="G1083" i="53"/>
  <c r="G453" i="53"/>
  <c r="G1609" i="53"/>
  <c r="G2209" i="53"/>
  <c r="G936" i="53"/>
  <c r="G1229" i="53"/>
  <c r="G2265" i="53"/>
  <c r="G316" i="53"/>
  <c r="G585" i="53"/>
  <c r="G1623" i="53"/>
  <c r="G1010" i="53"/>
  <c r="G1269" i="53"/>
  <c r="G176" i="53"/>
  <c r="G1513" i="53"/>
  <c r="G2587" i="53"/>
  <c r="G1778" i="53"/>
  <c r="G632" i="53"/>
  <c r="G2018" i="53"/>
  <c r="G1250" i="53"/>
  <c r="G307" i="53"/>
  <c r="G2357" i="53"/>
  <c r="G458" i="53"/>
  <c r="G564" i="53"/>
  <c r="G238" i="53"/>
  <c r="G1844" i="53"/>
  <c r="G1459" i="53"/>
  <c r="G2099" i="53"/>
  <c r="G1583" i="53"/>
  <c r="G2633" i="53"/>
  <c r="G934" i="53"/>
  <c r="G1973" i="53"/>
  <c r="G116" i="53"/>
  <c r="G9" i="53"/>
  <c r="G2348" i="53"/>
  <c r="G1518" i="53"/>
  <c r="G2423" i="53"/>
  <c r="G1740" i="53"/>
  <c r="G2338" i="53"/>
  <c r="G2079" i="53"/>
  <c r="G1679" i="53"/>
  <c r="G895" i="53"/>
  <c r="G1553" i="53"/>
  <c r="G760" i="53"/>
  <c r="G1221" i="53"/>
  <c r="G228" i="53"/>
  <c r="G265" i="53"/>
  <c r="G2996" i="53"/>
  <c r="G2090" i="53"/>
  <c r="G1058" i="53"/>
  <c r="G2986" i="53"/>
  <c r="G3022" i="53"/>
  <c r="G554" i="53"/>
  <c r="G3007" i="53"/>
  <c r="G1029" i="53"/>
  <c r="G1574" i="53"/>
  <c r="G2992" i="53"/>
  <c r="G223" i="53"/>
  <c r="G729" i="53"/>
  <c r="G152" i="53"/>
  <c r="G1578" i="53"/>
  <c r="G1530" i="53"/>
  <c r="G1967" i="53"/>
  <c r="G1952" i="53"/>
  <c r="G619" i="53"/>
  <c r="G2335" i="53"/>
  <c r="G2416" i="53"/>
  <c r="G885" i="53"/>
  <c r="G302" i="53"/>
  <c r="G456" i="53"/>
  <c r="G600" i="53"/>
  <c r="G1385" i="53"/>
  <c r="G1331" i="53"/>
  <c r="G880" i="53"/>
  <c r="G655" i="53"/>
  <c r="G1939" i="53"/>
  <c r="G1344" i="53"/>
  <c r="G488" i="53"/>
  <c r="G411" i="53"/>
  <c r="G700" i="53"/>
  <c r="G2955" i="53"/>
  <c r="G2548" i="53"/>
  <c r="G2515" i="53"/>
  <c r="G837" i="53"/>
  <c r="G699" i="53"/>
  <c r="G2014" i="53"/>
  <c r="G1772" i="53"/>
  <c r="G2516" i="53"/>
  <c r="G515" i="53"/>
  <c r="G2073" i="53"/>
  <c r="G2859" i="53"/>
  <c r="G1314" i="53"/>
  <c r="G1976" i="53"/>
  <c r="G1509" i="53"/>
  <c r="G2725" i="53"/>
  <c r="G1727" i="53"/>
  <c r="G397" i="53"/>
  <c r="G1648" i="53"/>
  <c r="G685" i="53"/>
  <c r="G1235" i="53"/>
  <c r="G1463" i="53"/>
  <c r="G806" i="53"/>
  <c r="G2281" i="53"/>
  <c r="G2205" i="53"/>
  <c r="G1672" i="53"/>
  <c r="G991" i="53"/>
  <c r="G1128" i="53"/>
  <c r="G1968" i="53"/>
  <c r="G2863" i="53"/>
  <c r="G162" i="53"/>
  <c r="G2688" i="53"/>
  <c r="G492" i="53"/>
  <c r="G510" i="53"/>
  <c r="G877" i="53"/>
  <c r="G2434" i="53"/>
  <c r="G2960" i="53"/>
  <c r="G2440" i="53"/>
  <c r="G1505" i="53"/>
  <c r="G1223" i="53"/>
  <c r="G2591" i="53"/>
  <c r="G1416" i="53"/>
  <c r="G2378" i="53"/>
  <c r="G1999" i="53"/>
  <c r="G2954" i="53"/>
  <c r="G1076" i="53"/>
  <c r="G2895" i="53"/>
  <c r="G514" i="53"/>
  <c r="G1215" i="53"/>
  <c r="G758" i="53"/>
  <c r="G73" i="53"/>
  <c r="G1057" i="53"/>
  <c r="G1842" i="53"/>
  <c r="G2804" i="53"/>
  <c r="G2885" i="53"/>
  <c r="G818" i="53"/>
  <c r="G2555" i="53"/>
  <c r="G128" i="53"/>
  <c r="G2883" i="53"/>
  <c r="G1706" i="53"/>
  <c r="G421" i="53"/>
  <c r="G2376" i="53"/>
  <c r="G1287" i="53"/>
  <c r="G1440" i="53"/>
  <c r="G373" i="53"/>
  <c r="G1698" i="53"/>
  <c r="G563" i="53"/>
  <c r="G2180" i="53"/>
  <c r="G1946" i="53"/>
  <c r="G160" i="53"/>
  <c r="G2493" i="53"/>
  <c r="G1955" i="53"/>
  <c r="G2059" i="53"/>
  <c r="G1375" i="53"/>
  <c r="G2500" i="53"/>
  <c r="G509" i="53"/>
  <c r="G1007" i="53"/>
  <c r="G2696" i="53"/>
  <c r="G941" i="53"/>
  <c r="G1281" i="53"/>
  <c r="G2788" i="53"/>
  <c r="G1333" i="53"/>
  <c r="G153" i="53"/>
  <c r="G2854" i="53"/>
  <c r="G2698" i="53"/>
  <c r="G608" i="53"/>
  <c r="G353" i="53"/>
  <c r="G454" i="53"/>
  <c r="G575" i="53"/>
  <c r="G1275" i="53"/>
  <c r="G275" i="53"/>
  <c r="G2087" i="53"/>
  <c r="G814" i="53"/>
  <c r="G1627" i="53"/>
  <c r="G34" i="53"/>
  <c r="G2830" i="53"/>
  <c r="G1612" i="53"/>
  <c r="G2529" i="53"/>
  <c r="G1175" i="53"/>
  <c r="G1992" i="53"/>
  <c r="G130" i="53"/>
  <c r="G1274" i="53"/>
  <c r="G1445" i="53"/>
  <c r="G797" i="53"/>
  <c r="G743" i="53"/>
  <c r="G1813" i="53"/>
  <c r="G2756" i="53"/>
  <c r="G1390" i="53"/>
  <c r="G1810" i="53"/>
  <c r="G1443" i="53"/>
  <c r="G2571" i="53"/>
  <c r="G2787" i="53"/>
  <c r="G2114" i="53"/>
  <c r="G208" i="53"/>
  <c r="G1063" i="53"/>
  <c r="G2487" i="53"/>
  <c r="G148" i="53"/>
  <c r="G673" i="53"/>
  <c r="G189" i="53"/>
  <c r="G2738" i="53"/>
  <c r="G54" i="53"/>
  <c r="G792" i="53"/>
  <c r="G1154" i="53"/>
  <c r="G2261" i="53"/>
  <c r="G1605" i="53"/>
  <c r="G2716" i="53"/>
  <c r="G482" i="53"/>
  <c r="G2435" i="53"/>
  <c r="G2718" i="53"/>
  <c r="G192" i="53"/>
  <c r="G2600" i="53"/>
  <c r="G3038" i="53"/>
  <c r="G3024" i="53"/>
  <c r="G616" i="53"/>
  <c r="G1733" i="53"/>
  <c r="G1137" i="53"/>
  <c r="G1170" i="53"/>
  <c r="G2293" i="53"/>
  <c r="G358" i="53"/>
  <c r="G2735" i="53"/>
  <c r="G2811" i="53"/>
  <c r="G2965" i="53"/>
  <c r="G651" i="53"/>
  <c r="G3032" i="53"/>
  <c r="G2844" i="53"/>
  <c r="G2166" i="53"/>
  <c r="G2015" i="53"/>
  <c r="G1035" i="53"/>
  <c r="G625" i="53"/>
  <c r="G1902" i="53"/>
  <c r="G2801" i="53"/>
  <c r="G2299" i="53"/>
  <c r="G2794" i="53"/>
  <c r="G2762" i="53"/>
  <c r="G2404" i="53"/>
  <c r="G1896" i="53"/>
  <c r="G2507" i="53"/>
  <c r="G2456" i="53"/>
  <c r="G2449" i="53"/>
  <c r="G1444" i="53"/>
  <c r="G1472" i="53"/>
  <c r="G1742" i="53"/>
  <c r="G2485" i="53"/>
  <c r="G2174" i="53"/>
  <c r="G1381" i="53"/>
  <c r="G2187" i="53"/>
  <c r="G1452" i="53"/>
  <c r="G474" i="53"/>
  <c r="G1514" i="53"/>
  <c r="G480" i="53"/>
  <c r="G711" i="53"/>
  <c r="G2530" i="53"/>
  <c r="G2442" i="53"/>
  <c r="G418" i="53"/>
  <c r="G2230" i="53"/>
  <c r="G2724" i="53"/>
  <c r="G157" i="53"/>
  <c r="G1092" i="53"/>
  <c r="G3019" i="53"/>
  <c r="G1736" i="53"/>
  <c r="G3008" i="53"/>
  <c r="G3009" i="53"/>
  <c r="G2372" i="53"/>
  <c r="G1156" i="53"/>
  <c r="G2131" i="53"/>
  <c r="G3011" i="53"/>
  <c r="G1996" i="53"/>
  <c r="G849" i="53"/>
  <c r="G1849" i="53"/>
  <c r="G1790" i="53"/>
  <c r="G1808" i="53"/>
  <c r="G1140" i="53"/>
  <c r="G2048" i="53"/>
  <c r="G1806" i="53"/>
  <c r="G1136" i="53"/>
  <c r="G2150" i="53"/>
  <c r="G1947" i="53"/>
  <c r="G637" i="53"/>
  <c r="G1033" i="53"/>
  <c r="G2038" i="53"/>
  <c r="G1606" i="53"/>
  <c r="G1102" i="53"/>
  <c r="G1737" i="53"/>
  <c r="G490" i="53"/>
  <c r="G1125" i="53"/>
  <c r="G1062" i="53"/>
  <c r="G1966" i="53"/>
  <c r="G1512" i="53"/>
  <c r="G1758" i="53"/>
  <c r="G2051" i="53"/>
  <c r="G3036" i="53"/>
  <c r="G3030" i="53"/>
  <c r="G2539" i="53"/>
  <c r="G2022" i="53"/>
  <c r="G2504" i="53"/>
  <c r="G592" i="53"/>
  <c r="G1487" i="53"/>
  <c r="G2545" i="53"/>
  <c r="G613" i="53"/>
  <c r="G255" i="53"/>
  <c r="G335" i="53"/>
  <c r="G3025" i="53"/>
  <c r="G2743" i="53"/>
  <c r="G2966" i="53"/>
  <c r="G2547" i="53"/>
  <c r="G438" i="53"/>
  <c r="G498" i="53"/>
  <c r="G2353" i="53"/>
  <c r="G1917" i="53"/>
  <c r="G312" i="53"/>
  <c r="G531" i="53"/>
  <c r="G2327" i="53"/>
  <c r="G1408" i="53"/>
  <c r="G149" i="53"/>
  <c r="G1669" i="53"/>
  <c r="G2692" i="53"/>
  <c r="G2266" i="53"/>
  <c r="G2472" i="53"/>
  <c r="G1337" i="53"/>
  <c r="G1915" i="53"/>
  <c r="G1495" i="53"/>
  <c r="G1516" i="53"/>
  <c r="G319" i="53"/>
  <c r="G2406" i="53"/>
  <c r="G2217" i="53"/>
  <c r="G1504" i="53"/>
  <c r="G961" i="53"/>
  <c r="G2513" i="53"/>
  <c r="G2981" i="53"/>
  <c r="G239" i="53"/>
  <c r="G2134" i="53"/>
  <c r="G2748" i="53"/>
  <c r="G3014" i="53"/>
  <c r="G2994" i="53"/>
  <c r="G1493" i="53"/>
  <c r="G479" i="53"/>
  <c r="G2969" i="53"/>
  <c r="G1834" i="53"/>
  <c r="G2093" i="53"/>
  <c r="G1684" i="53"/>
  <c r="G79" i="53"/>
  <c r="G2162" i="53"/>
  <c r="G1430" i="53"/>
  <c r="G982" i="53"/>
  <c r="G1446" i="53"/>
  <c r="G2499" i="53"/>
  <c r="G2603" i="53"/>
  <c r="G1694" i="53"/>
  <c r="G2470" i="53"/>
  <c r="G1685" i="53"/>
  <c r="G1921" i="53"/>
  <c r="G1359" i="53"/>
  <c r="G866" i="53"/>
  <c r="G1821" i="53"/>
  <c r="G252" i="53"/>
  <c r="G2222" i="53"/>
  <c r="G1014" i="53"/>
  <c r="G2137" i="53"/>
  <c r="G1230" i="53"/>
  <c r="G212" i="53"/>
  <c r="G448" i="53"/>
  <c r="G1358" i="53"/>
  <c r="G2989" i="53"/>
  <c r="G2967" i="53"/>
  <c r="G2311" i="53"/>
  <c r="G3013" i="53"/>
  <c r="G298" i="53"/>
  <c r="G1149" i="53"/>
  <c r="G2480" i="53"/>
  <c r="G678" i="53"/>
  <c r="G31" i="53"/>
  <c r="G536" i="53"/>
  <c r="G973" i="53"/>
  <c r="G1957" i="53"/>
  <c r="G898" i="53"/>
  <c r="G393" i="53"/>
  <c r="G1872" i="53"/>
  <c r="G11" i="53"/>
  <c r="G798" i="53"/>
  <c r="G2802" i="53"/>
  <c r="G1819" i="53"/>
  <c r="G2270" i="53"/>
  <c r="G2085" i="53"/>
  <c r="G929" i="53"/>
  <c r="G350" i="53"/>
  <c r="G947" i="53"/>
  <c r="G2819" i="53"/>
  <c r="G1508" i="53"/>
  <c r="G1603" i="53"/>
  <c r="G446" i="53"/>
  <c r="G847" i="53"/>
  <c r="G2368" i="53"/>
  <c r="G1055" i="53"/>
  <c r="G893" i="53"/>
  <c r="G728" i="53"/>
  <c r="G2613" i="53"/>
  <c r="G1470" i="53"/>
  <c r="G1879" i="53"/>
  <c r="G1625" i="53"/>
  <c r="G2531" i="53"/>
  <c r="G900" i="53"/>
  <c r="G524" i="53"/>
  <c r="G2358" i="53"/>
  <c r="G1188" i="53"/>
  <c r="G1027" i="53"/>
  <c r="G1003" i="53"/>
  <c r="G2155" i="53"/>
  <c r="G815" i="53"/>
  <c r="G2152" i="53"/>
  <c r="G553" i="53"/>
  <c r="G1873" i="53"/>
  <c r="G2201" i="53"/>
  <c r="G1360" i="53"/>
  <c r="G2369" i="53"/>
  <c r="G710" i="53"/>
  <c r="G414" i="53"/>
  <c r="G2303" i="53"/>
  <c r="G1920" i="53"/>
  <c r="G1496" i="53"/>
  <c r="G701" i="53"/>
  <c r="G2562" i="53"/>
  <c r="G1715" i="53"/>
  <c r="G506" i="53"/>
  <c r="G1837" i="53"/>
  <c r="G1422" i="53"/>
  <c r="G2576" i="53"/>
  <c r="G324" i="53"/>
  <c r="G920" i="53"/>
  <c r="G2461" i="53"/>
  <c r="G76" i="53"/>
  <c r="G2190" i="53"/>
  <c r="G1782" i="53"/>
  <c r="G1449" i="53"/>
  <c r="G2411" i="53"/>
  <c r="G565" i="53"/>
  <c r="G2269" i="53"/>
  <c r="G178" i="53"/>
  <c r="G328" i="53"/>
  <c r="G407" i="53"/>
  <c r="G2159" i="53"/>
  <c r="G1998" i="53"/>
  <c r="G2383" i="53"/>
  <c r="G772" i="53"/>
  <c r="G943" i="53"/>
  <c r="G1335" i="53"/>
  <c r="G1738" i="53"/>
  <c r="G848" i="53"/>
  <c r="G484" i="53"/>
  <c r="G677" i="53"/>
  <c r="G1009" i="53"/>
  <c r="G1005" i="53"/>
  <c r="G317" i="53"/>
  <c r="G179" i="53"/>
  <c r="G918" i="53"/>
  <c r="G24" i="53"/>
  <c r="G3001" i="53"/>
  <c r="G2200" i="53"/>
  <c r="G1835" i="53"/>
  <c r="G2192" i="53"/>
  <c r="G913" i="53"/>
  <c r="G2226" i="53"/>
  <c r="G1560" i="53"/>
  <c r="G944" i="53"/>
  <c r="G2407" i="53"/>
  <c r="G263" i="53"/>
  <c r="G1144" i="53"/>
  <c r="G1948" i="53"/>
  <c r="G2420" i="53"/>
  <c r="G1222" i="53"/>
  <c r="G1423" i="53"/>
  <c r="G2306" i="53"/>
  <c r="G1328" i="53"/>
  <c r="G303" i="53"/>
  <c r="G1573" i="53"/>
  <c r="G839" i="53"/>
  <c r="G1460" i="53"/>
  <c r="G825" i="53"/>
  <c r="G251" i="53"/>
  <c r="G2398" i="53"/>
  <c r="G2023" i="53"/>
  <c r="G198" i="53"/>
  <c r="G1876" i="53"/>
  <c r="G36" i="53"/>
  <c r="G1859" i="53"/>
  <c r="G1171" i="53"/>
  <c r="G1073" i="53"/>
  <c r="G1398" i="53"/>
  <c r="G3002" i="53"/>
  <c r="G33" i="53"/>
  <c r="G2970" i="53"/>
  <c r="G3000" i="53"/>
  <c r="G3012" i="53"/>
  <c r="G2973" i="53"/>
  <c r="G1370" i="53"/>
  <c r="G3020" i="53"/>
  <c r="G2527" i="53"/>
  <c r="G1490" i="53"/>
  <c r="G808" i="53"/>
  <c r="G2630" i="53"/>
  <c r="G1218" i="53"/>
  <c r="G425" i="53"/>
  <c r="G2102" i="53"/>
  <c r="G444" i="53"/>
  <c r="G2004" i="53"/>
  <c r="G64" i="53"/>
  <c r="G1611" i="53"/>
  <c r="G2422" i="53"/>
  <c r="G2267" i="53"/>
  <c r="G84" i="53"/>
  <c r="G1984" i="53"/>
  <c r="G2497" i="53"/>
  <c r="G489" i="53"/>
  <c r="G892" i="53"/>
  <c r="G1950" i="53"/>
  <c r="G431" i="53"/>
  <c r="G1413" i="53"/>
  <c r="G1667" i="53"/>
  <c r="G1652" i="53"/>
  <c r="G551" i="53"/>
  <c r="G2638" i="53"/>
  <c r="G2319" i="53"/>
  <c r="G410" i="53"/>
  <c r="G241" i="53"/>
  <c r="G1643" i="53"/>
  <c r="G928" i="53"/>
  <c r="G65" i="53"/>
  <c r="G838" i="53"/>
  <c r="G1771" i="53"/>
  <c r="G206" i="53"/>
  <c r="G962" i="53"/>
  <c r="G44" i="53"/>
  <c r="G380" i="53"/>
  <c r="G378" i="53"/>
  <c r="G2355" i="53"/>
  <c r="G341" i="53"/>
  <c r="G737" i="53"/>
  <c r="G2171" i="53"/>
  <c r="G1292" i="53"/>
  <c r="G1500" i="53"/>
  <c r="G2586" i="53"/>
  <c r="G1777" i="53"/>
  <c r="G1949" i="53"/>
  <c r="G1024" i="53"/>
  <c r="G205" i="53"/>
  <c r="G395" i="53"/>
  <c r="G1748" i="53"/>
  <c r="G2542" i="53"/>
  <c r="G1581" i="53"/>
  <c r="G2511" i="53"/>
  <c r="G2415" i="53"/>
  <c r="G253" i="53"/>
  <c r="G1781" i="53"/>
  <c r="G663" i="53"/>
  <c r="G2142" i="53"/>
  <c r="G2574" i="53"/>
  <c r="G2294" i="53"/>
  <c r="G1190" i="53"/>
  <c r="G2329" i="53"/>
  <c r="G1038" i="53"/>
  <c r="G1503" i="53"/>
  <c r="G2118" i="53"/>
  <c r="G1157" i="53"/>
  <c r="G361" i="53"/>
  <c r="G2314" i="53"/>
  <c r="G1586" i="53"/>
  <c r="G1556" i="53"/>
  <c r="G56" i="53"/>
  <c r="G106" i="53"/>
  <c r="G2034" i="53"/>
  <c r="G1176" i="53"/>
  <c r="G7" i="53"/>
  <c r="G1964" i="53"/>
  <c r="G639" i="53"/>
  <c r="G2024" i="53"/>
  <c r="G1159" i="53"/>
  <c r="G1455" i="53"/>
  <c r="G209" i="53"/>
  <c r="G1082" i="53"/>
  <c r="G376" i="53"/>
  <c r="G1019" i="53"/>
  <c r="G906" i="53"/>
  <c r="G2597" i="53"/>
  <c r="G1635" i="53"/>
  <c r="G124" i="53"/>
  <c r="G354" i="53"/>
  <c r="G369" i="53"/>
  <c r="G399" i="53"/>
  <c r="G966" i="53"/>
  <c r="G1568" i="53"/>
  <c r="G1645" i="53"/>
  <c r="G1113" i="53"/>
  <c r="G1293" i="53"/>
  <c r="G3016" i="53"/>
  <c r="G2747" i="53"/>
  <c r="G2560" i="53"/>
  <c r="G2604" i="53"/>
  <c r="G865" i="53"/>
  <c r="G1264" i="53"/>
  <c r="G1558" i="53"/>
  <c r="G1306" i="53"/>
  <c r="G1056" i="53"/>
  <c r="G724" i="53"/>
  <c r="G278" i="53"/>
  <c r="G2129" i="53"/>
  <c r="G2382" i="53"/>
  <c r="G1232" i="53"/>
  <c r="G1658" i="53"/>
  <c r="G2010" i="53"/>
  <c r="G422" i="53"/>
  <c r="G1854" i="53"/>
  <c r="G679" i="53"/>
  <c r="G2307" i="53"/>
  <c r="G1676" i="53"/>
  <c r="G311" i="53"/>
  <c r="G313" i="53"/>
  <c r="G1397" i="53"/>
  <c r="G762" i="53"/>
  <c r="G1587" i="53"/>
  <c r="G1602" i="53"/>
  <c r="G2494" i="53"/>
  <c r="G2030" i="53"/>
  <c r="G2337" i="53"/>
  <c r="G1311" i="53"/>
  <c r="G963" i="53"/>
  <c r="G384" i="53"/>
  <c r="G656" i="53"/>
  <c r="G1883" i="53"/>
  <c r="G370" i="53"/>
  <c r="G330" i="53"/>
  <c r="G926" i="53"/>
  <c r="G1910" i="53"/>
  <c r="G1013" i="53"/>
  <c r="G1418" i="53"/>
  <c r="G1071" i="53"/>
  <c r="G1402" i="53"/>
  <c r="G1099" i="53"/>
  <c r="G90" i="53"/>
  <c r="G2579" i="53"/>
  <c r="G1139" i="53"/>
  <c r="G1975" i="53"/>
  <c r="G2309" i="53"/>
  <c r="G2575" i="53"/>
  <c r="G2557" i="53"/>
  <c r="G2066" i="53"/>
  <c r="G1405" i="53"/>
  <c r="G1981" i="53"/>
  <c r="G1052" i="53"/>
  <c r="G1332" i="53"/>
  <c r="G1860" i="53"/>
  <c r="G1773" i="53"/>
  <c r="G648" i="53"/>
  <c r="G2356" i="53"/>
  <c r="G2070" i="53"/>
  <c r="G1380" i="53"/>
  <c r="G2121" i="53"/>
  <c r="G2388" i="53"/>
  <c r="G2262" i="53"/>
  <c r="G426" i="53"/>
  <c r="G1466" i="53"/>
  <c r="G1277" i="53"/>
  <c r="G1632" i="53"/>
  <c r="G1764" i="53"/>
  <c r="G3004" i="53"/>
  <c r="G2983" i="53"/>
  <c r="G190" i="53"/>
  <c r="G355" i="53"/>
  <c r="G1713" i="53"/>
  <c r="G1517" i="53"/>
  <c r="G2235" i="53"/>
  <c r="G412" i="53"/>
  <c r="G1417" i="53"/>
  <c r="G1257" i="53"/>
  <c r="G1864" i="53"/>
  <c r="G2488" i="53"/>
  <c r="G2325" i="53"/>
  <c r="G1702" i="53"/>
  <c r="G1134" i="53"/>
  <c r="G1692" i="53"/>
  <c r="G1259" i="53"/>
  <c r="G318" i="53"/>
  <c r="G2609" i="53"/>
  <c r="G1539" i="53"/>
  <c r="G1536" i="53"/>
  <c r="G2410" i="53"/>
  <c r="G294" i="53"/>
  <c r="G989" i="53"/>
  <c r="G2439" i="53"/>
  <c r="G1299" i="53"/>
  <c r="G1932" i="53"/>
  <c r="G1151" i="53"/>
  <c r="G713" i="53"/>
  <c r="G1145" i="53"/>
  <c r="G1768" i="53"/>
  <c r="G1697" i="53"/>
  <c r="G1593" i="53"/>
  <c r="G39" i="53"/>
  <c r="G589" i="53"/>
  <c r="G1945" i="53"/>
  <c r="G680" i="53"/>
  <c r="G1224" i="53"/>
  <c r="G1282" i="53"/>
  <c r="G931" i="53"/>
  <c r="G583" i="53"/>
  <c r="G2091" i="53"/>
  <c r="G1239" i="53"/>
  <c r="G1352" i="53"/>
  <c r="G987" i="53"/>
  <c r="G12" i="53"/>
  <c r="G940" i="53"/>
  <c r="G1022" i="53"/>
  <c r="G2060" i="53"/>
  <c r="G281" i="53"/>
  <c r="G2549" i="53"/>
  <c r="G1971" i="53"/>
  <c r="G1506" i="53"/>
  <c r="G379" i="53"/>
  <c r="G873" i="53"/>
  <c r="G2606" i="53"/>
  <c r="G60" i="53"/>
  <c r="G717" i="53"/>
  <c r="G2839" i="53"/>
  <c r="G2084" i="53"/>
  <c r="G1283" i="53"/>
  <c r="G1267" i="53"/>
  <c r="G1969" i="53"/>
  <c r="G803" i="53"/>
  <c r="G1695" i="53"/>
  <c r="G3005" i="53"/>
  <c r="G151" i="53"/>
  <c r="G1429" i="53"/>
  <c r="G2975" i="53"/>
  <c r="G3018" i="53"/>
  <c r="G2997" i="53"/>
  <c r="G2842" i="53"/>
  <c r="G299" i="53"/>
  <c r="G1346" i="53"/>
  <c r="G1272" i="53"/>
  <c r="G985" i="53"/>
  <c r="G569" i="53"/>
  <c r="G2658" i="53"/>
  <c r="G2641" i="53"/>
  <c r="G2100" i="53"/>
  <c r="G1307" i="53"/>
  <c r="G523" i="53"/>
  <c r="G2029" i="53"/>
  <c r="G534" i="53"/>
  <c r="G1515" i="53"/>
  <c r="G333" i="53"/>
  <c r="G1054" i="53"/>
  <c r="G516" i="53"/>
  <c r="G1675" i="53"/>
  <c r="G1761" i="53"/>
  <c r="G1042" i="53"/>
  <c r="G447" i="53"/>
  <c r="G1631" i="53"/>
  <c r="G1180" i="53"/>
  <c r="G82" i="53"/>
  <c r="G1880" i="53"/>
  <c r="G1043" i="53"/>
  <c r="G2071" i="53"/>
  <c r="G4" i="53"/>
  <c r="G195" i="53"/>
  <c r="G1628" i="53"/>
  <c r="G904" i="53"/>
  <c r="G402" i="53"/>
  <c r="G1680" i="53"/>
  <c r="G1961" i="53"/>
  <c r="G2280" i="53"/>
  <c r="G1784" i="53"/>
  <c r="G1670" i="53"/>
  <c r="G2397" i="53"/>
  <c r="G770" i="53"/>
  <c r="G430" i="53"/>
  <c r="G842" i="53"/>
  <c r="G689" i="53"/>
  <c r="G2363" i="53"/>
  <c r="G296" i="53"/>
  <c r="G749" i="53"/>
  <c r="G91" i="53"/>
  <c r="G1119" i="53"/>
  <c r="G67" i="53"/>
  <c r="G671" i="53"/>
  <c r="G1315" i="53"/>
  <c r="G1836" i="53"/>
  <c r="G295" i="53"/>
  <c r="G1025" i="53"/>
  <c r="G1021" i="53"/>
  <c r="G486" i="53"/>
  <c r="G391" i="53"/>
  <c r="G1943" i="53"/>
  <c r="G465" i="53"/>
  <c r="G2061" i="53"/>
  <c r="G1480" i="53"/>
  <c r="G1546" i="53"/>
  <c r="G1165" i="53"/>
  <c r="G790" i="53"/>
  <c r="G1704" i="53"/>
  <c r="G1110" i="53"/>
  <c r="G1614" i="53"/>
  <c r="G2752" i="53"/>
  <c r="G1196" i="53"/>
  <c r="G2334" i="53"/>
  <c r="G759" i="53"/>
  <c r="G103" i="53"/>
  <c r="G948" i="53"/>
  <c r="G1922" i="53"/>
  <c r="G1941" i="53"/>
  <c r="G288" i="53"/>
  <c r="G2183" i="53"/>
  <c r="G1850" i="53"/>
  <c r="G2211" i="53"/>
  <c r="G1242" i="53"/>
  <c r="G137" i="53"/>
  <c r="G800" i="53"/>
  <c r="G428" i="53"/>
  <c r="G2645" i="53"/>
  <c r="G392" i="53"/>
  <c r="G1590" i="53"/>
  <c r="G1209" i="53"/>
  <c r="G382" i="53"/>
  <c r="G94" i="53"/>
  <c r="G2646" i="53"/>
  <c r="G445" i="53"/>
  <c r="G336" i="53"/>
  <c r="G886" i="53"/>
  <c r="G415" i="53"/>
  <c r="G287" i="53"/>
  <c r="G621" i="53"/>
  <c r="G2538" i="53"/>
  <c r="G2040" i="53"/>
  <c r="G1210" i="53"/>
  <c r="G727" i="53"/>
  <c r="G248" i="53"/>
  <c r="G2075" i="53"/>
  <c r="G878" i="53"/>
  <c r="G1093" i="53"/>
  <c r="G981" i="53"/>
  <c r="G1313" i="53"/>
  <c r="G532" i="53"/>
  <c r="G2154" i="53"/>
  <c r="G1420" i="53"/>
  <c r="G1234" i="53"/>
  <c r="G2614" i="53"/>
  <c r="G1711" i="53"/>
  <c r="G1273" i="53"/>
  <c r="G1122" i="53"/>
  <c r="G1285" i="53"/>
  <c r="G593" i="53"/>
  <c r="G1527" i="53"/>
  <c r="G1550" i="53"/>
  <c r="G2392" i="53"/>
  <c r="G1284" i="53"/>
  <c r="G817" i="53"/>
  <c r="G1004" i="53"/>
  <c r="G2582" i="53"/>
  <c r="G1794" i="53"/>
  <c r="G16" i="53"/>
  <c r="G983" i="53"/>
  <c r="G2408" i="53"/>
  <c r="G1231" i="53"/>
  <c r="G1404" i="53"/>
  <c r="G2259" i="53"/>
  <c r="G1916" i="53"/>
  <c r="G240" i="53"/>
  <c r="G2471" i="53"/>
  <c r="G156" i="53"/>
  <c r="G2990" i="53"/>
  <c r="G894" i="53"/>
  <c r="G988" i="53"/>
  <c r="G2980" i="53"/>
  <c r="G3010" i="53"/>
  <c r="G2251" i="53"/>
  <c r="G664" i="53"/>
  <c r="G3015" i="53"/>
  <c r="G879" i="53"/>
  <c r="G2995" i="53"/>
  <c r="G1734" i="53"/>
  <c r="G2157" i="53"/>
  <c r="G2028" i="53"/>
  <c r="G1905" i="53"/>
  <c r="G2639" i="53"/>
  <c r="G123" i="53"/>
  <c r="G1155" i="53"/>
  <c r="G1244" i="53"/>
  <c r="G2175" i="53"/>
  <c r="G742" i="53"/>
  <c r="G1812" i="53"/>
  <c r="G1865" i="53"/>
  <c r="G1085" i="53"/>
  <c r="G2564" i="53"/>
  <c r="G377" i="53"/>
  <c r="G1538" i="53"/>
  <c r="G256" i="53"/>
  <c r="G1379" i="53"/>
  <c r="G37" i="53"/>
  <c r="G1458" i="53"/>
  <c r="G224" i="53"/>
  <c r="G2146" i="53"/>
  <c r="G1355" i="53"/>
  <c r="G1364" i="53"/>
  <c r="E5" i="54"/>
  <c r="F5" i="54" s="1"/>
  <c r="F3160" i="53"/>
  <c r="F3147" i="53"/>
  <c r="F3129" i="53"/>
  <c r="F3126" i="53"/>
  <c r="F3133" i="53"/>
  <c r="F3164" i="53"/>
  <c r="F3159" i="53"/>
  <c r="F3145" i="53"/>
  <c r="F3171" i="53"/>
  <c r="F3127" i="53"/>
  <c r="F3174" i="53"/>
  <c r="F3137" i="53"/>
  <c r="F3121" i="53"/>
  <c r="F3141" i="53"/>
  <c r="F3150" i="53"/>
  <c r="F3118" i="53"/>
  <c r="F3149" i="53"/>
  <c r="F3168" i="53"/>
  <c r="F3120" i="53"/>
  <c r="F3155" i="53"/>
  <c r="F3132" i="53"/>
  <c r="F3119" i="53"/>
  <c r="F3165" i="53"/>
  <c r="F3130" i="53"/>
  <c r="F3151" i="53"/>
  <c r="F3176" i="53"/>
  <c r="F3116" i="53"/>
  <c r="F3135" i="53"/>
  <c r="F3162" i="53"/>
  <c r="F3172" i="53"/>
  <c r="F3109" i="53"/>
  <c r="F3108" i="53"/>
  <c r="F3163" i="53"/>
  <c r="F3161" i="53"/>
  <c r="F3110" i="53"/>
  <c r="F3156" i="53"/>
  <c r="F3103" i="53"/>
  <c r="F3112" i="53"/>
  <c r="F3128" i="53"/>
  <c r="F3107" i="53"/>
  <c r="F3143" i="53"/>
  <c r="F3139" i="53"/>
  <c r="F3138" i="53"/>
  <c r="F3142" i="53"/>
  <c r="F3123" i="53"/>
  <c r="F3122" i="53"/>
  <c r="F3117" i="53"/>
  <c r="F3104" i="53"/>
  <c r="F3111" i="53"/>
  <c r="F3169" i="53"/>
  <c r="F3114" i="53"/>
  <c r="F3157" i="53"/>
  <c r="F3148" i="53"/>
  <c r="F3124" i="53"/>
  <c r="F3154" i="53"/>
  <c r="F3140" i="53"/>
  <c r="F3175" i="53"/>
  <c r="F3105" i="53"/>
  <c r="F3115" i="53"/>
  <c r="F3166" i="53"/>
  <c r="F3144" i="53"/>
  <c r="F3170" i="53"/>
  <c r="F3158" i="53"/>
  <c r="F3146" i="53"/>
  <c r="F3113" i="53"/>
  <c r="F3173" i="53"/>
  <c r="F3106" i="53"/>
  <c r="F3153" i="53"/>
  <c r="F3134" i="53"/>
  <c r="F3167" i="53"/>
  <c r="F3152" i="5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CAM VI</author>
    <author>THUY HANG</author>
  </authors>
  <commentList>
    <comment ref="GL15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163"/>
          </rPr>
          <t>2 cái từ đơn mẫu 041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L23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163"/>
          </rPr>
          <t>TÍNH TIỀN 1 BỘ NGÀY 18 NHẦM 728-04</t>
        </r>
      </text>
    </comment>
    <comment ref="FO56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163"/>
          </rPr>
          <t>hàng ht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J69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163"/>
          </rPr>
          <t>tính tien truoc 20 bo ngay 26/7</t>
        </r>
      </text>
    </comment>
    <comment ref="J783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163"/>
          </rPr>
          <t xml:space="preserve">giảm hg 55 cái
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J784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163"/>
          </rPr>
          <t xml:space="preserve">giảm hg
</t>
        </r>
      </text>
    </comment>
    <comment ref="J78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163"/>
          </rPr>
          <t>se giảm hg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E881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BẮN CÁT</t>
        </r>
      </text>
    </comment>
    <comment ref="E882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BẮN CÁT</t>
        </r>
      </text>
    </comment>
    <comment ref="B936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28/11</t>
        </r>
      </text>
    </comment>
    <comment ref="B1107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24/11</t>
        </r>
      </text>
    </comment>
    <comment ref="E1115" authorId="1" shapeId="0" xr:uid="{00000000-0006-0000-0100-00000C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bắn cát</t>
        </r>
      </text>
    </comment>
    <comment ref="E1116" authorId="1" shapeId="0" xr:uid="{00000000-0006-0000-0100-00000D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BC</t>
        </r>
      </text>
    </comment>
    <comment ref="E1117" authorId="1" shapeId="0" xr:uid="{00000000-0006-0000-0100-00000E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BC</t>
        </r>
      </text>
    </comment>
    <comment ref="E1139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BC</t>
        </r>
      </text>
    </comment>
    <comment ref="E1140" authorId="1" shapeId="0" xr:uid="{00000000-0006-0000-0100-000010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BC</t>
        </r>
      </text>
    </comment>
    <comment ref="E1141" authorId="1" shapeId="0" xr:uid="{00000000-0006-0000-0100-000011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BC</t>
        </r>
      </text>
    </comment>
    <comment ref="E1142" authorId="1" shapeId="0" xr:uid="{00000000-0006-0000-0100-000012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bắn cát20</t>
        </r>
      </text>
    </comment>
    <comment ref="E1260" authorId="2" shapeId="0" xr:uid="{00000000-0006-0000-0100-000013000000}">
      <text>
        <r>
          <rPr>
            <b/>
            <sz val="9"/>
            <color indexed="81"/>
            <rFont val="Tahoma"/>
            <family val="2"/>
          </rPr>
          <t>THUY HANG:</t>
        </r>
        <r>
          <rPr>
            <sz val="9"/>
            <color indexed="81"/>
            <rFont val="Tahoma"/>
            <family val="2"/>
          </rPr>
          <t xml:space="preserve">
thúy tính</t>
        </r>
      </text>
    </comment>
    <comment ref="E1323" authorId="1" shapeId="0" xr:uid="{00000000-0006-0000-0100-000014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bắn cát</t>
        </r>
      </text>
    </comment>
    <comment ref="E1324" authorId="1" shapeId="0" xr:uid="{00000000-0006-0000-0100-000015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bắn cát</t>
        </r>
      </text>
    </comment>
    <comment ref="L1518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163"/>
          </rPr>
          <t>ngay  24 tịm tien truoc 6 bo</t>
        </r>
      </text>
    </comment>
    <comment ref="D1544" authorId="1" shapeId="0" xr:uid="{00000000-0006-0000-0100-000017000000}">
      <text>
        <r>
          <rPr>
            <b/>
            <sz val="9"/>
            <color indexed="81"/>
            <rFont val="Tahoma"/>
            <family val="2"/>
          </rPr>
          <t>CAM VI: hàng màu b</t>
        </r>
      </text>
    </comment>
    <comment ref="E1594" authorId="1" shapeId="0" xr:uid="{00000000-0006-0000-0100-000018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bắn cát</t>
        </r>
      </text>
    </comment>
    <comment ref="E1595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bắn cát</t>
        </r>
      </text>
    </comment>
    <comment ref="E1596" authorId="1" shapeId="0" xr:uid="{00000000-0006-0000-0100-00001A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bắn cát</t>
        </r>
      </text>
    </comment>
    <comment ref="E1597" authorId="1" shapeId="0" xr:uid="{00000000-0006-0000-0100-00001B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bắn cát</t>
        </r>
      </text>
    </comment>
    <comment ref="E1761" authorId="2" shapeId="0" xr:uid="{00000000-0006-0000-0100-00001C000000}">
      <text>
        <r>
          <rPr>
            <b/>
            <sz val="9"/>
            <color indexed="81"/>
            <rFont val="Tahoma"/>
            <family val="2"/>
          </rPr>
          <t>THUY HANG:</t>
        </r>
        <r>
          <rPr>
            <sz val="9"/>
            <color indexed="81"/>
            <rFont val="Tahoma"/>
            <family val="2"/>
          </rPr>
          <t xml:space="preserve">
ko có tính</t>
        </r>
      </text>
    </comment>
    <comment ref="J2000" authorId="1" shapeId="0" xr:uid="{00000000-0006-0000-0100-00001D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TÍNH TIENF NGÀY 10/1 KHỐNG 64 BỘ</t>
        </r>
      </text>
    </comment>
    <comment ref="D2288" authorId="0" shapeId="0" xr:uid="{00000000-0006-0000-0100-00001E000000}">
      <text>
        <r>
          <rPr>
            <b/>
            <sz val="9"/>
            <color indexed="81"/>
            <rFont val="Tahoma"/>
            <family val="2"/>
            <charset val="163"/>
          </rPr>
          <t>tạm dừng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B2371" authorId="1" shapeId="0" xr:uid="{00000000-0006-0000-0100-00001F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16/12</t>
        </r>
      </text>
    </comment>
    <comment ref="E2513" authorId="1" shapeId="0" xr:uid="{00000000-0006-0000-0100-000020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BC</t>
        </r>
      </text>
    </comment>
    <comment ref="E2516" authorId="1" shapeId="0" xr:uid="{00000000-0006-0000-0100-000021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BC</t>
        </r>
      </text>
    </comment>
    <comment ref="E2529" authorId="1" shapeId="0" xr:uid="{00000000-0006-0000-0100-000022000000}">
      <text>
        <r>
          <rPr>
            <b/>
            <sz val="9"/>
            <color indexed="81"/>
            <rFont val="Tahoma"/>
            <family val="2"/>
          </rPr>
          <t>CAM VI:</t>
        </r>
        <r>
          <rPr>
            <sz val="9"/>
            <color indexed="81"/>
            <rFont val="Tahoma"/>
            <family val="2"/>
          </rPr>
          <t xml:space="preserve">
BC</t>
        </r>
      </text>
    </comment>
    <comment ref="D3392" authorId="2" shapeId="0" xr:uid="{00000000-0006-0000-0100-000023000000}">
      <text>
        <r>
          <rPr>
            <b/>
            <sz val="9"/>
            <color indexed="81"/>
            <rFont val="Tahoma"/>
            <family val="2"/>
          </rPr>
          <t>THUY HANG:</t>
        </r>
        <r>
          <rPr>
            <sz val="9"/>
            <color indexed="81"/>
            <rFont val="Tahoma"/>
            <family val="2"/>
          </rPr>
          <t xml:space="preserve">
dừng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Administrator</author>
  </authors>
  <commentList>
    <comment ref="A37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màu 05 giao 25/01/2019
</t>
        </r>
      </text>
    </comment>
    <comment ref="A38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 màu 05 ngày 20/02/2019 giao
</t>
        </r>
      </text>
    </comment>
    <comment ref="A69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 xml:space="preserve">hạn thành phẩm ngày 5/3/19
</t>
        </r>
      </text>
    </comment>
    <comment ref="A76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HÀNG MÀU C,17,49 GIAO NGÀY 26/01/19
</t>
        </r>
      </text>
    </comment>
    <comment ref="E117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ngày ban đầu 11/4, ngày lùi 19/4 (hủy đúc bs lại)</t>
        </r>
      </text>
    </comment>
    <comment ref="E170" authorId="1" shapeId="0" xr:uid="{00000000-0006-0000-0400-000006000000}">
      <text>
        <r>
          <rPr>
            <b/>
            <sz val="9"/>
            <color indexed="81"/>
            <rFont val="Tahoma"/>
            <family val="2"/>
            <charset val="163"/>
          </rPr>
          <t>Administrator:</t>
        </r>
        <r>
          <rPr>
            <sz val="9"/>
            <color indexed="81"/>
            <rFont val="Tahoma"/>
            <family val="2"/>
            <charset val="163"/>
          </rPr>
          <t xml:space="preserve">
27/7</t>
        </r>
      </text>
    </comment>
    <comment ref="E171" authorId="1" shapeId="0" xr:uid="{00000000-0006-0000-0400-000007000000}">
      <text>
        <r>
          <rPr>
            <b/>
            <sz val="9"/>
            <color indexed="81"/>
            <rFont val="Tahoma"/>
            <family val="2"/>
            <charset val="163"/>
          </rPr>
          <t>Administrator:</t>
        </r>
        <r>
          <rPr>
            <sz val="9"/>
            <color indexed="81"/>
            <rFont val="Tahoma"/>
            <family val="2"/>
            <charset val="163"/>
          </rPr>
          <t xml:space="preserve">
24/7/2019</t>
        </r>
      </text>
    </comment>
    <comment ref="E277" authorId="1" shapeId="0" xr:uid="{00000000-0006-0000-0400-000008000000}">
      <text>
        <r>
          <rPr>
            <b/>
            <sz val="9"/>
            <color indexed="81"/>
            <rFont val="Tahoma"/>
            <family val="2"/>
            <charset val="163"/>
          </rPr>
          <t>Administrator:</t>
        </r>
        <r>
          <rPr>
            <sz val="9"/>
            <color indexed="81"/>
            <rFont val="Tahoma"/>
            <family val="2"/>
            <charset val="163"/>
          </rPr>
          <t xml:space="preserve">
30/11 xin lùi</t>
        </r>
      </text>
    </comment>
  </commentList>
</comments>
</file>

<file path=xl/sharedStrings.xml><?xml version="1.0" encoding="utf-8"?>
<sst xmlns="http://schemas.openxmlformats.org/spreadsheetml/2006/main" count="12663" uniqueCount="2625">
  <si>
    <t>ĐƠN HÀNG</t>
  </si>
  <si>
    <t>CÒN THIẾU</t>
  </si>
  <si>
    <t>NGÀY GIAO HÀNG THÔ</t>
  </si>
  <si>
    <t>NGÀY HiỆN TẠI</t>
  </si>
  <si>
    <t>NGÀY CÒN LẠI</t>
  </si>
  <si>
    <t>SL THIẾU</t>
  </si>
  <si>
    <t>THÁNG</t>
  </si>
  <si>
    <t>TUẦN</t>
  </si>
  <si>
    <t>Tuần</t>
  </si>
  <si>
    <t>Công suất dự kiến</t>
  </si>
  <si>
    <t>SL hàng đã nhận</t>
  </si>
  <si>
    <t>SL hàng còn lại</t>
  </si>
  <si>
    <t>SL hàng còn lại cộng dồn</t>
  </si>
  <si>
    <t>Công suất thực tế</t>
  </si>
  <si>
    <t>Công suất so với dự kiến</t>
  </si>
  <si>
    <t>TỔNG</t>
  </si>
  <si>
    <t>TỔ</t>
  </si>
  <si>
    <t>SL 
TỔNG</t>
  </si>
  <si>
    <t>TỈ 
LỆ %</t>
  </si>
  <si>
    <t>MÀU</t>
  </si>
  <si>
    <t>68-61300-B2-B</t>
  </si>
  <si>
    <t>68-70800-B2-B</t>
  </si>
  <si>
    <t>68-70900-X4-B</t>
  </si>
  <si>
    <t>68-70900-X2-B</t>
  </si>
  <si>
    <t>68-70900-02-B</t>
  </si>
  <si>
    <t>66-70300-03-B</t>
  </si>
  <si>
    <t>68-70900-01-B</t>
  </si>
  <si>
    <t>68-70900-03-B</t>
  </si>
  <si>
    <t>68-70900-04-B</t>
  </si>
  <si>
    <t>68-70800-02-B</t>
  </si>
  <si>
    <t>68-70400-02-B</t>
  </si>
  <si>
    <t>MÃ HÀNG</t>
  </si>
  <si>
    <t xml:space="preserve">SLĐH </t>
  </si>
  <si>
    <t>SỐ LƯỢNG</t>
  </si>
  <si>
    <t>ĐẶT HÀNG</t>
  </si>
  <si>
    <t>ĐÃ GIAO</t>
  </si>
  <si>
    <t>%</t>
  </si>
  <si>
    <t>NGÀY GIAO</t>
  </si>
  <si>
    <t>001/HANKOOK POTTERY-18</t>
  </si>
  <si>
    <t>251/POTTERYPOT-18</t>
  </si>
  <si>
    <t>002/SOHO-18</t>
  </si>
  <si>
    <t>002/SOHO-18(GB)</t>
  </si>
  <si>
    <t>009/YAMATEI-18</t>
  </si>
  <si>
    <t xml:space="preserve"> 004/FLOWER POWER-18</t>
  </si>
  <si>
    <t xml:space="preserve"> 003/FLOWER POWER-18</t>
  </si>
  <si>
    <t>308/KHBS-18(005/ITIMASIA-18)</t>
  </si>
  <si>
    <t>202/WESTELM-18</t>
  </si>
  <si>
    <t>66-70300-02-B</t>
  </si>
  <si>
    <t>203/WESTELM-18</t>
  </si>
  <si>
    <t>204/WESTELM-18</t>
  </si>
  <si>
    <t>206/WESTELM-18</t>
  </si>
  <si>
    <t xml:space="preserve"> 073/HACA-HK-18</t>
  </si>
  <si>
    <t>001/MULLALLY-18</t>
  </si>
  <si>
    <t>319/KHBS-18(005/ITIMASIA-18)</t>
  </si>
  <si>
    <t>004/TERRAIN-18</t>
  </si>
  <si>
    <t>001/HORTIPLAST-18</t>
  </si>
  <si>
    <t>324/KHBS-18(012T/PLANTAGEN-18)</t>
  </si>
  <si>
    <t xml:space="preserve"> 022/HACA-VN-18</t>
  </si>
  <si>
    <t>259A/POTTERYPOT-18</t>
  </si>
  <si>
    <t>006/PLANTAGEN-SR-18</t>
  </si>
  <si>
    <t>336/KHBS-18(012T/PLANTAGEN-18)</t>
  </si>
  <si>
    <t>336/KHBS-18(011/HACA-VN-18)</t>
  </si>
  <si>
    <t>337/KHBS-18(012T/PLANTAGEN-18)</t>
  </si>
  <si>
    <t>335/KHBS-18(001/DECO FLEUR-18)</t>
  </si>
  <si>
    <t>351/KHBS-18(033/EUROMARKET-18)</t>
  </si>
  <si>
    <t>002/KALYSTE-18</t>
  </si>
  <si>
    <t>260/POTTERYPOT-18</t>
  </si>
  <si>
    <t>341/KHBS-18(005/PLANTAGEN-18)</t>
  </si>
  <si>
    <t>343/KHBS-18(012T/PLANTAGEN-18)</t>
  </si>
  <si>
    <t>051/VG_SR-18(POTTERYPOT)</t>
  </si>
  <si>
    <t>349/KHBS-18(005/PLANTAGEN-18)</t>
  </si>
  <si>
    <t>007T/BUNNINGS-18</t>
  </si>
  <si>
    <t>009/CALUCKY-18</t>
  </si>
  <si>
    <t>253/POTTERYPOT-18</t>
  </si>
  <si>
    <t>003/OTIPOTI-SR-18</t>
  </si>
  <si>
    <t>355KHBS-18(012T/PLANTAGEN-18)</t>
  </si>
  <si>
    <t>352/KHBS-18(012T/PLANTAGEN-18)</t>
  </si>
  <si>
    <t>356/KHBS-18(004/TERRAIN-18)</t>
  </si>
  <si>
    <t xml:space="preserve"> 053/VG_SR-18(METRO)</t>
  </si>
  <si>
    <t>009/METRO-SR-18</t>
  </si>
  <si>
    <t>002/KHBS-19(006/PLANTAGEN-18)</t>
  </si>
  <si>
    <t>001/KALYSTE-SR-18</t>
  </si>
  <si>
    <t>001/OBI-SR-19</t>
  </si>
  <si>
    <t>005/KHBS-19(005/PLANTAGEN-18)</t>
  </si>
  <si>
    <t>007/KHBS-19(005/PLANTAGEN-18)</t>
  </si>
  <si>
    <t>008/KHBS-19(005/PLANTAGEN-18)</t>
  </si>
  <si>
    <t>009/KHBS-19(006/PLANTAGEN-18)</t>
  </si>
  <si>
    <t>001/VG_SR-19(SHOWROOM)</t>
  </si>
  <si>
    <t>001/BUNNINGS-19</t>
  </si>
  <si>
    <t>014/KHBS-19(009/YAMATEI-18)</t>
  </si>
  <si>
    <t>015/KHBS-19(012T/PLANTAGEN-18)</t>
  </si>
  <si>
    <t>001A/HORTIPLAST-18</t>
  </si>
  <si>
    <t>001/BRAFAB_SR-19</t>
  </si>
  <si>
    <t>002/BRAFAB_SR-19</t>
  </si>
  <si>
    <t>008/VG_SR-19(ANCO)</t>
  </si>
  <si>
    <t>001/PLANTAGEN_SR-19</t>
  </si>
  <si>
    <t>001/BATU-18</t>
  </si>
  <si>
    <t>001T/BUNNINGS-19</t>
  </si>
  <si>
    <t>012/VG-SR-19(MAU CHUP HINH)</t>
  </si>
  <si>
    <t>021/KHBS-19(003/FLOWER POWER-18)</t>
  </si>
  <si>
    <t>001/MR PRICE HOME_SR-19</t>
  </si>
  <si>
    <t>032/KHBS-18(005/ITIMASIA-18)</t>
  </si>
  <si>
    <t>035/KHBS-19(012T/PLANTAGEN-18)</t>
  </si>
  <si>
    <t>031/KHBS-19(012T/PLANTAGEN-18)</t>
  </si>
  <si>
    <t>013/VG-SR-19(POTTERYPOT)</t>
  </si>
  <si>
    <t>023/KHBS-19(012T/PLANTAGEN-18)</t>
  </si>
  <si>
    <t xml:space="preserve"> 028/KHBS-19(002/SOHO-18)</t>
  </si>
  <si>
    <t>037/KHBS-19(005/ITIMASIA-18)</t>
  </si>
  <si>
    <t>001/GREENVN-19</t>
  </si>
  <si>
    <t>001A/POTTERYPOT-19</t>
  </si>
  <si>
    <t>001/CENCOSUD-19</t>
  </si>
  <si>
    <t>040/KHBS-19(012T/PLANTAGEN-18)</t>
  </si>
  <si>
    <t xml:space="preserve"> 043/KHBS-19(012T/PLANTAGEN-18)</t>
  </si>
  <si>
    <t>044/KHBS-19(012T/PLANTAGEN-18)</t>
  </si>
  <si>
    <t>045/KHBS-19(002/SOHO-18)</t>
  </si>
  <si>
    <t>046/KHBS-19(012T/PLANTAGEN-18)</t>
  </si>
  <si>
    <t>001T/OTIPOTI-19</t>
  </si>
  <si>
    <t>014/POTTERYPOT-19</t>
  </si>
  <si>
    <t>048/KHBS-19(012T/PLANTAGEN-18)</t>
  </si>
  <si>
    <t>002/BOTANICO-SR-19</t>
  </si>
  <si>
    <t>001T/MULLALLY-19</t>
  </si>
  <si>
    <t>001/SQUARE-19</t>
  </si>
  <si>
    <t>049/KHBS-19(001/ERMITAZAS-18)</t>
  </si>
  <si>
    <t>050/KHBS-19(006/PLANTAGEN-18)</t>
  </si>
  <si>
    <t>014B/POTTERYPOT-19</t>
  </si>
  <si>
    <t>051/KHBS-19(022/HACA-VN-18)</t>
  </si>
  <si>
    <t>052/KHBS-19(012T/PLANTAGEN-18)</t>
  </si>
  <si>
    <t>014/VG_SR-19(SHOWROOM)</t>
  </si>
  <si>
    <t>017-SR-19(MADE.COM)</t>
  </si>
  <si>
    <t>010/KHBS-SR-19(009/METRO-SR-19)</t>
  </si>
  <si>
    <t>005/SQUARE-19</t>
  </si>
  <si>
    <t>014/SR-19-ITMASIA</t>
  </si>
  <si>
    <t>011/KHBS-SR-19(001/OBI-SR-19)</t>
  </si>
  <si>
    <t>055/KHBS-19(007T/BUNNINGS-18)</t>
  </si>
  <si>
    <t>056/KHBS-19(001/BATU-18)</t>
  </si>
  <si>
    <t>003/POTTERYPOT-SR-19</t>
  </si>
  <si>
    <t>012/KHBS-SR-19(002/BOTANICO-SR-19)</t>
  </si>
  <si>
    <t>005/INTERLINE-19</t>
  </si>
  <si>
    <t>006/INTERLINE-19</t>
  </si>
  <si>
    <t>007/INTERLINE-19</t>
  </si>
  <si>
    <t>008/INTERLINE-19</t>
  </si>
  <si>
    <t>001/VANDER-SR-19</t>
  </si>
  <si>
    <t>026A/POTTERYPOT-19</t>
  </si>
  <si>
    <t>001/DOVETAIL-19</t>
  </si>
  <si>
    <t>001/METRO-SR-19</t>
  </si>
  <si>
    <t>002/CRESTVIEW-19</t>
  </si>
  <si>
    <t>013/KHBS-SR-19(002/BOTANICO-SR-19)</t>
  </si>
  <si>
    <t>001/EL_SR-19</t>
  </si>
  <si>
    <t>021/SR-19 MATERIAL OBJECTS</t>
  </si>
  <si>
    <t>034/SR-19 EL (SPAIN)</t>
  </si>
  <si>
    <t>68-75716-02-B</t>
  </si>
  <si>
    <t>036/POTTERYPOT-19</t>
  </si>
  <si>
    <t>068/KHBS-19(001A/POTTERYPOT-18)</t>
  </si>
  <si>
    <t>069/KHBS-19(001/BATU-18)</t>
  </si>
  <si>
    <t>003/COCOON-19</t>
  </si>
  <si>
    <t>003/COCOON-19(GB)</t>
  </si>
  <si>
    <t>003A/COCOON-19</t>
  </si>
  <si>
    <t>004/DOVETAIL-19</t>
  </si>
  <si>
    <t>004/YAMATEI-19</t>
  </si>
  <si>
    <t>004/YAMATEI-19(GB)</t>
  </si>
  <si>
    <t>075/KHBS-19(001/BUNNINGS-19)</t>
  </si>
  <si>
    <t>028/SR-19(VANDER)</t>
  </si>
  <si>
    <t>040A/POTTERYPOT-19</t>
  </si>
  <si>
    <t>026/VG_SR-19(POTTERYPOT)</t>
  </si>
  <si>
    <t>001/BONTURI-19</t>
  </si>
  <si>
    <t>077/KHBS-19</t>
  </si>
  <si>
    <t xml:space="preserve"> 078/KHBS-19</t>
  </si>
  <si>
    <t>PT27/SR-19 SHOWROOM</t>
  </si>
  <si>
    <t>001T/LH IMPORT-19</t>
  </si>
  <si>
    <t>68222522</t>
  </si>
  <si>
    <t>24/12/18-30/12/18</t>
  </si>
  <si>
    <t>1/1/19-6/1/19</t>
  </si>
  <si>
    <t>7/1/19-13/1/19</t>
  </si>
  <si>
    <t>14/1/19-20/1/19</t>
  </si>
  <si>
    <t>21/1/19-27/1/19</t>
  </si>
  <si>
    <t>28/1/19-3/2/19</t>
  </si>
  <si>
    <t>CÒN LẠI</t>
  </si>
  <si>
    <t xml:space="preserve"> CÒN LẠI CỦA HSC</t>
  </si>
  <si>
    <t>TỔNG HÀNG</t>
  </si>
  <si>
    <t>TỔNG HSC</t>
  </si>
  <si>
    <t>5/11/18-11/11/18</t>
  </si>
  <si>
    <t>12/11/18-18/11/18</t>
  </si>
  <si>
    <t>19/11/18-25/11/18</t>
  </si>
  <si>
    <t>26/11/18-2/12/18</t>
  </si>
  <si>
    <t>3/12/18-9/12/18</t>
  </si>
  <si>
    <t>10/12/18-16/12/18</t>
  </si>
  <si>
    <t>17/12/18-23/12/18</t>
  </si>
  <si>
    <t>682225229</t>
  </si>
  <si>
    <t>682225230</t>
  </si>
  <si>
    <t>682225231</t>
  </si>
  <si>
    <t>682225232</t>
  </si>
  <si>
    <t>682225233</t>
  </si>
  <si>
    <t>682225234</t>
  </si>
  <si>
    <t>682225235</t>
  </si>
  <si>
    <t>682225236</t>
  </si>
  <si>
    <t>001/NEVE YARAK-19</t>
  </si>
  <si>
    <t>68-61300-02-B</t>
  </si>
  <si>
    <t>033/VG_SR-19(MAU CHAO HANG)</t>
  </si>
  <si>
    <t>085/KHBS-19</t>
  </si>
  <si>
    <t>052A/POTTERYPOT-19</t>
  </si>
  <si>
    <t>053/POTTERYPOT-19</t>
  </si>
  <si>
    <t>053/SR-19 EUROMARKET</t>
  </si>
  <si>
    <t>029/VG_SR-19(METRO)</t>
  </si>
  <si>
    <t>062/SR-19(GLOBUS)</t>
  </si>
  <si>
    <t>088/KHBS-19</t>
  </si>
  <si>
    <t>002/PLAZMA-19</t>
  </si>
  <si>
    <t>037/VG_SR-19(CANADIAN)</t>
  </si>
  <si>
    <t>001/TERRALIET-SR-19</t>
  </si>
  <si>
    <t>002/VANDER-SR-19</t>
  </si>
  <si>
    <t>020/KHBS-SR-19</t>
  </si>
  <si>
    <t>007/PTSP-SR-19</t>
  </si>
  <si>
    <t>001T/ASIMA-19</t>
  </si>
  <si>
    <t>001/FLORAL_SR-19</t>
  </si>
  <si>
    <t>005/DOVETAIL-19</t>
  </si>
  <si>
    <t>069A/POTTERYPOT-19</t>
  </si>
  <si>
    <t>008/PTSP-SR-19</t>
  </si>
  <si>
    <t>001T/SMART ART-19</t>
  </si>
  <si>
    <t>006/YAMATEI-19</t>
  </si>
  <si>
    <t>68-72600-B2-01</t>
  </si>
  <si>
    <t>68-73000-B2-01</t>
  </si>
  <si>
    <t>081/POTTERYPOT-19</t>
  </si>
  <si>
    <t>68-72600-02-A</t>
  </si>
  <si>
    <t>68-72600-03-A</t>
  </si>
  <si>
    <t>68-72600-04-A</t>
  </si>
  <si>
    <t>68-72700-01-A</t>
  </si>
  <si>
    <t>68-72700-02-A</t>
  </si>
  <si>
    <t>68-72700-03-A</t>
  </si>
  <si>
    <t>68-72700-04-A</t>
  </si>
  <si>
    <t>68-72800-01-A</t>
  </si>
  <si>
    <t>68-72800-02-A</t>
  </si>
  <si>
    <t>68-72800-03-A</t>
  </si>
  <si>
    <t>68-72800-04-A</t>
  </si>
  <si>
    <t>105/KHBS-19</t>
  </si>
  <si>
    <t>002/FLOWER POWER-19</t>
  </si>
  <si>
    <t>68-61300-S3-05</t>
  </si>
  <si>
    <t>68-70200-S3-01</t>
  </si>
  <si>
    <t>68-70200-S3-05</t>
  </si>
  <si>
    <t>68-71000-S3-01</t>
  </si>
  <si>
    <t>68-71000-S3-54</t>
  </si>
  <si>
    <t>68-71000-S3-05</t>
  </si>
  <si>
    <t>032/NY/PP-USA-19</t>
  </si>
  <si>
    <t>047/VG_SR-19(THU NGHIEM)</t>
  </si>
  <si>
    <t>68-73200-01-01</t>
  </si>
  <si>
    <t>68-73100-S2-01</t>
  </si>
  <si>
    <t>68-70900-X4-01</t>
  </si>
  <si>
    <t>68-70900-L4-B</t>
  </si>
  <si>
    <t>082A/POTTERYPOT-19</t>
  </si>
  <si>
    <t>050/VG_SR-19(HORNBACH)</t>
  </si>
  <si>
    <t>PT 039_SR-19(SR-HC)</t>
  </si>
  <si>
    <t>68-54400-01-B</t>
  </si>
  <si>
    <t>68-54400-02-B</t>
  </si>
  <si>
    <t>68-47400-S1-B</t>
  </si>
  <si>
    <t>68-75500-S1-B</t>
  </si>
  <si>
    <t>68-72800-04-01</t>
  </si>
  <si>
    <t>PT 038A-SR-19(SR-HC)</t>
  </si>
  <si>
    <t>68-70400-S3-01</t>
  </si>
  <si>
    <t>68-70300-L3-01</t>
  </si>
  <si>
    <t>053/VG_SR-19 (SR-HC)</t>
  </si>
  <si>
    <t>006/CANADIAN-19</t>
  </si>
  <si>
    <t>68-73600-01-01</t>
  </si>
  <si>
    <t>68-73600-01-05</t>
  </si>
  <si>
    <t>68-74900-01-01</t>
  </si>
  <si>
    <t>68-74900-01-05</t>
  </si>
  <si>
    <t>68-75000-01-01</t>
  </si>
  <si>
    <t>111/KHBS-19</t>
  </si>
  <si>
    <t>098A/POTTERYPOT-19</t>
  </si>
  <si>
    <t>001/HANKKIJA-19</t>
  </si>
  <si>
    <t>100/POTTERYPOT-19</t>
  </si>
  <si>
    <t>002/GLOBUS_SR-19</t>
  </si>
  <si>
    <t>115/KHBS-19</t>
  </si>
  <si>
    <t>026/KHBS-SR -19</t>
  </si>
  <si>
    <t>004T/EUROMARKET-19</t>
  </si>
  <si>
    <t>003T/PLANTAGEN-19</t>
  </si>
  <si>
    <t>007/DOVETAIL-19</t>
  </si>
  <si>
    <t>68-72500-S2-B</t>
  </si>
  <si>
    <t>117/KHBS-19</t>
  </si>
  <si>
    <t>001/TDP-19</t>
  </si>
  <si>
    <t>68-54400-S2-B2</t>
  </si>
  <si>
    <t>119/KHBS-19</t>
  </si>
  <si>
    <t xml:space="preserve"> 120/KHBS-19</t>
  </si>
  <si>
    <t>001T/NY/PP-USA-19</t>
  </si>
  <si>
    <t>002/URBANSTYLE-19</t>
  </si>
  <si>
    <t>68-72600-S4-01</t>
  </si>
  <si>
    <t>68-72800-S4-01</t>
  </si>
  <si>
    <t>68-73600-01-A</t>
  </si>
  <si>
    <t>004/EUROMARKET_SR-19</t>
  </si>
  <si>
    <t>130/SR-19(HORNBACH GERMANY)</t>
  </si>
  <si>
    <t>68-70300-02-30</t>
  </si>
  <si>
    <t>011T/WESTELM-19</t>
  </si>
  <si>
    <t>002/TOPMAX_SR-19</t>
  </si>
  <si>
    <t>68-70500-S3-01</t>
  </si>
  <si>
    <t>069/VG_SR-19(WESTELM)</t>
  </si>
  <si>
    <t>070/VG-SR-19(WESTELM)</t>
  </si>
  <si>
    <t>001T/HORNBACH-19(đợt 1)</t>
  </si>
  <si>
    <t>001T/HORNBACH-19(đợt 2)</t>
  </si>
  <si>
    <t>001T/HORNBACH-19(đợt 3)</t>
  </si>
  <si>
    <t>68222523</t>
  </si>
  <si>
    <t>68222524</t>
  </si>
  <si>
    <t>68222525</t>
  </si>
  <si>
    <t>68222526</t>
  </si>
  <si>
    <t>68222527</t>
  </si>
  <si>
    <t>68222528</t>
  </si>
  <si>
    <t>68222529</t>
  </si>
  <si>
    <t>68222530</t>
  </si>
  <si>
    <t>68222531</t>
  </si>
  <si>
    <t>68222532</t>
  </si>
  <si>
    <t>68222533</t>
  </si>
  <si>
    <t>68222534</t>
  </si>
  <si>
    <t>072/VG_SR-19(MANH MAU)</t>
  </si>
  <si>
    <t>001T/KARMIN-19</t>
  </si>
  <si>
    <t>002T/KARMIN-19</t>
  </si>
  <si>
    <t>002T/HORNBACH-19</t>
  </si>
  <si>
    <t>003T/HORNBACH-19</t>
  </si>
  <si>
    <t>123/KHBS-19</t>
  </si>
  <si>
    <t>006T/PLANTAGEN-19</t>
  </si>
  <si>
    <t>68-73200-02-01</t>
  </si>
  <si>
    <t>001/HOMEGOODS_SR-19</t>
  </si>
  <si>
    <t>68-73200-S2-05</t>
  </si>
  <si>
    <t>68-75100-S1-B</t>
  </si>
  <si>
    <t>68-75200-S1-B</t>
  </si>
  <si>
    <t>004T/PLANTAGEN-19</t>
  </si>
  <si>
    <t>127/KHBS-19</t>
  </si>
  <si>
    <t>68-57700-02-B</t>
  </si>
  <si>
    <t>68-57700-03-B</t>
  </si>
  <si>
    <t>68222535</t>
  </si>
  <si>
    <t>68222536</t>
  </si>
  <si>
    <t>68222537</t>
  </si>
  <si>
    <t>68222538</t>
  </si>
  <si>
    <t>68222539</t>
  </si>
  <si>
    <t>68222540</t>
  </si>
  <si>
    <t>68222541</t>
  </si>
  <si>
    <t>68222542</t>
  </si>
  <si>
    <t>68222543</t>
  </si>
  <si>
    <t>68222544</t>
  </si>
  <si>
    <t>68222545</t>
  </si>
  <si>
    <t>68222546</t>
  </si>
  <si>
    <t>131 /KHBS-19</t>
  </si>
  <si>
    <t>013T/WESTELM-19</t>
  </si>
  <si>
    <t>68-70300-02-B</t>
  </si>
  <si>
    <t>077/VG_SR-19(GLOUBUS)</t>
  </si>
  <si>
    <t>078/VG_SR-19(EUROMARKET)</t>
  </si>
  <si>
    <t>018T/EUROMARKET-19</t>
  </si>
  <si>
    <t>022T/EUROMARKET-19</t>
  </si>
  <si>
    <t>135/KHBS-19</t>
  </si>
  <si>
    <t>128/SR-19 GLOBUS</t>
  </si>
  <si>
    <t>134/KHBS-19</t>
  </si>
  <si>
    <t>002/TRUFAUT-19</t>
  </si>
  <si>
    <t>009T/METRO-19</t>
  </si>
  <si>
    <t>143/SR-19 POTTERY BARN</t>
  </si>
  <si>
    <t>014T/WESTELM-19</t>
  </si>
  <si>
    <t>002/METRO-19</t>
  </si>
  <si>
    <t>148/SR-19(POTTERYPOT)</t>
  </si>
  <si>
    <t>001T/SIPLEC-19</t>
  </si>
  <si>
    <t>034/KHBS_SR-19</t>
  </si>
  <si>
    <t>017T/WESTELM-19</t>
  </si>
  <si>
    <t>130A/POTTERYPOT-19</t>
  </si>
  <si>
    <t>141/KHBS-19</t>
  </si>
  <si>
    <t>144/KHBS-19</t>
  </si>
  <si>
    <t>002/DECO FLEUR-19</t>
  </si>
  <si>
    <t>68-73000-S4-01</t>
  </si>
  <si>
    <t>005T/CANADIAN-19</t>
  </si>
  <si>
    <t>081/VG_SR-19(LH IMPORT)</t>
  </si>
  <si>
    <t>035/KHBS_SR-19</t>
  </si>
  <si>
    <t>001/KALYSTE-19</t>
  </si>
  <si>
    <t>149/SR-19 HORNBACH (GERMANY)</t>
  </si>
  <si>
    <t>084/VG_SR-19(PLANTAGEN)</t>
  </si>
  <si>
    <t>148/KHBS-19</t>
  </si>
  <si>
    <t>151/KHBS-19</t>
  </si>
  <si>
    <t>155/KHBS-19</t>
  </si>
  <si>
    <t>123A/POTTERYPOT-19</t>
  </si>
  <si>
    <t>003/Crestview-19</t>
  </si>
  <si>
    <t>006/TERRALIET-19</t>
  </si>
  <si>
    <t>68-47300-S1-B2</t>
  </si>
  <si>
    <t>68-75200-S1-B2</t>
  </si>
  <si>
    <t>68-75300-S1-B2</t>
  </si>
  <si>
    <t>004/VANDER-19</t>
  </si>
  <si>
    <t>158/KHBS-19</t>
  </si>
  <si>
    <t>001/HORTIPLAST-19</t>
  </si>
  <si>
    <t>001/HORTIPLAST-SR-19</t>
  </si>
  <si>
    <t>001T/ANNA-19</t>
  </si>
  <si>
    <t>68-72800-S4-A</t>
  </si>
  <si>
    <t>68-18600-S1-B2</t>
  </si>
  <si>
    <t>68-47400-S1-B2</t>
  </si>
  <si>
    <t>68-75100-S1-B2</t>
  </si>
  <si>
    <t>68-79316-04-B2</t>
  </si>
  <si>
    <t>001T/ANNA-19(GB)</t>
  </si>
  <si>
    <t>002T/ANNA-19</t>
  </si>
  <si>
    <t>002T/ANNA-19(GB)</t>
  </si>
  <si>
    <t>004A/VANDER-19</t>
  </si>
  <si>
    <t>002T/FLOWER POWER-19</t>
  </si>
  <si>
    <t>004/COCOON-19</t>
  </si>
  <si>
    <t>68-73000-X1-01</t>
  </si>
  <si>
    <t>021T/WESTELM-19</t>
  </si>
  <si>
    <t>023T/WESTELM-19</t>
  </si>
  <si>
    <t>094/VG_SR-19(EUROMARKET)</t>
  </si>
  <si>
    <t>161/KHBS-19</t>
  </si>
  <si>
    <t>162/KHBS-19</t>
  </si>
  <si>
    <t>163/KHBS-19</t>
  </si>
  <si>
    <t xml:space="preserve"> 150/SR-19 (CRESTVIEW &amp; MADE.COM)</t>
  </si>
  <si>
    <t>097/VG_SR-19(EUROMARKET)</t>
  </si>
  <si>
    <t>68-79900-02-A</t>
  </si>
  <si>
    <t>68-79900-01-A</t>
  </si>
  <si>
    <t>68-72600-B3-01</t>
  </si>
  <si>
    <t>68-72700-B2-01</t>
  </si>
  <si>
    <t>006/EUROMARKET-SR-19</t>
  </si>
  <si>
    <t>019/PLANTAGEN-19</t>
  </si>
  <si>
    <t>191/POTTERYPOT-19</t>
  </si>
  <si>
    <t>192A/POTTERYPOT-19</t>
  </si>
  <si>
    <t>002T/MULLALLY-19</t>
  </si>
  <si>
    <t>173/KHBS-19</t>
  </si>
  <si>
    <t>100/VG-SR-19(HORNBACH)</t>
  </si>
  <si>
    <t>154/SR-19(BATU)</t>
  </si>
  <si>
    <t>178/KHBS-19</t>
  </si>
  <si>
    <t>001/ANNA-19</t>
  </si>
  <si>
    <t>046/PTSP-SR-19</t>
  </si>
  <si>
    <t>102/VG_SR-19(EUROMARKET)</t>
  </si>
  <si>
    <t>180/KHBS-19</t>
  </si>
  <si>
    <t>158/SR-19(COSTCO)</t>
  </si>
  <si>
    <t>001/CONSORZIO-19-(ĐỢT 1)</t>
  </si>
  <si>
    <t>66-51012-S2-B</t>
  </si>
  <si>
    <t>008/SQUARE-SR-19</t>
  </si>
  <si>
    <t>68-72800-02-01</t>
  </si>
  <si>
    <t>66-51712-S2-B</t>
  </si>
  <si>
    <t>66-76218-S3-B1</t>
  </si>
  <si>
    <t>66-07923-S3-B</t>
  </si>
  <si>
    <t>66-61312-S3-B</t>
  </si>
  <si>
    <t>66-06700-S2-A</t>
  </si>
  <si>
    <t>66-02700-01-A1(phen)</t>
  </si>
  <si>
    <t>66-03000-01-A1(phen)</t>
  </si>
  <si>
    <t>66-03000-02-A1(phen)</t>
  </si>
  <si>
    <t>188/KHBS-19</t>
  </si>
  <si>
    <t>191/KHBS-19</t>
  </si>
  <si>
    <t>190/KHBS-19</t>
  </si>
  <si>
    <t>194/KHBS-19</t>
  </si>
  <si>
    <t>196/KHBS-19</t>
  </si>
  <si>
    <t>003/FLOWER POWER-19</t>
  </si>
  <si>
    <t>008T/METRO-19</t>
  </si>
  <si>
    <t>106/VG_SR-19(METRO)</t>
  </si>
  <si>
    <t>108/VG-SR-19(TJX)</t>
  </si>
  <si>
    <t>201/KHBS-19</t>
  </si>
  <si>
    <t>202/KHBS-19</t>
  </si>
  <si>
    <t>001/TJX-SR-19</t>
  </si>
  <si>
    <t>68-72800-B3-A</t>
  </si>
  <si>
    <t>68-72800-B2-A</t>
  </si>
  <si>
    <t>PT092/SR-19(SHOWROOM)</t>
  </si>
  <si>
    <t>001/BONTURI-SR-19</t>
  </si>
  <si>
    <t>68-73000-03-01</t>
  </si>
  <si>
    <t>68-72800-B2-01</t>
  </si>
  <si>
    <t>001/SIPLEC-SR-19</t>
  </si>
  <si>
    <t>001/FLEUR BE-SR-19</t>
  </si>
  <si>
    <t>68-72700-03-01</t>
  </si>
  <si>
    <t>002/COOP-SR-19</t>
  </si>
  <si>
    <t>169/SR-19 (POTTERY POTS)</t>
  </si>
  <si>
    <t>009/SQUARE-SR-19</t>
  </si>
  <si>
    <t>68-61300-03-01</t>
  </si>
  <si>
    <t>210/KHBS-19</t>
  </si>
  <si>
    <t>PT97-SR-19 SHOWROOM</t>
  </si>
  <si>
    <t>211/KHBS-19</t>
  </si>
  <si>
    <t>68-70800-03-B</t>
  </si>
  <si>
    <t>226/KHBS-19(FLOWER POWER-19 )</t>
  </si>
  <si>
    <t>003T/KARMIN-19</t>
  </si>
  <si>
    <t>68-72500-01-B</t>
  </si>
  <si>
    <t>230/KHBS-19(001T/METRO)</t>
  </si>
  <si>
    <t>68-74600-01-01</t>
  </si>
  <si>
    <t>231/KHBS-19</t>
  </si>
  <si>
    <t>234/KHBS-19(001t/plantagen-19)</t>
  </si>
  <si>
    <t>66-72900-01-A1(phen)</t>
  </si>
  <si>
    <t>66-72900-02-A1(phen)</t>
  </si>
  <si>
    <t xml:space="preserve"> 242/KHBS-19</t>
  </si>
  <si>
    <t>245/KHBS-19</t>
  </si>
  <si>
    <t>002/SIPLEC-SR-19</t>
  </si>
  <si>
    <t>246/KHBS-19(plantagen)</t>
  </si>
  <si>
    <t>250/KHBS-19</t>
  </si>
  <si>
    <t>252/KHBS-19(004/cocoon-19)</t>
  </si>
  <si>
    <t>253/KHBS-19(002T/ANNA-19)</t>
  </si>
  <si>
    <t>255/KHBS-19(001T/HORNBACH-19)</t>
  </si>
  <si>
    <t>257/KHBS-18(002T/KARMIN-19)</t>
  </si>
  <si>
    <t>68-72600-S4-06</t>
  </si>
  <si>
    <t>131/VG_SR-19(BUNNINGS)</t>
  </si>
  <si>
    <t>68-72800-01-01</t>
  </si>
  <si>
    <t>68-72800-03-01</t>
  </si>
  <si>
    <t>262/KHBS-19</t>
  </si>
  <si>
    <t>68-70500-01-A1(phen)</t>
  </si>
  <si>
    <t>014/HACA-HK-SR-19</t>
  </si>
  <si>
    <t>008/BUNNINGS-19</t>
  </si>
  <si>
    <t>68-72800-S4-05</t>
  </si>
  <si>
    <t>66-81300-01-01</t>
  </si>
  <si>
    <t>68-70300-01-05</t>
  </si>
  <si>
    <t>68-70800-L2-01</t>
  </si>
  <si>
    <t>68-72700-03-05</t>
  </si>
  <si>
    <t>68-61300-02-01</t>
  </si>
  <si>
    <t>68-70900-03-01</t>
  </si>
  <si>
    <t>68-72900-B2-01</t>
  </si>
  <si>
    <t>68-75716-01-B</t>
  </si>
  <si>
    <t>66-03000-S2-B</t>
  </si>
  <si>
    <t>66-28400-S1-B</t>
  </si>
  <si>
    <t>66-28500-S1-B</t>
  </si>
  <si>
    <t>66-33200-S1-B</t>
  </si>
  <si>
    <t>66-33224-S1-B</t>
  </si>
  <si>
    <t>68-72800-L2-A</t>
  </si>
  <si>
    <t>68-70400-01-01</t>
  </si>
  <si>
    <t>68-70900-04-01</t>
  </si>
  <si>
    <t>Men</t>
  </si>
  <si>
    <t>NHÓM ĐÚC</t>
  </si>
  <si>
    <t>TIẾN ĐỘ</t>
  </si>
  <si>
    <t>thành phẩm,có lỗ</t>
  </si>
  <si>
    <t>66-76512-S1-B</t>
  </si>
  <si>
    <t>sơn màu,ko lỗ</t>
  </si>
  <si>
    <t>sơn màu,có lỗ</t>
  </si>
  <si>
    <t>68-61300-S3-01</t>
  </si>
  <si>
    <t>68-70300-S4-05</t>
  </si>
  <si>
    <t>68-72600-01-A</t>
  </si>
  <si>
    <t>thành phẩm,ko lỗ</t>
  </si>
  <si>
    <t>thành phẩm, có lổ</t>
  </si>
  <si>
    <t>68-72500-02-B</t>
  </si>
  <si>
    <t>68-70100-S3-A</t>
  </si>
  <si>
    <t>66-77100-03-30</t>
  </si>
  <si>
    <t>68-72900-S4-01</t>
  </si>
  <si>
    <t>thành phẩm, ko lỗ</t>
  </si>
  <si>
    <t>68-73000-04-01</t>
  </si>
  <si>
    <t>STT</t>
  </si>
  <si>
    <t>68-70200-03-54</t>
  </si>
  <si>
    <t>68-70400-03-B</t>
  </si>
  <si>
    <t>T</t>
  </si>
  <si>
    <t>GIAO XƯỞNG</t>
  </si>
  <si>
    <t>XM2-BS</t>
  </si>
  <si>
    <t>XM1-BS</t>
  </si>
  <si>
    <t>001T/KARMIN-20</t>
  </si>
  <si>
    <t>68-70100-B2-A</t>
  </si>
  <si>
    <t>68-75300-S1-B</t>
  </si>
  <si>
    <t>68-70900-02-01</t>
  </si>
  <si>
    <t>66-70300-01-B</t>
  </si>
  <si>
    <t xml:space="preserve"> </t>
  </si>
  <si>
    <t>SL TỔNG</t>
  </si>
  <si>
    <t>003/FLOWER POWER-20</t>
  </si>
  <si>
    <t>68-82200-S2-A</t>
  </si>
  <si>
    <t>003T/FLOWER POWER-20</t>
  </si>
  <si>
    <t>68-20700-S3-A</t>
  </si>
  <si>
    <t>68-61300-S3-A</t>
  </si>
  <si>
    <t>68-70200-S3-A</t>
  </si>
  <si>
    <t>68-70300-S4-A</t>
  </si>
  <si>
    <t>68-71000-S3-A</t>
  </si>
  <si>
    <t>065/POTTERYPOT-20</t>
  </si>
  <si>
    <t>68-72600-B3-A</t>
  </si>
  <si>
    <t>064A/POTTERYPOT-20</t>
  </si>
  <si>
    <t>003A/FLOWER POWER-20</t>
  </si>
  <si>
    <t>114/KHBS-20(001T/PLANTAGEN-20)</t>
  </si>
  <si>
    <t>114/KHBS-20(003T/PLANTAGEN-20)</t>
  </si>
  <si>
    <t>115/KHBS-20(003T/PLANTAGEN-20)</t>
  </si>
  <si>
    <t>001/PTTN-SR-20</t>
  </si>
  <si>
    <t>SỐ LƯỢNG GIAO BẢO DƯỠNG THÁNG 5 (TỔ 3)</t>
  </si>
  <si>
    <t>68-72700-02-01</t>
  </si>
  <si>
    <t>68-13700-S1-B</t>
  </si>
  <si>
    <t>68-13800-S1-B</t>
  </si>
  <si>
    <t>68-75400-S1-B</t>
  </si>
  <si>
    <t>68-70200-03-A</t>
  </si>
  <si>
    <t>68-70200-02-A</t>
  </si>
  <si>
    <t>NGÀY  BB</t>
  </si>
  <si>
    <t>68-82200-01-01</t>
  </si>
  <si>
    <t>68-82200-01-05</t>
  </si>
  <si>
    <t>68-54400-S2-B</t>
  </si>
  <si>
    <t>B</t>
  </si>
  <si>
    <t>68-73100-01-01</t>
  </si>
  <si>
    <t>68-72700-02-05</t>
  </si>
  <si>
    <t>68-72900-S4-05</t>
  </si>
  <si>
    <t>68-73000-S4-05</t>
  </si>
  <si>
    <t>68-70400-S3-54</t>
  </si>
  <si>
    <t>68-75916-01-01</t>
  </si>
  <si>
    <t>68-70900-01-01</t>
  </si>
  <si>
    <t>mẫu,có lỗ</t>
  </si>
  <si>
    <t>68-70900-L4-01</t>
  </si>
  <si>
    <t>68-72600-02-01</t>
  </si>
  <si>
    <t>68-83200-03-B</t>
  </si>
  <si>
    <t>68-74600-S2-01</t>
  </si>
  <si>
    <t>68-73000-02-01</t>
  </si>
  <si>
    <t>68-73000-L3-01</t>
  </si>
  <si>
    <t>Thành phẩm,có lỗ</t>
  </si>
  <si>
    <t>68-70100-03-A</t>
  </si>
  <si>
    <t>68-75000-S2-05</t>
  </si>
  <si>
    <t>68-82320-01-B4</t>
  </si>
  <si>
    <t>66-70300-03-39</t>
  </si>
  <si>
    <t>66-06700-S2-B2</t>
  </si>
  <si>
    <t>66-06700-S2-B</t>
  </si>
  <si>
    <t>sơn màu, có  lỗ</t>
  </si>
  <si>
    <t>thành phẩm,có  lỗ</t>
  </si>
  <si>
    <t>sơn màu, 2 lỗ đáy</t>
  </si>
  <si>
    <t>68-83600-S1-A</t>
  </si>
  <si>
    <t>68-83700-S1-A</t>
  </si>
  <si>
    <t>68-83800-S1-A</t>
  </si>
  <si>
    <t>66-07000-S1-B</t>
  </si>
  <si>
    <t>66-07100-S1-B</t>
  </si>
  <si>
    <t>66-07200-S1-B</t>
  </si>
  <si>
    <t>66-12400-S1-B</t>
  </si>
  <si>
    <t>66-33100-S1-B</t>
  </si>
  <si>
    <t>66-77700-L3-B</t>
  </si>
  <si>
    <t>66-07900-S3-B</t>
  </si>
  <si>
    <t>68-72600-B2-06</t>
  </si>
  <si>
    <t>68-72800-B2-06</t>
  </si>
  <si>
    <t>68-72800-S4-06</t>
  </si>
  <si>
    <t>68-73000-B2-06</t>
  </si>
  <si>
    <t>68-73000-S4-06</t>
  </si>
  <si>
    <t>sơn màu, ko lỗ</t>
  </si>
  <si>
    <t>66-70337-02-B4</t>
  </si>
  <si>
    <t>68-73300-S2-01</t>
  </si>
  <si>
    <t>68-75916-02-05</t>
  </si>
  <si>
    <t>66-06700-02-B</t>
  </si>
  <si>
    <t>66-33100-S1-01</t>
  </si>
  <si>
    <t>66-34700-S1-01</t>
  </si>
  <si>
    <t>66-34700-S1-05</t>
  </si>
  <si>
    <t>66-33100-S1-05</t>
  </si>
  <si>
    <t>68-72700-B2-05</t>
  </si>
  <si>
    <t>66-02600-01-A</t>
  </si>
  <si>
    <t>66-03000-01-A</t>
  </si>
  <si>
    <t>66-39624-02-B</t>
  </si>
  <si>
    <t>HÀNG TỒN</t>
  </si>
  <si>
    <t>68-70337-02-B4</t>
  </si>
  <si>
    <t>sơn màu, có lỗ</t>
  </si>
  <si>
    <t>66-33200-S1-01</t>
  </si>
  <si>
    <t>66-33200-S1-05</t>
  </si>
  <si>
    <t>66-34600-S1-01</t>
  </si>
  <si>
    <t>66-34600-S1-05</t>
  </si>
  <si>
    <t>68-72700-04-05</t>
  </si>
  <si>
    <t>66-07900-02-B</t>
  </si>
  <si>
    <t>66-06400-02-B2</t>
  </si>
  <si>
    <t>66-61300-02-B</t>
  </si>
  <si>
    <t>66-06700-01-B</t>
  </si>
  <si>
    <t>66-02600-01-B</t>
  </si>
  <si>
    <t>66-02600-02-B</t>
  </si>
  <si>
    <t>66-02700-01-B</t>
  </si>
  <si>
    <t>66-54100-01-B</t>
  </si>
  <si>
    <t>66-54100-02-B</t>
  </si>
  <si>
    <t>sơn màu,có  lỗ</t>
  </si>
  <si>
    <t>66-12522-B2-B</t>
  </si>
  <si>
    <t>66-53021-S3-B4</t>
  </si>
  <si>
    <t>66-61318-S3-B1</t>
  </si>
  <si>
    <t>66-64700-S1-B</t>
  </si>
  <si>
    <t>66-64800-S1-B</t>
  </si>
  <si>
    <t>66-70300-03-30</t>
  </si>
  <si>
    <t>66-80036-03-B</t>
  </si>
  <si>
    <t>66-80136-02-B</t>
  </si>
  <si>
    <t>68-72800-L3-06</t>
  </si>
  <si>
    <t>68-82400-S1-A</t>
  </si>
  <si>
    <t>66-01700-03-B2</t>
  </si>
  <si>
    <t>66-12523-03-B</t>
  </si>
  <si>
    <t>66-70900-03-30</t>
  </si>
  <si>
    <t>66-70900-03-39</t>
  </si>
  <si>
    <t>66-70900-04-30</t>
  </si>
  <si>
    <t>66-70900-04-39</t>
  </si>
  <si>
    <t>66-77723-03-B</t>
  </si>
  <si>
    <t>66-07900-03-B</t>
  </si>
  <si>
    <t>Tháng 1/2021</t>
  </si>
  <si>
    <t>68-72700-X1-05</t>
  </si>
  <si>
    <t>003/KHBS-21</t>
  </si>
  <si>
    <t>001/KHBS-21</t>
  </si>
  <si>
    <t>009/KHBS-21</t>
  </si>
  <si>
    <t>013/KHBS-21</t>
  </si>
  <si>
    <t>66-77700-01-B</t>
  </si>
  <si>
    <t>017/KHBS-21</t>
  </si>
  <si>
    <t>003_SR-21(OBI)</t>
  </si>
  <si>
    <t>001T/WESTELM-21</t>
  </si>
  <si>
    <t>002T/WESTELM-21</t>
  </si>
  <si>
    <t>003T/WESTELM-21</t>
  </si>
  <si>
    <t>005T/WESTELM-21</t>
  </si>
  <si>
    <t>006T/WESTELM-21</t>
  </si>
  <si>
    <t>007T/WESTELM-21</t>
  </si>
  <si>
    <t>68-54500-S2-B</t>
  </si>
  <si>
    <t>001B/POTTERYBARN-21</t>
  </si>
  <si>
    <t>66-83902-02-B</t>
  </si>
  <si>
    <t>66-84100-02-B</t>
  </si>
  <si>
    <t>001C/POTTERYBARN-21</t>
  </si>
  <si>
    <t>66-83800-02-B</t>
  </si>
  <si>
    <t>002A/POTTERYBARN-21</t>
  </si>
  <si>
    <t>002B/POTTERYBARN-21</t>
  </si>
  <si>
    <t>002C/POTTERYBARN-21</t>
  </si>
  <si>
    <t>003B/POTTERYBARN-21</t>
  </si>
  <si>
    <t>004A/POTTERYBARN-21</t>
  </si>
  <si>
    <t>004B/POTTERYBARN-21</t>
  </si>
  <si>
    <t>004D/POTTERYBARN-21</t>
  </si>
  <si>
    <t>033/KHBS-21</t>
  </si>
  <si>
    <t>66-01500-02-A</t>
  </si>
  <si>
    <t>66-01500-03-A</t>
  </si>
  <si>
    <t>66-01700-B2-A</t>
  </si>
  <si>
    <t>66-01700-B2-B</t>
  </si>
  <si>
    <t>66-01700-S4-A</t>
  </si>
  <si>
    <t>66-02500-S2-A</t>
  </si>
  <si>
    <t>66-02600-L2-A</t>
  </si>
  <si>
    <t>66-03000-02-A</t>
  </si>
  <si>
    <t>66-06300-S3-A</t>
  </si>
  <si>
    <t>66-06400-S3-A</t>
  </si>
  <si>
    <t>66-07000-S1-A</t>
  </si>
  <si>
    <t>66-11700-S4-A</t>
  </si>
  <si>
    <t>66-12000-S1-A</t>
  </si>
  <si>
    <t>66-12100-S1-A</t>
  </si>
  <si>
    <t>66-12200-S1-A</t>
  </si>
  <si>
    <t>66-12500-S3-B</t>
  </si>
  <si>
    <t>66-20700-B2-A</t>
  </si>
  <si>
    <t>66-28400-S1-A</t>
  </si>
  <si>
    <t>66-33100-S1-A</t>
  </si>
  <si>
    <t>66-33800-S1-A</t>
  </si>
  <si>
    <t>66-52200-02-A</t>
  </si>
  <si>
    <t>66-54100-S3-A</t>
  </si>
  <si>
    <t>66-55400-S3-A</t>
  </si>
  <si>
    <t>66-61300-B2-B</t>
  </si>
  <si>
    <t>66-61300-S3-A</t>
  </si>
  <si>
    <t>66-61300-S3-B</t>
  </si>
  <si>
    <t>66-75616-02-B</t>
  </si>
  <si>
    <t>66-75616-03-B</t>
  </si>
  <si>
    <t>66-75716-01-B</t>
  </si>
  <si>
    <t>66-75716-02-B</t>
  </si>
  <si>
    <t>66-77700-X2-A</t>
  </si>
  <si>
    <t>66-79516-02-B</t>
  </si>
  <si>
    <t>66-79516-03-B</t>
  </si>
  <si>
    <t>68-74900-S2-A</t>
  </si>
  <si>
    <t>68-75616-01-B</t>
  </si>
  <si>
    <t>68-79316-05-B</t>
  </si>
  <si>
    <t>sơn màu ,có lỗ 2,5 cm</t>
  </si>
  <si>
    <t>mẫu,ko lỗ</t>
  </si>
  <si>
    <t>001/COCOON-21</t>
  </si>
  <si>
    <t>68-72700-04-01</t>
  </si>
  <si>
    <t>68-72900-03-01</t>
  </si>
  <si>
    <t>68-72900-04-01</t>
  </si>
  <si>
    <t>Thành phẩm,ko lỗ</t>
  </si>
  <si>
    <t>001/COMERZIA-21</t>
  </si>
  <si>
    <t xml:space="preserve"> 001/COMERZIA-21</t>
  </si>
  <si>
    <t>037/KHBS-21</t>
  </si>
  <si>
    <t>68-82300-01-01</t>
  </si>
  <si>
    <t>Tháng 2/2021</t>
  </si>
  <si>
    <t>66-07923-01-B</t>
  </si>
  <si>
    <t>66-34600-S1-B</t>
  </si>
  <si>
    <t>66-54100-L2-B</t>
  </si>
  <si>
    <t>051/KHBS-21</t>
  </si>
  <si>
    <t>060/KHBS-21</t>
  </si>
  <si>
    <t>019/KHBS-21</t>
  </si>
  <si>
    <t>66-73020-S1-B4</t>
  </si>
  <si>
    <t>068/KHBS-21</t>
  </si>
  <si>
    <t>002/MOJAY-21</t>
  </si>
  <si>
    <t>66-02600-L2-B</t>
  </si>
  <si>
    <t>001/HAWTHORE-21</t>
  </si>
  <si>
    <t>68-72600-L2-01</t>
  </si>
  <si>
    <t>68-73000-X1-05</t>
  </si>
  <si>
    <t>001/POTTERYPATCH-21</t>
  </si>
  <si>
    <t>073/KHBS-21</t>
  </si>
  <si>
    <t>001/MOJAY-21</t>
  </si>
  <si>
    <t>66-07900-S3-01</t>
  </si>
  <si>
    <t>66-70300-B3-01</t>
  </si>
  <si>
    <t>66-72900-S2-B</t>
  </si>
  <si>
    <t>66-73300-S3-B</t>
  </si>
  <si>
    <t>66-77700-S6-B</t>
  </si>
  <si>
    <t>003/MOJAY-21</t>
  </si>
  <si>
    <t>sơn màu,có lỗ 3cm</t>
  </si>
  <si>
    <t>001T/REJUVENATION-21</t>
  </si>
  <si>
    <t>66-51520-03-30</t>
  </si>
  <si>
    <t>66-51520-03-39</t>
  </si>
  <si>
    <t>66-54120-02-30</t>
  </si>
  <si>
    <t>66-54120-02-39</t>
  </si>
  <si>
    <t>002T/REJUVENATION-21</t>
  </si>
  <si>
    <t>66-66420-03-30</t>
  </si>
  <si>
    <t>66-66420-03-39</t>
  </si>
  <si>
    <t>66-77800-02-39</t>
  </si>
  <si>
    <t>001/YAMATEI-21</t>
  </si>
  <si>
    <t>68-72600-04-06</t>
  </si>
  <si>
    <t>68-72800-04-06</t>
  </si>
  <si>
    <t>68-72800-L2-01</t>
  </si>
  <si>
    <t>68-73000-L2-01</t>
  </si>
  <si>
    <t>THÁNG 3/2021</t>
  </si>
  <si>
    <t>002/TORRICELLI-21</t>
  </si>
  <si>
    <t>001/AHOME-21</t>
  </si>
  <si>
    <t>66-66600-02-30</t>
  </si>
  <si>
    <t>66-66600-03-30</t>
  </si>
  <si>
    <t>TP, lỗ treo dây</t>
  </si>
  <si>
    <t>TP,lỗ vừa chân gỗ 60</t>
  </si>
  <si>
    <t>001/CALUCKY-21</t>
  </si>
  <si>
    <t>66-28524-S1-B</t>
  </si>
  <si>
    <t>66-59124-01-B</t>
  </si>
  <si>
    <t>66-59124-02-B</t>
  </si>
  <si>
    <t>004/POTTERYPOT-21</t>
  </si>
  <si>
    <t>001/HERSTERA-21</t>
  </si>
  <si>
    <t>66-77000-02-30</t>
  </si>
  <si>
    <t>66-77000-03-30</t>
  </si>
  <si>
    <t>thành phẩm ko lỗ</t>
  </si>
  <si>
    <t>004/COCOON-21</t>
  </si>
  <si>
    <t>68-70000-02-01</t>
  </si>
  <si>
    <t>68-70800-B2-01</t>
  </si>
  <si>
    <t>68-70900-X1-01</t>
  </si>
  <si>
    <t>Thành phẩm, ko lỗ</t>
  </si>
  <si>
    <t>002/HACA-HK-21</t>
  </si>
  <si>
    <t>66-54100-B2-39</t>
  </si>
  <si>
    <t>66-55412-S3-B</t>
  </si>
  <si>
    <t>66-66400-S3-39</t>
  </si>
  <si>
    <t>66-77712-L4-B</t>
  </si>
  <si>
    <t>TP, vừa chân gỗ 60</t>
  </si>
  <si>
    <t xml:space="preserve"> sơn màu ko lỗ</t>
  </si>
  <si>
    <t>sơn màu ko lỗ</t>
  </si>
  <si>
    <t>TP ,ko lỗ</t>
  </si>
  <si>
    <t>088/KHBS-21</t>
  </si>
  <si>
    <t>001/EUROMARKET_SR-21</t>
  </si>
  <si>
    <t>66-06400-01-B</t>
  </si>
  <si>
    <t>095/KHBS-21</t>
  </si>
  <si>
    <t>096/KHBS-21</t>
  </si>
  <si>
    <t>68-54400-01-B2</t>
  </si>
  <si>
    <t>101/KHBS-21</t>
  </si>
  <si>
    <t>104/KHBS-21</t>
  </si>
  <si>
    <t>0031/EUROMARKET_SR-21</t>
  </si>
  <si>
    <t>003/HACA-HK-21</t>
  </si>
  <si>
    <t>66-61312-03-B</t>
  </si>
  <si>
    <t>66-61312-B2-B</t>
  </si>
  <si>
    <t>66-77712-04-B</t>
  </si>
  <si>
    <t>66-77712-X2-B</t>
  </si>
  <si>
    <t>66-77712-X4-B</t>
  </si>
  <si>
    <t>023/EUROMARKET-21</t>
  </si>
  <si>
    <t>66-03000-S2-A1(phen)</t>
  </si>
  <si>
    <t>114/KHBS-21</t>
  </si>
  <si>
    <t>032/EUROMARKET-21</t>
  </si>
  <si>
    <t>031/EUROMARKET-21</t>
  </si>
  <si>
    <t>036/POTTERYPOT-21</t>
  </si>
  <si>
    <t>004/HACA-HK-21</t>
  </si>
  <si>
    <t>66-07300-S1-B</t>
  </si>
  <si>
    <t>66-51712-01-B</t>
  </si>
  <si>
    <t>009/VG_SR-21(WESTELM)</t>
  </si>
  <si>
    <t>127/KHBS-21</t>
  </si>
  <si>
    <t>son màu, có lỗ</t>
  </si>
  <si>
    <t>120/KHBS-21</t>
  </si>
  <si>
    <t>66-06400-L2-B</t>
  </si>
  <si>
    <t>66-06400-02-B</t>
  </si>
  <si>
    <t>THÁNG 4/2021</t>
  </si>
  <si>
    <t>143/KHBS-21</t>
  </si>
  <si>
    <t>138/KHBS-21</t>
  </si>
  <si>
    <t xml:space="preserve">sơn màu ,có lỗ </t>
  </si>
  <si>
    <t>141/KHBS-21</t>
  </si>
  <si>
    <t>148/KHBS-21</t>
  </si>
  <si>
    <t>144/KHBS-21</t>
  </si>
  <si>
    <t>018/VG_SR-21(TJX)</t>
  </si>
  <si>
    <t>thành phẩm, có lổ đáy và lỗ treo tem</t>
  </si>
  <si>
    <t>014/VG_SR-21(GLOBUS)</t>
  </si>
  <si>
    <t>66-77700-03-A</t>
  </si>
  <si>
    <t>66-02500-01-A</t>
  </si>
  <si>
    <t>66-70300-03-A</t>
  </si>
  <si>
    <t>051/POTTERYPOT-21</t>
  </si>
  <si>
    <t>27/07/2021</t>
  </si>
  <si>
    <t>099A/POTTERYPOT-21</t>
  </si>
  <si>
    <t>sơn màu,  ko lỗ</t>
  </si>
  <si>
    <t>104A/POTTERYPOT-21</t>
  </si>
  <si>
    <t>103A/POTTERYPOT-21</t>
  </si>
  <si>
    <t>102A/POTTERYPOT-21</t>
  </si>
  <si>
    <t>101A/POTTERYPOT-21</t>
  </si>
  <si>
    <t>100A/POTTERYPOT-21</t>
  </si>
  <si>
    <t>29/07/2021</t>
  </si>
  <si>
    <t>076/POTTERYPOT-21</t>
  </si>
  <si>
    <t>035/NY/PP-USA-21</t>
  </si>
  <si>
    <t>010T/WESTELM-21</t>
  </si>
  <si>
    <t>66-83200-02-B</t>
  </si>
  <si>
    <t>009T/WESTELM-21</t>
  </si>
  <si>
    <t>66-83400-03-01</t>
  </si>
  <si>
    <t>66-83400-03-B</t>
  </si>
  <si>
    <t>66-57500-02-B</t>
  </si>
  <si>
    <t>156/KHBS-21</t>
  </si>
  <si>
    <t>66-66600-03-A</t>
  </si>
  <si>
    <t>66-06700-02-A</t>
  </si>
  <si>
    <t>66-70300-04-A</t>
  </si>
  <si>
    <t>004/EUROMARKET_SR-21</t>
  </si>
  <si>
    <t>Mẫu, có lỗ</t>
  </si>
  <si>
    <t>68-70800-S3-A</t>
  </si>
  <si>
    <t>001/ANNA-21</t>
  </si>
  <si>
    <t>66-01500-S3-A</t>
  </si>
  <si>
    <t>66-01718-B2-B1</t>
  </si>
  <si>
    <t>66-01718-B3-B1</t>
  </si>
  <si>
    <t>66-07800-S3-A</t>
  </si>
  <si>
    <t>66-07800-S3-B</t>
  </si>
  <si>
    <t>66-61318-B2-B1</t>
  </si>
  <si>
    <t>66-75616-02-01</t>
  </si>
  <si>
    <t>66-75616-02-A</t>
  </si>
  <si>
    <t>66-75616-03-01</t>
  </si>
  <si>
    <t>66-75716-02-01</t>
  </si>
  <si>
    <t>66-75716-02-A</t>
  </si>
  <si>
    <t>66-79516-03-01</t>
  </si>
  <si>
    <t>66-79516-03-A</t>
  </si>
  <si>
    <t>68-57900-S2-39</t>
  </si>
  <si>
    <t>68-57900-S2-A</t>
  </si>
  <si>
    <t>68-70900-X1-06</t>
  </si>
  <si>
    <t>68-70900-X1-39</t>
  </si>
  <si>
    <t>68-70900-X1-A</t>
  </si>
  <si>
    <t>thành phẩm,có lỗ 2,5cm</t>
  </si>
  <si>
    <t>sơn màu, có lỗ 2,5cm</t>
  </si>
  <si>
    <t>085A/POTTERYPOT-21</t>
  </si>
  <si>
    <t>086/POTTERYPOT-21</t>
  </si>
  <si>
    <t>008T/WESTELM-21</t>
  </si>
  <si>
    <t>158/KHBS-21</t>
  </si>
  <si>
    <t>002/DOVETAIL-21</t>
  </si>
  <si>
    <t>001A/MOJAY-21</t>
  </si>
  <si>
    <t>66-77700-B5-B</t>
  </si>
  <si>
    <t>002A/MOJAY-21</t>
  </si>
  <si>
    <t>003A/MOJAY-21</t>
  </si>
  <si>
    <t>058/WESTELM-21</t>
  </si>
  <si>
    <t>059/WESTELM-21</t>
  </si>
  <si>
    <t>66-80036-01-B</t>
  </si>
  <si>
    <t>060/WESTELM-21</t>
  </si>
  <si>
    <t>061/WESTELM-21</t>
  </si>
  <si>
    <t>062/WESTELM-21</t>
  </si>
  <si>
    <t>064/WESTELM-21</t>
  </si>
  <si>
    <t>065/WESTELM-21</t>
  </si>
  <si>
    <t>066/WESTELM-21</t>
  </si>
  <si>
    <t>66-83200-01-B</t>
  </si>
  <si>
    <t>067/WESTELM-21</t>
  </si>
  <si>
    <t>063/WESTELM-21</t>
  </si>
  <si>
    <t>66-80036-01-17</t>
  </si>
  <si>
    <t>068/WESTELM-21</t>
  </si>
  <si>
    <t>66-70300-02-30</t>
  </si>
  <si>
    <t>069/WESTELM-21</t>
  </si>
  <si>
    <t>070/WESTELM-21</t>
  </si>
  <si>
    <t>072/WESTELM-21</t>
  </si>
  <si>
    <t>074/WESTELM-21</t>
  </si>
  <si>
    <t>075/WESTELM-21</t>
  </si>
  <si>
    <t>002/VANDER_SR-21</t>
  </si>
  <si>
    <t>68-74900-S2-05</t>
  </si>
  <si>
    <t>68-82000-02-A</t>
  </si>
  <si>
    <t>68-82000-02-05</t>
  </si>
  <si>
    <t>sơn màu, ko  lỗ</t>
  </si>
  <si>
    <t>68-75000-S2-A</t>
  </si>
  <si>
    <t>160/KHBS-21</t>
  </si>
  <si>
    <t>161/KHBS-21</t>
  </si>
  <si>
    <t>039/EUROMARKET21</t>
  </si>
  <si>
    <t>076/WESTELM-21</t>
  </si>
  <si>
    <t>078/WESTELM-21</t>
  </si>
  <si>
    <t>077/WESTELM-21</t>
  </si>
  <si>
    <t>163/KHBS-21</t>
  </si>
  <si>
    <t>165/KHBS-21</t>
  </si>
  <si>
    <t>123/POTTERYPOT-21</t>
  </si>
  <si>
    <t>Sơn màu, ko lỗ</t>
  </si>
  <si>
    <t>003T/PLANTAGEN-21</t>
  </si>
  <si>
    <t>001/MOBEL-DESIGN-21</t>
  </si>
  <si>
    <t>167/KHBS-21</t>
  </si>
  <si>
    <t xml:space="preserve">167/KHBS-21 </t>
  </si>
  <si>
    <t>001/SQUARE-21</t>
  </si>
  <si>
    <t xml:space="preserve">sơn màu,có lỗ </t>
  </si>
  <si>
    <t>006/CANADIAN-21</t>
  </si>
  <si>
    <t>68-70900-L3-78</t>
  </si>
  <si>
    <t>005/CANADIAN-21</t>
  </si>
  <si>
    <t>68-70900-L3-39</t>
  </si>
  <si>
    <t>002/OBI-21</t>
  </si>
  <si>
    <t>66-00600-02-B</t>
  </si>
  <si>
    <t>66-00600-03-B</t>
  </si>
  <si>
    <t>66-02600-03-B</t>
  </si>
  <si>
    <t>66-05300-01-B</t>
  </si>
  <si>
    <t>66-05300-02-B</t>
  </si>
  <si>
    <t>66-05800-S1-B</t>
  </si>
  <si>
    <t>66-07600-01-B</t>
  </si>
  <si>
    <t>66-07600-02-B</t>
  </si>
  <si>
    <t>66-07600-03-B</t>
  </si>
  <si>
    <t>66-31900-01-B</t>
  </si>
  <si>
    <t>66-31900-02-B</t>
  </si>
  <si>
    <t>66-31900-03-B</t>
  </si>
  <si>
    <t>66-31900-04-B</t>
  </si>
  <si>
    <t>66-32000-01-B</t>
  </si>
  <si>
    <t>66-32000-02-B</t>
  </si>
  <si>
    <t>66-32000-03-B</t>
  </si>
  <si>
    <t>66-32000-04-B</t>
  </si>
  <si>
    <t>66-05300-03-B</t>
  </si>
  <si>
    <t>THÁNG 5/2021</t>
  </si>
  <si>
    <t>66-03000-01-B</t>
  </si>
  <si>
    <t>170/KHBS-21</t>
  </si>
  <si>
    <t>168/KHBS-21</t>
  </si>
  <si>
    <t>172/KHBS-21</t>
  </si>
  <si>
    <t>171/KHBS-21</t>
  </si>
  <si>
    <t>002/POTTERYPOT_SR-21</t>
  </si>
  <si>
    <t xml:space="preserve">sơn màu,ko lỗ </t>
  </si>
  <si>
    <t>176/KHBS-21</t>
  </si>
  <si>
    <t>thành phẩm, có lỗ</t>
  </si>
  <si>
    <t>66-70900-01-30</t>
  </si>
  <si>
    <t>sơn màu,  có lỗ</t>
  </si>
  <si>
    <t>180/KHBS-21 ( 016/ANNA-21)</t>
  </si>
  <si>
    <t>thành phẩm, có lỗ 2,5</t>
  </si>
  <si>
    <t>sơn màu, có lỗ 2,5</t>
  </si>
  <si>
    <t>thành phẩm, 2 lỗ đáy</t>
  </si>
  <si>
    <t>thành phẩm,2 lỗ cách đều nhau</t>
  </si>
  <si>
    <t>177/KHBS-21</t>
  </si>
  <si>
    <t>006A/CANADIAN-21</t>
  </si>
  <si>
    <t>002/POTTERYPATCH-21</t>
  </si>
  <si>
    <t>001/BUNNINGS-21</t>
  </si>
  <si>
    <t>041A/NY/PP-USA-21</t>
  </si>
  <si>
    <t>182/KHBS-21(056/PLATAGEN-21)</t>
  </si>
  <si>
    <t>181/KHBS-21(002/MOJAY-21)</t>
  </si>
  <si>
    <t>184/KHBS-21 (002T/WESTELM-21)</t>
  </si>
  <si>
    <t>184/KHBS-21(055/PLANTAGEN-21</t>
  </si>
  <si>
    <t>014T/WESTELM-21</t>
  </si>
  <si>
    <t>016T/WESTELM-21</t>
  </si>
  <si>
    <t>018T/WESTELM-21</t>
  </si>
  <si>
    <t>002/MES-21</t>
  </si>
  <si>
    <t>68-75616-02-B</t>
  </si>
  <si>
    <t>001/FOWER POWER-21</t>
  </si>
  <si>
    <t>019T/WESTELM-21</t>
  </si>
  <si>
    <t>sơn màu, lỗ 2,5 cm</t>
  </si>
  <si>
    <t>002/ANNA-21</t>
  </si>
  <si>
    <t>68-13600-S1-B</t>
  </si>
  <si>
    <t>68-18600-S1-B</t>
  </si>
  <si>
    <t>68-47300-S1-B</t>
  </si>
  <si>
    <t>68-53700-S1-B</t>
  </si>
  <si>
    <t>187/KHBS-21</t>
  </si>
  <si>
    <t>048/EUROMARKET-21</t>
  </si>
  <si>
    <t>014/CANADIAN-21</t>
  </si>
  <si>
    <t>012/CANADIAN-21</t>
  </si>
  <si>
    <t>011/CANADIAN-21</t>
  </si>
  <si>
    <t>087/WESTELM-21</t>
  </si>
  <si>
    <t>001/MACKOO-21 (đợt 1)</t>
  </si>
  <si>
    <t>001/MACKOO-21 (đợt 2)</t>
  </si>
  <si>
    <t>66-55412-B2-B</t>
  </si>
  <si>
    <t>176A/POTTERYPOT-21</t>
  </si>
  <si>
    <t>160/POTTERYPOT-21</t>
  </si>
  <si>
    <t>004/NOI DIA-21</t>
  </si>
  <si>
    <t>68-72600-01-B</t>
  </si>
  <si>
    <t>188/KHBS-21(002A/MOJAY-21)</t>
  </si>
  <si>
    <t>66-77700-B2-B</t>
  </si>
  <si>
    <t>007/MADECOM-21</t>
  </si>
  <si>
    <t>66-17200-02-B</t>
  </si>
  <si>
    <t>66-20700-B2-B</t>
  </si>
  <si>
    <t>008/MADECOM-21</t>
  </si>
  <si>
    <t>66-07800-01-A</t>
  </si>
  <si>
    <t>66-55412-03-B</t>
  </si>
  <si>
    <t>192/KHBS-21</t>
  </si>
  <si>
    <t>194/KHBS-21</t>
  </si>
  <si>
    <t>66-17200-02-A1(phên)</t>
  </si>
  <si>
    <t>002/AGRAVIS-21</t>
  </si>
  <si>
    <t>66-12523-B2-B</t>
  </si>
  <si>
    <t>216/POTTERYPOT-21</t>
  </si>
  <si>
    <t>075/NY/PP-USA-21</t>
  </si>
  <si>
    <t>016/CANADIAN-21</t>
  </si>
  <si>
    <t>190/KHBS-21</t>
  </si>
  <si>
    <t>175/KHBS-21 (343A/POTTERYPOT-21)</t>
  </si>
  <si>
    <t>189/POTERYPOT-21</t>
  </si>
  <si>
    <t>190/POTERYPOT-21</t>
  </si>
  <si>
    <t>058/NY/PP-USA-21</t>
  </si>
  <si>
    <t>059/NY/PP-USA-21</t>
  </si>
  <si>
    <t>060/NY/PP-USA-21</t>
  </si>
  <si>
    <t>072/NY/PP-USA-21</t>
  </si>
  <si>
    <t>191/POTTERYPOT-21</t>
  </si>
  <si>
    <t>192/POTTERYPOT-21</t>
  </si>
  <si>
    <t>193/POTTERYPOT-21</t>
  </si>
  <si>
    <t>194/POTTERYPOT-21</t>
  </si>
  <si>
    <t>195/POTTERYPOT-21</t>
  </si>
  <si>
    <t>196/POTTERYPOT-21</t>
  </si>
  <si>
    <t>197/POTTERYPOT-21</t>
  </si>
  <si>
    <t>255/POTTERYPOT-21</t>
  </si>
  <si>
    <t>001/HANKKIJA-21</t>
  </si>
  <si>
    <t>66-51620-B2-B</t>
  </si>
  <si>
    <t>66-52237-S2-B4</t>
  </si>
  <si>
    <t>66-61337-S3-B4</t>
  </si>
  <si>
    <t>66-70322-B2-B</t>
  </si>
  <si>
    <t>66-77724-X4-B</t>
  </si>
  <si>
    <t>002T/OBI-21</t>
  </si>
  <si>
    <t>66-02624-01-B</t>
  </si>
  <si>
    <t>66-02624-02-B</t>
  </si>
  <si>
    <t>66-02624-03-B</t>
  </si>
  <si>
    <t>66-06422-01-B</t>
  </si>
  <si>
    <t>66-06422-02-B</t>
  </si>
  <si>
    <t>66-54124-02-B</t>
  </si>
  <si>
    <t>66-54124-03-B</t>
  </si>
  <si>
    <t>66-60024-01-B</t>
  </si>
  <si>
    <t>66-60024-02-B</t>
  </si>
  <si>
    <t>66-60024-03-B</t>
  </si>
  <si>
    <t>66-60024-04-B</t>
  </si>
  <si>
    <t>66-60124-01-B</t>
  </si>
  <si>
    <t>66-60124-02-B</t>
  </si>
  <si>
    <t>66-60124-03-B</t>
  </si>
  <si>
    <t>66-70322-03-B</t>
  </si>
  <si>
    <t>66-70322-04-B</t>
  </si>
  <si>
    <t>003/COMERZIA-21</t>
  </si>
  <si>
    <t>68-57700-S3-B</t>
  </si>
  <si>
    <t>68-72800-L3-01</t>
  </si>
  <si>
    <t>004/COMERZIA-21</t>
  </si>
  <si>
    <t>68-70200-B2-01</t>
  </si>
  <si>
    <t>68--70500-01-A1(phên)</t>
  </si>
  <si>
    <t>66-83300-03-01</t>
  </si>
  <si>
    <t>005/COCOON-21 (đợt 1)</t>
  </si>
  <si>
    <t>005/COCOON-21 (đợt 2)</t>
  </si>
  <si>
    <t>199/KHBS-21(003/MOJAY-21)</t>
  </si>
  <si>
    <t>002/BUNNINGS-21</t>
  </si>
  <si>
    <t>66-70322-B3-B</t>
  </si>
  <si>
    <t>125A/POTTERYPOT-21</t>
  </si>
  <si>
    <t>202/KHBS-21</t>
  </si>
  <si>
    <t>198/KHBS-21</t>
  </si>
  <si>
    <t>022T/WESTELM-21</t>
  </si>
  <si>
    <t>021T/WESTELM-21</t>
  </si>
  <si>
    <t>66-70337-01-B4</t>
  </si>
  <si>
    <t>66-83237-02-B4</t>
  </si>
  <si>
    <t>228/POTTERYPOT-21</t>
  </si>
  <si>
    <t>227/POTERTYPOT-21</t>
  </si>
  <si>
    <t>217/POTERTYPOT-21</t>
  </si>
  <si>
    <t>thành phẩm ,có lỗ</t>
  </si>
  <si>
    <t>056/NY/PP-USA-21</t>
  </si>
  <si>
    <t>001/FLEUR BE-21</t>
  </si>
  <si>
    <t>010/MADECOM-21</t>
  </si>
  <si>
    <t>001T/HOMEGOODS-21</t>
  </si>
  <si>
    <t>66-01729-02-B</t>
  </si>
  <si>
    <t>66-01729-03-B</t>
  </si>
  <si>
    <t>66-01729-04-B</t>
  </si>
  <si>
    <t>66-55137-01-B4</t>
  </si>
  <si>
    <t>66-77710-02-B</t>
  </si>
  <si>
    <t>66-77710-03-B</t>
  </si>
  <si>
    <t>66-55137-02-B4</t>
  </si>
  <si>
    <t>203/KHBS-21</t>
  </si>
  <si>
    <t>204/KHBS-21</t>
  </si>
  <si>
    <t>002/VANDER-21</t>
  </si>
  <si>
    <t>66-55137-S2-B4</t>
  </si>
  <si>
    <t>66-84737-S2-B4</t>
  </si>
  <si>
    <t>66-84837-S3-B4</t>
  </si>
  <si>
    <t>66-85037-S2-B4</t>
  </si>
  <si>
    <t>66-83237-01-B4</t>
  </si>
  <si>
    <t>66-77700-05-A</t>
  </si>
  <si>
    <t>68-73000-B3-06</t>
  </si>
  <si>
    <t>66-07923-03-B</t>
  </si>
  <si>
    <t>092/WESTELM-21</t>
  </si>
  <si>
    <t>003/CANADIAN_SR-21</t>
  </si>
  <si>
    <t>66-39629-03-B</t>
  </si>
  <si>
    <t>66-61310-03-B</t>
  </si>
  <si>
    <t>66-61337-03-B4</t>
  </si>
  <si>
    <t>66-73317-03-B</t>
  </si>
  <si>
    <t>206/KHBS-21</t>
  </si>
  <si>
    <t>031/VG_SR-21(ASIMA)</t>
  </si>
  <si>
    <t>66-70337-03-B4</t>
  </si>
  <si>
    <t>011/MOJAY-21</t>
  </si>
  <si>
    <t>68-79900-S2-32</t>
  </si>
  <si>
    <t>68-79900-S2-B</t>
  </si>
  <si>
    <t>010/MOJAY-21</t>
  </si>
  <si>
    <t>008/MOJAY-21</t>
  </si>
  <si>
    <t>68-70900-B3-01</t>
  </si>
  <si>
    <t>68-70900-B3-B</t>
  </si>
  <si>
    <t>103/WESTELM-21</t>
  </si>
  <si>
    <t>009/CLARIUS-21</t>
  </si>
  <si>
    <t>66-72124-S1-B</t>
  </si>
  <si>
    <t>66-80400-B2-B</t>
  </si>
  <si>
    <t>66-80400-B2-B2</t>
  </si>
  <si>
    <t>66-80400-S3-B</t>
  </si>
  <si>
    <t>66-82500-S3-B</t>
  </si>
  <si>
    <t>66-82500-B2-B</t>
  </si>
  <si>
    <t>66-82524-B2-B</t>
  </si>
  <si>
    <t>66-82700-S3-B</t>
  </si>
  <si>
    <t>66-82800-S1-B</t>
  </si>
  <si>
    <t>66-83000-S2-B</t>
  </si>
  <si>
    <t>004/OBI-21</t>
  </si>
  <si>
    <t>sơn màu, 2  lỗ đáy</t>
  </si>
  <si>
    <t>66-70337-04-B4</t>
  </si>
  <si>
    <t>sơn màu, 1 lỗ đáy</t>
  </si>
  <si>
    <t>005/GREENPOT-21</t>
  </si>
  <si>
    <t>68-70900-02-05</t>
  </si>
  <si>
    <t>68-70900-03-05</t>
  </si>
  <si>
    <t>042/HACA-HK-21</t>
  </si>
  <si>
    <t>66-68500-04-B</t>
  </si>
  <si>
    <t>66-68500-B2-B</t>
  </si>
  <si>
    <t>66-68500-B3-B</t>
  </si>
  <si>
    <t>66-68500-S4-B</t>
  </si>
  <si>
    <t>66-68600-02-B</t>
  </si>
  <si>
    <t>66-68600-S2-B</t>
  </si>
  <si>
    <t>66-68700-S2-B</t>
  </si>
  <si>
    <t>66-68800-S2-B</t>
  </si>
  <si>
    <t>66-73100-S1-B</t>
  </si>
  <si>
    <t>66-80800-01-B</t>
  </si>
  <si>
    <t>66-80800-02-B</t>
  </si>
  <si>
    <t>66-80900-S2-B</t>
  </si>
  <si>
    <t>66-81000-03-B</t>
  </si>
  <si>
    <t>66-81000-B2-B</t>
  </si>
  <si>
    <t>207/KHBS-21</t>
  </si>
  <si>
    <t>66-01729-01-B</t>
  </si>
  <si>
    <t>thành phẩm, 1 lỗ đáy Ø 30mm</t>
  </si>
  <si>
    <t>006/ITIMASIA-21</t>
  </si>
  <si>
    <t>002T/POTTERYBARN-21</t>
  </si>
  <si>
    <t>66-22800-S1-B</t>
  </si>
  <si>
    <t>66-84016-02-B</t>
  </si>
  <si>
    <t>66-84016-03-B</t>
  </si>
  <si>
    <t>66-70300-S4-B</t>
  </si>
  <si>
    <t>003/HOME 4 YOU-21</t>
  </si>
  <si>
    <t>208/KHBS-21</t>
  </si>
  <si>
    <t>002/METRO_SR-21</t>
  </si>
  <si>
    <t>66-06422-S3-B</t>
  </si>
  <si>
    <t>034/VG_SR-21(METRO)</t>
  </si>
  <si>
    <t>66-70322-02-B</t>
  </si>
  <si>
    <t>001/SEVEA_SR-21</t>
  </si>
  <si>
    <t>66-22900-S1-B</t>
  </si>
  <si>
    <t>66-49600-S1-B</t>
  </si>
  <si>
    <t>TP, 1 lỗ đáy Ø 30mm</t>
  </si>
  <si>
    <t>001/HOME 4 YOU-21</t>
  </si>
  <si>
    <t>001T/MMAX-21</t>
  </si>
  <si>
    <t>66-01737-B3-B4</t>
  </si>
  <si>
    <t>006/NOI DIA-21</t>
  </si>
  <si>
    <t>68-72600-02-B</t>
  </si>
  <si>
    <t>Kho tồn</t>
  </si>
  <si>
    <t>036/VG_SR-21(MMAX)</t>
  </si>
  <si>
    <t>66-01737-04-B4</t>
  </si>
  <si>
    <t>007/NOIDIA-21</t>
  </si>
  <si>
    <t>008/COMERZIA-21</t>
  </si>
  <si>
    <t>001/ALFRESCO HOME-21</t>
  </si>
  <si>
    <t>66-06422-03-B</t>
  </si>
  <si>
    <t>66-06722-01-B</t>
  </si>
  <si>
    <t>66-06722-02-B</t>
  </si>
  <si>
    <t>66-12522-03-B</t>
  </si>
  <si>
    <t>069/EUROMARKET-21</t>
  </si>
  <si>
    <t>067/EUROMARKET-21</t>
  </si>
  <si>
    <t>414/POTTERYPOT-21</t>
  </si>
  <si>
    <t>66-02700-01-A</t>
  </si>
  <si>
    <t>66-54100-01-A</t>
  </si>
  <si>
    <t>66-55400-02-A</t>
  </si>
  <si>
    <t>66-77700-02-A</t>
  </si>
  <si>
    <t>66-77900-01-A</t>
  </si>
  <si>
    <t>209/KHBS-21</t>
  </si>
  <si>
    <t>210/KHBS-21</t>
  </si>
  <si>
    <t>66-61318-02-B1</t>
  </si>
  <si>
    <t>68-70900-L3-B</t>
  </si>
  <si>
    <t>sơn màu, có lỗ 2,cm</t>
  </si>
  <si>
    <t>037/VG_SR-21(TJX)</t>
  </si>
  <si>
    <t>66-06402-03-B</t>
  </si>
  <si>
    <t>66-12500-03-B</t>
  </si>
  <si>
    <t>66-55402-03-B</t>
  </si>
  <si>
    <t>005/YAMATEI-21( Đợt 1)</t>
  </si>
  <si>
    <t>005/YAMATEI-21( Đợt 2)</t>
  </si>
  <si>
    <t>TP. 3 lỗ đáy</t>
  </si>
  <si>
    <t xml:space="preserve">tp, 2 lỗ đáy </t>
  </si>
  <si>
    <t>004T/OBI-21</t>
  </si>
  <si>
    <t>THÁNG 7/2021</t>
  </si>
  <si>
    <t>ĐÚC 5</t>
  </si>
  <si>
    <t>66-85629-03-B</t>
  </si>
  <si>
    <t>213/KHBS-21</t>
  </si>
  <si>
    <t>008/COCOON-21</t>
  </si>
  <si>
    <t>003/HOMESENSE-21</t>
  </si>
  <si>
    <t>22/12/2021</t>
  </si>
  <si>
    <t>66-01702-B3-B</t>
  </si>
  <si>
    <t>66-86100-S1-B</t>
  </si>
  <si>
    <t>002/HOMESENSE-21</t>
  </si>
  <si>
    <t>66-06422-L2-B</t>
  </si>
  <si>
    <t>66-06723-S2-B</t>
  </si>
  <si>
    <t>21/12/2021</t>
  </si>
  <si>
    <t>005/MARSSHALLS-21</t>
  </si>
  <si>
    <t>66-12500-B2-B</t>
  </si>
  <si>
    <t>66-85629-S3-B</t>
  </si>
  <si>
    <t>005/TJ MAXX-21</t>
  </si>
  <si>
    <t>009/COMERZIA-21</t>
  </si>
  <si>
    <t>66-02624-S3-B</t>
  </si>
  <si>
    <t>66-02700-S3-B</t>
  </si>
  <si>
    <t>66-05600-S1-B</t>
  </si>
  <si>
    <t>66-05624-S1-B</t>
  </si>
  <si>
    <t>66-05824-S1-B</t>
  </si>
  <si>
    <t>66-52624-S2-B</t>
  </si>
  <si>
    <t>66-57700-S3-B</t>
  </si>
  <si>
    <t>008/P0TTERYPATCH-21</t>
  </si>
  <si>
    <t>18/03/2022</t>
  </si>
  <si>
    <t>66-01722-S4-B</t>
  </si>
  <si>
    <t>66-70222-B3-B</t>
  </si>
  <si>
    <t>28/12/2021</t>
  </si>
  <si>
    <t>006/MARSHALLS-21</t>
  </si>
  <si>
    <t>006/TJ MAXX-21</t>
  </si>
  <si>
    <t>004/MARSHALLS-21</t>
  </si>
  <si>
    <t>004/TJ MAXX-21</t>
  </si>
  <si>
    <t>002/MARSHALLS-21</t>
  </si>
  <si>
    <t>66-06402-S3-B</t>
  </si>
  <si>
    <t>002/TJ MAXX-21</t>
  </si>
  <si>
    <t>003/MARSHALLS-21</t>
  </si>
  <si>
    <t>003/TJ MAXX-21</t>
  </si>
  <si>
    <t>005/HOMESENSE-21</t>
  </si>
  <si>
    <t>004/HOMESENSE-21</t>
  </si>
  <si>
    <t>66-01729-B2-B</t>
  </si>
  <si>
    <t>66-01729-B3-B</t>
  </si>
  <si>
    <t>66-70302-B3-B</t>
  </si>
  <si>
    <t>007A/MADECOM-21</t>
  </si>
  <si>
    <t>211/KHBS-21</t>
  </si>
  <si>
    <t>son màu, có lỗ 2.5cm</t>
  </si>
  <si>
    <t>66-77712-03-B</t>
  </si>
  <si>
    <t>66-51620-02-B</t>
  </si>
  <si>
    <t>66-20700-02-B</t>
  </si>
  <si>
    <t>66-20700-03-B</t>
  </si>
  <si>
    <t xml:space="preserve">thành phâmt,có lỗ </t>
  </si>
  <si>
    <t>133/WESTELM-21</t>
  </si>
  <si>
    <t>002/HOMEGOODS-21</t>
  </si>
  <si>
    <t>66-39629-L2-B</t>
  </si>
  <si>
    <t>081A/NY/PP-USA-21</t>
  </si>
  <si>
    <t>66-77700-01-A</t>
  </si>
  <si>
    <t>001/WINNERS-21</t>
  </si>
  <si>
    <t>66-53037-S3-B4</t>
  </si>
  <si>
    <t>003/HOMEGOODS-21</t>
  </si>
  <si>
    <t>66-55402-B2-B</t>
  </si>
  <si>
    <t>382/POTTERYPOT-21</t>
  </si>
  <si>
    <t>66-02700-01-A1(phên)</t>
  </si>
  <si>
    <t>26/11/2021</t>
  </si>
  <si>
    <t>003/TK MAXX-21</t>
  </si>
  <si>
    <t>66-55429-S3-B</t>
  </si>
  <si>
    <t>66-79028-L3-B</t>
  </si>
  <si>
    <t>26/12/2021</t>
  </si>
  <si>
    <t>005/TK MAXX-21</t>
  </si>
  <si>
    <t>66-79129-L3-B</t>
  </si>
  <si>
    <t>382A/POTTERYPOT-21</t>
  </si>
  <si>
    <t>17/10/2021</t>
  </si>
  <si>
    <t>002/TK MAXX-21</t>
  </si>
  <si>
    <t>66-39629-S3-B</t>
  </si>
  <si>
    <t>66-55437-S3-B4</t>
  </si>
  <si>
    <t>66-79135-L3-B</t>
  </si>
  <si>
    <t>001/TK MAXX-21</t>
  </si>
  <si>
    <t>004/TK MAXX-21</t>
  </si>
  <si>
    <t>006/TK MAXX-21</t>
  </si>
  <si>
    <t>214/KHBS-21</t>
  </si>
  <si>
    <t>007/HOMEGOODS-21</t>
  </si>
  <si>
    <t>006T/OBI-21</t>
  </si>
  <si>
    <t>038/VG_SR-21( TJX)</t>
  </si>
  <si>
    <t>68-75100-S1-05</t>
  </si>
  <si>
    <t>040/VG_SR-21( MMAX)</t>
  </si>
  <si>
    <t>66-01737-L3-B4</t>
  </si>
  <si>
    <t>041/VG_SR-21( TJX)</t>
  </si>
  <si>
    <t>66-06402-L2-B</t>
  </si>
  <si>
    <t>66-12500-L2-B</t>
  </si>
  <si>
    <t>66-55402-L2-B</t>
  </si>
  <si>
    <t>66-85629-L2-B</t>
  </si>
  <si>
    <t>216/KHBS-21</t>
  </si>
  <si>
    <t>218/KHBS-21</t>
  </si>
  <si>
    <t xml:space="preserve">220/KHBS-21 </t>
  </si>
  <si>
    <t>sơn màu,có lỗ 2.5 cm</t>
  </si>
  <si>
    <t>219/KHBS-21</t>
  </si>
  <si>
    <t xml:space="preserve"> 66-01500-01-A</t>
  </si>
  <si>
    <t xml:space="preserve"> 66-75716-02-B</t>
  </si>
  <si>
    <t>215/KHBS-21</t>
  </si>
  <si>
    <t>004/COMERZIA_SR-21</t>
  </si>
  <si>
    <t>001/AKS_SR-21</t>
  </si>
  <si>
    <t>66-01720-04-B</t>
  </si>
  <si>
    <t>043/VG_SR-21( WESTELM)</t>
  </si>
  <si>
    <t>66-86439-02-B</t>
  </si>
  <si>
    <t>66-86439-03-B</t>
  </si>
  <si>
    <t>046/VG_SR-21( WESTELM)</t>
  </si>
  <si>
    <t>027/POTTERYBARN-21</t>
  </si>
  <si>
    <t>028/POTTERYBARN-21</t>
  </si>
  <si>
    <t>029/POTTERYBARN-21</t>
  </si>
  <si>
    <t>030/POTTERYBARN-21</t>
  </si>
  <si>
    <t>031/POTTERYBARN-21</t>
  </si>
  <si>
    <t>032/POTTERYBARN-21</t>
  </si>
  <si>
    <t>033/POTTERYBARN-21</t>
  </si>
  <si>
    <t>034/POTTERYBARN-21</t>
  </si>
  <si>
    <t>035/POTTERYBARN-21</t>
  </si>
  <si>
    <t>036/POTTERYBARN-21</t>
  </si>
  <si>
    <t>66-23000-S1-B</t>
  </si>
  <si>
    <t>044/VG_SR-21( POTTERYBARN</t>
  </si>
  <si>
    <t>037/POTTERYBARN-21</t>
  </si>
  <si>
    <t>038/POTTERYBARN-21</t>
  </si>
  <si>
    <t>020A/POTTERYBARN-21</t>
  </si>
  <si>
    <t>320/POTTERYPOT-21</t>
  </si>
  <si>
    <t>321/POTTERYPOT-21</t>
  </si>
  <si>
    <t>322/POTTERYPOT-21</t>
  </si>
  <si>
    <t>323/POTTERYPOT-21</t>
  </si>
  <si>
    <t>324/POTTERYPOT-21</t>
  </si>
  <si>
    <t>325/POTTERYPOT-21</t>
  </si>
  <si>
    <t>326/POTTERYPOT-21</t>
  </si>
  <si>
    <t>327/POTTERYPOT-21</t>
  </si>
  <si>
    <t>328/POTTERYPOT-21</t>
  </si>
  <si>
    <t>329/POTTERYPOT-21</t>
  </si>
  <si>
    <t>330/POTTERYPOT-21</t>
  </si>
  <si>
    <t>331/POTTERYPOT-21</t>
  </si>
  <si>
    <t>332/POTTERYPOT-21</t>
  </si>
  <si>
    <t>333/POTTERYPOT-21</t>
  </si>
  <si>
    <t>334/POTTERYPOT-21</t>
  </si>
  <si>
    <t>335/POTTERYPOT-21</t>
  </si>
  <si>
    <t>336/POTTERYPOT-21</t>
  </si>
  <si>
    <t>337/POTTERYPOT-21</t>
  </si>
  <si>
    <t>338/POTTERYPOT-21</t>
  </si>
  <si>
    <t>339/POTTERYPOT-21</t>
  </si>
  <si>
    <t>340/POTTERYPOT-21</t>
  </si>
  <si>
    <t>384/POTTERYPOT-21</t>
  </si>
  <si>
    <t>385/POTTERYPOT-21</t>
  </si>
  <si>
    <t>386/POTTERYPOT-21</t>
  </si>
  <si>
    <t xml:space="preserve">Sơn màu, ko lỗ giao lồng bộ </t>
  </si>
  <si>
    <t>026A/POTTERYBARN-21</t>
  </si>
  <si>
    <t>025B/POTTERYBARN-21</t>
  </si>
  <si>
    <t>001/TK MAXX-USA-21</t>
  </si>
  <si>
    <t>66-01729-S4-B</t>
  </si>
  <si>
    <t>66-61310-S3-B</t>
  </si>
  <si>
    <t>66-77710-X1-B</t>
  </si>
  <si>
    <t>66-79810-01-B</t>
  </si>
  <si>
    <t>sơn màu,kó lỗ</t>
  </si>
  <si>
    <t>001/SIERRA-21</t>
  </si>
  <si>
    <t>21/11/</t>
  </si>
  <si>
    <t>082/EUROMARKET-21</t>
  </si>
  <si>
    <t>002/AKS-21</t>
  </si>
  <si>
    <t>66-01720-B3-B</t>
  </si>
  <si>
    <t>66-51620-S3-B</t>
  </si>
  <si>
    <t>001/INTRATUIN-21</t>
  </si>
  <si>
    <t>66-34609-S1-B</t>
  </si>
  <si>
    <t>66-77000-02-B</t>
  </si>
  <si>
    <t>66-77000-03-B</t>
  </si>
  <si>
    <t>66-77100-02-B</t>
  </si>
  <si>
    <t>66-77100-03-B</t>
  </si>
  <si>
    <t>sơn màu,đục lổ dây treo</t>
  </si>
  <si>
    <t>004/WESTELM_SR-21</t>
  </si>
  <si>
    <t>66-86540-01-B</t>
  </si>
  <si>
    <t>66-86640-02-B</t>
  </si>
  <si>
    <t>66-86740-01-B</t>
  </si>
  <si>
    <t>66-86800-S1-B</t>
  </si>
  <si>
    <t>66-86900-S1-B</t>
  </si>
  <si>
    <t>66-87000-S1-B</t>
  </si>
  <si>
    <t>66-87100-S1-B</t>
  </si>
  <si>
    <t>042/VG_SR-21(TJX)</t>
  </si>
  <si>
    <t>007T/OBI-21</t>
  </si>
  <si>
    <t>66-61337-01-B4</t>
  </si>
  <si>
    <t>66-61337-02-B4</t>
  </si>
  <si>
    <t>009T/OBI-21</t>
  </si>
  <si>
    <t>010T/OBI-21</t>
  </si>
  <si>
    <t>011T/OBI-21</t>
  </si>
  <si>
    <t>012T/OBI-21</t>
  </si>
  <si>
    <t>013T/OBI-21</t>
  </si>
  <si>
    <t>014T/OBI-21</t>
  </si>
  <si>
    <t>015T/OBI-21</t>
  </si>
  <si>
    <t>016T/OBI-21</t>
  </si>
  <si>
    <t>sơn màu,có lỗ,giao hàng lồng bộ</t>
  </si>
  <si>
    <t>sơn màu,có  lỗ để ký mẫu đối</t>
  </si>
  <si>
    <t>Sơn màu có lổ, mẫu dùng làm mẫu đối tạm</t>
  </si>
  <si>
    <t>Sơn màu,có lổ, gửi khách kí mẫu đối</t>
  </si>
  <si>
    <t>045/VG_SR-21( TJX)</t>
  </si>
  <si>
    <t>66-01729-L2-B</t>
  </si>
  <si>
    <t>001/YAMATEI_SR-21</t>
  </si>
  <si>
    <t>003/CALUCKY-21</t>
  </si>
  <si>
    <t>66-01703-02-B</t>
  </si>
  <si>
    <t>66-61310-01-B</t>
  </si>
  <si>
    <t>66-61310-02-B</t>
  </si>
  <si>
    <t>226/KHBS-21</t>
  </si>
  <si>
    <t>101_SR-21(POTTER POTS)</t>
  </si>
  <si>
    <t>SM,k lỗ cắt 100 mảnh KT 6x9cm</t>
  </si>
  <si>
    <t>223/KHBS-21</t>
  </si>
  <si>
    <t>006/EUROMARKET_SR-21</t>
  </si>
  <si>
    <t>68-83600-S1-B</t>
  </si>
  <si>
    <t>68-83700-S1-B</t>
  </si>
  <si>
    <t>68-83800-S1-B</t>
  </si>
  <si>
    <t>có lổmẫu xác nhận màu và ký mẫu đối</t>
  </si>
  <si>
    <t>23/07/2021</t>
  </si>
  <si>
    <t>28/07/2021</t>
  </si>
  <si>
    <t>147A/POTTERYPOT-21</t>
  </si>
  <si>
    <t>028T/WESTELM-21</t>
  </si>
  <si>
    <t>054/EUROMARKET-21</t>
  </si>
  <si>
    <t>080/WESTELM-21</t>
  </si>
  <si>
    <t>118/NY/PP-USA-21</t>
  </si>
  <si>
    <t>095/NY/PP-USA-21</t>
  </si>
  <si>
    <t>096/NY/PP-USA-21</t>
  </si>
  <si>
    <t>097/NY/PP-USA-21</t>
  </si>
  <si>
    <t>005/HOMEGOODS-21</t>
  </si>
  <si>
    <t>006/HOMEGOODS-21</t>
  </si>
  <si>
    <t>001/NORDIC-21</t>
  </si>
  <si>
    <t>66-56100-S1-B</t>
  </si>
  <si>
    <t>66-56200-S1-B</t>
  </si>
  <si>
    <t>66-59124-S2-B</t>
  </si>
  <si>
    <t>144/WESTELM-21</t>
  </si>
  <si>
    <t>227/KHBS-21</t>
  </si>
  <si>
    <t>66-55412-02-B</t>
  </si>
  <si>
    <t>66-77712-B2-B</t>
  </si>
  <si>
    <t>005/KHBS-21(037/VG_SR-21(TJX))</t>
  </si>
  <si>
    <t>005/KHBS-21(040/VG_SR-21(MMAX))</t>
  </si>
  <si>
    <t>005/KHBS_SR-21(041/VG_SR-21(TJX))</t>
  </si>
  <si>
    <t>sơn màu,có lỗ,có rãnh thoát nước</t>
  </si>
  <si>
    <t>229/KHBS-21</t>
  </si>
  <si>
    <t>025T/WESTELM-21</t>
  </si>
  <si>
    <t>026T/WESTELM-21</t>
  </si>
  <si>
    <t>027T/WESTELM-21</t>
  </si>
  <si>
    <t>66-70900-04-B</t>
  </si>
  <si>
    <t>001/GREENPOT-VG-21</t>
  </si>
  <si>
    <t>66-70300-04-B</t>
  </si>
  <si>
    <t>014/POTTERYBARN-VG-21</t>
  </si>
  <si>
    <t>015/POTTERYBARN-VG-21</t>
  </si>
  <si>
    <t>012/POTTERYBARN-VG-21</t>
  </si>
  <si>
    <t>016/POTTERYBARN-VG-21</t>
  </si>
  <si>
    <t>011/POTTERYBARN-VG-21</t>
  </si>
  <si>
    <t>010/POTTERYBARN-VG-21</t>
  </si>
  <si>
    <t>008/POTTERYBARN-VG-21</t>
  </si>
  <si>
    <t>007/POTTERYBARN-VG-21</t>
  </si>
  <si>
    <t>006/POTTERYBARN-VG-21</t>
  </si>
  <si>
    <t>004/POTTERYBARN-VG-21</t>
  </si>
  <si>
    <t>003/POTTERYBARN-VG-21</t>
  </si>
  <si>
    <t>002/POTTERYBARN-VG-21</t>
  </si>
  <si>
    <t>001/POTTERYBARN-VG-21</t>
  </si>
  <si>
    <t>005/POTTERYBARN-VG-21</t>
  </si>
  <si>
    <t>009/POTTERYBARN-VG-21</t>
  </si>
  <si>
    <t>013/POTTERYBARN-VG-21</t>
  </si>
  <si>
    <t>017/POTTERYBARN-VG-21</t>
  </si>
  <si>
    <t>018/POTTERYBARN-VG-21</t>
  </si>
  <si>
    <t>001/CLARIUS-VG-21</t>
  </si>
  <si>
    <t>66-58300-01-A1(phen)</t>
  </si>
  <si>
    <t>66-58300-02-A1(phen)</t>
  </si>
  <si>
    <t>66-58300-03-A1(phen)</t>
  </si>
  <si>
    <t>66-72100-S1-A1(phen)</t>
  </si>
  <si>
    <t>66-82500-01-A1(PHÊN)</t>
  </si>
  <si>
    <t>66-82500-02-A1(PHÊN)</t>
  </si>
  <si>
    <t>66-82900-01-A1(PHÊN)</t>
  </si>
  <si>
    <t>66-82900-02-A1(PHÊN)</t>
  </si>
  <si>
    <t>66-82800-S1-A1(PHÊN)</t>
  </si>
  <si>
    <t>66-83000-01-A1(PHÊN)</t>
  </si>
  <si>
    <t>66-83000-02-A1(PHÊN)</t>
  </si>
  <si>
    <t>66-58300-S3-B2</t>
  </si>
  <si>
    <t>66-72100-S1-B2</t>
  </si>
  <si>
    <t>66-80400-S3-B2</t>
  </si>
  <si>
    <t>66-82524-S3-B</t>
  </si>
  <si>
    <t>66-82700-B2-B</t>
  </si>
  <si>
    <t>66-82900-S2-B2</t>
  </si>
  <si>
    <t>66-83000-02-B</t>
  </si>
  <si>
    <t>sơn màu, phên nguyên tấm, khoan lổ 3cm</t>
  </si>
  <si>
    <t>sơn màu,phên 2 mảnh( khoan 1 lỗ Ø 3cm)</t>
  </si>
  <si>
    <t>sơn màu,Phên 2 mảnh, khoét lổ ɸ3 cm</t>
  </si>
  <si>
    <t>sơn màu,không lổ, vừa bánh xe của khách</t>
  </si>
  <si>
    <t>sơn màu,không lổ</t>
  </si>
  <si>
    <t>001/ERMITAZAS-21</t>
  </si>
  <si>
    <t>66-02605-S3-B1</t>
  </si>
  <si>
    <t>66-34024-S1-B</t>
  </si>
  <si>
    <t>66-50319-S2-B</t>
  </si>
  <si>
    <t>66-50719-S2-B</t>
  </si>
  <si>
    <t>66-55120-S2-B4</t>
  </si>
  <si>
    <t>66-57424-S2-B</t>
  </si>
  <si>
    <t>049/HACA-HK-VG-21</t>
  </si>
  <si>
    <t>66-68400-01-B</t>
  </si>
  <si>
    <t>66-68500-02-B</t>
  </si>
  <si>
    <t>001/LH IMPORTS-VG_SR-21</t>
  </si>
  <si>
    <t>66-39609-01-B</t>
  </si>
  <si>
    <t>66-55409-02-B</t>
  </si>
  <si>
    <t>66-61309-02-B</t>
  </si>
  <si>
    <t>66-61309-03-B</t>
  </si>
  <si>
    <t>sơn màu, có lỗ,có rãnh đáy</t>
  </si>
  <si>
    <t>006/BOTANICO-21</t>
  </si>
  <si>
    <t>66-61320-S3-B4</t>
  </si>
  <si>
    <t>sơn màu, không lỗ</t>
  </si>
  <si>
    <t>439A/POTTERYPOT-21</t>
  </si>
  <si>
    <t>66-54100-02-A</t>
  </si>
  <si>
    <t>66-73300-03-A</t>
  </si>
  <si>
    <t>056/EUROMARKET-21</t>
  </si>
  <si>
    <t>THÁNG 8/2021</t>
  </si>
  <si>
    <t>232/KHBS-21(002T/OBI-21)</t>
  </si>
  <si>
    <t>232/KHBS-21(001/MACKOO-21)</t>
  </si>
  <si>
    <t>232/KHBS-21(002/AGRAVIS-21)</t>
  </si>
  <si>
    <t>66-07923-02-B</t>
  </si>
  <si>
    <t>048/VG_SR-21(METRO)</t>
  </si>
  <si>
    <t>66-07900-S3-A</t>
  </si>
  <si>
    <t>sơn màu,có lổ, có rãnh thoát nước,</t>
  </si>
  <si>
    <t>001/METRO-VG_SR-21</t>
  </si>
  <si>
    <t>002/MARSSHALLS-21</t>
  </si>
  <si>
    <t>050-VG_SR-21(EUROMARKKET)</t>
  </si>
  <si>
    <t>66-87200-01-B</t>
  </si>
  <si>
    <t>046/PTSP-PT-21</t>
  </si>
  <si>
    <t>66-66500-02-A</t>
  </si>
  <si>
    <t>sơn màu, ko lỗ, mẫu dùng để cắt mảnh màu, yêu cầu bề mặt rộng</t>
  </si>
  <si>
    <t>233/KHBS-21(001/ANNA-21)</t>
  </si>
  <si>
    <t>66-07800-01-B</t>
  </si>
  <si>
    <t>66-77712-02-B</t>
  </si>
  <si>
    <t>66-01737-03-B4</t>
  </si>
  <si>
    <t>66-01700-03-B</t>
  </si>
  <si>
    <t>66-77724-04-B</t>
  </si>
  <si>
    <t>009T/EUROMARKET-21</t>
  </si>
  <si>
    <t xml:space="preserve"> 009T/EUROMARKET-21</t>
  </si>
  <si>
    <t>66-87200-02-B</t>
  </si>
  <si>
    <t>68-79900-01-B</t>
  </si>
  <si>
    <t>Phên 2 nửa,Khoan lỗ 3 cm</t>
  </si>
  <si>
    <t>029T/WESTELM-21</t>
  </si>
  <si>
    <t xml:space="preserve">sơn màu,có lổ, </t>
  </si>
  <si>
    <t>051-VG_SR-21(EUROMARKET)</t>
  </si>
  <si>
    <t>66-87400-S1-B</t>
  </si>
  <si>
    <t>66-87500-S1-B</t>
  </si>
  <si>
    <t>66-87600-S1-B</t>
  </si>
  <si>
    <t>có lổ, Mẫu dùng để thử đóng gói(droptest), yêu cầu không rút bảo dưỡng, sửa nứt, có rãnh thoát nước</t>
  </si>
  <si>
    <t>2 lổ, Mẫu dùng để thử đóng gói(droptest), yêu cầu không rút bảo dưỡng, sửa nứt, có rảnh thoát nước</t>
  </si>
  <si>
    <t>001/EUROMARKET-VG_SR-21</t>
  </si>
  <si>
    <t>có lổ, khách ký mẫu đối, có rãnh thoát nước</t>
  </si>
  <si>
    <t>2  lổ, khách ký mẫu đối, có rãnh thoát nước</t>
  </si>
  <si>
    <t>, có lổ, Mẫu dùng để thử đóng gói(droptest), yêu cầu không rút bảo dưỡng, sửa nứt, có rãnh thoát nước</t>
  </si>
  <si>
    <t xml:space="preserve"> 001/YAMATEI-VG_SR-21</t>
  </si>
  <si>
    <t>66-02605-03-B1</t>
  </si>
  <si>
    <t>66-54105-02-B1</t>
  </si>
  <si>
    <t>66-55405-01-B1</t>
  </si>
  <si>
    <t>66-70309-02-B</t>
  </si>
  <si>
    <t>không lổ, sơn màu</t>
  </si>
  <si>
    <t>  , sơn màu,3 lổ đáy, đường kín 2.5 cm chia đều thẳng hàng</t>
  </si>
  <si>
    <t>001/SIPLEC-VG-21</t>
  </si>
  <si>
    <t>66-54100-B2-B</t>
  </si>
  <si>
    <t xml:space="preserve"> 010T/EUROMARKET-21</t>
  </si>
  <si>
    <t>sơn màu, có lỗ, rãnh thoát nước</t>
  </si>
  <si>
    <t>019A/POTTERYBARN-VG-21</t>
  </si>
  <si>
    <t>020A/POTTERYBARN-VG-21</t>
  </si>
  <si>
    <t>007/YAMATEI-21</t>
  </si>
  <si>
    <t>66-00605-L2-B1</t>
  </si>
  <si>
    <t>66-01705-02-B1</t>
  </si>
  <si>
    <t>66-01705-03-B1</t>
  </si>
  <si>
    <t>66-01705-L2-B1</t>
  </si>
  <si>
    <t>66-02605-02-B1</t>
  </si>
  <si>
    <t>66-02605-L2-B1</t>
  </si>
  <si>
    <t>66-02717-02-B</t>
  </si>
  <si>
    <t>66-07400-S1-B</t>
  </si>
  <si>
    <t>66-55405-03-B1</t>
  </si>
  <si>
    <t>66-55405-B2-B1</t>
  </si>
  <si>
    <t>66-55409-03-B</t>
  </si>
  <si>
    <t>66-57717-02-B</t>
  </si>
  <si>
    <t>66-65109-02-B</t>
  </si>
  <si>
    <t>66-70305-01-B1</t>
  </si>
  <si>
    <t>66-70305-03-B1</t>
  </si>
  <si>
    <t>66-70305-04-B1</t>
  </si>
  <si>
    <t>66-70305-B2-B1</t>
  </si>
  <si>
    <t>66-70309-03-B</t>
  </si>
  <si>
    <t>66-70309-B2-B</t>
  </si>
  <si>
    <t>451/POTTERYPOT-VG-21</t>
  </si>
  <si>
    <t>66-02600-02-A</t>
  </si>
  <si>
    <t>66-77900-02-A</t>
  </si>
  <si>
    <t>030T/WESTELM-21</t>
  </si>
  <si>
    <t>Sơn màu, có lỗ</t>
  </si>
  <si>
    <t>002/INTRATUIN-21</t>
  </si>
  <si>
    <t>sơn màu, lỗ dây treo</t>
  </si>
  <si>
    <t>438/POTTERYPOT-21</t>
  </si>
  <si>
    <t>66-66400-01-A</t>
  </si>
  <si>
    <t>66-66400-02-A</t>
  </si>
  <si>
    <t>66-66600-02-A</t>
  </si>
  <si>
    <t>sơn màu, ko lỗ vừa chân gỗ 60</t>
  </si>
  <si>
    <t>439/POTTERYPOT-21</t>
  </si>
  <si>
    <t xml:space="preserve"> 054_SR-21( Pottery Barn)</t>
  </si>
  <si>
    <t>không lổ, mẫu chào hàng, sx theo mẫu đối</t>
  </si>
  <si>
    <t>053-VG_SR-21(EUROMARKET)</t>
  </si>
  <si>
    <t>002/EUROMARKET-VG_SR-21</t>
  </si>
  <si>
    <t>001/GREENPOT-VG_SR-21</t>
  </si>
  <si>
    <t>66-20700-01-B</t>
  </si>
  <si>
    <t>66-75616-03-A</t>
  </si>
  <si>
    <t>66-75716-01-A</t>
  </si>
  <si>
    <t>66-79616-02-A</t>
  </si>
  <si>
    <t>66-79616-02-B</t>
  </si>
  <si>
    <t>66-79616-03-A</t>
  </si>
  <si>
    <t>66-79616-03-B</t>
  </si>
  <si>
    <t>có lổ, có rãnh thoát nước, làm mẫu đối tạm</t>
  </si>
  <si>
    <t>có lổ, có rãnh thoát nước,Chậu làm để ký mẫu đối sx và cho khách chụp hình catalogue.</t>
  </si>
  <si>
    <t>có lổ, mẫu chào hàng</t>
  </si>
  <si>
    <t>236/KHBS-21</t>
  </si>
  <si>
    <t>240/KHBS-21</t>
  </si>
  <si>
    <t>002/KARMIN-VG-21</t>
  </si>
  <si>
    <t>026/POTTERYBARN-VG-21</t>
  </si>
  <si>
    <t>237/KHBS-21(002/OBI-21)</t>
  </si>
  <si>
    <t>003/ANNA-VG-21(đ1)</t>
  </si>
  <si>
    <t>66-06722-S2-B</t>
  </si>
  <si>
    <t>66-07100-S1-A</t>
  </si>
  <si>
    <t>66-07600-S3-A</t>
  </si>
  <si>
    <t>66-07900-02-A</t>
  </si>
  <si>
    <t>66-12500-01-A</t>
  </si>
  <si>
    <t>66-12500-B2-A</t>
  </si>
  <si>
    <t>66-12522-02-B</t>
  </si>
  <si>
    <t>66-32000-S4-A</t>
  </si>
  <si>
    <t>66-33900-S1-A</t>
  </si>
  <si>
    <t>66-39600-01-A</t>
  </si>
  <si>
    <t>66-39600-02-A</t>
  </si>
  <si>
    <t>66-51620-02-B4</t>
  </si>
  <si>
    <t>66-51620-03-B4</t>
  </si>
  <si>
    <t>66-54120-S3-B4</t>
  </si>
  <si>
    <t>68-82200-01-A</t>
  </si>
  <si>
    <t>003/ANNA-VG-21(đ2)</t>
  </si>
  <si>
    <t>66-01720-03-B4</t>
  </si>
  <si>
    <t>66-01722-B2-B</t>
  </si>
  <si>
    <t>66-05900-S1-A</t>
  </si>
  <si>
    <t>66-10000-01-A</t>
  </si>
  <si>
    <t>66-10000-L2-A</t>
  </si>
  <si>
    <t>66-20700-S3-A</t>
  </si>
  <si>
    <t>66-32000-02-A</t>
  </si>
  <si>
    <t>003/ANNA-VG-21(đ3)</t>
  </si>
  <si>
    <t>66-05800-S1-A</t>
  </si>
  <si>
    <t>66-34800-S1-A</t>
  </si>
  <si>
    <t>66-44200-S1-A</t>
  </si>
  <si>
    <t>66-51620-S3-B4</t>
  </si>
  <si>
    <t>66-52220-02-B4</t>
  </si>
  <si>
    <t>003/ANNA-VG-21(đ4)</t>
  </si>
  <si>
    <t>66-00600-B2-A</t>
  </si>
  <si>
    <t>66-03100-03-A</t>
  </si>
  <si>
    <t>66-05600-S1-A</t>
  </si>
  <si>
    <t>66-05700-S1-A</t>
  </si>
  <si>
    <t>66-07800-02-A</t>
  </si>
  <si>
    <t>66-39600-03-A</t>
  </si>
  <si>
    <t>66-53120-02-B4</t>
  </si>
  <si>
    <t>66-77700-X4-A</t>
  </si>
  <si>
    <t>68-70900-05-A</t>
  </si>
  <si>
    <t>68-82100-02-A</t>
  </si>
  <si>
    <t>68-82200-02-A</t>
  </si>
  <si>
    <t>003/ANNA-VG-21(đ5)</t>
  </si>
  <si>
    <t>66-07800-03-A</t>
  </si>
  <si>
    <t>68-74600-01-A</t>
  </si>
  <si>
    <t>68-82300-02-A</t>
  </si>
  <si>
    <t>003/ANNA-VG-21(đ6)</t>
  </si>
  <si>
    <t>68-70200-01-A</t>
  </si>
  <si>
    <t>68-74900-01-A</t>
  </si>
  <si>
    <t>003/ANNA-VG-21(đ7)</t>
  </si>
  <si>
    <t>66-03000-S2-A</t>
  </si>
  <si>
    <t>66-07200-S1-A</t>
  </si>
  <si>
    <t>66-34700-S1-A</t>
  </si>
  <si>
    <t>66-52220-S2-B4</t>
  </si>
  <si>
    <t>66-54600-S1-A</t>
  </si>
  <si>
    <t>01 2 lổ cách đều nhau, còn lại 1 lổ,lổ 2.5cm</t>
  </si>
  <si>
    <t>3 lổ cách đều nhau,lổ 2.5cm</t>
  </si>
  <si>
    <t>Phên 2 nửa</t>
  </si>
  <si>
    <t>sơn màu,01 2 lổ cách đều nhau, còn lại 1 lổ,lổ 2.5cm</t>
  </si>
  <si>
    <t>sơn màu,2lổ, lổ 2.5cm</t>
  </si>
  <si>
    <t>025/POTTERYBARN-VG-21</t>
  </si>
  <si>
    <t>020/POTTERYBARN-VG-21</t>
  </si>
  <si>
    <t>024/POTTERYBARN-VG-21</t>
  </si>
  <si>
    <t>023/POTTERYBARN-VG-21</t>
  </si>
  <si>
    <t>022/POTTERYBARN-VG-21</t>
  </si>
  <si>
    <t>021/POTTERYBARN-VG-21</t>
  </si>
  <si>
    <t>031T/WESTELM-21</t>
  </si>
  <si>
    <t xml:space="preserve">Sơn màu, ko lỗ </t>
  </si>
  <si>
    <t>054/VG_SR-21( POTTERYBARN)</t>
  </si>
  <si>
    <t>nhập kho sơn màu để cắt mảnh màu</t>
  </si>
  <si>
    <t>009/KHBS_SR-21(038/VG_SR21(TJX))</t>
  </si>
  <si>
    <t>009/KHBS_SR-21(041/VG_SR21(TJX))</t>
  </si>
  <si>
    <t>sơn màu,có lỗ, có rãnh đáy</t>
  </si>
  <si>
    <t>001A/EUROMARKET-VG_SR-21</t>
  </si>
  <si>
    <t>có lổ, có rãnh thoát nước, dùng khách chụp hình</t>
  </si>
  <si>
    <t>có 2 lổ, có rãnh thoát nước, dùng khách chụp hình</t>
  </si>
  <si>
    <t>có  2 lổ, có rãnh thoát nước, dùng khách chụp hình</t>
  </si>
  <si>
    <t>Phên 2 nửa, Khoan lỗ 3 cm</t>
  </si>
  <si>
    <t>008/METRO-VG-21</t>
  </si>
  <si>
    <t>005/METRO-VG-21</t>
  </si>
  <si>
    <t>66-54120-02-B4</t>
  </si>
  <si>
    <t>66-54120-03-B4</t>
  </si>
  <si>
    <t>006/METRO-VG-21</t>
  </si>
  <si>
    <t>001/NEVE YARAK-VG-21</t>
  </si>
  <si>
    <t>66-05700-S1-B</t>
  </si>
  <si>
    <t>66-20700-S3-B</t>
  </si>
  <si>
    <t>66-57300-S1-B</t>
  </si>
  <si>
    <t>001A/NEVE YARAK-VG-21</t>
  </si>
  <si>
    <t>66-39600-L2-B</t>
  </si>
  <si>
    <t>66-66600-03-B</t>
  </si>
  <si>
    <t>011T/EUROMARKET-21</t>
  </si>
  <si>
    <t>012T/EUROMARKET-21</t>
  </si>
  <si>
    <t>002/FLOWER POWER-VG-21</t>
  </si>
  <si>
    <t>66-51720-S2-B</t>
  </si>
  <si>
    <t>66-52624-02-B</t>
  </si>
  <si>
    <t>66-54120-03-B</t>
  </si>
  <si>
    <t>66-55424-03-B</t>
  </si>
  <si>
    <t>66-55424-B2-B</t>
  </si>
  <si>
    <t>66-61300-03-A</t>
  </si>
  <si>
    <t>66-61320-S3-B</t>
  </si>
  <si>
    <t>66-70305-S4-B1</t>
  </si>
  <si>
    <t>66-77705-L5-B1</t>
  </si>
  <si>
    <t>66-77724-X2-B</t>
  </si>
  <si>
    <t>sơn màu,có lổ đáy và lổ treo tem Ø3 mm</t>
  </si>
  <si>
    <t>Sơn màu, có lỗ,giao hàng lồng bộ</t>
  </si>
  <si>
    <t>237/KHBS-21(001/ANNA-21)</t>
  </si>
  <si>
    <t xml:space="preserve"> 68-57900-01-A</t>
  </si>
  <si>
    <t>241/KHBS-21</t>
  </si>
  <si>
    <t>244/KHBS-21</t>
  </si>
  <si>
    <t>245/KHBS-21</t>
  </si>
  <si>
    <t xml:space="preserve"> 009T/EUROMARKET-2168-70900-03-B</t>
  </si>
  <si>
    <t>021/METRO-VG-21</t>
  </si>
  <si>
    <t xml:space="preserve">	013T/EUROMARKET-21</t>
  </si>
  <si>
    <t>sơn màu, 2 lỗ,có rãnh thoát nước</t>
  </si>
  <si>
    <t>sơn màu, có lỗ,có rãnh thoát nước</t>
  </si>
  <si>
    <t>THÁNG 9/2021</t>
  </si>
  <si>
    <t>001/OBI-VG_SR-21</t>
  </si>
  <si>
    <t>SX theo mẫu đối, chậu có lỗ,chụp hình catalog</t>
  </si>
  <si>
    <t>014T/EUROMARKET-21</t>
  </si>
  <si>
    <t>sơn màu, có lỗ, có rãnh đáy</t>
  </si>
  <si>
    <t>027/METRO-VG-21</t>
  </si>
  <si>
    <t xml:space="preserve">sơn màu, có lỗ, </t>
  </si>
  <si>
    <t>66-07900-01-A</t>
  </si>
  <si>
    <t>66-07900-03-A</t>
  </si>
  <si>
    <t>023/METRO-VG-21</t>
  </si>
  <si>
    <t>66-02500-02-A</t>
  </si>
  <si>
    <t>025/METRO-VG-21</t>
  </si>
  <si>
    <t>TP, ô1
 -3 lô đáy cách đều nhau,ô 2- 2 lỗ dáy cách đều nhau Ø 30mm</t>
  </si>
  <si>
    <t>TP,  -1 lô đáy , Ø 30mm</t>
  </si>
  <si>
    <t>TP, ô 2- 2 lỗ đáy cách đều nhau Ø30mm</t>
  </si>
  <si>
    <t>TP, ô1
 -3 lô đáy cách đều nhau,ô 2- 2 lỗ đáy cách đều nhau ,ô 3 - 1 lỗ đáy Ø 30mm</t>
  </si>
  <si>
    <t>TP, Ô 1- 2 lỗ đáy cách đều nhau Ø30mm, ô 2-3-4 (1  lỗ đáy Ø30mm)</t>
  </si>
  <si>
    <t>TP, Ô 1 (3 lỗ đáy cách đều nhau) Ô 2 ( 2 lỗ đáy cách đều nhau), ô 3-4 ( 1 lỗ đáy) Ø30mm</t>
  </si>
  <si>
    <t>TP, 2 lỗ đáy cách đều nhau Ø 30mm</t>
  </si>
  <si>
    <t>TP, Ô 1 (3 lỗ đáy cách đều nhau) Ô 2 ( 2 lỗ đáy cách đều nhau), ô 3 ( 1 lỗ đáy) Ø30mm</t>
  </si>
  <si>
    <t>thành phẩm, 1lỗ Ø30mm</t>
  </si>
  <si>
    <t>249/KHBS-21(006T/OBI-21)</t>
  </si>
  <si>
    <t>249/KHBS-21(002/OBI-21)</t>
  </si>
  <si>
    <t>52_SR-21(OBI)</t>
  </si>
  <si>
    <t>66-02300-03-B</t>
  </si>
  <si>
    <t>250/KHBS-21(002/OBI-21)</t>
  </si>
  <si>
    <t>252/KHBS-21(002/OBI-21)</t>
  </si>
  <si>
    <t>001/TK MAXX-VG_SR-21</t>
  </si>
  <si>
    <t>66-85629-02-B</t>
  </si>
  <si>
    <t xml:space="preserve">có lổ, mẫu chào hàng </t>
  </si>
  <si>
    <t>001/POTTERY PATCH-VG-21</t>
  </si>
  <si>
    <t>5-xm1</t>
  </si>
  <si>
    <t xml:space="preserve"> 009T/EUROMARKET-2166-02700-01-A1(phen)</t>
  </si>
  <si>
    <t>A1</t>
  </si>
  <si>
    <t>025T/WESTELM-2166-70337-02-B4</t>
  </si>
  <si>
    <t>B4</t>
  </si>
  <si>
    <t>035T/WESTELM-21</t>
  </si>
  <si>
    <t>194/POTTERYPOT-2168-72700-04-A</t>
  </si>
  <si>
    <t>A</t>
  </si>
  <si>
    <t>5-XM1</t>
  </si>
  <si>
    <t>025T/EUROMARKET-21</t>
  </si>
  <si>
    <t>026T/EUROMARKET-21</t>
  </si>
  <si>
    <t>66-52220-01-B4</t>
  </si>
  <si>
    <t>001/MACKOO-21 (đợt 2)66-51712-S2-B</t>
  </si>
  <si>
    <t>002T/POTTERYBARN-2166-22800-S1-B</t>
  </si>
  <si>
    <t>193/POTTERYPOT-2168-72800-04-A</t>
  </si>
  <si>
    <t>193/POTTERYPOT-2168-72800-01-A</t>
  </si>
  <si>
    <t>001/MACKOO-21 (đợt 2)66-55412-B2-B</t>
  </si>
  <si>
    <t>002T/POTTERYBARN-2166-84100-02-B</t>
  </si>
  <si>
    <t>001/TK MAXX-2166-39629-S3-B</t>
  </si>
  <si>
    <t>032/POTTERYBARN-2166-84016-02-B</t>
  </si>
  <si>
    <t>027T/WESTELM-2166-86439-03-B</t>
  </si>
  <si>
    <t>027T/WESTELM-2166-86740-01-B</t>
  </si>
  <si>
    <t>008/METRO-VG-2168-72500-02-B</t>
  </si>
  <si>
    <t>008/METRO-VG-2168-72500-01-B</t>
  </si>
  <si>
    <t>001/KARMIN-VG-2168-83200-03-B</t>
  </si>
  <si>
    <t xml:space="preserve"> 010T/EUROMARKET-2166-87200-02-B</t>
  </si>
  <si>
    <t xml:space="preserve"> 010T/EUROMARKET-2166-87200-01-B</t>
  </si>
  <si>
    <t>029T/WESTELM-2166-70300-01-B</t>
  </si>
  <si>
    <t>056/EUROMARKET-2168-79900-02-A</t>
  </si>
  <si>
    <t xml:space="preserve"> 009T/EUROMARKET-2166-02700-01-B</t>
  </si>
  <si>
    <t>002/HOMEGOODS-2168-75200-S1-B</t>
  </si>
  <si>
    <t>027/POTTERYBARN-2166-83902-02-B</t>
  </si>
  <si>
    <t>026A/POTTERYBARN-2166-83902-02-B</t>
  </si>
  <si>
    <t xml:space="preserve">	002/WESTELM-VG_SR-21</t>
  </si>
  <si>
    <t>66-87839-03-B</t>
  </si>
  <si>
    <t>66-87839-04-B</t>
  </si>
  <si>
    <t>001/ITIMASIA-VG_SR-21</t>
  </si>
  <si>
    <t xml:space="preserve">có lổ,Mẫu để đi test hóa chất </t>
  </si>
  <si>
    <t>016T/EUROMARKET-21</t>
  </si>
  <si>
    <t>có lổ, có rãnh thoát nước, sx theo mẫu đối</t>
  </si>
  <si>
    <t>2 lổ, có rãnh thoát nước, sx theo mẫu đối</t>
  </si>
  <si>
    <t>có lổ, có rãnh thoát nước, sx theo mẫu đối, t/l 18.5kg</t>
  </si>
  <si>
    <t>016/EUROMARKET-VG-21</t>
  </si>
  <si>
    <t>ó lổ, có rãnh thoát nước , sx theo mẫu đối</t>
  </si>
  <si>
    <t>005A/YAMATEI-VG-21</t>
  </si>
  <si>
    <t>015/EUROMARKET-VG-21</t>
  </si>
  <si>
    <t xml:space="preserve">	001/AL-FARES-VG-21</t>
  </si>
  <si>
    <t>66-03005-S2-B1</t>
  </si>
  <si>
    <t>66-28405-S1-B1</t>
  </si>
  <si>
    <t>66-33105-S1-B1</t>
  </si>
  <si>
    <t>66-33205-S1-B1</t>
  </si>
  <si>
    <t>66-77705-L4-B1</t>
  </si>
  <si>
    <t>66-77705-X4-B1</t>
  </si>
  <si>
    <t>66-06402-01-B</t>
  </si>
  <si>
    <t>257/KHBS-21(002/BUNNINGS-21)</t>
  </si>
  <si>
    <t>253/KHBS-21( 002/HOMEGOODS-21)</t>
  </si>
  <si>
    <t>003/WESTELM-21</t>
  </si>
  <si>
    <t>NGÀY
 LÊN BD</t>
  </si>
  <si>
    <t>HƯỚNG DẪN ĐƠN HÀNG</t>
  </si>
  <si>
    <t>262/KHBS-21</t>
  </si>
  <si>
    <t>sơn màu, có lỗ 2.5</t>
  </si>
  <si>
    <t xml:space="preserve">	013T/EUROMARKET-2166-70300-03-B</t>
  </si>
  <si>
    <t xml:space="preserve">	013T/EUROMARKET-2168-79900-01-B</t>
  </si>
  <si>
    <t>037/POTTERYBARN-2166-49600-S1-B</t>
  </si>
  <si>
    <t xml:space="preserve">	018T/EUROMARKET-21</t>
  </si>
  <si>
    <t>018T/EUROMARKET-21</t>
  </si>
  <si>
    <t>019/POTTERYBARN-VG-21</t>
  </si>
  <si>
    <t>017T/EUROMARKET-21</t>
  </si>
  <si>
    <t>015T/EUROMARKET-21</t>
  </si>
  <si>
    <t>Thành phâẩm, có lỗ</t>
  </si>
  <si>
    <t>sơn màu, có lỗ , hàng làm để đi test chất lượng cho khách</t>
  </si>
  <si>
    <t>003/EUROMARKET-VG_SR-21</t>
  </si>
  <si>
    <t>66-02700-01-A1(Phên)</t>
  </si>
  <si>
    <t>sơn màu, 2 lỗ , hàng làm để đi test chất lượng cho khách</t>
  </si>
  <si>
    <t>266/KHBS-21</t>
  </si>
  <si>
    <t>265/KHBS-21</t>
  </si>
  <si>
    <t>015T/EUROMARKET-2168-83700-S1-B</t>
  </si>
  <si>
    <t>015T/EUROMARKET-2168-83800-S1-B</t>
  </si>
  <si>
    <t>003/COMERZIA-2168-71000-S3-01</t>
  </si>
  <si>
    <t>01</t>
  </si>
  <si>
    <t>002A/POTTERYPATCH-21</t>
  </si>
  <si>
    <t>016T/OBI-2166-55137-01-B4</t>
  </si>
  <si>
    <t>016T/OBI-2166-55137-02-B4</t>
  </si>
  <si>
    <t>001T/KARMIN-VG-21</t>
  </si>
  <si>
    <t>258/KHBS-21(002/ANNA-21)</t>
  </si>
  <si>
    <t xml:space="preserve"> 68-53700-S1-B</t>
  </si>
  <si>
    <t>sơn màu , lỗ 2.5</t>
  </si>
  <si>
    <t>258/KHBS-21</t>
  </si>
  <si>
    <t xml:space="preserve"> 68-70900-L4-B</t>
  </si>
  <si>
    <t>414/POTTERYPOT-2166-54100-01-A</t>
  </si>
  <si>
    <t>003/HOMEGOODS-2168-75300-S1-B</t>
  </si>
  <si>
    <t>037T/WESTEML-21</t>
  </si>
  <si>
    <t>037T/WESTELM-21</t>
  </si>
  <si>
    <t>024/SR-21(WESTELM)</t>
  </si>
  <si>
    <t>66-44200-S1-B</t>
  </si>
  <si>
    <t>66-33800-S1-B</t>
  </si>
  <si>
    <t>sơn màu, có 2 lỗ</t>
  </si>
  <si>
    <t>sơn màu, có2 lỗ</t>
  </si>
  <si>
    <t xml:space="preserve">	457/POTTERYPOT-VG-21</t>
  </si>
  <si>
    <t>phên 2 nửa, khoan lổ 3cm</t>
  </si>
  <si>
    <t>443/POTTERYPOT-VG-21</t>
  </si>
  <si>
    <t xml:space="preserve">	001/DANSON DECOR-VG-21</t>
  </si>
  <si>
    <t>66-38900-S1-B</t>
  </si>
  <si>
    <t>115A/NY/PP-USA-VG-20</t>
  </si>
  <si>
    <t>115B/NY/PP-USA-VG-20</t>
  </si>
  <si>
    <t>001/TERRAIN-VG_SR-21</t>
  </si>
  <si>
    <t>024T/EUROMARKET-21</t>
  </si>
  <si>
    <t>019T/EUROMARKET-21</t>
  </si>
  <si>
    <t>020T/EUROMARKET-21</t>
  </si>
  <si>
    <t>004/SQUARE-VG-21</t>
  </si>
  <si>
    <t>sơn màu,có lỗ, giao hàng lồng bộ</t>
  </si>
  <si>
    <t>001/AHOME-VG-21</t>
  </si>
  <si>
    <t xml:space="preserve">	001/NORTHCOAST-VG-21</t>
  </si>
  <si>
    <t>66-01709-S4-B</t>
  </si>
  <si>
    <t>66-28509-S1-B</t>
  </si>
  <si>
    <t>66-39609-S3-B</t>
  </si>
  <si>
    <t>66-52209-S2-B</t>
  </si>
  <si>
    <t>66-55409-S3-B</t>
  </si>
  <si>
    <t>66-70309-S4-B</t>
  </si>
  <si>
    <t>66-77709-X4-B</t>
  </si>
  <si>
    <t>036T/WESTELM-21</t>
  </si>
  <si>
    <t>007A/YAHMATEL-21</t>
  </si>
  <si>
    <t>sơn màu,KO lỗ</t>
  </si>
  <si>
    <t>sơn màu,k lỗ</t>
  </si>
  <si>
    <t>66-01700-03-b</t>
  </si>
  <si>
    <t xml:space="preserve">	013T/EUROMARKET-2166-54100-01-B</t>
  </si>
  <si>
    <t>267/KHBS-21</t>
  </si>
  <si>
    <t>Thành phârm 3 lỗ đáy</t>
  </si>
  <si>
    <t>004/EUROMARKET-VG_SR-21</t>
  </si>
  <si>
    <t>66-81220-S1-B4</t>
  </si>
  <si>
    <t>có lổ, có rãnh thoát nước, hàng di test chất lượng</t>
  </si>
  <si>
    <t>2lổ, có rãnh thoát nước, hàng di test chất lượng</t>
  </si>
  <si>
    <t>có lổ,  hàng di test chất lượng</t>
  </si>
  <si>
    <t>058-VG-SR-21(WESTELM)</t>
  </si>
  <si>
    <t>66-87839-01-B</t>
  </si>
  <si>
    <t>66-87839-02-B</t>
  </si>
  <si>
    <t>66-87839-05-B</t>
  </si>
  <si>
    <t>66-87939-01-B</t>
  </si>
  <si>
    <t>có lổ,Mẫu dùng để thử đóng gói (droptest), yêu cầu không rút bảo dưỡng, không sửa nứt</t>
  </si>
  <si>
    <t>197/POTTERYPOT-2168-72800-04-A</t>
  </si>
  <si>
    <t>332/POTTERYPOT-2168-72700-03-A</t>
  </si>
  <si>
    <t>270/KHBS-21</t>
  </si>
  <si>
    <t>059-VG-SR-21(WESTEML)</t>
  </si>
  <si>
    <t>66-88700-S1-B</t>
  </si>
  <si>
    <t>Chậu có lỗ bên hông như bản vẽ,mẫu dùng để thử đóng gói, yêu cầu k rút bảo dưỡng, k sửa nứt</t>
  </si>
  <si>
    <t>057/VG-SR-21(EUROMARKET)</t>
  </si>
  <si>
    <t>dùng làm mẫu đối tạm, có 1 lỗ đáy</t>
  </si>
  <si>
    <t>005/EUROMARKET-VG_SR-21</t>
  </si>
  <si>
    <t>có 1 lỗ đáy,có rãnh thoát nước</t>
  </si>
  <si>
    <t>268/KHBS-21</t>
  </si>
  <si>
    <t xml:space="preserve">	013T/EUROMARKET-2166-70300-02-B</t>
  </si>
  <si>
    <t>040T/WESTELM-21</t>
  </si>
  <si>
    <t>041T/WESTELM-21</t>
  </si>
  <si>
    <t>042T/WESTELM-21</t>
  </si>
  <si>
    <t>043T/WESTELM-21</t>
  </si>
  <si>
    <t>66-88200-01-B</t>
  </si>
  <si>
    <t>66-88300-S1-B</t>
  </si>
  <si>
    <t>66-88400-S1-B</t>
  </si>
  <si>
    <t>66-88500-04-B</t>
  </si>
  <si>
    <t>66-88600-01-B</t>
  </si>
  <si>
    <t xml:space="preserve">	039T/WESTELM-21</t>
  </si>
  <si>
    <t>004/ALFRESCO HOME-VG-21</t>
  </si>
  <si>
    <t>66-02705-01-B1</t>
  </si>
  <si>
    <t>66-65109-L2-B</t>
  </si>
  <si>
    <t>66-77723-X4-B</t>
  </si>
  <si>
    <t>68-75916-02-B</t>
  </si>
  <si>
    <t>003/ALFRESCO HOME-VG-21</t>
  </si>
  <si>
    <t>002/KARMIN-VG-2168-72500-02-B</t>
  </si>
  <si>
    <t>047T/WESTELM-21</t>
  </si>
  <si>
    <t>004/MARSHALLS-2166-06700-S2-B</t>
  </si>
  <si>
    <t>011T/EUROMARKET-2166-87600-S1-B</t>
  </si>
  <si>
    <t>016T/EUROMARKET-2168-79900-01-B</t>
  </si>
  <si>
    <t>003/WESTELM-VG_SR-21</t>
  </si>
  <si>
    <t>có lổ, ký mẫu đối và chụp hình</t>
  </si>
  <si>
    <t xml:space="preserve"> ký mẫu đối và chụp hình. Có lổ bên hông</t>
  </si>
  <si>
    <t>060/VG_SR-21( WESTELM)</t>
  </si>
  <si>
    <t>có lổ, làm mẫu đối tạm</t>
  </si>
  <si>
    <t xml:space="preserve"> làm mẫu đối tạm, có lổ bên hông</t>
  </si>
  <si>
    <t>272/KHBS-21(194/POTTERYPOT-21)</t>
  </si>
  <si>
    <t>Sơn màu, k lỗ</t>
  </si>
  <si>
    <t>062/VG_SR-21(WESTEML)</t>
  </si>
  <si>
    <t xml:space="preserve">có lỗ, test hóa chất trên bề mặt sơn, test chì </t>
  </si>
  <si>
    <t>sơn màu, có lỗ,giao hàng lồng bộ</t>
  </si>
  <si>
    <t>273/KHBS-21</t>
  </si>
  <si>
    <t>sơn màu, k lỗ</t>
  </si>
  <si>
    <t>061/VG_SR-21(EUROMARKET)</t>
  </si>
  <si>
    <t>có rãnh thoát nước, ko sửa nứt, k rút bảo dưỡng,có lỗ</t>
  </si>
  <si>
    <t>001/SIERA-21</t>
  </si>
  <si>
    <t>272/KHBS-21</t>
  </si>
  <si>
    <t>66-79135-01-B</t>
  </si>
  <si>
    <t>THÁNG 10/2021</t>
  </si>
  <si>
    <t>272/KHBS-21(007T/OBI-21)</t>
  </si>
  <si>
    <t>274/KHBS-21( 002/AGRAVIS-21)</t>
  </si>
  <si>
    <t>66-12523-02-B</t>
  </si>
  <si>
    <t>274/KHBS-21(001/HANKKIJA-21)</t>
  </si>
  <si>
    <t>274/KHBS-21(004/OBI-21)</t>
  </si>
  <si>
    <t>274/KHBS-21</t>
  </si>
  <si>
    <t>063/VG-SR-21(WESTELM</t>
  </si>
  <si>
    <t>hàng để qua sơn màu cắt mảnh màu</t>
  </si>
  <si>
    <t>001T/KARMIN-21</t>
  </si>
  <si>
    <t>001/FLEUR BE-2168-71000-S3-01</t>
  </si>
  <si>
    <t>016T/EUROMARKET-2166-54100-01-B</t>
  </si>
  <si>
    <t>273/KHBS-21(192/POTTERYPOT-21)</t>
  </si>
  <si>
    <t>006/SQUARE-VG-21</t>
  </si>
  <si>
    <t>277/KHBS-21(001/MACKOO-21)</t>
  </si>
  <si>
    <t>66-51712-02-B</t>
  </si>
  <si>
    <t>277/KHBS-21(004/TJMAXX-21)</t>
  </si>
  <si>
    <t>277/KHBS-21(009T/OBI-21)</t>
  </si>
  <si>
    <t>277/KHBS-21</t>
  </si>
  <si>
    <t>276/KHBS-21</t>
  </si>
  <si>
    <t>027T/WESTELM-21( đợt 1)</t>
  </si>
  <si>
    <t>027T/WESTELM-2166-86540-01-B</t>
  </si>
  <si>
    <t>027T/WESTELM-21( đợt 2)</t>
  </si>
  <si>
    <t>004/HOMEGOODS-21(đ1)</t>
  </si>
  <si>
    <t>004/HOMEGOODS-21(đ3)</t>
  </si>
  <si>
    <t>004/HOMEGOODS-21(đ2)</t>
  </si>
  <si>
    <t>016T/EUROMARKET-2166-70300-03-B</t>
  </si>
  <si>
    <t>282/KHBS-21</t>
  </si>
  <si>
    <t>66-85629-01-B</t>
  </si>
  <si>
    <t>281/KHBS-21( 003T/PLANTAGEN-21)</t>
  </si>
  <si>
    <t>TP, có lỗ</t>
  </si>
  <si>
    <t>280/KHBS-21</t>
  </si>
  <si>
    <t>66-52237-01-B4</t>
  </si>
  <si>
    <t>016T/EUROMARKET-2166-70300-02-B</t>
  </si>
  <si>
    <t>036/POTTERYBARN-2166-49600-S1-B</t>
  </si>
  <si>
    <t>001/POTTERYBARN-VG-2166-49600-S1-B</t>
  </si>
  <si>
    <t>003/HERSTERA-21</t>
  </si>
  <si>
    <t>049T/WESTELM-21</t>
  </si>
  <si>
    <t>027T/WESTELM-2166-86640-02-B</t>
  </si>
  <si>
    <t>027T/WESTELM-2166-86800-S1-B</t>
  </si>
  <si>
    <t>027T/WESTELM-21-đ2</t>
  </si>
  <si>
    <t>027T/WESTELM-21- đ1</t>
  </si>
  <si>
    <t>027T/WESTELM-21-đ1</t>
  </si>
  <si>
    <t>027T/WESTELM-2166-87100-S1-B</t>
  </si>
  <si>
    <t>66-06723-02-B</t>
  </si>
  <si>
    <t>Cái</t>
  </si>
  <si>
    <t>sơn màu,KO  lỗ</t>
  </si>
  <si>
    <t>027T/EUROMARKET-21</t>
  </si>
  <si>
    <t>284/KHBS-21(004/OBI-21)</t>
  </si>
  <si>
    <t>029T/EUROMARKET-21</t>
  </si>
  <si>
    <t>028T/EUROMARKET-21</t>
  </si>
  <si>
    <t>023T/EUROMARKET-21</t>
  </si>
  <si>
    <t xml:space="preserve">	004/MARVELOUS-VG-21</t>
  </si>
  <si>
    <t>sơn màu,K lỗ</t>
  </si>
  <si>
    <t xml:space="preserve">	002/CLARIUS-VG-21</t>
  </si>
  <si>
    <t>66-02724-L2-B</t>
  </si>
  <si>
    <t>66-80400-02-B</t>
  </si>
  <si>
    <t>66-82524-L2-B</t>
  </si>
  <si>
    <t>66-82624-02-B</t>
  </si>
  <si>
    <t>66-82624-S2-B</t>
  </si>
  <si>
    <t>66-02700-02-A1(phen)</t>
  </si>
  <si>
    <t>66-82500-01-A1(phen)</t>
  </si>
  <si>
    <t>66-82500-02-A1(phen)</t>
  </si>
  <si>
    <t>66-82600-01-A1(phen)</t>
  </si>
  <si>
    <t>66-82600-02-A1(phen)</t>
  </si>
  <si>
    <t>66-82800-S1-A1(phen)</t>
  </si>
  <si>
    <t>66-83000-01-A1(phen)</t>
  </si>
  <si>
    <t>66-83000-02-A1phen)</t>
  </si>
  <si>
    <t>không lổ, vừa với chậu insert của khách</t>
  </si>
  <si>
    <t>phên 2 mảnh( khoan 1 lỗ Ø 3cm)</t>
  </si>
  <si>
    <t>Phên 2 mảnh, khoét lổ ɸ3 cm</t>
  </si>
  <si>
    <t>022T/EUROMARKET-21</t>
  </si>
  <si>
    <t>021T/EUROMARKET-21</t>
  </si>
  <si>
    <t>130A/NY/PP-USA-VG-21</t>
  </si>
  <si>
    <t>147B/POTTERYPOT-VG-21</t>
  </si>
  <si>
    <t>66-54100-L2-A</t>
  </si>
  <si>
    <t xml:space="preserve">sơn màu,k lỗ </t>
  </si>
  <si>
    <t>286/KHBS-21</t>
  </si>
  <si>
    <t>288/KHBS-21</t>
  </si>
  <si>
    <t>287/KHBS--21</t>
  </si>
  <si>
    <t>031T/WESTELM-2166-70900-04-B</t>
  </si>
  <si>
    <t>382/POTTERYPOT-2166-03000-01-A1(phen)</t>
  </si>
  <si>
    <t>001/ASIMA-VG-21</t>
  </si>
  <si>
    <t>66-28401-S1-B</t>
  </si>
  <si>
    <t>66-28501-S1-B</t>
  </si>
  <si>
    <t>66-61301-S3-B</t>
  </si>
  <si>
    <t>002/METRO-VG_SR-21</t>
  </si>
  <si>
    <t>có lổ,Trọng lượng &amp; Kích thước: +/- 5 %., test hóa chất</t>
  </si>
  <si>
    <t>001/INTERCOOP-VG_SR-21</t>
  </si>
  <si>
    <t xml:space="preserve">	66-51620-S3-B</t>
  </si>
  <si>
    <t>289/KHBS-21</t>
  </si>
  <si>
    <t>290/KHBS-21</t>
  </si>
  <si>
    <t>291/KHBS-21</t>
  </si>
  <si>
    <t>66-68400-S2-B</t>
  </si>
  <si>
    <t>sơn màu,2 lỗ cách đều nhau</t>
  </si>
  <si>
    <t>016T/EUROMARKET-2166-02600-02-B</t>
  </si>
  <si>
    <t>292/KHBS-21</t>
  </si>
  <si>
    <t>004/HOMEGOODS-21</t>
  </si>
  <si>
    <t>có lỗ, k sửa nứt, k rút bd</t>
  </si>
  <si>
    <t>013/NOIDIA-21</t>
  </si>
  <si>
    <t>061A/PTSP-PT-21</t>
  </si>
  <si>
    <t>293/KHBS-21(012T/OBI-21)</t>
  </si>
  <si>
    <t>296/KHBS-21(004/MARSHALLS-21)</t>
  </si>
  <si>
    <t>296/KHBS-21(037/POTTERYBARN-21)</t>
  </si>
  <si>
    <t>296/KHBS-21(002/MES-21)</t>
  </si>
  <si>
    <t xml:space="preserve"> 68-54500-02-B</t>
  </si>
  <si>
    <t>296/KHBS-21( 005/HOMEGOODS-21)</t>
  </si>
  <si>
    <t>003/ANNA-VG-21</t>
  </si>
  <si>
    <t>002/MACKOO-VG-21 Đ1</t>
  </si>
  <si>
    <t>002/MACKOO-VG-21 Đ2</t>
  </si>
  <si>
    <t>001/CLARIUS-VG-21 )Đ1)</t>
  </si>
  <si>
    <t>009/CLARIUS-2166-72100-S2-B2</t>
  </si>
  <si>
    <t>B2</t>
  </si>
  <si>
    <t>009/CLARIUS-21 đ1</t>
  </si>
  <si>
    <t>009/CLARIUS-21 Đ2</t>
  </si>
  <si>
    <t>009/CLARIUS-21 Đ266-80400-S3-B</t>
  </si>
  <si>
    <t>001/INTERLINE-VG-21</t>
  </si>
  <si>
    <t>003/INTERLINE-VG-21</t>
  </si>
  <si>
    <t>002/INTERLINE-VG-21</t>
  </si>
  <si>
    <t>004/INTERLINE-VG-21</t>
  </si>
  <si>
    <t>005/INTERLINE-VG-21</t>
  </si>
  <si>
    <t>006/INTERLINE-VG-21</t>
  </si>
  <si>
    <t>007/INTERLINE-VG-21</t>
  </si>
  <si>
    <t>008/INTERLINE-VG-21</t>
  </si>
  <si>
    <t>009/INTERLINE-VG-21</t>
  </si>
  <si>
    <t>010/INTERLINE-VG-21</t>
  </si>
  <si>
    <t>011/INTERLINE-VG-21</t>
  </si>
  <si>
    <t>012/INTERLINE-VG-21</t>
  </si>
  <si>
    <t xml:space="preserve"> 487/POTTERYPOT-VG-21</t>
  </si>
  <si>
    <t>phên 2 nữa, khoan lổ 3cm</t>
  </si>
  <si>
    <t>không lổ</t>
  </si>
  <si>
    <t xml:space="preserve"> 486/POTTERYPOT-VG-21</t>
  </si>
  <si>
    <t>081/WESTELM-21</t>
  </si>
  <si>
    <t>079/WESTELM-21</t>
  </si>
  <si>
    <t>297/KHBS-21(002T/OBI-21)</t>
  </si>
  <si>
    <t>297/KHBS-21(029T/WESTELM-21)</t>
  </si>
  <si>
    <t>có lổ</t>
  </si>
  <si>
    <t>298/KHBS-21(014T/OBI-21)</t>
  </si>
  <si>
    <t>019T/EUROMARKET-2166-54100-01-B</t>
  </si>
  <si>
    <t>80-00600-02-B</t>
  </si>
  <si>
    <t>299/KHBS-21</t>
  </si>
  <si>
    <t>299/KHBS-2166-06402-01-B</t>
  </si>
  <si>
    <t>THÁNG 11/2021</t>
  </si>
  <si>
    <t>298/KHBS-21(003/TK MAXX-21)</t>
  </si>
  <si>
    <t>301/KHBS-21</t>
  </si>
  <si>
    <t>300/KHBS-21</t>
  </si>
  <si>
    <t>304/KHBS-21</t>
  </si>
  <si>
    <t>66-06723-01-B</t>
  </si>
  <si>
    <t>004/MARSHALL-21</t>
  </si>
  <si>
    <t>66-06402-02-B</t>
  </si>
  <si>
    <t>66-39639-03-B</t>
  </si>
  <si>
    <t>66-70301-S4-B</t>
  </si>
  <si>
    <t>66-88101-S2-B</t>
  </si>
  <si>
    <t>002/OBI-VG_SR-21</t>
  </si>
  <si>
    <t>217/POTTERYPOT-21</t>
  </si>
  <si>
    <t>001T/KARMIN-VG-2168-83200-03-B</t>
  </si>
  <si>
    <t>001T/KARMIN-VG-21( đ 1)</t>
  </si>
  <si>
    <t>001T/KARMIN-VG-21( đ2)</t>
  </si>
  <si>
    <t>050T/WESTELM-21</t>
  </si>
  <si>
    <t>012T/EUROMARKET-2166-87600-S1-B</t>
  </si>
  <si>
    <t>306/KHBS-21</t>
  </si>
  <si>
    <t>307/KHBS-21</t>
  </si>
  <si>
    <t>009/CLARIUS-21(đợt 1)</t>
  </si>
  <si>
    <t xml:space="preserve">	018T/EUROMARKET-2166-02700-01-B</t>
  </si>
  <si>
    <t>018T/EUROMARKET-2166-02700-01-A1(phen)</t>
  </si>
  <si>
    <t>003/OBI-VG_SR-21</t>
  </si>
  <si>
    <t>66-07902-S3-B</t>
  </si>
  <si>
    <t>66-84102-B2-B</t>
  </si>
  <si>
    <t>có lổ, mẫu gửi anco cho khách xem</t>
  </si>
  <si>
    <t>054_SR-21(OBI)</t>
  </si>
  <si>
    <t>66-85200-S1-B</t>
  </si>
  <si>
    <t>66-85300-S1-B</t>
  </si>
  <si>
    <t>66-85400-S1-B</t>
  </si>
  <si>
    <t>074/VG_SR-21(POTTERYBARN)</t>
  </si>
  <si>
    <t>66-66400-01-B</t>
  </si>
  <si>
    <t>66-66600-S3-B</t>
  </si>
  <si>
    <t>66-02600-S3-B</t>
  </si>
  <si>
    <t>không lổ,Mẫu dùng để thử lắp ráp cho kệ chân gỗ. Chỉ làm hàng thô</t>
  </si>
  <si>
    <t>073/VG_SR-21(EUROMARKET)</t>
  </si>
  <si>
    <t>có lổ, có rãnh thoát nước, sx theo mẫu đối,Mẫu gửi đi BV test (droptest 3A) do mẫu củ đã hết hạn. Yêu cầu không rút bảo dưỡng, không sửa nứt.</t>
  </si>
  <si>
    <t>003/OBI-VG-21</t>
  </si>
  <si>
    <t>có lổ, sx theo mẫu đối, giao hàng lồng bộ</t>
  </si>
  <si>
    <t>003/CLARIUS-VG-21</t>
  </si>
  <si>
    <t>66-58224-S1-B</t>
  </si>
  <si>
    <t>66-68124-S1-B</t>
  </si>
  <si>
    <t>66-82500-02-B</t>
  </si>
  <si>
    <t>66-82524-02-B</t>
  </si>
  <si>
    <t>007/TK MAXX-VG-21</t>
  </si>
  <si>
    <t>008/COMMEZIA-21</t>
  </si>
  <si>
    <t>076/VG_SR-21(ITIMASIA)</t>
  </si>
  <si>
    <t>Cắt 4 Mảnh màu KT 15x25cm hệ 66 đề tài 22 màu 03</t>
  </si>
  <si>
    <t>075/VG_SR-21(EUROMARKET)</t>
  </si>
  <si>
    <t>có lổ,yêu cầu không rút bảo dưỡng, sửa nứt.</t>
  </si>
  <si>
    <t>055_SR-21(ALFRESCO)</t>
  </si>
  <si>
    <t>không lổ, Mẫu khách kiểm tra và đặt hàng mùa 2023</t>
  </si>
  <si>
    <t>002/YAMATEI-VG_SR-21</t>
  </si>
  <si>
    <t>66-70301-03-B</t>
  </si>
  <si>
    <t>66-70301-04-B</t>
  </si>
  <si>
    <t>001/ALFRESCO HOME-
VG_SR-21</t>
  </si>
  <si>
    <t>66-01701-B3-B</t>
  </si>
  <si>
    <t>66-02601-B2-B</t>
  </si>
  <si>
    <t>66-61301-L2-B</t>
  </si>
  <si>
    <t>66-70301-B3-B</t>
  </si>
  <si>
    <t>66-88001-B2-B</t>
  </si>
  <si>
    <t>001T/KAMIN-21</t>
  </si>
  <si>
    <t>311/KHBS-21(039T/WESTELM-21)</t>
  </si>
  <si>
    <t>311/KHBS-21(016T/EUROMARKET-21)</t>
  </si>
  <si>
    <t>311/KHBS-21(003/TK MAXX-21)</t>
  </si>
  <si>
    <t xml:space="preserve"> 66-79028-01-B</t>
  </si>
  <si>
    <t>311/KHBS-21(006/MARSHALLS-21)</t>
  </si>
  <si>
    <t xml:space="preserve">sơn màu, KO lỗ, </t>
  </si>
  <si>
    <t>001/WINNERS-2166-53037-S3-B4</t>
  </si>
  <si>
    <t>056T/WESTELM-21</t>
  </si>
  <si>
    <t xml:space="preserve">	66-70300-02-B</t>
  </si>
  <si>
    <t>009/CLARIUS-21 đ166-72124-S1-B</t>
  </si>
  <si>
    <t>312/KHBS-21(003/TK MAXX-21)</t>
  </si>
  <si>
    <t>66-55429-02-B</t>
  </si>
  <si>
    <t>312/KHBS-21(025/METRO-VG-21)</t>
  </si>
  <si>
    <t xml:space="preserve"> 66-06422-03-B</t>
  </si>
  <si>
    <t>002/ITIMASIA-VG_SR-21</t>
  </si>
  <si>
    <t>66-01711-02-B</t>
  </si>
  <si>
    <t>66-01711-03-B</t>
  </si>
  <si>
    <t>66-02605-03-B</t>
  </si>
  <si>
    <t>66-02615-01-B</t>
  </si>
  <si>
    <t>66-02615-02-B</t>
  </si>
  <si>
    <t>66-02615-03-B</t>
  </si>
  <si>
    <t>014/NOI DIA-21</t>
  </si>
  <si>
    <t>có lổ,hàng không sửa nứt, không rút bảo dưỡng.</t>
  </si>
  <si>
    <t>077/VG_SR-21( EL)</t>
  </si>
  <si>
    <t>không lổ,Yêu cầu không rút bảo dưỡng, sửa nứt.gởi khách ký lại mẫu đối do mẫu đối bị hư.</t>
  </si>
  <si>
    <t>309/KHBS-21</t>
  </si>
  <si>
    <t>044/POTTERYBARN-VG-21</t>
  </si>
  <si>
    <t>045/POTTERYBARN-VG-21</t>
  </si>
  <si>
    <t>047/POTTERYBARN-VG-21</t>
  </si>
  <si>
    <t>048/POTTERYBARN-VG-21</t>
  </si>
  <si>
    <t>002/HACA-HK-VG_SR-21</t>
  </si>
  <si>
    <t>không lổ, mẫu chào bán hàng</t>
  </si>
  <si>
    <t>003/HACA-HK-VG_SR-21</t>
  </si>
  <si>
    <t>026T/EUROMARKET-2168-79900-02-A</t>
  </si>
  <si>
    <t>66-72100-S1-A1(phên)</t>
  </si>
  <si>
    <t>009/CLARIUS-21-Đ3</t>
  </si>
  <si>
    <t>006B/ITIMASIA-21</t>
  </si>
  <si>
    <t>002/TK MAXX-AUS-21</t>
  </si>
  <si>
    <t>010/POTTERY PATCH-VG-21</t>
  </si>
  <si>
    <t>317/KHBS-21(332/POTTERYPOT-21)</t>
  </si>
  <si>
    <t xml:space="preserve"> 68-72700-04-A</t>
  </si>
  <si>
    <t>005/TJ MAXX-2166-06700-S2-B</t>
  </si>
  <si>
    <t>010/MADECOM-2166-17200-02-B</t>
  </si>
  <si>
    <t>010/MADECOM-2166-17200-02-A1(phên)</t>
  </si>
  <si>
    <t>042T/WESTELM-2166-70300-03-B</t>
  </si>
  <si>
    <t>317/KHBS-21(049T/WESTELM-21)</t>
  </si>
  <si>
    <t>317/KHBS-21(004/MARSHALLS-21)</t>
  </si>
  <si>
    <t xml:space="preserve"> 66-12522-02-B</t>
  </si>
  <si>
    <t>317/KHBS-21(005/METRO-VG-21)</t>
  </si>
  <si>
    <t>317/KHBS-21(023/METRO-VG-21)</t>
  </si>
  <si>
    <t>317/KHBS-21</t>
  </si>
  <si>
    <t>315/KHBS-21(042T/WESTELM-21)</t>
  </si>
  <si>
    <t xml:space="preserve"> 66-80136-02-B</t>
  </si>
  <si>
    <t>001T/KARMIN-VG-21( đ2)68-83200-03-B</t>
  </si>
  <si>
    <t>001/GLOBAL PALMS -VG-21</t>
  </si>
  <si>
    <t>002/GLOBAL PALMS -VG-21</t>
  </si>
  <si>
    <t>66-54100-S3-B</t>
  </si>
  <si>
    <t>002A/GLOBAL PALMS -VG-21</t>
  </si>
  <si>
    <t>66-17500-01-B</t>
  </si>
  <si>
    <t>66-17500-02-B</t>
  </si>
  <si>
    <t>66-17500-03-B</t>
  </si>
  <si>
    <t>66-61309-S3-B</t>
  </si>
  <si>
    <t>002B/GLOBAL PALMS -VG-21</t>
  </si>
  <si>
    <t>66-01723-S4-B</t>
  </si>
  <si>
    <t>015/TK MAXX-VG-21</t>
  </si>
  <si>
    <t>016/TK MAXX-VG-21</t>
  </si>
  <si>
    <t>045/EUROMARKET-VG-21</t>
  </si>
  <si>
    <t>059/HACA-HK-VG-21</t>
  </si>
  <si>
    <t>060/HACA-HK-VG-21</t>
  </si>
  <si>
    <t>HÀNG BỔ SUNG -2021</t>
  </si>
  <si>
    <t>66-67224-01-B</t>
  </si>
  <si>
    <t>015/NOIDIA-21</t>
  </si>
  <si>
    <t>66-81000-S3-B</t>
  </si>
  <si>
    <t>061B/PTSP-PT-21</t>
  </si>
  <si>
    <t>078/VG_SR-21(ITIMASIA)</t>
  </si>
  <si>
    <t>66-01711-04-B</t>
  </si>
  <si>
    <t>320/KHBS-21</t>
  </si>
  <si>
    <t>317/KHBS-21(001/SIERRA-21)</t>
  </si>
  <si>
    <t>321/KHBS-21</t>
  </si>
  <si>
    <t>66-84837-01-B4</t>
  </si>
  <si>
    <t>101_SR-21(SIPLEC)</t>
  </si>
  <si>
    <t>sơn màu,có lỗ,mẫu chào hàng</t>
  </si>
  <si>
    <t>500/POTTERYPOT-VG-21</t>
  </si>
  <si>
    <t>003/ANNA-VG-21(đ1)66-06700-02-A</t>
  </si>
  <si>
    <t>322/KHBS-21</t>
  </si>
  <si>
    <t>66-02700-01-A1(PHÊN)</t>
  </si>
  <si>
    <t>66-55429-03-B</t>
  </si>
  <si>
    <t>66-12500-02-B</t>
  </si>
  <si>
    <t>66-82700-03-B</t>
  </si>
  <si>
    <t>66-01702-03-B</t>
  </si>
  <si>
    <t>66-79129-02-B</t>
  </si>
  <si>
    <t>66-79129-03-B</t>
  </si>
  <si>
    <t>THÁNG 12/2021</t>
  </si>
  <si>
    <t>324/KHBS-21</t>
  </si>
  <si>
    <t>66-84837-01-b4</t>
  </si>
  <si>
    <t>326/KHBS-21(005/MARSHALLS-21)</t>
  </si>
  <si>
    <t>66-10000-02-A</t>
  </si>
  <si>
    <t>327/KHBS-21</t>
  </si>
  <si>
    <t>328/KHBS-21</t>
  </si>
  <si>
    <t>sơn màu,có lỗ( đầu 66)</t>
  </si>
  <si>
    <t>66-17200-02-A1phên)</t>
  </si>
  <si>
    <t>052T/WESTELM-21</t>
  </si>
  <si>
    <t>68-72500-02-b</t>
  </si>
  <si>
    <t>027T/EUROMARKET-2166-54100-01-B</t>
  </si>
  <si>
    <t>049/POTTERYBARN-VG-21</t>
  </si>
  <si>
    <t>326/KHBS-21( 002/MES-21)</t>
  </si>
  <si>
    <t xml:space="preserve"> 68-75616-01-B</t>
  </si>
  <si>
    <t>001/KARMIN-21</t>
  </si>
  <si>
    <t>66-79028-01-B</t>
  </si>
  <si>
    <t>004/HOMESENNE-21</t>
  </si>
  <si>
    <t>66-70302-02-B</t>
  </si>
  <si>
    <t>005/WESTELM-VG_SR-21</t>
  </si>
  <si>
    <t>66-90136-01-B</t>
  </si>
  <si>
    <t>66-90240-01-B</t>
  </si>
  <si>
    <t>66-90300-S1-A</t>
  </si>
  <si>
    <t>66-90400-S1-A</t>
  </si>
  <si>
    <t>66-90500-S1-A</t>
  </si>
  <si>
    <t>có lổ, có rãnh thoát nước, ký mẫu đối và chụp hình</t>
  </si>
  <si>
    <t>050/POTTERYBARN-VG-21</t>
  </si>
  <si>
    <t>006A/HOMEGOODS-21</t>
  </si>
  <si>
    <t>014/KHBS_SR-21(002/YAMATEI-VG_SR-21)</t>
  </si>
  <si>
    <t>061C/PTSP-PT-21</t>
  </si>
  <si>
    <t>081/VG_SR-21(METRO)</t>
  </si>
  <si>
    <t xml:space="preserve"> 001_SR-21( ITIMASIA (THD)</t>
  </si>
  <si>
    <t>333/KHBS-21</t>
  </si>
  <si>
    <t>085/VG_SR-21(WESTELM)</t>
  </si>
  <si>
    <t>66-90300-S1-B</t>
  </si>
  <si>
    <t>66-90400-S1-B</t>
  </si>
  <si>
    <t>66-90500-S1-B</t>
  </si>
  <si>
    <t>có lổ, thử đóng gói không sửa nứt, rút bảo dưỡng</t>
  </si>
  <si>
    <t>331/KHBS-21</t>
  </si>
  <si>
    <t>66-85037-02-B4</t>
  </si>
  <si>
    <t>66-53037-03-B4</t>
  </si>
  <si>
    <t>332/KHBS-21</t>
  </si>
  <si>
    <t>68-70200-02-01</t>
  </si>
  <si>
    <t>002/AHOME-VG_SR-21</t>
  </si>
  <si>
    <t>66-02601-02-B</t>
  </si>
  <si>
    <t>66-02601-03-B</t>
  </si>
  <si>
    <t>067T/WESTELM-21</t>
  </si>
  <si>
    <t>057T/WESTELM-21</t>
  </si>
  <si>
    <t>058T/WESTELM-21</t>
  </si>
  <si>
    <t>059T/WESTELM-21</t>
  </si>
  <si>
    <t>062T/WESTELM-21</t>
  </si>
  <si>
    <t>063T/WESTELM-21</t>
  </si>
  <si>
    <t>065T/WESTELM-21</t>
  </si>
  <si>
    <t>004/CANADIAN-VG-21</t>
  </si>
  <si>
    <t>66-77729-X4-B</t>
  </si>
  <si>
    <t>66-84129-B2-B</t>
  </si>
  <si>
    <t xml:space="preserve"> 143/NY/PP-USA-VG-21</t>
  </si>
  <si>
    <t>008/YAMATEI-VG-21</t>
  </si>
  <si>
    <t>66-00605-01-B</t>
  </si>
  <si>
    <t>66-01705-01-B</t>
  </si>
  <si>
    <t>66-01705-03-B</t>
  </si>
  <si>
    <t>66-01705-B2-B</t>
  </si>
  <si>
    <t>66-02605-S3-B</t>
  </si>
  <si>
    <t>66-54105-02-B</t>
  </si>
  <si>
    <t>66-55405-01-B</t>
  </si>
  <si>
    <t>66-55405-03-B</t>
  </si>
  <si>
    <t>66-55405-B2-B</t>
  </si>
  <si>
    <t>66-55405-L2-B</t>
  </si>
  <si>
    <t>66-55409-B2-B</t>
  </si>
  <si>
    <t>66-70305-01-B</t>
  </si>
  <si>
    <t>66-70305-03-B</t>
  </si>
  <si>
    <t>66-70305-04-B</t>
  </si>
  <si>
    <t>66-70305-B2-B</t>
  </si>
  <si>
    <t>66-70305-L2-B</t>
  </si>
  <si>
    <t>66-70309-04-B</t>
  </si>
  <si>
    <t>66-77905-03-B</t>
  </si>
  <si>
    <t>68-57717-02-B</t>
  </si>
  <si>
    <t>003/ANNA-VG-21(đ1)66-06700-S2-A</t>
  </si>
  <si>
    <t>60T/WESTELM-21</t>
  </si>
  <si>
    <t>330/KHBS-21(005/MARSHALLS-21)</t>
  </si>
  <si>
    <t>031T/EUROMARKET-21</t>
  </si>
  <si>
    <t>030T/EUROMARKET-21</t>
  </si>
  <si>
    <t>002/ALFRESCO HOME-21</t>
  </si>
  <si>
    <t>66-34709-S1-B</t>
  </si>
  <si>
    <t>66-55409-L2-B</t>
  </si>
  <si>
    <t>005/ALFRESCO HOME-VG-21</t>
  </si>
  <si>
    <t>66-55437-01-B4</t>
  </si>
  <si>
    <t>009/CLARIUSS-21</t>
  </si>
  <si>
    <t>66-11700-04-A</t>
  </si>
  <si>
    <t>334/KHBS-21(005/MARSHALLS-21)</t>
  </si>
  <si>
    <t>006/MARSHALLS-2166-06700-S2-B</t>
  </si>
  <si>
    <t>66-01700-04-A</t>
  </si>
  <si>
    <t>335/KHBS-21</t>
  </si>
  <si>
    <t>070_SR-21 Mullally (Costco)</t>
  </si>
  <si>
    <t>66-90006-S1-B</t>
  </si>
  <si>
    <t>001T/MULLALLY-VG-21(đ1)</t>
  </si>
  <si>
    <t>001T/MULLALLY-VG-21(đ2)</t>
  </si>
  <si>
    <t>sơn màu, có lỗ 2.0 CM</t>
  </si>
  <si>
    <t>009/CLARIUS-21(đợt 3)</t>
  </si>
  <si>
    <t>027T/EUROMARKET-2166-02600-02-B</t>
  </si>
  <si>
    <t>007/HOMEGOODS-2166-55137-S2-B4</t>
  </si>
  <si>
    <t>004/HOMESENSE-2166-07900-S3-B</t>
  </si>
  <si>
    <t>66-01700-B3-B</t>
  </si>
  <si>
    <t>057T/WESTELM-2166-90240-01-B</t>
  </si>
  <si>
    <t>003/aNNA-VG-21</t>
  </si>
  <si>
    <t>66-06700-01-A</t>
  </si>
  <si>
    <t>012/EUROMAKET-21</t>
  </si>
  <si>
    <t>66-70900-05-A</t>
  </si>
  <si>
    <t>66-11700-03-A</t>
  </si>
  <si>
    <t>338/KHBS-21( 004/TK MAXX-21)</t>
  </si>
  <si>
    <t>338/KHBS-21(015T/OBI-21)</t>
  </si>
  <si>
    <t>463/POTTERYPOT-VG-21</t>
  </si>
  <si>
    <t>66-02700-02-A</t>
  </si>
  <si>
    <t>009/COMERZIA-2166-02700-01-B</t>
  </si>
  <si>
    <t>002/GLOBAL PALMS -VG-2166-02700-S3-B</t>
  </si>
  <si>
    <t>007/HOMEGOODS-2168-75300-S1-B</t>
  </si>
  <si>
    <t>002/HOMESENSE-2166-61337-S3-B4</t>
  </si>
  <si>
    <t>sơn màu, KO lỗ</t>
  </si>
  <si>
    <t>009/CLARIUS-21(đợt 3)66-82500-02-A1(phen)</t>
  </si>
  <si>
    <t>339/KHBS-21(005/METRO-VG-21)</t>
  </si>
  <si>
    <t>sơn màu,Co lỗ</t>
  </si>
  <si>
    <t>338/KHBS-21</t>
  </si>
  <si>
    <t>66-55437-02-B4</t>
  </si>
  <si>
    <t>337/KHBS-21( 049T/WESTELM-21)</t>
  </si>
  <si>
    <t>337/KHBS-21(035T/WESTELM-21)</t>
  </si>
  <si>
    <t>337/KHBS-21(006/MARSHALLS-21)</t>
  </si>
  <si>
    <t>052T/WESTELM-2166-80136-02-B</t>
  </si>
  <si>
    <t>THÁNG 01/2022</t>
  </si>
  <si>
    <t>071T/WESTELM-21</t>
  </si>
  <si>
    <t>051T/WESTELM-21</t>
  </si>
  <si>
    <t>053T/WESTELM-21</t>
  </si>
  <si>
    <t>330/KHBS-21</t>
  </si>
  <si>
    <t>343/KHBS-21</t>
  </si>
  <si>
    <t>342/KHBS-21</t>
  </si>
  <si>
    <t>66-01737-B2-B4</t>
  </si>
  <si>
    <t>66-06300-02-A</t>
  </si>
  <si>
    <t>66-53037-01-B4</t>
  </si>
  <si>
    <t>060T/WESTELM-21</t>
  </si>
  <si>
    <t>66-06400-03-B</t>
  </si>
  <si>
    <t>66-01722-03-B</t>
  </si>
  <si>
    <t>341/KHBS-21(002/TK MAXX-21)</t>
  </si>
  <si>
    <t>009/CLARIUS-21(đợt 3)66-82624-02-B</t>
  </si>
  <si>
    <t>sơn màu,phên 2 mảnh</t>
  </si>
  <si>
    <t xml:space="preserve">	002/CLARIUS-VG-2166-82624-S2-B</t>
  </si>
  <si>
    <t>tháng 01/2022</t>
  </si>
  <si>
    <t>002/KHBS-22</t>
  </si>
  <si>
    <t>66-01737-02-B4</t>
  </si>
  <si>
    <t>66-54100-01-b</t>
  </si>
  <si>
    <t>005/KHBS-22</t>
  </si>
  <si>
    <t>153/MULLALLY-VG-21</t>
  </si>
  <si>
    <t>154/MULLALLY-VG-21</t>
  </si>
  <si>
    <t>155/MULLALLY-VG-21</t>
  </si>
  <si>
    <t>156/MULLALLY-VG-21</t>
  </si>
  <si>
    <t>157/MULLALLY-VG-21</t>
  </si>
  <si>
    <t>002/NOI DIA-22</t>
  </si>
  <si>
    <t>005/KHBS-22(003/ANNA-VG-21)</t>
  </si>
  <si>
    <t>66-32000-04-A</t>
  </si>
  <si>
    <t>66-00300-02-A</t>
  </si>
  <si>
    <t>008/KHBS-21</t>
  </si>
  <si>
    <t>001/VG_SR-22(JULLIA GRUP)</t>
  </si>
  <si>
    <t>66-50319-02-B</t>
  </si>
  <si>
    <t>001/JULLIA GRUP-VG_SR-22</t>
  </si>
  <si>
    <t>cắt mảnh màu</t>
  </si>
  <si>
    <t>không lổ, chụp hình catalogue</t>
  </si>
  <si>
    <t>có lổ, lổ theo thông báo mới</t>
  </si>
  <si>
    <t>001/LH IMPORTS-VG_SR-22</t>
  </si>
  <si>
    <t>001/INTRATUIN-VG_SR-21</t>
  </si>
  <si>
    <t>009/KHBS-22</t>
  </si>
  <si>
    <t>063/HACA-HK-VG-21</t>
  </si>
  <si>
    <t>68-71000-02-B</t>
  </si>
  <si>
    <t>004/CLARIUS-VG-21</t>
  </si>
  <si>
    <t>038T/EUROMARKET-21</t>
  </si>
  <si>
    <t>039T/EUROMARKET-21</t>
  </si>
  <si>
    <t>có lổ, có rãnh thoát nước</t>
  </si>
  <si>
    <t xml:space="preserve">2 lổ, có rãnh thoát nước, </t>
  </si>
  <si>
    <t>phên 2 nửa</t>
  </si>
  <si>
    <t>002/COMERZIA-VG-21</t>
  </si>
  <si>
    <t>66-34700-S1-B</t>
  </si>
  <si>
    <t>001/COMERZIA-VG-21</t>
  </si>
  <si>
    <t>66-02724-S3-B</t>
  </si>
  <si>
    <t>66-28424-S1-B</t>
  </si>
  <si>
    <t>66-34800-S1-B</t>
  </si>
  <si>
    <t>66-65100-S4-B</t>
  </si>
  <si>
    <t>66-66400-S3-B</t>
  </si>
  <si>
    <t>003/COMERZIA-VG-21</t>
  </si>
  <si>
    <t>004/COMERZIA-VG-21</t>
  </si>
  <si>
    <t>66-02700-01-A1 (phên)</t>
  </si>
  <si>
    <t>006/KHBS-22(027T/WESTELM-21)</t>
  </si>
  <si>
    <t>008/KHBS-22(035T/WESTELM-21)</t>
  </si>
  <si>
    <t>012/KHBS-22</t>
  </si>
  <si>
    <t>013/KHBS-22</t>
  </si>
  <si>
    <t>66-70300-02-B(027T/EUROMARKET-21)</t>
  </si>
  <si>
    <t>001/AKS-VG_SR-22</t>
  </si>
  <si>
    <t>66-76500-S1-B</t>
  </si>
  <si>
    <t>001/CASI-VG_SR-22</t>
  </si>
  <si>
    <t>005/VG_SR-22(AHOME)</t>
  </si>
  <si>
    <t>001/AHOME-VG_SR-22</t>
  </si>
  <si>
    <t>theo tiêu chuẩn cty, mẫu chào hàng</t>
  </si>
  <si>
    <t>Chậu có khoan lỗ. Số lỗ+ đường kính lỗ theo thông báo
105/TB/KT-PTSP/21 của P.PTSP., mẫu chào hàng</t>
  </si>
  <si>
    <t>063T/WESTELM-2166-70300-02-B</t>
  </si>
  <si>
    <t>009/CLARIUS-21(đợt 3)66-82500-B2-B</t>
  </si>
  <si>
    <t>010/TDP-21</t>
  </si>
  <si>
    <t>001/HOME4 YOU-21</t>
  </si>
  <si>
    <t>66-39600-02-B</t>
  </si>
  <si>
    <t>66-01722-04-B</t>
  </si>
  <si>
    <t>014/KHBS-22</t>
  </si>
  <si>
    <t>027T/EUROMARKET-2166-70300-03-B</t>
  </si>
  <si>
    <t>003T/WESTELM-22</t>
  </si>
  <si>
    <t>Sơn màu,có lỗ</t>
  </si>
  <si>
    <t>527/POTTERYPOT-VG-21</t>
  </si>
  <si>
    <t>66-51720-01-B4</t>
  </si>
  <si>
    <t>66-52721-S3-B4</t>
  </si>
  <si>
    <t>66-55120-02-B4</t>
  </si>
  <si>
    <t>66-61320-L2-B4</t>
  </si>
  <si>
    <t>Sơn màu,KO lỗ</t>
  </si>
  <si>
    <t xml:space="preserve">	061/HACA-HK-VG-21</t>
  </si>
  <si>
    <t>66-02500-S2-B</t>
  </si>
  <si>
    <t>66-02700-02-B</t>
  </si>
  <si>
    <t>66-09700-S1-B</t>
  </si>
  <si>
    <t>66-70300-B3-B</t>
  </si>
  <si>
    <t>001/HUBSCH-VG-21</t>
  </si>
  <si>
    <t>68-57800-01-B</t>
  </si>
  <si>
    <t>có lỗ theo tbao 105/P .KT</t>
  </si>
  <si>
    <t>007/SQUARE-VG-21</t>
  </si>
  <si>
    <t>66-77700-X3-B</t>
  </si>
  <si>
    <t>01 có lổ theo tb mới , 02,03 không lổ</t>
  </si>
  <si>
    <t>có lổ theo tb mới</t>
  </si>
  <si>
    <t>01,02,03 có lổ theo thông báo mới, 04 không lổ</t>
  </si>
  <si>
    <t>01,02 có lổ theo thông báo mới, 04 không lổ</t>
  </si>
  <si>
    <t>022/EUROMARKET-VG-22</t>
  </si>
  <si>
    <t>66-02700-01-A1-PH-XM</t>
  </si>
  <si>
    <t>021/EUROMARKET-VG-22</t>
  </si>
  <si>
    <t>020/EUROMARKET-VG-22</t>
  </si>
  <si>
    <t>019/EUROMARKET-VG-22</t>
  </si>
  <si>
    <t>018/EUROMARKET-VG-22</t>
  </si>
  <si>
    <t>519A/POTTEYPOT-VG-21</t>
  </si>
  <si>
    <t>066/HACA-HK-VG-21</t>
  </si>
  <si>
    <t>66-01722-B3-B</t>
  </si>
  <si>
    <t>516/POTTERYPOT-VG-21</t>
  </si>
  <si>
    <t>68-75916-S2-B</t>
  </si>
  <si>
    <t>516A/POTTERYPOT-VG-21</t>
  </si>
  <si>
    <t>010/YAMATEI-VG-21</t>
  </si>
  <si>
    <t>66-00605-L2-B</t>
  </si>
  <si>
    <t>66-01705-02-B</t>
  </si>
  <si>
    <t>66-02605-B2-B</t>
  </si>
  <si>
    <t>66-70305-02-B</t>
  </si>
  <si>
    <t>66-70309-B3-B</t>
  </si>
  <si>
    <t>66-70309-X1-B</t>
  </si>
  <si>
    <t>66-06400-03-A</t>
  </si>
  <si>
    <t>002T/WESTELM-22</t>
  </si>
  <si>
    <t>,sơn màu, có lỗ</t>
  </si>
  <si>
    <t>018/KHBS-22(004/HOMEGOODS-21)</t>
  </si>
  <si>
    <t>021/KHBS-22(006/TK MAXX-21)</t>
  </si>
  <si>
    <t>66-79129-01-B</t>
  </si>
  <si>
    <t>154A/MULLALLY-VG-21</t>
  </si>
  <si>
    <t>071T/WESTELM-2166-83237-02-B4</t>
  </si>
  <si>
    <t>155A/MULLALLY-VG-21</t>
  </si>
  <si>
    <t>053T/WESTELM-2166-70300-01-B</t>
  </si>
  <si>
    <t>051T/WESTELM-2166-70300-02-B</t>
  </si>
  <si>
    <t>156A/MULLALLY-VG-21</t>
  </si>
  <si>
    <t>157A/MULLALLY-VG-21</t>
  </si>
  <si>
    <t>189/POTERTYPOT-21</t>
  </si>
  <si>
    <t>005T/WESTELM-22</t>
  </si>
  <si>
    <t>001/OBI-VG_SR-22</t>
  </si>
  <si>
    <t>004/SQUARE-VG-2166-61300-B2-B</t>
  </si>
  <si>
    <t>008/POTTERYPATCH-21</t>
  </si>
  <si>
    <t>004T/WESTELM-22</t>
  </si>
  <si>
    <t>006T/WESTELM-22</t>
  </si>
  <si>
    <t>007T/WESTELM-22</t>
  </si>
  <si>
    <t>THÁNG 02/2022</t>
  </si>
  <si>
    <t>024/KHBS-21</t>
  </si>
  <si>
    <t>020/KHBS-22( 006/ITIMASIA-21)</t>
  </si>
  <si>
    <t>021/KHBS-22(022T/EUROMARKET-21)</t>
  </si>
  <si>
    <t>66-61337-B2-B4</t>
  </si>
  <si>
    <t>023/KHBS-21</t>
  </si>
  <si>
    <t>005T/WESTELM-2266-70300-02-B</t>
  </si>
  <si>
    <t>057T/WESTELM-2166-80136-02-B</t>
  </si>
  <si>
    <t>001/DPI Import-VG-21</t>
  </si>
  <si>
    <t>66-53200-F3-B</t>
  </si>
  <si>
    <t>003_SR-22( Mullally -Costco)</t>
  </si>
  <si>
    <t xml:space="preserve">Mẫu dùng để gửi đi test hóa chất chì và kim loại nặng và phục vụ kiểm TRF
</t>
  </si>
  <si>
    <t>021/KHBS-22(002/HOMESENSE-21)</t>
  </si>
  <si>
    <t>66-06400-02-A</t>
  </si>
  <si>
    <t>66-61300-01-A</t>
  </si>
  <si>
    <t>66-61300-02-A</t>
  </si>
  <si>
    <t>001/MULLALLY-VG-21</t>
  </si>
  <si>
    <t>66-07900-01-B</t>
  </si>
  <si>
    <t>043T/WESTEML-21</t>
  </si>
  <si>
    <t>66-7772300-02-B</t>
  </si>
  <si>
    <t>66-77723-02-B</t>
  </si>
  <si>
    <t>66-01700-04-B</t>
  </si>
  <si>
    <t>028/KHBS-22</t>
  </si>
  <si>
    <t>6-01737-04-B4</t>
  </si>
  <si>
    <t>026/KHBS-22</t>
  </si>
  <si>
    <t>027/KHBS-22</t>
  </si>
  <si>
    <t>002/HACA-HK-VG-22</t>
  </si>
  <si>
    <t>018/KHBS-22</t>
  </si>
  <si>
    <t>001/SQUARE-VG-22</t>
  </si>
  <si>
    <t>66-75716-L2-B</t>
  </si>
  <si>
    <t>01, 02 có lổ theo tb mới , 03 không lổ</t>
  </si>
  <si>
    <t>01, có lổ theo tb mới , 02 không lổ</t>
  </si>
  <si>
    <t>01, có lổ theo không lổ</t>
  </si>
  <si>
    <t>tồn, có lỗ</t>
  </si>
  <si>
    <t>68-70200-01-05</t>
  </si>
  <si>
    <t>001/HACA-HK-VG-22(đ1)</t>
  </si>
  <si>
    <t>001/HACA-HK-VG-22(đ2)</t>
  </si>
  <si>
    <t>003/FLOWER POWER-VG-21</t>
  </si>
  <si>
    <t>66-54120-B2-B</t>
  </si>
  <si>
    <t>66-55120-S2-B</t>
  </si>
  <si>
    <t>66-55424-S3-B</t>
  </si>
  <si>
    <t>66-77705-L5-B</t>
  </si>
  <si>
    <t>có lổ đáy và lổ treo tem</t>
  </si>
  <si>
    <t>004/FLOWER POWER-VG-21</t>
  </si>
  <si>
    <t>66-77724-L4-B</t>
  </si>
  <si>
    <t>phên 2 mảnh</t>
  </si>
  <si>
    <t>030/KHBS-21</t>
  </si>
  <si>
    <t>001T/WESTELM-22</t>
  </si>
  <si>
    <t>023/EUROMARKET-21-VG</t>
  </si>
  <si>
    <t>007A/SQUARE-21</t>
  </si>
  <si>
    <t>025/KHBS-22(005/TK MAXX-21)</t>
  </si>
  <si>
    <t>025/KHBS-22(049T/WESTELM-21)</t>
  </si>
  <si>
    <t xml:space="preserve">	002/CLARIUS-VG-2166-82500-02-A1(phen)</t>
  </si>
  <si>
    <t xml:space="preserve">	003/CLARIUS-VG-21</t>
  </si>
  <si>
    <t>190/POTTERYPOT-21</t>
  </si>
  <si>
    <t>009/CLARIUS-VG-21</t>
  </si>
  <si>
    <t>66-55402-02-B</t>
  </si>
  <si>
    <t>66-82500-02-A1(phên)</t>
  </si>
  <si>
    <t>007/YAMATEL-21</t>
  </si>
  <si>
    <t>155/MULLALYY-21</t>
  </si>
  <si>
    <t>66-73300-03--A</t>
  </si>
  <si>
    <t>029T/EUROMARKET-2166-64800-S1-B</t>
  </si>
  <si>
    <t>035/KHBS-22</t>
  </si>
  <si>
    <t>033/KHBS-22</t>
  </si>
  <si>
    <t>115B/NY/PP-USA-VG-2066-03000-02-A1(phen)</t>
  </si>
  <si>
    <t>037/KHBS-22</t>
  </si>
  <si>
    <t>039T/EUROMARKET-2166-02600-02-B</t>
  </si>
  <si>
    <t>331/POTTERYPOT-2168-72700-04-A</t>
  </si>
  <si>
    <t>331/POTTERYPOT-21(GB)</t>
  </si>
  <si>
    <t>037/KHBS-2266-84016-02-B</t>
  </si>
  <si>
    <t>042/KHBS-22</t>
  </si>
  <si>
    <t>THÁNG 03/2022</t>
  </si>
  <si>
    <t>Phạm Thị Chung</t>
  </si>
  <si>
    <t>Đỗ Thành Viên</t>
  </si>
  <si>
    <t>Phạm Thị Thùy Linh</t>
  </si>
  <si>
    <t>Lương Văn Thanh</t>
  </si>
  <si>
    <t>Trần Thị Thanh Thúy</t>
  </si>
  <si>
    <t>Huỳnh Thị Lộc</t>
  </si>
  <si>
    <t>Đặng Văn Hùng</t>
  </si>
  <si>
    <t>Nguyễn Thị Bích Liên</t>
  </si>
  <si>
    <t>Ngô Thị Thu Nga</t>
  </si>
  <si>
    <t>Bùi Thị Quyên</t>
  </si>
  <si>
    <t>Trần Thị Nguyệt Nga</t>
  </si>
  <si>
    <t>Bùi Anh Ca</t>
  </si>
  <si>
    <t>Lê Thị Hoa (b)</t>
  </si>
  <si>
    <t>Nguyễn Minh Hạnh</t>
  </si>
  <si>
    <t>Phan Thị Tý</t>
  </si>
  <si>
    <t>Nguyễn Thị Hồng Hiệp</t>
  </si>
  <si>
    <t xml:space="preserve">Huỳnh Quốc Triều </t>
  </si>
  <si>
    <t>Lê Văn Trung</t>
  </si>
  <si>
    <t>Bùi Thị Thủy (b)</t>
  </si>
  <si>
    <t>Lê Thị Kim Hồng</t>
  </si>
  <si>
    <t>Bùi Thị Linh Châu</t>
  </si>
  <si>
    <t>Nguyễn Thị Nguyệt</t>
  </si>
  <si>
    <t>Lê Thị Nhàn</t>
  </si>
  <si>
    <t>Lê Thị Xuân Thu</t>
  </si>
  <si>
    <t>Phan thị Mỹ Lực</t>
  </si>
  <si>
    <t>Huỳnh Thị Kim Liên</t>
  </si>
  <si>
    <t>Trần Thị Thanh (b)</t>
  </si>
  <si>
    <t>Tổng đú
c bs T2</t>
  </si>
  <si>
    <t>TC -T2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</si>
</sst>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\ ;\(\$#,##0\)"/>
    <numFmt numFmtId="165" formatCode="&quot;\&quot;#,##0;[Red]&quot;\&quot;&quot;\&quot;\-#,##0"/>
    <numFmt numFmtId="166" formatCode="&quot;\&quot;#,##0.00;[Red]&quot;\&quot;&quot;\&quot;&quot;\&quot;&quot;\&quot;&quot;\&quot;&quot;\&quot;\-#,##0.00"/>
    <numFmt numFmtId="167" formatCode="&quot;\&quot;#,##0.00;[Red]&quot;\&quot;\-#,##0.00"/>
    <numFmt numFmtId="168" formatCode="&quot;\&quot;#,##0;[Red]&quot;\&quot;\-#,##0"/>
    <numFmt numFmtId="169" formatCode="[$-1010000]d/m/yy;@"/>
    <numFmt numFmtId="170" formatCode="_(* #,##0.0_);_(* \(#,##0.0\);_(* &quot;-&quot;??_);_(@_)"/>
    <numFmt numFmtId="171" formatCode="_(* #,##0_);_(* \(#,##0\);_(* &quot;-&quot;??_);_(@_)"/>
    <numFmt numFmtId="172" formatCode="_ * #,##0_ ;_ * \-#,##0_ ;_ * &quot;-&quot;??_ ;_ @_ "/>
    <numFmt numFmtId="173" formatCode="_ * #,##0.00_ ;_ * \-#,##0.00_ ;_ * &quot;-&quot;??_ ;_ @_ "/>
    <numFmt numFmtId="174" formatCode="_-* #,##0.00_-;\-* #,##0.00_-;_-* &quot;-&quot;??_-;_-@_-"/>
    <numFmt numFmtId="175" formatCode="_-* #,##0.0_-;\-* #,##0.0_-;_-* &quot;-&quot;??_-;_-@_-"/>
    <numFmt numFmtId="176" formatCode="#,##0.0_);\(#,##0.0\)"/>
    <numFmt numFmtId="177" formatCode="#,###"/>
  </numFmts>
  <fonts count="1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indexed="8"/>
      <name val="Arial"/>
      <family val="2"/>
      <charset val="163"/>
    </font>
    <font>
      <sz val="10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color theme="0"/>
      <name val="Times New Roman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sz val="10"/>
      <name val="VNI-Times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14"/>
      <color theme="0"/>
      <name val="Times New Roman"/>
      <family val="1"/>
    </font>
    <font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6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8" tint="-0.249977111117893"/>
      <name val="Times New Roman"/>
      <family val="1"/>
    </font>
    <font>
      <b/>
      <sz val="15"/>
      <color rgb="FFFF0000"/>
      <name val="Times New Roman"/>
      <family val="1"/>
    </font>
    <font>
      <b/>
      <sz val="15"/>
      <name val="Times New Roman"/>
      <family val="1"/>
    </font>
    <font>
      <sz val="11"/>
      <color indexed="8"/>
      <name val="Calibri"/>
      <family val="2"/>
    </font>
    <font>
      <sz val="14"/>
      <color indexed="8"/>
      <name val="Times New Roman"/>
      <family val="2"/>
    </font>
    <font>
      <sz val="14"/>
      <color indexed="9"/>
      <name val="Times New Roman"/>
      <family val="2"/>
    </font>
    <font>
      <sz val="11"/>
      <color indexed="9"/>
      <name val="Calibri"/>
      <family val="2"/>
    </font>
    <font>
      <sz val="14"/>
      <color indexed="20"/>
      <name val="Times New Roman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4"/>
      <color indexed="52"/>
      <name val="Times New Roman"/>
      <family val="2"/>
    </font>
    <font>
      <b/>
      <sz val="14"/>
      <color indexed="9"/>
      <name val="Times New Roman"/>
      <family val="2"/>
    </font>
    <font>
      <b/>
      <sz val="11"/>
      <color indexed="9"/>
      <name val="Calibri"/>
      <family val="2"/>
    </font>
    <font>
      <sz val="12"/>
      <name val="VNI-Times"/>
    </font>
    <font>
      <sz val="12"/>
      <color indexed="8"/>
      <name val="Times New Roman"/>
      <family val="2"/>
    </font>
    <font>
      <sz val="14"/>
      <name val="Times New Roman"/>
      <family val="1"/>
    </font>
    <font>
      <sz val="13"/>
      <color theme="1"/>
      <name val="Times New Roman"/>
      <family val="2"/>
    </font>
    <font>
      <i/>
      <sz val="14"/>
      <color indexed="23"/>
      <name val="Times New Roman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4"/>
      <color indexed="17"/>
      <name val="Times New Roman"/>
      <family val="2"/>
    </font>
    <font>
      <b/>
      <sz val="18"/>
      <name val="Arial"/>
      <family val="2"/>
    </font>
    <font>
      <b/>
      <sz val="15"/>
      <color indexed="56"/>
      <name val="Times New Roman"/>
      <family val="2"/>
    </font>
    <font>
      <b/>
      <sz val="15"/>
      <color indexed="56"/>
      <name val="Calibri"/>
      <family val="2"/>
    </font>
    <font>
      <b/>
      <sz val="12"/>
      <name val="Arial"/>
      <family val="2"/>
    </font>
    <font>
      <b/>
      <sz val="13"/>
      <color indexed="56"/>
      <name val="Times New Roman"/>
      <family val="2"/>
    </font>
    <font>
      <b/>
      <sz val="13"/>
      <color indexed="56"/>
      <name val="Calibri"/>
      <family val="2"/>
    </font>
    <font>
      <b/>
      <sz val="11"/>
      <color indexed="56"/>
      <name val="Times New Roman"/>
      <family val="2"/>
    </font>
    <font>
      <b/>
      <sz val="11"/>
      <color indexed="56"/>
      <name val="Calibri"/>
      <family val="2"/>
    </font>
    <font>
      <sz val="14"/>
      <color indexed="62"/>
      <name val="Times New Roman"/>
      <family val="2"/>
    </font>
    <font>
      <sz val="11"/>
      <color indexed="62"/>
      <name val="Calibri"/>
      <family val="2"/>
    </font>
    <font>
      <sz val="14"/>
      <color indexed="52"/>
      <name val="Times New Roman"/>
      <family val="2"/>
    </font>
    <font>
      <sz val="11"/>
      <color indexed="60"/>
      <name val="Calibri"/>
      <family val="2"/>
    </font>
    <font>
      <sz val="14"/>
      <color indexed="60"/>
      <name val="Times New Roman"/>
      <family val="2"/>
    </font>
    <font>
      <sz val="14"/>
      <color theme="1"/>
      <name val="Times New Roman"/>
      <family val="2"/>
    </font>
    <font>
      <sz val="11"/>
      <name val="VNI-Times"/>
    </font>
    <font>
      <sz val="11"/>
      <color theme="1"/>
      <name val="Calibri"/>
      <family val="2"/>
      <charset val="163"/>
      <scheme val="minor"/>
    </font>
    <font>
      <b/>
      <sz val="14"/>
      <color indexed="63"/>
      <name val="Times New Roman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4"/>
      <color indexed="8"/>
      <name val="Times New Roman"/>
      <family val="2"/>
    </font>
    <font>
      <sz val="11"/>
      <color indexed="10"/>
      <name val="Calibri"/>
      <family val="2"/>
    </font>
    <font>
      <sz val="14"/>
      <color indexed="10"/>
      <name val="Times New Roman"/>
      <family val="2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b/>
      <sz val="14"/>
      <color rgb="FFFF0000"/>
      <name val="Times New Roman"/>
      <family val="1"/>
      <charset val="163"/>
    </font>
    <font>
      <sz val="12"/>
      <color theme="0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0"/>
      <name val="Arial"/>
      <family val="2"/>
      <charset val="163"/>
    </font>
    <font>
      <sz val="11"/>
      <color theme="1"/>
      <name val="Cambria"/>
      <family val="1"/>
      <charset val="163"/>
      <scheme val="major"/>
    </font>
    <font>
      <b/>
      <sz val="11"/>
      <color theme="1"/>
      <name val="Cambria"/>
      <family val="1"/>
      <charset val="163"/>
      <scheme val="major"/>
    </font>
    <font>
      <b/>
      <sz val="16"/>
      <color theme="1"/>
      <name val="Cambria"/>
      <family val="1"/>
      <charset val="163"/>
      <scheme val="major"/>
    </font>
    <font>
      <b/>
      <sz val="13"/>
      <color rgb="FF002060"/>
      <name val="Times New Roman"/>
      <family val="1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  <charset val="163"/>
    </font>
    <font>
      <sz val="10"/>
      <name val="Arial"/>
      <family val="2"/>
      <charset val="163"/>
    </font>
    <font>
      <sz val="10"/>
      <name val="Arial"/>
      <family val="2"/>
      <charset val="163"/>
    </font>
    <font>
      <sz val="10"/>
      <name val="Arial"/>
      <family val="2"/>
      <charset val="163"/>
    </font>
    <font>
      <sz val="10"/>
      <name val="Arial"/>
      <family val="2"/>
      <charset val="163"/>
    </font>
    <font>
      <sz val="10"/>
      <name val="Arial"/>
      <family val="2"/>
      <charset val="163"/>
    </font>
    <font>
      <b/>
      <sz val="13"/>
      <color indexed="8"/>
      <name val="Times New Roman"/>
      <family val="1"/>
    </font>
    <font>
      <sz val="13"/>
      <color theme="9"/>
      <name val="Times New Roman"/>
      <family val="1"/>
    </font>
    <font>
      <sz val="13"/>
      <color rgb="FF00206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3"/>
      <color theme="9" tint="-0.499984740745262"/>
      <name val="Times New Roman"/>
      <family val="1"/>
    </font>
    <font>
      <sz val="13"/>
      <color rgb="FF7030A0"/>
      <name val="Times New Roman"/>
      <family val="1"/>
    </font>
    <font>
      <sz val="11"/>
      <color rgb="FF7030A0"/>
      <name val="Times New Roman"/>
      <family val="1"/>
    </font>
    <font>
      <sz val="10"/>
      <name val="Arial"/>
      <family val="2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0"/>
      </top>
      <bottom style="hair">
        <color indexed="64"/>
      </bottom>
      <diagonal/>
    </border>
    <border>
      <left style="thin">
        <color theme="0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1480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11" fillId="2" borderId="0" applyNumberFormat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2" fillId="0" borderId="0"/>
    <xf numFmtId="0" fontId="3" fillId="0" borderId="0"/>
    <xf numFmtId="0" fontId="5" fillId="0" borderId="0"/>
    <xf numFmtId="0" fontId="4" fillId="0" borderId="0"/>
    <xf numFmtId="9" fontId="3" fillId="0" borderId="0" applyFont="0" applyFill="0" applyBorder="0" applyAlignment="0" applyProtection="0"/>
    <xf numFmtId="0" fontId="10" fillId="0" borderId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7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9" fillId="0" borderId="0"/>
    <xf numFmtId="0" fontId="3" fillId="0" borderId="0"/>
    <xf numFmtId="43" fontId="2" fillId="0" borderId="0" applyFont="0" applyFill="0" applyBorder="0" applyAlignment="0" applyProtection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1" fillId="8" borderId="0" applyNumberFormat="0" applyBorder="0" applyAlignment="0" applyProtection="0"/>
    <xf numFmtId="0" fontId="11" fillId="7" borderId="0" applyNumberFormat="0" applyBorder="0" applyAlignment="0" applyProtection="0"/>
    <xf numFmtId="173" fontId="1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40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40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40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40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0" borderId="0" applyNumberFormat="0" applyBorder="0" applyAlignment="0" applyProtection="0"/>
    <xf numFmtId="0" fontId="40" fillId="20" borderId="0" applyNumberFormat="0" applyBorder="0" applyAlignment="0" applyProtection="0"/>
    <xf numFmtId="0" fontId="40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40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40" fillId="21" borderId="0" applyNumberFormat="0" applyBorder="0" applyAlignment="0" applyProtection="0"/>
    <xf numFmtId="0" fontId="40" fillId="21" borderId="0" applyNumberFormat="0" applyBorder="0" applyAlignment="0" applyProtection="0"/>
    <xf numFmtId="0" fontId="40" fillId="21" borderId="0" applyNumberFormat="0" applyBorder="0" applyAlignment="0" applyProtection="0"/>
    <xf numFmtId="0" fontId="40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40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40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40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40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40" fillId="21" borderId="0" applyNumberFormat="0" applyBorder="0" applyAlignment="0" applyProtection="0"/>
    <xf numFmtId="0" fontId="40" fillId="21" borderId="0" applyNumberFormat="0" applyBorder="0" applyAlignment="0" applyProtection="0"/>
    <xf numFmtId="0" fontId="40" fillId="21" borderId="0" applyNumberFormat="0" applyBorder="0" applyAlignment="0" applyProtection="0"/>
    <xf numFmtId="0" fontId="40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40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39" fillId="21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40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1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1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1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1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1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1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1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1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11" fillId="2" borderId="0" applyNumberFormat="0" applyBorder="0" applyAlignment="0" applyProtection="0"/>
    <xf numFmtId="0" fontId="41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1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1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1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2" fillId="32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3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5" fillId="33" borderId="34" applyNumberFormat="0" applyAlignment="0" applyProtection="0"/>
    <xf numFmtId="0" fontId="46" fillId="33" borderId="34" applyNumberFormat="0" applyAlignment="0" applyProtection="0"/>
    <xf numFmtId="0" fontId="46" fillId="33" borderId="34" applyNumberFormat="0" applyAlignment="0" applyProtection="0"/>
    <xf numFmtId="0" fontId="46" fillId="33" borderId="34" applyNumberFormat="0" applyAlignment="0" applyProtection="0"/>
    <xf numFmtId="0" fontId="46" fillId="33" borderId="34" applyNumberFormat="0" applyAlignment="0" applyProtection="0"/>
    <xf numFmtId="0" fontId="46" fillId="33" borderId="34" applyNumberFormat="0" applyAlignment="0" applyProtection="0"/>
    <xf numFmtId="0" fontId="46" fillId="33" borderId="34" applyNumberFormat="0" applyAlignment="0" applyProtection="0"/>
    <xf numFmtId="0" fontId="46" fillId="33" borderId="34" applyNumberFormat="0" applyAlignment="0" applyProtection="0"/>
    <xf numFmtId="0" fontId="46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6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5" fillId="33" borderId="34" applyNumberFormat="0" applyAlignment="0" applyProtection="0"/>
    <xf numFmtId="0" fontId="47" fillId="34" borderId="35" applyNumberFormat="0" applyAlignment="0" applyProtection="0"/>
    <xf numFmtId="0" fontId="47" fillId="34" borderId="35" applyNumberFormat="0" applyAlignment="0" applyProtection="0"/>
    <xf numFmtId="0" fontId="47" fillId="34" borderId="35" applyNumberFormat="0" applyAlignment="0" applyProtection="0"/>
    <xf numFmtId="0" fontId="47" fillId="34" borderId="35" applyNumberFormat="0" applyAlignment="0" applyProtection="0"/>
    <xf numFmtId="0" fontId="48" fillId="34" borderId="35" applyNumberFormat="0" applyAlignment="0" applyProtection="0"/>
    <xf numFmtId="0" fontId="48" fillId="34" borderId="35" applyNumberFormat="0" applyAlignment="0" applyProtection="0"/>
    <xf numFmtId="0" fontId="48" fillId="34" borderId="35" applyNumberFormat="0" applyAlignment="0" applyProtection="0"/>
    <xf numFmtId="0" fontId="48" fillId="34" borderId="35" applyNumberFormat="0" applyAlignment="0" applyProtection="0"/>
    <xf numFmtId="0" fontId="48" fillId="34" borderId="35" applyNumberFormat="0" applyAlignment="0" applyProtection="0"/>
    <xf numFmtId="0" fontId="48" fillId="34" borderId="35" applyNumberFormat="0" applyAlignment="0" applyProtection="0"/>
    <xf numFmtId="0" fontId="47" fillId="34" borderId="35" applyNumberFormat="0" applyAlignment="0" applyProtection="0"/>
    <xf numFmtId="0" fontId="48" fillId="34" borderId="35" applyNumberFormat="0" applyAlignment="0" applyProtection="0"/>
    <xf numFmtId="0" fontId="48" fillId="34" borderId="35" applyNumberFormat="0" applyAlignment="0" applyProtection="0"/>
    <xf numFmtId="0" fontId="48" fillId="34" borderId="35" applyNumberFormat="0" applyAlignment="0" applyProtection="0"/>
    <xf numFmtId="0" fontId="48" fillId="34" borderId="35" applyNumberFormat="0" applyAlignment="0" applyProtection="0"/>
    <xf numFmtId="0" fontId="48" fillId="34" borderId="35" applyNumberFormat="0" applyAlignment="0" applyProtection="0"/>
    <xf numFmtId="0" fontId="48" fillId="34" borderId="35" applyNumberFormat="0" applyAlignment="0" applyProtection="0"/>
    <xf numFmtId="0" fontId="48" fillId="34" borderId="35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4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74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75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49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" fillId="0" borderId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0" fillId="0" borderId="0" applyFont="0" applyFill="0" applyBorder="0" applyAlignment="0" applyProtection="0"/>
    <xf numFmtId="174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34" borderId="35" applyNumberFormat="0" applyAlignment="0" applyProtection="0"/>
    <xf numFmtId="44" fontId="5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36" applyNumberFormat="0" applyFill="0" applyAlignment="0" applyProtection="0"/>
    <xf numFmtId="0" fontId="56" fillId="17" borderId="0" applyNumberFormat="0" applyBorder="0" applyAlignment="0" applyProtection="0"/>
    <xf numFmtId="0" fontId="57" fillId="17" borderId="0" applyNumberFormat="0" applyBorder="0" applyAlignment="0" applyProtection="0"/>
    <xf numFmtId="0" fontId="57" fillId="17" borderId="0" applyNumberFormat="0" applyBorder="0" applyAlignment="0" applyProtection="0"/>
    <xf numFmtId="0" fontId="57" fillId="17" borderId="0" applyNumberFormat="0" applyBorder="0" applyAlignment="0" applyProtection="0"/>
    <xf numFmtId="0" fontId="57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7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37" applyNumberFormat="0" applyFill="0" applyAlignment="0" applyProtection="0"/>
    <xf numFmtId="0" fontId="59" fillId="0" borderId="37" applyNumberFormat="0" applyFill="0" applyAlignment="0" applyProtection="0"/>
    <xf numFmtId="0" fontId="59" fillId="0" borderId="37" applyNumberFormat="0" applyFill="0" applyAlignment="0" applyProtection="0"/>
    <xf numFmtId="0" fontId="59" fillId="0" borderId="37" applyNumberFormat="0" applyFill="0" applyAlignment="0" applyProtection="0"/>
    <xf numFmtId="0" fontId="60" fillId="0" borderId="37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37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2" fillId="0" borderId="38" applyNumberFormat="0" applyFill="0" applyAlignment="0" applyProtection="0"/>
    <xf numFmtId="0" fontId="63" fillId="0" borderId="38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38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4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5" fillId="0" borderId="39" applyNumberFormat="0" applyFill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20" borderId="34" applyNumberFormat="0" applyAlignment="0" applyProtection="0"/>
    <xf numFmtId="0" fontId="66" fillId="20" borderId="34" applyNumberFormat="0" applyAlignment="0" applyProtection="0"/>
    <xf numFmtId="0" fontId="66" fillId="20" borderId="34" applyNumberFormat="0" applyAlignment="0" applyProtection="0"/>
    <xf numFmtId="0" fontId="66" fillId="20" borderId="34" applyNumberFormat="0" applyAlignment="0" applyProtection="0"/>
    <xf numFmtId="0" fontId="66" fillId="20" borderId="34" applyNumberFormat="0" applyAlignment="0" applyProtection="0"/>
    <xf numFmtId="0" fontId="66" fillId="20" borderId="34" applyNumberFormat="0" applyAlignment="0" applyProtection="0"/>
    <xf numFmtId="0" fontId="66" fillId="20" borderId="34" applyNumberFormat="0" applyAlignment="0" applyProtection="0"/>
    <xf numFmtId="0" fontId="66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6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7" fillId="20" borderId="34" applyNumberFormat="0" applyAlignment="0" applyProtection="0"/>
    <xf numFmtId="0" fontId="60" fillId="0" borderId="37" applyNumberFormat="0" applyFill="0" applyAlignment="0" applyProtection="0"/>
    <xf numFmtId="0" fontId="63" fillId="0" borderId="38" applyNumberFormat="0" applyFill="0" applyAlignment="0" applyProtection="0"/>
    <xf numFmtId="0" fontId="65" fillId="0" borderId="39" applyNumberFormat="0" applyFill="0" applyAlignment="0" applyProtection="0"/>
    <xf numFmtId="0" fontId="65" fillId="0" borderId="0" applyNumberFormat="0" applyFill="0" applyBorder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55" fillId="0" borderId="36" applyNumberFormat="0" applyFill="0" applyAlignment="0" applyProtection="0"/>
    <xf numFmtId="0" fontId="55" fillId="0" borderId="36" applyNumberFormat="0" applyFill="0" applyAlignment="0" applyProtection="0"/>
    <xf numFmtId="0" fontId="55" fillId="0" borderId="36" applyNumberFormat="0" applyFill="0" applyAlignment="0" applyProtection="0"/>
    <xf numFmtId="0" fontId="55" fillId="0" borderId="36" applyNumberFormat="0" applyFill="0" applyAlignment="0" applyProtection="0"/>
    <xf numFmtId="0" fontId="55" fillId="0" borderId="36" applyNumberFormat="0" applyFill="0" applyAlignment="0" applyProtection="0"/>
    <xf numFmtId="0" fontId="55" fillId="0" borderId="36" applyNumberFormat="0" applyFill="0" applyAlignment="0" applyProtection="0"/>
    <xf numFmtId="0" fontId="68" fillId="0" borderId="36" applyNumberFormat="0" applyFill="0" applyAlignment="0" applyProtection="0"/>
    <xf numFmtId="0" fontId="55" fillId="0" borderId="36" applyNumberFormat="0" applyFill="0" applyAlignment="0" applyProtection="0"/>
    <xf numFmtId="0" fontId="55" fillId="0" borderId="36" applyNumberFormat="0" applyFill="0" applyAlignment="0" applyProtection="0"/>
    <xf numFmtId="0" fontId="55" fillId="0" borderId="36" applyNumberFormat="0" applyFill="0" applyAlignment="0" applyProtection="0"/>
    <xf numFmtId="0" fontId="55" fillId="0" borderId="36" applyNumberFormat="0" applyFill="0" applyAlignment="0" applyProtection="0"/>
    <xf numFmtId="0" fontId="55" fillId="0" borderId="36" applyNumberFormat="0" applyFill="0" applyAlignment="0" applyProtection="0"/>
    <xf numFmtId="0" fontId="55" fillId="0" borderId="36" applyNumberFormat="0" applyFill="0" applyAlignment="0" applyProtection="0"/>
    <xf numFmtId="0" fontId="55" fillId="0" borderId="36" applyNumberFormat="0" applyFill="0" applyAlignment="0" applyProtection="0"/>
    <xf numFmtId="0" fontId="69" fillId="35" borderId="0" applyNumberFormat="0" applyBorder="0" applyAlignment="0" applyProtection="0"/>
    <xf numFmtId="0" fontId="70" fillId="35" borderId="0" applyNumberFormat="0" applyBorder="0" applyAlignment="0" applyProtection="0"/>
    <xf numFmtId="0" fontId="70" fillId="35" borderId="0" applyNumberFormat="0" applyBorder="0" applyAlignment="0" applyProtection="0"/>
    <xf numFmtId="0" fontId="70" fillId="35" borderId="0" applyNumberFormat="0" applyBorder="0" applyAlignment="0" applyProtection="0"/>
    <xf numFmtId="0" fontId="70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70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69" fillId="35" borderId="0" applyNumberFormat="0" applyBorder="0" applyAlignment="0" applyProtection="0"/>
    <xf numFmtId="0" fontId="50" fillId="0" borderId="0"/>
    <xf numFmtId="0" fontId="5" fillId="0" borderId="0"/>
    <xf numFmtId="0" fontId="50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" fillId="0" borderId="0"/>
    <xf numFmtId="0" fontId="71" fillId="0" borderId="0"/>
    <xf numFmtId="0" fontId="2" fillId="0" borderId="0"/>
    <xf numFmtId="0" fontId="2" fillId="0" borderId="0"/>
    <xf numFmtId="0" fontId="14" fillId="0" borderId="0" applyNumberFormat="0" applyFill="0" applyBorder="0" applyAlignment="0" applyProtection="0"/>
    <xf numFmtId="0" fontId="39" fillId="0" borderId="0"/>
    <xf numFmtId="0" fontId="14" fillId="0" borderId="0" applyNumberFormat="0" applyFill="0" applyBorder="0" applyAlignment="0" applyProtection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14" fillId="0" borderId="0" applyNumberFormat="0" applyFill="0" applyBorder="0" applyAlignment="0" applyProtection="0"/>
    <xf numFmtId="0" fontId="72" fillId="0" borderId="0"/>
    <xf numFmtId="0" fontId="5" fillId="0" borderId="0"/>
    <xf numFmtId="0" fontId="14" fillId="0" borderId="0" applyNumberForma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40" fillId="0" borderId="0"/>
    <xf numFmtId="0" fontId="5" fillId="0" borderId="0"/>
    <xf numFmtId="0" fontId="5" fillId="0" borderId="0"/>
    <xf numFmtId="0" fontId="50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4" fillId="0" borderId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0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40" fillId="0" borderId="0"/>
    <xf numFmtId="0" fontId="5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0" fillId="0" borderId="0"/>
    <xf numFmtId="0" fontId="3" fillId="0" borderId="0"/>
    <xf numFmtId="0" fontId="40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2" fillId="0" borderId="0"/>
    <xf numFmtId="0" fontId="2" fillId="0" borderId="0"/>
    <xf numFmtId="0" fontId="5" fillId="0" borderId="0"/>
    <xf numFmtId="0" fontId="50" fillId="0" borderId="0"/>
    <xf numFmtId="0" fontId="5" fillId="0" borderId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40" fillId="36" borderId="40" applyNumberFormat="0" applyFont="0" applyAlignment="0" applyProtection="0"/>
    <xf numFmtId="0" fontId="40" fillId="36" borderId="40" applyNumberFormat="0" applyFont="0" applyAlignment="0" applyProtection="0"/>
    <xf numFmtId="0" fontId="40" fillId="36" borderId="40" applyNumberFormat="0" applyFont="0" applyAlignment="0" applyProtection="0"/>
    <xf numFmtId="0" fontId="40" fillId="36" borderId="40" applyNumberFormat="0" applyFont="0" applyAlignment="0" applyProtection="0"/>
    <xf numFmtId="0" fontId="40" fillId="36" borderId="40" applyNumberFormat="0" applyFont="0" applyAlignment="0" applyProtection="0"/>
    <xf numFmtId="0" fontId="40" fillId="36" borderId="40" applyNumberFormat="0" applyFont="0" applyAlignment="0" applyProtection="0"/>
    <xf numFmtId="0" fontId="40" fillId="36" borderId="40" applyNumberFormat="0" applyFont="0" applyAlignment="0" applyProtection="0"/>
    <xf numFmtId="0" fontId="40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40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14" fillId="36" borderId="40" applyNumberFormat="0" applyFont="0" applyAlignment="0" applyProtection="0"/>
    <xf numFmtId="0" fontId="5" fillId="36" borderId="40" applyNumberFormat="0" applyFont="0" applyAlignment="0" applyProtection="0"/>
    <xf numFmtId="0" fontId="44" fillId="16" borderId="0" applyNumberFormat="0" applyBorder="0" applyAlignment="0" applyProtection="0"/>
    <xf numFmtId="0" fontId="74" fillId="33" borderId="41" applyNumberFormat="0" applyAlignment="0" applyProtection="0"/>
    <xf numFmtId="0" fontId="74" fillId="33" borderId="41" applyNumberFormat="0" applyAlignment="0" applyProtection="0"/>
    <xf numFmtId="0" fontId="74" fillId="33" borderId="41" applyNumberFormat="0" applyAlignment="0" applyProtection="0"/>
    <xf numFmtId="0" fontId="74" fillId="33" borderId="41" applyNumberFormat="0" applyAlignment="0" applyProtection="0"/>
    <xf numFmtId="0" fontId="74" fillId="33" borderId="41" applyNumberFormat="0" applyAlignment="0" applyProtection="0"/>
    <xf numFmtId="0" fontId="74" fillId="33" borderId="41" applyNumberFormat="0" applyAlignment="0" applyProtection="0"/>
    <xf numFmtId="0" fontId="74" fillId="33" borderId="41" applyNumberFormat="0" applyAlignment="0" applyProtection="0"/>
    <xf numFmtId="0" fontId="74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4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0" fontId="75" fillId="33" borderId="4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42" applyNumberForma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78" fillId="0" borderId="42" applyNumberFormat="0" applyFill="0" applyAlignment="0" applyProtection="0"/>
    <xf numFmtId="0" fontId="78" fillId="0" borderId="42" applyNumberFormat="0" applyFill="0" applyAlignment="0" applyProtection="0"/>
    <xf numFmtId="0" fontId="78" fillId="0" borderId="42" applyNumberFormat="0" applyFill="0" applyAlignment="0" applyProtection="0"/>
    <xf numFmtId="0" fontId="78" fillId="0" borderId="42" applyNumberFormat="0" applyFill="0" applyAlignment="0" applyProtection="0"/>
    <xf numFmtId="0" fontId="78" fillId="0" borderId="42" applyNumberFormat="0" applyFill="0" applyAlignment="0" applyProtection="0"/>
    <xf numFmtId="0" fontId="78" fillId="0" borderId="42" applyNumberFormat="0" applyFill="0" applyAlignment="0" applyProtection="0"/>
    <xf numFmtId="0" fontId="78" fillId="0" borderId="42" applyNumberFormat="0" applyFill="0" applyAlignment="0" applyProtection="0"/>
    <xf numFmtId="0" fontId="78" fillId="0" borderId="42" applyNumberFormat="0" applyFill="0" applyAlignment="0" applyProtection="0"/>
    <xf numFmtId="0" fontId="77" fillId="0" borderId="42" applyNumberForma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78" fillId="0" borderId="42" applyNumberForma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5" fillId="0" borderId="43" applyNumberFormat="0" applyFont="0" applyFill="0" applyAlignment="0" applyProtection="0"/>
    <xf numFmtId="0" fontId="75" fillId="33" borderId="41" applyNumberFormat="0" applyAlignment="0" applyProtection="0"/>
    <xf numFmtId="0" fontId="54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41" fontId="2" fillId="0" borderId="0" applyFont="0" applyFill="0" applyBorder="0" applyAlignment="0" applyProtection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7" fillId="0" borderId="0"/>
    <xf numFmtId="0" fontId="98" fillId="0" borderId="0"/>
    <xf numFmtId="0" fontId="99" fillId="0" borderId="0"/>
    <xf numFmtId="173" fontId="12" fillId="0" borderId="0" applyFont="0" applyFill="0" applyBorder="0" applyAlignment="0" applyProtection="0"/>
    <xf numFmtId="0" fontId="100" fillId="0" borderId="0"/>
    <xf numFmtId="0" fontId="101" fillId="0" borderId="0"/>
    <xf numFmtId="0" fontId="102" fillId="0" borderId="0"/>
    <xf numFmtId="0" fontId="111" fillId="0" borderId="0"/>
  </cellStyleXfs>
  <cellXfs count="450">
    <xf numFmtId="0" fontId="0" fillId="0" borderId="0" xfId="0"/>
    <xf numFmtId="0" fontId="15" fillId="9" borderId="3" xfId="12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171" fontId="16" fillId="9" borderId="3" xfId="1" applyNumberFormat="1" applyFont="1" applyFill="1" applyBorder="1" applyAlignment="1">
      <alignment horizontal="center" vertical="center" wrapText="1"/>
    </xf>
    <xf numFmtId="169" fontId="15" fillId="9" borderId="3" xfId="0" applyNumberFormat="1" applyFont="1" applyFill="1" applyBorder="1" applyAlignment="1">
      <alignment horizontal="center" vertical="center" wrapText="1"/>
    </xf>
    <xf numFmtId="0" fontId="18" fillId="0" borderId="0" xfId="0" applyFont="1"/>
    <xf numFmtId="169" fontId="15" fillId="3" borderId="1" xfId="0" applyNumberFormat="1" applyFont="1" applyFill="1" applyBorder="1"/>
    <xf numFmtId="0" fontId="18" fillId="3" borderId="0" xfId="0" applyFont="1" applyFill="1"/>
    <xf numFmtId="0" fontId="18" fillId="0" borderId="0" xfId="0" applyFont="1" applyAlignment="1">
      <alignment horizontal="center"/>
    </xf>
    <xf numFmtId="171" fontId="18" fillId="0" borderId="0" xfId="1" applyNumberFormat="1" applyFont="1" applyFill="1" applyAlignment="1">
      <alignment horizontal="center"/>
    </xf>
    <xf numFmtId="169" fontId="18" fillId="3" borderId="0" xfId="0" applyNumberFormat="1" applyFont="1" applyFill="1"/>
    <xf numFmtId="0" fontId="19" fillId="3" borderId="12" xfId="0" applyFont="1" applyFill="1" applyBorder="1" applyAlignment="1">
      <alignment horizontal="left"/>
    </xf>
    <xf numFmtId="0" fontId="15" fillId="9" borderId="13" xfId="0" applyFont="1" applyFill="1" applyBorder="1" applyAlignment="1">
      <alignment horizontal="center" vertical="center" wrapText="1"/>
    </xf>
    <xf numFmtId="171" fontId="16" fillId="9" borderId="13" xfId="1" applyNumberFormat="1" applyFont="1" applyFill="1" applyBorder="1" applyAlignment="1">
      <alignment horizontal="center" vertical="center" wrapText="1"/>
    </xf>
    <xf numFmtId="169" fontId="15" fillId="9" borderId="13" xfId="0" applyNumberFormat="1" applyFont="1" applyFill="1" applyBorder="1" applyAlignment="1">
      <alignment horizontal="center" vertical="center" wrapText="1"/>
    </xf>
    <xf numFmtId="0" fontId="18" fillId="0" borderId="12" xfId="0" applyFont="1" applyBorder="1"/>
    <xf numFmtId="169" fontId="15" fillId="3" borderId="12" xfId="0" applyNumberFormat="1" applyFont="1" applyFill="1" applyBorder="1"/>
    <xf numFmtId="170" fontId="18" fillId="0" borderId="12" xfId="1" applyNumberFormat="1" applyFont="1" applyFill="1" applyBorder="1" applyAlignment="1">
      <alignment horizontal="center"/>
    </xf>
    <xf numFmtId="37" fontId="18" fillId="0" borderId="12" xfId="1" applyNumberFormat="1" applyFont="1" applyFill="1" applyBorder="1" applyAlignment="1">
      <alignment horizontal="center" wrapText="1"/>
    </xf>
    <xf numFmtId="14" fontId="18" fillId="0" borderId="12" xfId="0" applyNumberFormat="1" applyFont="1" applyBorder="1"/>
    <xf numFmtId="0" fontId="18" fillId="3" borderId="12" xfId="0" applyFont="1" applyFill="1" applyBorder="1"/>
    <xf numFmtId="169" fontId="18" fillId="3" borderId="12" xfId="0" applyNumberFormat="1" applyFont="1" applyFill="1" applyBorder="1"/>
    <xf numFmtId="0" fontId="17" fillId="3" borderId="12" xfId="0" applyFont="1" applyFill="1" applyBorder="1" applyAlignment="1">
      <alignment horizontal="left"/>
    </xf>
    <xf numFmtId="169" fontId="16" fillId="3" borderId="1" xfId="0" applyNumberFormat="1" applyFont="1" applyFill="1" applyBorder="1"/>
    <xf numFmtId="0" fontId="30" fillId="8" borderId="0" xfId="126" applyFont="1" applyAlignment="1">
      <alignment horizontal="center"/>
    </xf>
    <xf numFmtId="0" fontId="21" fillId="11" borderId="0" xfId="108" applyFont="1" applyFill="1"/>
    <xf numFmtId="0" fontId="21" fillId="0" borderId="0" xfId="108" applyFont="1"/>
    <xf numFmtId="0" fontId="31" fillId="7" borderId="5" xfId="127" applyFont="1" applyBorder="1" applyAlignment="1">
      <alignment horizontal="center"/>
    </xf>
    <xf numFmtId="0" fontId="21" fillId="0" borderId="17" xfId="108" applyFont="1" applyBorder="1"/>
    <xf numFmtId="0" fontId="30" fillId="8" borderId="18" xfId="126" applyFont="1" applyBorder="1" applyAlignment="1">
      <alignment horizontal="center"/>
    </xf>
    <xf numFmtId="0" fontId="20" fillId="11" borderId="17" xfId="108" applyFont="1" applyFill="1" applyBorder="1" applyAlignment="1">
      <alignment horizontal="center"/>
    </xf>
    <xf numFmtId="0" fontId="31" fillId="7" borderId="18" xfId="127" applyFont="1" applyBorder="1" applyAlignment="1">
      <alignment horizontal="center"/>
    </xf>
    <xf numFmtId="14" fontId="21" fillId="11" borderId="17" xfId="108" applyNumberFormat="1" applyFont="1" applyFill="1" applyBorder="1" applyAlignment="1">
      <alignment horizontal="center"/>
    </xf>
    <xf numFmtId="0" fontId="32" fillId="0" borderId="18" xfId="127" applyFont="1" applyFill="1" applyBorder="1"/>
    <xf numFmtId="171" fontId="33" fillId="0" borderId="17" xfId="128" applyNumberFormat="1" applyFont="1" applyBorder="1" applyAlignment="1">
      <alignment horizontal="center"/>
    </xf>
    <xf numFmtId="171" fontId="34" fillId="0" borderId="17" xfId="128" applyNumberFormat="1" applyFont="1" applyBorder="1" applyAlignment="1">
      <alignment horizontal="center"/>
    </xf>
    <xf numFmtId="0" fontId="32" fillId="0" borderId="18" xfId="127" applyFont="1" applyFill="1" applyBorder="1" applyAlignment="1">
      <alignment wrapText="1"/>
    </xf>
    <xf numFmtId="171" fontId="36" fillId="0" borderId="10" xfId="128" applyNumberFormat="1" applyFont="1" applyBorder="1" applyAlignment="1">
      <alignment horizontal="center"/>
    </xf>
    <xf numFmtId="0" fontId="21" fillId="0" borderId="19" xfId="108" applyFont="1" applyBorder="1"/>
    <xf numFmtId="172" fontId="21" fillId="0" borderId="20" xfId="128" applyNumberFormat="1" applyFont="1" applyBorder="1"/>
    <xf numFmtId="0" fontId="31" fillId="7" borderId="8" xfId="127" applyFont="1" applyBorder="1"/>
    <xf numFmtId="173" fontId="21" fillId="0" borderId="20" xfId="128" applyFont="1" applyBorder="1"/>
    <xf numFmtId="0" fontId="23" fillId="6" borderId="5" xfId="108" applyFont="1" applyFill="1" applyBorder="1" applyAlignment="1">
      <alignment horizontal="center"/>
    </xf>
    <xf numFmtId="0" fontId="23" fillId="6" borderId="0" xfId="108" applyFont="1" applyFill="1" applyAlignment="1">
      <alignment horizontal="center"/>
    </xf>
    <xf numFmtId="0" fontId="23" fillId="6" borderId="23" xfId="108" applyFont="1" applyFill="1" applyBorder="1" applyAlignment="1">
      <alignment horizontal="center"/>
    </xf>
    <xf numFmtId="0" fontId="23" fillId="6" borderId="24" xfId="108" applyFont="1" applyFill="1" applyBorder="1" applyAlignment="1">
      <alignment horizontal="center"/>
    </xf>
    <xf numFmtId="0" fontId="23" fillId="6" borderId="25" xfId="108" applyFont="1" applyFill="1" applyBorder="1" applyAlignment="1">
      <alignment horizontal="center"/>
    </xf>
    <xf numFmtId="0" fontId="23" fillId="6" borderId="26" xfId="108" applyFont="1" applyFill="1" applyBorder="1" applyAlignment="1">
      <alignment horizontal="center"/>
    </xf>
    <xf numFmtId="0" fontId="23" fillId="6" borderId="16" xfId="108" applyFont="1" applyFill="1" applyBorder="1" applyAlignment="1">
      <alignment horizontal="center"/>
    </xf>
    <xf numFmtId="0" fontId="23" fillId="6" borderId="27" xfId="108" applyFont="1" applyFill="1" applyBorder="1" applyAlignment="1">
      <alignment horizontal="center"/>
    </xf>
    <xf numFmtId="0" fontId="23" fillId="5" borderId="8" xfId="108" applyFont="1" applyFill="1" applyBorder="1" applyAlignment="1">
      <alignment horizontal="center"/>
    </xf>
    <xf numFmtId="172" fontId="37" fillId="0" borderId="0" xfId="128" applyNumberFormat="1" applyFont="1" applyBorder="1" applyAlignment="1"/>
    <xf numFmtId="14" fontId="37" fillId="0" borderId="0" xfId="128" applyNumberFormat="1" applyFont="1" applyBorder="1" applyAlignment="1"/>
    <xf numFmtId="171" fontId="21" fillId="0" borderId="0" xfId="128" applyNumberFormat="1" applyFont="1"/>
    <xf numFmtId="171" fontId="37" fillId="0" borderId="0" xfId="128" applyNumberFormat="1" applyFont="1" applyBorder="1" applyAlignment="1"/>
    <xf numFmtId="172" fontId="37" fillId="4" borderId="0" xfId="128" applyNumberFormat="1" applyFont="1" applyFill="1" applyBorder="1" applyAlignment="1"/>
    <xf numFmtId="0" fontId="23" fillId="5" borderId="29" xfId="108" applyFont="1" applyFill="1" applyBorder="1" applyAlignment="1">
      <alignment horizontal="center"/>
    </xf>
    <xf numFmtId="0" fontId="20" fillId="4" borderId="31" xfId="108" applyFont="1" applyFill="1" applyBorder="1" applyAlignment="1">
      <alignment horizontal="center"/>
    </xf>
    <xf numFmtId="0" fontId="20" fillId="4" borderId="0" xfId="108" applyFont="1" applyFill="1" applyAlignment="1">
      <alignment horizontal="center"/>
    </xf>
    <xf numFmtId="0" fontId="32" fillId="14" borderId="18" xfId="127" applyFont="1" applyFill="1" applyBorder="1"/>
    <xf numFmtId="171" fontId="33" fillId="14" borderId="17" xfId="128" applyNumberFormat="1" applyFont="1" applyFill="1" applyBorder="1" applyAlignment="1">
      <alignment horizontal="center"/>
    </xf>
    <xf numFmtId="0" fontId="32" fillId="12" borderId="18" xfId="127" applyFont="1" applyFill="1" applyBorder="1"/>
    <xf numFmtId="171" fontId="34" fillId="12" borderId="17" xfId="128" applyNumberFormat="1" applyFont="1" applyFill="1" applyBorder="1" applyAlignment="1">
      <alignment horizontal="center"/>
    </xf>
    <xf numFmtId="171" fontId="35" fillId="14" borderId="17" xfId="128" applyNumberFormat="1" applyFont="1" applyFill="1" applyBorder="1" applyAlignment="1">
      <alignment horizontal="center"/>
    </xf>
    <xf numFmtId="0" fontId="32" fillId="12" borderId="18" xfId="127" applyFont="1" applyFill="1" applyBorder="1" applyAlignment="1">
      <alignment wrapText="1"/>
    </xf>
    <xf numFmtId="171" fontId="36" fillId="12" borderId="32" xfId="128" applyNumberFormat="1" applyFont="1" applyFill="1" applyBorder="1" applyAlignment="1">
      <alignment horizontal="center"/>
    </xf>
    <xf numFmtId="0" fontId="21" fillId="14" borderId="17" xfId="108" applyFont="1" applyFill="1" applyBorder="1"/>
    <xf numFmtId="0" fontId="21" fillId="12" borderId="17" xfId="108" applyFont="1" applyFill="1" applyBorder="1"/>
    <xf numFmtId="0" fontId="21" fillId="14" borderId="19" xfId="108" applyFont="1" applyFill="1" applyBorder="1"/>
    <xf numFmtId="172" fontId="21" fillId="12" borderId="33" xfId="128" applyNumberFormat="1" applyFont="1" applyFill="1" applyBorder="1"/>
    <xf numFmtId="0" fontId="21" fillId="14" borderId="33" xfId="108" applyFont="1" applyFill="1" applyBorder="1"/>
    <xf numFmtId="0" fontId="21" fillId="14" borderId="0" xfId="108" applyFont="1" applyFill="1"/>
    <xf numFmtId="173" fontId="21" fillId="14" borderId="33" xfId="128" applyFont="1" applyFill="1" applyBorder="1"/>
    <xf numFmtId="173" fontId="21" fillId="0" borderId="0" xfId="108" applyNumberFormat="1" applyFont="1"/>
    <xf numFmtId="171" fontId="37" fillId="0" borderId="0" xfId="1" applyNumberFormat="1" applyFont="1" applyBorder="1" applyAlignment="1"/>
    <xf numFmtId="1" fontId="21" fillId="0" borderId="12" xfId="0" applyNumberFormat="1" applyFont="1" applyBorder="1"/>
    <xf numFmtId="0" fontId="83" fillId="0" borderId="0" xfId="108" applyFont="1"/>
    <xf numFmtId="0" fontId="83" fillId="11" borderId="0" xfId="108" applyFont="1" applyFill="1"/>
    <xf numFmtId="14" fontId="84" fillId="0" borderId="0" xfId="0" applyNumberFormat="1" applyFont="1"/>
    <xf numFmtId="0" fontId="85" fillId="0" borderId="0" xfId="108" applyFont="1"/>
    <xf numFmtId="0" fontId="85" fillId="11" borderId="0" xfId="108" applyFont="1" applyFill="1"/>
    <xf numFmtId="14" fontId="85" fillId="0" borderId="0" xfId="108" applyNumberFormat="1" applyFont="1"/>
    <xf numFmtId="14" fontId="86" fillId="4" borderId="0" xfId="108" applyNumberFormat="1" applyFont="1" applyFill="1"/>
    <xf numFmtId="171" fontId="87" fillId="4" borderId="17" xfId="128" applyNumberFormat="1" applyFont="1" applyFill="1" applyBorder="1" applyAlignment="1">
      <alignment horizontal="center"/>
    </xf>
    <xf numFmtId="171" fontId="87" fillId="4" borderId="10" xfId="128" applyNumberFormat="1" applyFont="1" applyFill="1" applyBorder="1" applyAlignment="1">
      <alignment horizontal="center"/>
    </xf>
    <xf numFmtId="169" fontId="16" fillId="3" borderId="12" xfId="0" applyNumberFormat="1" applyFont="1" applyFill="1" applyBorder="1"/>
    <xf numFmtId="169" fontId="22" fillId="3" borderId="12" xfId="0" applyNumberFormat="1" applyFont="1" applyFill="1" applyBorder="1"/>
    <xf numFmtId="0" fontId="88" fillId="13" borderId="8" xfId="0" applyFont="1" applyFill="1" applyBorder="1"/>
    <xf numFmtId="0" fontId="89" fillId="0" borderId="20" xfId="0" applyFont="1" applyBorder="1"/>
    <xf numFmtId="169" fontId="15" fillId="3" borderId="0" xfId="0" applyNumberFormat="1" applyFont="1" applyFill="1"/>
    <xf numFmtId="0" fontId="19" fillId="3" borderId="0" xfId="0" applyFont="1" applyFill="1" applyAlignment="1">
      <alignment horizontal="left"/>
    </xf>
    <xf numFmtId="0" fontId="15" fillId="9" borderId="13" xfId="12" applyFont="1" applyFill="1" applyBorder="1" applyAlignment="1">
      <alignment horizontal="center" vertical="center" wrapText="1"/>
    </xf>
    <xf numFmtId="0" fontId="23" fillId="0" borderId="12" xfId="108" applyFont="1" applyBorder="1" applyAlignment="1">
      <alignment horizontal="center"/>
    </xf>
    <xf numFmtId="170" fontId="28" fillId="0" borderId="12" xfId="785" applyNumberFormat="1" applyFont="1" applyFill="1" applyBorder="1" applyAlignment="1">
      <alignment horizontal="center"/>
    </xf>
    <xf numFmtId="0" fontId="24" fillId="0" borderId="12" xfId="108" applyFont="1" applyBorder="1" applyAlignment="1">
      <alignment wrapText="1"/>
    </xf>
    <xf numFmtId="14" fontId="24" fillId="0" borderId="12" xfId="108" applyNumberFormat="1" applyFont="1" applyBorder="1" applyAlignment="1">
      <alignment horizontal="center"/>
    </xf>
    <xf numFmtId="0" fontId="24" fillId="0" borderId="12" xfId="108" applyFont="1" applyBorder="1" applyAlignment="1">
      <alignment horizontal="left" wrapText="1"/>
    </xf>
    <xf numFmtId="0" fontId="24" fillId="0" borderId="12" xfId="108" applyFont="1" applyBorder="1" applyAlignment="1">
      <alignment horizontal="center" wrapText="1"/>
    </xf>
    <xf numFmtId="0" fontId="23" fillId="0" borderId="12" xfId="108" applyFont="1" applyBorder="1" applyAlignment="1">
      <alignment horizontal="center" wrapText="1"/>
    </xf>
    <xf numFmtId="0" fontId="27" fillId="0" borderId="12" xfId="108" applyFont="1" applyBorder="1" applyAlignment="1">
      <alignment horizontal="center" wrapText="1"/>
    </xf>
    <xf numFmtId="0" fontId="24" fillId="0" borderId="0" xfId="108" applyFont="1" applyAlignment="1">
      <alignment horizontal="center"/>
    </xf>
    <xf numFmtId="0" fontId="24" fillId="0" borderId="0" xfId="108" applyFont="1" applyAlignment="1">
      <alignment horizontal="center" wrapText="1"/>
    </xf>
    <xf numFmtId="0" fontId="91" fillId="0" borderId="12" xfId="0" applyFont="1" applyBorder="1"/>
    <xf numFmtId="0" fontId="92" fillId="0" borderId="12" xfId="0" applyFont="1" applyBorder="1"/>
    <xf numFmtId="0" fontId="92" fillId="0" borderId="12" xfId="0" applyFont="1" applyBorder="1" applyAlignment="1">
      <alignment vertical="top"/>
    </xf>
    <xf numFmtId="0" fontId="91" fillId="0" borderId="0" xfId="0" applyFont="1"/>
    <xf numFmtId="0" fontId="92" fillId="0" borderId="12" xfId="0" applyFont="1" applyBorder="1" applyAlignment="1">
      <alignment vertical="top" wrapText="1"/>
    </xf>
    <xf numFmtId="0" fontId="92" fillId="0" borderId="0" xfId="0" applyFont="1" applyAlignment="1">
      <alignment vertical="top"/>
    </xf>
    <xf numFmtId="0" fontId="93" fillId="0" borderId="0" xfId="0" applyFont="1"/>
    <xf numFmtId="0" fontId="94" fillId="0" borderId="12" xfId="108" applyFont="1" applyBorder="1" applyAlignment="1">
      <alignment horizontal="center"/>
    </xf>
    <xf numFmtId="0" fontId="94" fillId="0" borderId="12" xfId="108" applyFont="1" applyBorder="1" applyAlignment="1">
      <alignment horizontal="center" wrapText="1"/>
    </xf>
    <xf numFmtId="0" fontId="21" fillId="3" borderId="12" xfId="0" applyFont="1" applyFill="1" applyBorder="1" applyAlignment="1">
      <alignment horizontal="left"/>
    </xf>
    <xf numFmtId="0" fontId="24" fillId="3" borderId="12" xfId="0" applyFont="1" applyFill="1" applyBorder="1" applyAlignment="1">
      <alignment horizontal="left"/>
    </xf>
    <xf numFmtId="0" fontId="24" fillId="4" borderId="12" xfId="108" applyFont="1" applyFill="1" applyBorder="1" applyAlignment="1">
      <alignment wrapText="1"/>
    </xf>
    <xf numFmtId="14" fontId="24" fillId="0" borderId="4" xfId="108" applyNumberFormat="1" applyFont="1" applyBorder="1" applyAlignment="1">
      <alignment horizontal="center"/>
    </xf>
    <xf numFmtId="0" fontId="27" fillId="3" borderId="12" xfId="0" applyFont="1" applyFill="1" applyBorder="1" applyAlignment="1">
      <alignment horizontal="center"/>
    </xf>
    <xf numFmtId="0" fontId="24" fillId="38" borderId="12" xfId="108" applyFont="1" applyFill="1" applyBorder="1" applyAlignment="1">
      <alignment wrapText="1"/>
    </xf>
    <xf numFmtId="14" fontId="24" fillId="0" borderId="0" xfId="108" applyNumberFormat="1" applyFont="1" applyAlignment="1">
      <alignment horizontal="center"/>
    </xf>
    <xf numFmtId="0" fontId="24" fillId="0" borderId="0" xfId="108" applyFont="1" applyAlignment="1">
      <alignment horizontal="left" wrapText="1"/>
    </xf>
    <xf numFmtId="0" fontId="24" fillId="0" borderId="0" xfId="108" applyFont="1" applyAlignment="1">
      <alignment wrapText="1"/>
    </xf>
    <xf numFmtId="0" fontId="23" fillId="0" borderId="0" xfId="108" applyFont="1" applyAlignment="1">
      <alignment horizontal="center" wrapText="1"/>
    </xf>
    <xf numFmtId="0" fontId="24" fillId="4" borderId="0" xfId="108" applyFont="1" applyFill="1" applyAlignment="1">
      <alignment horizontal="center" wrapText="1"/>
    </xf>
    <xf numFmtId="0" fontId="24" fillId="0" borderId="2" xfId="108" applyFont="1" applyBorder="1" applyAlignment="1">
      <alignment horizontal="center" wrapText="1"/>
    </xf>
    <xf numFmtId="0" fontId="24" fillId="3" borderId="12" xfId="0" applyFont="1" applyFill="1" applyBorder="1"/>
    <xf numFmtId="0" fontId="25" fillId="0" borderId="12" xfId="108" applyFont="1" applyBorder="1" applyAlignment="1">
      <alignment horizontal="center" wrapText="1"/>
    </xf>
    <xf numFmtId="0" fontId="27" fillId="4" borderId="12" xfId="108" applyFont="1" applyFill="1" applyBorder="1" applyAlignment="1">
      <alignment horizontal="center" wrapText="1"/>
    </xf>
    <xf numFmtId="14" fontId="24" fillId="0" borderId="13" xfId="108" applyNumberFormat="1" applyFont="1" applyBorder="1" applyAlignment="1">
      <alignment horizontal="center"/>
    </xf>
    <xf numFmtId="0" fontId="24" fillId="0" borderId="13" xfId="108" applyFont="1" applyBorder="1" applyAlignment="1">
      <alignment horizontal="center" wrapText="1"/>
    </xf>
    <xf numFmtId="0" fontId="24" fillId="0" borderId="13" xfId="108" applyFont="1" applyBorder="1" applyAlignment="1">
      <alignment horizontal="left" wrapText="1"/>
    </xf>
    <xf numFmtId="0" fontId="24" fillId="0" borderId="13" xfId="108" applyFont="1" applyBorder="1" applyAlignment="1">
      <alignment wrapText="1"/>
    </xf>
    <xf numFmtId="0" fontId="94" fillId="0" borderId="13" xfId="108" applyFont="1" applyBorder="1" applyAlignment="1">
      <alignment horizontal="center" wrapText="1"/>
    </xf>
    <xf numFmtId="0" fontId="27" fillId="0" borderId="13" xfId="108" applyFont="1" applyBorder="1" applyAlignment="1">
      <alignment horizontal="center" wrapText="1"/>
    </xf>
    <xf numFmtId="0" fontId="23" fillId="0" borderId="13" xfId="108" applyFont="1" applyBorder="1" applyAlignment="1">
      <alignment horizontal="center" wrapText="1"/>
    </xf>
    <xf numFmtId="0" fontId="23" fillId="0" borderId="4" xfId="108" applyFont="1" applyBorder="1" applyAlignment="1">
      <alignment horizontal="center" wrapText="1"/>
    </xf>
    <xf numFmtId="0" fontId="27" fillId="3" borderId="13" xfId="0" applyFont="1" applyFill="1" applyBorder="1" applyAlignment="1">
      <alignment horizontal="center"/>
    </xf>
    <xf numFmtId="0" fontId="24" fillId="0" borderId="14" xfId="108" applyFont="1" applyBorder="1" applyAlignment="1">
      <alignment horizontal="center" wrapText="1"/>
    </xf>
    <xf numFmtId="0" fontId="23" fillId="0" borderId="14" xfId="108" applyFont="1" applyBorder="1" applyAlignment="1">
      <alignment horizontal="center" wrapText="1"/>
    </xf>
    <xf numFmtId="0" fontId="94" fillId="0" borderId="14" xfId="108" applyFont="1" applyBorder="1" applyAlignment="1">
      <alignment horizontal="center" wrapText="1"/>
    </xf>
    <xf numFmtId="0" fontId="24" fillId="0" borderId="4" xfId="108" applyFont="1" applyBorder="1" applyAlignment="1">
      <alignment horizontal="center" wrapText="1"/>
    </xf>
    <xf numFmtId="0" fontId="24" fillId="0" borderId="15" xfId="108" applyFont="1" applyBorder="1" applyAlignment="1">
      <alignment horizontal="center" wrapText="1"/>
    </xf>
    <xf numFmtId="0" fontId="94" fillId="0" borderId="4" xfId="108" applyFont="1" applyBorder="1" applyAlignment="1">
      <alignment horizontal="center" wrapText="1"/>
    </xf>
    <xf numFmtId="0" fontId="24" fillId="39" borderId="12" xfId="108" applyFont="1" applyFill="1" applyBorder="1" applyAlignment="1">
      <alignment horizontal="left" wrapText="1"/>
    </xf>
    <xf numFmtId="0" fontId="24" fillId="39" borderId="0" xfId="108" applyFont="1" applyFill="1" applyAlignment="1">
      <alignment horizontal="center" wrapText="1"/>
    </xf>
    <xf numFmtId="171" fontId="28" fillId="3" borderId="12" xfId="788" applyNumberFormat="1" applyFont="1" applyFill="1" applyBorder="1" applyAlignment="1">
      <alignment horizontal="center"/>
    </xf>
    <xf numFmtId="171" fontId="26" fillId="3" borderId="12" xfId="788" applyNumberFormat="1" applyFont="1" applyFill="1" applyBorder="1" applyAlignment="1">
      <alignment horizontal="center"/>
    </xf>
    <xf numFmtId="0" fontId="24" fillId="3" borderId="12" xfId="1264" applyFont="1" applyFill="1" applyBorder="1" applyAlignment="1">
      <alignment horizontal="left"/>
    </xf>
    <xf numFmtId="0" fontId="27" fillId="3" borderId="12" xfId="1264" applyFont="1" applyFill="1" applyBorder="1" applyAlignment="1">
      <alignment horizontal="center"/>
    </xf>
    <xf numFmtId="0" fontId="96" fillId="0" borderId="12" xfId="1264" applyFont="1" applyBorder="1"/>
    <xf numFmtId="0" fontId="96" fillId="4" borderId="12" xfId="1264" applyFont="1" applyFill="1" applyBorder="1"/>
    <xf numFmtId="0" fontId="27" fillId="3" borderId="4" xfId="1264" applyFont="1" applyFill="1" applyBorder="1" applyAlignment="1">
      <alignment horizontal="center"/>
    </xf>
    <xf numFmtId="171" fontId="26" fillId="3" borderId="4" xfId="788" applyNumberFormat="1" applyFont="1" applyFill="1" applyBorder="1" applyAlignment="1">
      <alignment horizontal="center"/>
    </xf>
    <xf numFmtId="171" fontId="26" fillId="3" borderId="13" xfId="788" applyNumberFormat="1" applyFont="1" applyFill="1" applyBorder="1" applyAlignment="1">
      <alignment horizontal="center"/>
    </xf>
    <xf numFmtId="0" fontId="24" fillId="3" borderId="13" xfId="1264" applyFont="1" applyFill="1" applyBorder="1" applyAlignment="1">
      <alignment horizontal="left"/>
    </xf>
    <xf numFmtId="0" fontId="27" fillId="3" borderId="13" xfId="1264" applyFont="1" applyFill="1" applyBorder="1" applyAlignment="1">
      <alignment horizontal="center"/>
    </xf>
    <xf numFmtId="0" fontId="24" fillId="3" borderId="4" xfId="1264" applyFont="1" applyFill="1" applyBorder="1" applyAlignment="1">
      <alignment horizontal="left"/>
    </xf>
    <xf numFmtId="171" fontId="26" fillId="3" borderId="14" xfId="788" applyNumberFormat="1" applyFont="1" applyFill="1" applyBorder="1" applyAlignment="1">
      <alignment horizontal="center"/>
    </xf>
    <xf numFmtId="0" fontId="25" fillId="3" borderId="13" xfId="1264" applyFont="1" applyFill="1" applyBorder="1" applyAlignment="1">
      <alignment horizontal="center"/>
    </xf>
    <xf numFmtId="0" fontId="24" fillId="3" borderId="14" xfId="1264" applyFont="1" applyFill="1" applyBorder="1" applyAlignment="1">
      <alignment horizontal="left"/>
    </xf>
    <xf numFmtId="0" fontId="96" fillId="0" borderId="13" xfId="1264" applyFont="1" applyBorder="1"/>
    <xf numFmtId="0" fontId="96" fillId="0" borderId="12" xfId="0" applyFont="1" applyBorder="1"/>
    <xf numFmtId="171" fontId="28" fillId="3" borderId="13" xfId="788" applyNumberFormat="1" applyFont="1" applyFill="1" applyBorder="1" applyAlignment="1">
      <alignment horizontal="center"/>
    </xf>
    <xf numFmtId="171" fontId="28" fillId="3" borderId="2" xfId="788" applyNumberFormat="1" applyFont="1" applyFill="1" applyBorder="1" applyAlignment="1">
      <alignment horizontal="center"/>
    </xf>
    <xf numFmtId="0" fontId="23" fillId="0" borderId="47" xfId="108" applyFont="1" applyBorder="1" applyAlignment="1">
      <alignment horizontal="center" wrapText="1"/>
    </xf>
    <xf numFmtId="14" fontId="24" fillId="0" borderId="14" xfId="108" applyNumberFormat="1" applyFont="1" applyBorder="1" applyAlignment="1">
      <alignment horizontal="center"/>
    </xf>
    <xf numFmtId="0" fontId="96" fillId="0" borderId="13" xfId="0" applyFont="1" applyBorder="1"/>
    <xf numFmtId="170" fontId="28" fillId="0" borderId="45" xfId="785" applyNumberFormat="1" applyFont="1" applyFill="1" applyBorder="1" applyAlignment="1">
      <alignment horizontal="center"/>
    </xf>
    <xf numFmtId="171" fontId="28" fillId="3" borderId="4" xfId="788" applyNumberFormat="1" applyFont="1" applyFill="1" applyBorder="1" applyAlignment="1">
      <alignment horizontal="center"/>
    </xf>
    <xf numFmtId="0" fontId="24" fillId="0" borderId="12" xfId="108" applyFont="1" applyBorder="1" applyAlignment="1">
      <alignment horizontal="center" vertical="center" wrapText="1"/>
    </xf>
    <xf numFmtId="14" fontId="24" fillId="0" borderId="12" xfId="108" applyNumberFormat="1" applyFont="1" applyBorder="1" applyAlignment="1">
      <alignment horizontal="center" vertical="center"/>
    </xf>
    <xf numFmtId="0" fontId="24" fillId="3" borderId="12" xfId="1264" applyFont="1" applyFill="1" applyBorder="1" applyAlignment="1">
      <alignment horizontal="left" vertical="center"/>
    </xf>
    <xf numFmtId="0" fontId="24" fillId="3" borderId="12" xfId="1264" applyFont="1" applyFill="1" applyBorder="1" applyAlignment="1">
      <alignment vertical="center"/>
    </xf>
    <xf numFmtId="0" fontId="23" fillId="0" borderId="12" xfId="108" applyFont="1" applyBorder="1" applyAlignment="1">
      <alignment horizontal="center" vertical="center" wrapText="1"/>
    </xf>
    <xf numFmtId="0" fontId="94" fillId="0" borderId="12" xfId="108" applyFont="1" applyBorder="1" applyAlignment="1">
      <alignment horizontal="center" vertical="center" wrapText="1"/>
    </xf>
    <xf numFmtId="171" fontId="28" fillId="3" borderId="12" xfId="788" applyNumberFormat="1" applyFont="1" applyFill="1" applyBorder="1" applyAlignment="1">
      <alignment horizontal="center" vertical="center"/>
    </xf>
    <xf numFmtId="171" fontId="26" fillId="3" borderId="12" xfId="788" applyNumberFormat="1" applyFont="1" applyFill="1" applyBorder="1" applyAlignment="1">
      <alignment horizontal="center" vertical="center"/>
    </xf>
    <xf numFmtId="0" fontId="25" fillId="3" borderId="12" xfId="0" applyFont="1" applyFill="1" applyBorder="1" applyAlignment="1">
      <alignment horizontal="center"/>
    </xf>
    <xf numFmtId="0" fontId="24" fillId="4" borderId="0" xfId="108" applyFont="1" applyFill="1" applyAlignment="1">
      <alignment horizontal="center"/>
    </xf>
    <xf numFmtId="0" fontId="25" fillId="10" borderId="12" xfId="108" applyFont="1" applyFill="1" applyBorder="1" applyAlignment="1">
      <alignment horizontal="center" vertical="center" wrapText="1"/>
    </xf>
    <xf numFmtId="0" fontId="23" fillId="10" borderId="12" xfId="12" applyFont="1" applyFill="1" applyBorder="1" applyAlignment="1">
      <alignment horizontal="center" vertical="center" wrapText="1"/>
    </xf>
    <xf numFmtId="0" fontId="94" fillId="37" borderId="12" xfId="12" applyFont="1" applyFill="1" applyBorder="1" applyAlignment="1">
      <alignment horizontal="center" vertical="center" wrapText="1"/>
    </xf>
    <xf numFmtId="171" fontId="103" fillId="10" borderId="12" xfId="785" applyNumberFormat="1" applyFont="1" applyFill="1" applyBorder="1" applyAlignment="1" applyProtection="1">
      <alignment horizontal="center" vertical="center" wrapText="1"/>
    </xf>
    <xf numFmtId="0" fontId="24" fillId="11" borderId="12" xfId="108" applyFont="1" applyFill="1" applyBorder="1" applyAlignment="1">
      <alignment vertical="center" wrapText="1"/>
    </xf>
    <xf numFmtId="0" fontId="24" fillId="11" borderId="2" xfId="108" applyFont="1" applyFill="1" applyBorder="1" applyAlignment="1">
      <alignment vertical="center" wrapText="1"/>
    </xf>
    <xf numFmtId="0" fontId="24" fillId="11" borderId="44" xfId="108" applyFont="1" applyFill="1" applyBorder="1" applyAlignment="1">
      <alignment vertical="center" wrapText="1"/>
    </xf>
    <xf numFmtId="0" fontId="104" fillId="11" borderId="12" xfId="108" applyFont="1" applyFill="1" applyBorder="1" applyAlignment="1">
      <alignment horizontal="center" vertical="center"/>
    </xf>
    <xf numFmtId="0" fontId="104" fillId="0" borderId="12" xfId="108" applyFont="1" applyBorder="1" applyAlignment="1">
      <alignment horizontal="center" vertical="center"/>
    </xf>
    <xf numFmtId="0" fontId="24" fillId="0" borderId="12" xfId="108" applyFont="1" applyBorder="1" applyAlignment="1">
      <alignment horizontal="center" vertical="center"/>
    </xf>
    <xf numFmtId="0" fontId="23" fillId="10" borderId="12" xfId="108" applyFont="1" applyFill="1" applyBorder="1" applyAlignment="1">
      <alignment horizontal="center" vertical="center" wrapText="1"/>
    </xf>
    <xf numFmtId="0" fontId="23" fillId="10" borderId="12" xfId="12" applyFont="1" applyFill="1" applyBorder="1" applyAlignment="1">
      <alignment vertical="center" wrapText="1"/>
    </xf>
    <xf numFmtId="0" fontId="23" fillId="37" borderId="12" xfId="12" applyFont="1" applyFill="1" applyBorder="1" applyAlignment="1">
      <alignment vertical="center" wrapText="1"/>
    </xf>
    <xf numFmtId="171" fontId="23" fillId="10" borderId="12" xfId="788" applyNumberFormat="1" applyFont="1" applyFill="1" applyBorder="1" applyAlignment="1" applyProtection="1">
      <alignment horizontal="center" vertical="center" wrapText="1"/>
    </xf>
    <xf numFmtId="171" fontId="23" fillId="10" borderId="12" xfId="785" applyNumberFormat="1" applyFont="1" applyFill="1" applyBorder="1" applyAlignment="1" applyProtection="1">
      <alignment horizontal="center" vertical="center" wrapText="1"/>
    </xf>
    <xf numFmtId="0" fontId="23" fillId="11" borderId="12" xfId="108" applyFont="1" applyFill="1" applyBorder="1" applyAlignment="1">
      <alignment horizontal="center" vertical="center" wrapText="1"/>
    </xf>
    <xf numFmtId="0" fontId="23" fillId="11" borderId="12" xfId="108" applyFont="1" applyFill="1" applyBorder="1" applyAlignment="1">
      <alignment horizontal="center" vertical="center"/>
    </xf>
    <xf numFmtId="0" fontId="24" fillId="6" borderId="12" xfId="108" applyFont="1" applyFill="1" applyBorder="1" applyAlignment="1">
      <alignment horizontal="center" vertical="center"/>
    </xf>
    <xf numFmtId="0" fontId="24" fillId="11" borderId="12" xfId="108" applyFont="1" applyFill="1" applyBorder="1" applyAlignment="1">
      <alignment horizontal="center" vertical="center"/>
    </xf>
    <xf numFmtId="0" fontId="25" fillId="3" borderId="12" xfId="1264" applyFont="1" applyFill="1" applyBorder="1" applyAlignment="1">
      <alignment horizontal="center"/>
    </xf>
    <xf numFmtId="0" fontId="25" fillId="3" borderId="4" xfId="1264" applyFont="1" applyFill="1" applyBorder="1" applyAlignment="1">
      <alignment horizontal="center"/>
    </xf>
    <xf numFmtId="0" fontId="23" fillId="0" borderId="45" xfId="108" applyFont="1" applyBorder="1" applyAlignment="1">
      <alignment horizontal="center" wrapText="1"/>
    </xf>
    <xf numFmtId="0" fontId="24" fillId="0" borderId="46" xfId="108" applyFont="1" applyBorder="1" applyAlignment="1">
      <alignment horizontal="center"/>
    </xf>
    <xf numFmtId="0" fontId="23" fillId="0" borderId="48" xfId="108" applyFont="1" applyBorder="1" applyAlignment="1">
      <alignment horizontal="center" wrapText="1"/>
    </xf>
    <xf numFmtId="0" fontId="25" fillId="3" borderId="12" xfId="1264" applyFont="1" applyFill="1" applyBorder="1" applyAlignment="1">
      <alignment horizontal="center" vertical="center"/>
    </xf>
    <xf numFmtId="0" fontId="27" fillId="3" borderId="12" xfId="1264" applyFont="1" applyFill="1" applyBorder="1" applyAlignment="1">
      <alignment horizontal="center" vertical="center"/>
    </xf>
    <xf numFmtId="0" fontId="25" fillId="3" borderId="13" xfId="0" applyFont="1" applyFill="1" applyBorder="1" applyAlignment="1">
      <alignment horizontal="center"/>
    </xf>
    <xf numFmtId="0" fontId="27" fillId="0" borderId="0" xfId="108" applyFont="1" applyAlignment="1">
      <alignment horizontal="center" wrapText="1"/>
    </xf>
    <xf numFmtId="14" fontId="24" fillId="0" borderId="45" xfId="108" applyNumberFormat="1" applyFont="1" applyBorder="1" applyAlignment="1">
      <alignment horizontal="center"/>
    </xf>
    <xf numFmtId="14" fontId="24" fillId="0" borderId="48" xfId="108" applyNumberFormat="1" applyFont="1" applyBorder="1" applyAlignment="1">
      <alignment horizontal="center"/>
    </xf>
    <xf numFmtId="0" fontId="24" fillId="0" borderId="44" xfId="108" applyFont="1" applyBorder="1" applyAlignment="1">
      <alignment horizontal="center" wrapText="1"/>
    </xf>
    <xf numFmtId="0" fontId="24" fillId="3" borderId="13" xfId="0" applyFont="1" applyFill="1" applyBorder="1" applyAlignment="1">
      <alignment horizontal="left"/>
    </xf>
    <xf numFmtId="0" fontId="24" fillId="4" borderId="13" xfId="108" applyFont="1" applyFill="1" applyBorder="1" applyAlignment="1">
      <alignment wrapText="1"/>
    </xf>
    <xf numFmtId="0" fontId="24" fillId="0" borderId="12" xfId="108" applyFont="1" applyBorder="1" applyAlignment="1">
      <alignment horizontal="center"/>
    </xf>
    <xf numFmtId="0" fontId="23" fillId="3" borderId="12" xfId="0" applyFont="1" applyFill="1" applyBorder="1" applyAlignment="1">
      <alignment horizontal="center"/>
    </xf>
    <xf numFmtId="0" fontId="25" fillId="0" borderId="12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171" fontId="24" fillId="0" borderId="12" xfId="785" applyNumberFormat="1" applyFont="1" applyFill="1" applyBorder="1" applyAlignment="1">
      <alignment horizontal="center" wrapText="1"/>
    </xf>
    <xf numFmtId="0" fontId="24" fillId="0" borderId="12" xfId="0" applyFont="1" applyBorder="1"/>
    <xf numFmtId="14" fontId="23" fillId="0" borderId="12" xfId="108" applyNumberFormat="1" applyFont="1" applyBorder="1" applyAlignment="1">
      <alignment horizontal="center" wrapText="1"/>
    </xf>
    <xf numFmtId="14" fontId="24" fillId="3" borderId="12" xfId="0" applyNumberFormat="1" applyFont="1" applyFill="1" applyBorder="1" applyAlignment="1">
      <alignment horizontal="left"/>
    </xf>
    <xf numFmtId="14" fontId="27" fillId="3" borderId="12" xfId="0" applyNumberFormat="1" applyFont="1" applyFill="1" applyBorder="1" applyAlignment="1">
      <alignment horizontal="center"/>
    </xf>
    <xf numFmtId="0" fontId="94" fillId="0" borderId="0" xfId="108" applyFont="1" applyAlignment="1">
      <alignment horizontal="center" wrapText="1"/>
    </xf>
    <xf numFmtId="171" fontId="27" fillId="0" borderId="0" xfId="788" applyNumberFormat="1" applyFont="1" applyFill="1" applyBorder="1" applyAlignment="1">
      <alignment horizontal="center" wrapText="1"/>
    </xf>
    <xf numFmtId="171" fontId="26" fillId="3" borderId="0" xfId="788" applyNumberFormat="1" applyFont="1" applyFill="1" applyBorder="1" applyAlignment="1">
      <alignment horizontal="center" wrapText="1"/>
    </xf>
    <xf numFmtId="171" fontId="24" fillId="0" borderId="0" xfId="785" applyNumberFormat="1" applyFont="1" applyFill="1" applyBorder="1" applyAlignment="1">
      <alignment horizontal="center" wrapText="1"/>
    </xf>
    <xf numFmtId="0" fontId="21" fillId="3" borderId="0" xfId="0" applyFont="1" applyFill="1" applyAlignment="1">
      <alignment horizontal="left"/>
    </xf>
    <xf numFmtId="0" fontId="105" fillId="0" borderId="12" xfId="108" applyFont="1" applyBorder="1" applyAlignment="1">
      <alignment horizontal="center" wrapText="1"/>
    </xf>
    <xf numFmtId="0" fontId="21" fillId="3" borderId="12" xfId="0" applyFont="1" applyFill="1" applyBorder="1"/>
    <xf numFmtId="0" fontId="24" fillId="3" borderId="13" xfId="0" applyFont="1" applyFill="1" applyBorder="1"/>
    <xf numFmtId="0" fontId="106" fillId="3" borderId="12" xfId="0" applyFont="1" applyFill="1" applyBorder="1" applyAlignment="1">
      <alignment horizontal="center"/>
    </xf>
    <xf numFmtId="170" fontId="28" fillId="0" borderId="13" xfId="785" applyNumberFormat="1" applyFont="1" applyFill="1" applyBorder="1" applyAlignment="1">
      <alignment horizontal="center"/>
    </xf>
    <xf numFmtId="0" fontId="23" fillId="4" borderId="12" xfId="108" applyFont="1" applyFill="1" applyBorder="1" applyAlignment="1">
      <alignment horizontal="center" wrapText="1"/>
    </xf>
    <xf numFmtId="171" fontId="28" fillId="3" borderId="14" xfId="788" applyNumberFormat="1" applyFont="1" applyFill="1" applyBorder="1" applyAlignment="1">
      <alignment horizontal="center"/>
    </xf>
    <xf numFmtId="0" fontId="27" fillId="3" borderId="12" xfId="0" applyFont="1" applyFill="1" applyBorder="1" applyAlignment="1">
      <alignment horizontal="left"/>
    </xf>
    <xf numFmtId="0" fontId="24" fillId="0" borderId="0" xfId="108" applyFont="1" applyAlignment="1">
      <alignment horizontal="center" vertical="center" wrapText="1"/>
    </xf>
    <xf numFmtId="14" fontId="24" fillId="3" borderId="13" xfId="0" applyNumberFormat="1" applyFont="1" applyFill="1" applyBorder="1" applyAlignment="1">
      <alignment horizontal="left"/>
    </xf>
    <xf numFmtId="0" fontId="24" fillId="3" borderId="4" xfId="0" applyFont="1" applyFill="1" applyBorder="1" applyAlignment="1">
      <alignment horizontal="left"/>
    </xf>
    <xf numFmtId="0" fontId="96" fillId="3" borderId="12" xfId="0" applyFont="1" applyFill="1" applyBorder="1"/>
    <xf numFmtId="0" fontId="25" fillId="3" borderId="4" xfId="0" applyFont="1" applyFill="1" applyBorder="1" applyAlignment="1">
      <alignment horizontal="center"/>
    </xf>
    <xf numFmtId="0" fontId="23" fillId="0" borderId="49" xfId="108" applyFont="1" applyBorder="1" applyAlignment="1">
      <alignment horizontal="center" wrapText="1"/>
    </xf>
    <xf numFmtId="0" fontId="25" fillId="3" borderId="49" xfId="0" applyFont="1" applyFill="1" applyBorder="1" applyAlignment="1">
      <alignment horizontal="center"/>
    </xf>
    <xf numFmtId="0" fontId="25" fillId="3" borderId="0" xfId="0" applyFont="1" applyFill="1" applyAlignment="1">
      <alignment horizontal="center"/>
    </xf>
    <xf numFmtId="0" fontId="27" fillId="3" borderId="4" xfId="0" applyFont="1" applyFill="1" applyBorder="1" applyAlignment="1">
      <alignment horizontal="center"/>
    </xf>
    <xf numFmtId="0" fontId="24" fillId="0" borderId="49" xfId="108" applyFont="1" applyBorder="1" applyAlignment="1">
      <alignment horizontal="center" wrapText="1"/>
    </xf>
    <xf numFmtId="0" fontId="27" fillId="3" borderId="0" xfId="1264" applyFont="1" applyFill="1" applyAlignment="1">
      <alignment horizontal="center"/>
    </xf>
    <xf numFmtId="0" fontId="27" fillId="3" borderId="0" xfId="0" applyFont="1" applyFill="1" applyAlignment="1">
      <alignment horizontal="center"/>
    </xf>
    <xf numFmtId="0" fontId="27" fillId="3" borderId="49" xfId="0" applyFont="1" applyFill="1" applyBorder="1" applyAlignment="1">
      <alignment horizontal="center"/>
    </xf>
    <xf numFmtId="0" fontId="23" fillId="3" borderId="13" xfId="0" applyFont="1" applyFill="1" applyBorder="1" applyAlignment="1">
      <alignment horizontal="center"/>
    </xf>
    <xf numFmtId="170" fontId="28" fillId="0" borderId="0" xfId="785" applyNumberFormat="1" applyFont="1" applyFill="1" applyBorder="1" applyAlignment="1">
      <alignment horizontal="center"/>
    </xf>
    <xf numFmtId="0" fontId="24" fillId="3" borderId="12" xfId="0" applyFont="1" applyFill="1" applyBorder="1" applyAlignment="1">
      <alignment horizontal="left" wrapText="1"/>
    </xf>
    <xf numFmtId="0" fontId="25" fillId="4" borderId="12" xfId="0" applyFont="1" applyFill="1" applyBorder="1" applyAlignment="1">
      <alignment horizontal="center"/>
    </xf>
    <xf numFmtId="0" fontId="24" fillId="3" borderId="12" xfId="0" applyFont="1" applyFill="1" applyBorder="1" applyAlignment="1">
      <alignment horizontal="center"/>
    </xf>
    <xf numFmtId="0" fontId="107" fillId="0" borderId="2" xfId="1304" applyFont="1" applyBorder="1" applyAlignment="1">
      <alignment vertical="center"/>
    </xf>
    <xf numFmtId="0" fontId="21" fillId="3" borderId="0" xfId="0" applyFont="1" applyFill="1"/>
    <xf numFmtId="0" fontId="24" fillId="4" borderId="12" xfId="1264" applyFont="1" applyFill="1" applyBorder="1"/>
    <xf numFmtId="0" fontId="24" fillId="3" borderId="12" xfId="1264" applyFont="1" applyFill="1" applyBorder="1"/>
    <xf numFmtId="0" fontId="24" fillId="3" borderId="13" xfId="1264" applyFont="1" applyFill="1" applyBorder="1"/>
    <xf numFmtId="0" fontId="24" fillId="4" borderId="12" xfId="0" applyFont="1" applyFill="1" applyBorder="1"/>
    <xf numFmtId="0" fontId="24" fillId="3" borderId="2" xfId="0" applyFont="1" applyFill="1" applyBorder="1"/>
    <xf numFmtId="0" fontId="24" fillId="3" borderId="0" xfId="0" applyFont="1" applyFill="1"/>
    <xf numFmtId="0" fontId="27" fillId="0" borderId="12" xfId="1304" applyFont="1" applyBorder="1" applyAlignment="1">
      <alignment horizontal="center" vertical="center" wrapText="1"/>
    </xf>
    <xf numFmtId="0" fontId="24" fillId="3" borderId="4" xfId="0" applyFont="1" applyFill="1" applyBorder="1"/>
    <xf numFmtId="0" fontId="24" fillId="4" borderId="13" xfId="1264" applyFont="1" applyFill="1" applyBorder="1"/>
    <xf numFmtId="0" fontId="24" fillId="0" borderId="4" xfId="108" applyFont="1" applyBorder="1" applyAlignment="1">
      <alignment wrapText="1"/>
    </xf>
    <xf numFmtId="0" fontId="24" fillId="0" borderId="4" xfId="108" applyFont="1" applyBorder="1" applyAlignment="1">
      <alignment horizontal="left" wrapText="1"/>
    </xf>
    <xf numFmtId="14" fontId="24" fillId="0" borderId="12" xfId="108" applyNumberFormat="1" applyFont="1" applyBorder="1" applyAlignment="1">
      <alignment horizontal="left"/>
    </xf>
    <xf numFmtId="0" fontId="24" fillId="0" borderId="14" xfId="108" applyFont="1" applyBorder="1" applyAlignment="1">
      <alignment horizontal="left" wrapText="1"/>
    </xf>
    <xf numFmtId="0" fontId="24" fillId="4" borderId="13" xfId="0" applyFont="1" applyFill="1" applyBorder="1"/>
    <xf numFmtId="0" fontId="96" fillId="0" borderId="0" xfId="1264" applyFont="1"/>
    <xf numFmtId="0" fontId="24" fillId="3" borderId="4" xfId="1264" applyFont="1" applyFill="1" applyBorder="1"/>
    <xf numFmtId="0" fontId="24" fillId="0" borderId="12" xfId="108" applyFont="1" applyBorder="1" applyAlignment="1">
      <alignment vertical="center" wrapText="1"/>
    </xf>
    <xf numFmtId="14" fontId="24" fillId="0" borderId="12" xfId="108" applyNumberFormat="1" applyFont="1" applyBorder="1" applyAlignment="1">
      <alignment wrapText="1"/>
    </xf>
    <xf numFmtId="0" fontId="27" fillId="0" borderId="14" xfId="108" applyFont="1" applyBorder="1" applyAlignment="1">
      <alignment horizontal="center" wrapText="1"/>
    </xf>
    <xf numFmtId="0" fontId="21" fillId="3" borderId="14" xfId="0" applyFont="1" applyFill="1" applyBorder="1" applyAlignment="1">
      <alignment horizontal="left"/>
    </xf>
    <xf numFmtId="0" fontId="21" fillId="3" borderId="13" xfId="0" applyFont="1" applyFill="1" applyBorder="1" applyAlignment="1">
      <alignment horizontal="left"/>
    </xf>
    <xf numFmtId="0" fontId="21" fillId="3" borderId="13" xfId="0" applyFont="1" applyFill="1" applyBorder="1"/>
    <xf numFmtId="171" fontId="108" fillId="10" borderId="12" xfId="788" applyNumberFormat="1" applyFont="1" applyFill="1" applyBorder="1" applyAlignment="1" applyProtection="1">
      <alignment horizontal="center" vertical="center" wrapText="1"/>
    </xf>
    <xf numFmtId="0" fontId="108" fillId="3" borderId="12" xfId="0" applyFont="1" applyFill="1" applyBorder="1" applyAlignment="1">
      <alignment horizontal="left"/>
    </xf>
    <xf numFmtId="171" fontId="108" fillId="3" borderId="12" xfId="788" applyNumberFormat="1" applyFont="1" applyFill="1" applyBorder="1" applyAlignment="1">
      <alignment horizontal="center" wrapText="1"/>
    </xf>
    <xf numFmtId="0" fontId="108" fillId="0" borderId="12" xfId="108" applyFont="1" applyBorder="1" applyAlignment="1">
      <alignment horizontal="center" wrapText="1"/>
    </xf>
    <xf numFmtId="171" fontId="108" fillId="3" borderId="0" xfId="788" applyNumberFormat="1" applyFont="1" applyFill="1" applyBorder="1" applyAlignment="1">
      <alignment horizontal="center" wrapText="1"/>
    </xf>
    <xf numFmtId="0" fontId="109" fillId="3" borderId="12" xfId="0" applyFont="1" applyFill="1" applyBorder="1"/>
    <xf numFmtId="0" fontId="109" fillId="0" borderId="12" xfId="108" applyFont="1" applyBorder="1" applyAlignment="1">
      <alignment wrapText="1"/>
    </xf>
    <xf numFmtId="0" fontId="109" fillId="0" borderId="12" xfId="0" applyFont="1" applyBorder="1" applyAlignment="1">
      <alignment horizontal="left" vertical="top"/>
    </xf>
    <xf numFmtId="0" fontId="109" fillId="3" borderId="13" xfId="0" applyFont="1" applyFill="1" applyBorder="1"/>
    <xf numFmtId="0" fontId="110" fillId="3" borderId="12" xfId="0" applyFont="1" applyFill="1" applyBorder="1"/>
    <xf numFmtId="0" fontId="109" fillId="3" borderId="4" xfId="0" applyFont="1" applyFill="1" applyBorder="1"/>
    <xf numFmtId="0" fontId="109" fillId="3" borderId="12" xfId="0" applyFont="1" applyFill="1" applyBorder="1" applyAlignment="1">
      <alignment horizontal="left"/>
    </xf>
    <xf numFmtId="0" fontId="109" fillId="0" borderId="0" xfId="108" applyFont="1" applyAlignment="1">
      <alignment wrapText="1"/>
    </xf>
    <xf numFmtId="0" fontId="109" fillId="0" borderId="13" xfId="108" applyFont="1" applyBorder="1" applyAlignment="1">
      <alignment wrapText="1"/>
    </xf>
    <xf numFmtId="0" fontId="109" fillId="3" borderId="2" xfId="0" applyFont="1" applyFill="1" applyBorder="1"/>
    <xf numFmtId="0" fontId="27" fillId="3" borderId="12" xfId="0" applyFont="1" applyFill="1" applyBorder="1"/>
    <xf numFmtId="0" fontId="27" fillId="0" borderId="4" xfId="108" applyFont="1" applyBorder="1" applyAlignment="1">
      <alignment horizontal="center" wrapText="1"/>
    </xf>
    <xf numFmtId="14" fontId="24" fillId="0" borderId="17" xfId="108" applyNumberFormat="1" applyFont="1" applyBorder="1" applyAlignment="1">
      <alignment horizontal="center"/>
    </xf>
    <xf numFmtId="0" fontId="24" fillId="0" borderId="17" xfId="108" applyFont="1" applyBorder="1" applyAlignment="1">
      <alignment horizontal="center" wrapText="1"/>
    </xf>
    <xf numFmtId="0" fontId="24" fillId="3" borderId="17" xfId="0" applyFont="1" applyFill="1" applyBorder="1" applyAlignment="1">
      <alignment horizontal="left"/>
    </xf>
    <xf numFmtId="0" fontId="24" fillId="3" borderId="17" xfId="0" applyFont="1" applyFill="1" applyBorder="1"/>
    <xf numFmtId="0" fontId="23" fillId="0" borderId="17" xfId="108" applyFont="1" applyBorder="1" applyAlignment="1">
      <alignment horizontal="center" wrapText="1"/>
    </xf>
    <xf numFmtId="0" fontId="94" fillId="0" borderId="17" xfId="108" applyFont="1" applyBorder="1" applyAlignment="1">
      <alignment horizontal="center" wrapText="1"/>
    </xf>
    <xf numFmtId="0" fontId="27" fillId="3" borderId="17" xfId="0" applyFont="1" applyFill="1" applyBorder="1" applyAlignment="1">
      <alignment horizontal="center"/>
    </xf>
    <xf numFmtId="171" fontId="28" fillId="3" borderId="17" xfId="788" applyNumberFormat="1" applyFont="1" applyFill="1" applyBorder="1" applyAlignment="1">
      <alignment horizontal="center"/>
    </xf>
    <xf numFmtId="171" fontId="26" fillId="3" borderId="17" xfId="788" applyNumberFormat="1" applyFont="1" applyFill="1" applyBorder="1" applyAlignment="1">
      <alignment horizontal="center"/>
    </xf>
    <xf numFmtId="0" fontId="23" fillId="3" borderId="17" xfId="0" applyFont="1" applyFill="1" applyBorder="1" applyAlignment="1">
      <alignment horizontal="center"/>
    </xf>
    <xf numFmtId="14" fontId="24" fillId="0" borderId="20" xfId="108" applyNumberFormat="1" applyFont="1" applyBorder="1" applyAlignment="1">
      <alignment horizontal="center"/>
    </xf>
    <xf numFmtId="0" fontId="24" fillId="0" borderId="20" xfId="108" applyFont="1" applyBorder="1" applyAlignment="1">
      <alignment horizontal="center" wrapText="1"/>
    </xf>
    <xf numFmtId="0" fontId="21" fillId="3" borderId="20" xfId="0" applyFont="1" applyFill="1" applyBorder="1" applyAlignment="1">
      <alignment horizontal="left"/>
    </xf>
    <xf numFmtId="0" fontId="23" fillId="0" borderId="20" xfId="108" applyFont="1" applyBorder="1" applyAlignment="1">
      <alignment horizontal="center" wrapText="1"/>
    </xf>
    <xf numFmtId="0" fontId="94" fillId="0" borderId="20" xfId="108" applyFont="1" applyBorder="1" applyAlignment="1">
      <alignment horizontal="center" wrapText="1"/>
    </xf>
    <xf numFmtId="0" fontId="27" fillId="3" borderId="20" xfId="0" applyFont="1" applyFill="1" applyBorder="1" applyAlignment="1">
      <alignment horizontal="center"/>
    </xf>
    <xf numFmtId="171" fontId="28" fillId="3" borderId="20" xfId="788" applyNumberFormat="1" applyFont="1" applyFill="1" applyBorder="1" applyAlignment="1">
      <alignment horizontal="center"/>
    </xf>
    <xf numFmtId="0" fontId="23" fillId="0" borderId="0" xfId="108" applyFont="1" applyAlignment="1">
      <alignment horizontal="center"/>
    </xf>
    <xf numFmtId="0" fontId="24" fillId="0" borderId="51" xfId="108" applyFont="1" applyBorder="1" applyAlignment="1">
      <alignment horizontal="center"/>
    </xf>
    <xf numFmtId="0" fontId="106" fillId="3" borderId="12" xfId="0" applyFont="1" applyFill="1" applyBorder="1" applyAlignment="1">
      <alignment horizontal="left"/>
    </xf>
    <xf numFmtId="0" fontId="24" fillId="0" borderId="45" xfId="108" applyFont="1" applyBorder="1" applyAlignment="1">
      <alignment horizontal="center" wrapText="1"/>
    </xf>
    <xf numFmtId="0" fontId="23" fillId="0" borderId="13" xfId="108" applyFont="1" applyBorder="1" applyAlignment="1">
      <alignment horizontal="center"/>
    </xf>
    <xf numFmtId="0" fontId="94" fillId="0" borderId="13" xfId="108" applyFont="1" applyBorder="1" applyAlignment="1">
      <alignment horizontal="center"/>
    </xf>
    <xf numFmtId="0" fontId="24" fillId="0" borderId="47" xfId="108" applyFont="1" applyBorder="1" applyAlignment="1">
      <alignment horizontal="center" wrapText="1"/>
    </xf>
    <xf numFmtId="0" fontId="24" fillId="3" borderId="20" xfId="0" applyFont="1" applyFill="1" applyBorder="1"/>
    <xf numFmtId="0" fontId="27" fillId="0" borderId="12" xfId="0" applyFont="1" applyBorder="1" applyAlignment="1">
      <alignment horizontal="left" vertical="top"/>
    </xf>
    <xf numFmtId="0" fontId="108" fillId="3" borderId="44" xfId="0" applyFont="1" applyFill="1" applyBorder="1" applyAlignment="1">
      <alignment horizontal="left"/>
    </xf>
    <xf numFmtId="0" fontId="24" fillId="3" borderId="12" xfId="0" applyFont="1" applyFill="1" applyBorder="1" applyAlignment="1">
      <alignment wrapText="1"/>
    </xf>
    <xf numFmtId="0" fontId="24" fillId="4" borderId="12" xfId="0" applyFont="1" applyFill="1" applyBorder="1" applyAlignment="1">
      <alignment horizontal="left"/>
    </xf>
    <xf numFmtId="1" fontId="23" fillId="3" borderId="12" xfId="0" applyNumberFormat="1" applyFont="1" applyFill="1" applyBorder="1" applyAlignment="1">
      <alignment horizontal="center"/>
    </xf>
    <xf numFmtId="0" fontId="24" fillId="3" borderId="13" xfId="0" applyFont="1" applyFill="1" applyBorder="1" applyAlignment="1">
      <alignment horizontal="left" wrapText="1"/>
    </xf>
    <xf numFmtId="0" fontId="21" fillId="3" borderId="4" xfId="0" applyFont="1" applyFill="1" applyBorder="1" applyAlignment="1">
      <alignment horizontal="left"/>
    </xf>
    <xf numFmtId="0" fontId="21" fillId="3" borderId="4" xfId="0" applyFont="1" applyFill="1" applyBorder="1"/>
    <xf numFmtId="0" fontId="106" fillId="3" borderId="4" xfId="0" applyFont="1" applyFill="1" applyBorder="1" applyAlignment="1">
      <alignment horizontal="center"/>
    </xf>
    <xf numFmtId="177" fontId="27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/>
    <xf numFmtId="0" fontId="95" fillId="0" borderId="0" xfId="0" applyFont="1" applyAlignment="1">
      <alignment horizontal="center"/>
    </xf>
    <xf numFmtId="0" fontId="95" fillId="0" borderId="0" xfId="0" applyFont="1"/>
    <xf numFmtId="0" fontId="32" fillId="9" borderId="12" xfId="0" applyFont="1" applyFill="1" applyBorder="1" applyAlignment="1">
      <alignment horizontal="center" vertical="center"/>
    </xf>
    <xf numFmtId="0" fontId="112" fillId="9" borderId="12" xfId="0" applyFont="1" applyFill="1" applyBorder="1" applyAlignment="1">
      <alignment horizontal="center" vertical="center"/>
    </xf>
    <xf numFmtId="14" fontId="32" fillId="9" borderId="12" xfId="0" applyNumberFormat="1" applyFont="1" applyFill="1" applyBorder="1" applyAlignment="1">
      <alignment horizontal="center" vertical="center"/>
    </xf>
    <xf numFmtId="0" fontId="95" fillId="0" borderId="4" xfId="0" applyFont="1" applyBorder="1" applyAlignment="1">
      <alignment horizontal="center"/>
    </xf>
    <xf numFmtId="0" fontId="95" fillId="0" borderId="4" xfId="0" applyFont="1" applyBorder="1"/>
    <xf numFmtId="0" fontId="32" fillId="0" borderId="4" xfId="0" applyFont="1" applyBorder="1" applyAlignment="1">
      <alignment horizontal="center"/>
    </xf>
    <xf numFmtId="0" fontId="112" fillId="0" borderId="4" xfId="0" applyFont="1" applyBorder="1" applyAlignment="1">
      <alignment horizontal="center"/>
    </xf>
    <xf numFmtId="14" fontId="95" fillId="0" borderId="4" xfId="0" applyNumberFormat="1" applyFont="1" applyBorder="1"/>
    <xf numFmtId="0" fontId="95" fillId="0" borderId="12" xfId="0" applyFont="1" applyBorder="1" applyAlignment="1">
      <alignment horizontal="center"/>
    </xf>
    <xf numFmtId="0" fontId="95" fillId="0" borderId="12" xfId="0" applyFont="1" applyBorder="1"/>
    <xf numFmtId="0" fontId="32" fillId="0" borderId="12" xfId="0" applyFont="1" applyBorder="1" applyAlignment="1">
      <alignment horizontal="center"/>
    </xf>
    <xf numFmtId="0" fontId="112" fillId="0" borderId="12" xfId="0" applyFont="1" applyBorder="1" applyAlignment="1">
      <alignment horizontal="center"/>
    </xf>
    <xf numFmtId="14" fontId="95" fillId="0" borderId="12" xfId="0" applyNumberFormat="1" applyFont="1" applyBorder="1"/>
    <xf numFmtId="0" fontId="112" fillId="0" borderId="12" xfId="0" applyFont="1" applyBorder="1"/>
    <xf numFmtId="0" fontId="21" fillId="0" borderId="0" xfId="0" applyFont="1"/>
    <xf numFmtId="0" fontId="20" fillId="9" borderId="12" xfId="0" applyFont="1" applyFill="1" applyBorder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113" fillId="0" borderId="12" xfId="0" applyFont="1" applyBorder="1"/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13" fillId="0" borderId="0" xfId="0" applyFont="1"/>
    <xf numFmtId="14" fontId="21" fillId="0" borderId="12" xfId="0" applyNumberFormat="1" applyFont="1" applyBorder="1"/>
    <xf numFmtId="0" fontId="24" fillId="3" borderId="14" xfId="0" applyFont="1" applyFill="1" applyBorder="1" applyAlignment="1">
      <alignment horizontal="left"/>
    </xf>
    <xf numFmtId="0" fontId="109" fillId="3" borderId="14" xfId="0" applyFont="1" applyFill="1" applyBorder="1"/>
    <xf numFmtId="0" fontId="25" fillId="3" borderId="14" xfId="0" applyFont="1" applyFill="1" applyBorder="1" applyAlignment="1">
      <alignment horizontal="center"/>
    </xf>
    <xf numFmtId="0" fontId="27" fillId="3" borderId="14" xfId="0" applyFont="1" applyFill="1" applyBorder="1" applyAlignment="1">
      <alignment horizontal="center"/>
    </xf>
    <xf numFmtId="0" fontId="27" fillId="39" borderId="12" xfId="108" applyFont="1" applyFill="1" applyBorder="1" applyAlignment="1">
      <alignment wrapText="1"/>
    </xf>
    <xf numFmtId="0" fontId="113" fillId="0" borderId="4" xfId="0" applyFont="1" applyBorder="1"/>
    <xf numFmtId="0" fontId="21" fillId="0" borderId="4" xfId="0" applyFont="1" applyBorder="1"/>
    <xf numFmtId="14" fontId="21" fillId="0" borderId="4" xfId="0" applyNumberFormat="1" applyFont="1" applyBorder="1"/>
    <xf numFmtId="171" fontId="24" fillId="0" borderId="12" xfId="108" applyNumberFormat="1" applyFont="1" applyBorder="1" applyAlignment="1">
      <alignment horizontal="center" wrapText="1"/>
    </xf>
    <xf numFmtId="171" fontId="27" fillId="0" borderId="12" xfId="788" applyNumberFormat="1" applyFont="1" applyFill="1" applyBorder="1" applyAlignment="1">
      <alignment horizontal="center" wrapText="1"/>
    </xf>
    <xf numFmtId="171" fontId="26" fillId="3" borderId="12" xfId="788" applyNumberFormat="1" applyFont="1" applyFill="1" applyBorder="1" applyAlignment="1">
      <alignment horizontal="center" wrapText="1"/>
    </xf>
    <xf numFmtId="171" fontId="24" fillId="3" borderId="12" xfId="788" applyNumberFormat="1" applyFont="1" applyFill="1" applyBorder="1" applyAlignment="1">
      <alignment horizontal="center"/>
    </xf>
    <xf numFmtId="0" fontId="95" fillId="0" borderId="13" xfId="0" applyFont="1" applyBorder="1" applyAlignment="1">
      <alignment horizontal="center"/>
    </xf>
    <xf numFmtId="0" fontId="21" fillId="0" borderId="13" xfId="0" applyFont="1" applyBorder="1"/>
    <xf numFmtId="0" fontId="20" fillId="0" borderId="13" xfId="0" applyFont="1" applyBorder="1" applyAlignment="1">
      <alignment horizontal="center"/>
    </xf>
    <xf numFmtId="0" fontId="95" fillId="0" borderId="13" xfId="0" applyFont="1" applyBorder="1"/>
    <xf numFmtId="0" fontId="113" fillId="0" borderId="13" xfId="0" applyFont="1" applyBorder="1"/>
    <xf numFmtId="14" fontId="21" fillId="0" borderId="13" xfId="0" applyNumberFormat="1" applyFont="1" applyBorder="1"/>
    <xf numFmtId="14" fontId="95" fillId="0" borderId="13" xfId="0" applyNumberFormat="1" applyFont="1" applyBorder="1"/>
    <xf numFmtId="0" fontId="20" fillId="0" borderId="4" xfId="0" applyFont="1" applyBorder="1" applyAlignment="1">
      <alignment horizontal="center"/>
    </xf>
    <xf numFmtId="171" fontId="27" fillId="0" borderId="13" xfId="788" applyNumberFormat="1" applyFont="1" applyFill="1" applyBorder="1" applyAlignment="1">
      <alignment horizontal="center" wrapText="1"/>
    </xf>
    <xf numFmtId="171" fontId="26" fillId="3" borderId="13" xfId="788" applyNumberFormat="1" applyFont="1" applyFill="1" applyBorder="1" applyAlignment="1">
      <alignment horizontal="center" wrapText="1"/>
    </xf>
    <xf numFmtId="0" fontId="24" fillId="3" borderId="14" xfId="0" applyFont="1" applyFill="1" applyBorder="1"/>
    <xf numFmtId="0" fontId="109" fillId="0" borderId="14" xfId="108" applyFont="1" applyBorder="1" applyAlignment="1">
      <alignment wrapText="1"/>
    </xf>
    <xf numFmtId="0" fontId="24" fillId="0" borderId="12" xfId="0" applyFont="1" applyBorder="1" applyAlignment="1">
      <alignment horizontal="left"/>
    </xf>
    <xf numFmtId="0" fontId="25" fillId="0" borderId="4" xfId="108" applyFont="1" applyBorder="1" applyAlignment="1">
      <alignment horizontal="center" wrapText="1"/>
    </xf>
    <xf numFmtId="0" fontId="114" fillId="3" borderId="12" xfId="0" applyFont="1" applyFill="1" applyBorder="1" applyAlignment="1">
      <alignment horizontal="center"/>
    </xf>
    <xf numFmtId="0" fontId="24" fillId="3" borderId="4" xfId="0" applyFont="1" applyFill="1" applyBorder="1" applyAlignment="1">
      <alignment wrapText="1"/>
    </xf>
    <xf numFmtId="171" fontId="23" fillId="0" borderId="12" xfId="108" applyNumberFormat="1" applyFont="1" applyBorder="1" applyAlignment="1">
      <alignment horizontal="center" wrapText="1"/>
    </xf>
    <xf numFmtId="0" fontId="23" fillId="0" borderId="4" xfId="108" applyFont="1" applyBorder="1" applyAlignment="1">
      <alignment horizontal="center"/>
    </xf>
    <xf numFmtId="0" fontId="94" fillId="0" borderId="4" xfId="108" applyFont="1" applyBorder="1" applyAlignment="1">
      <alignment horizontal="center"/>
    </xf>
    <xf numFmtId="0" fontId="24" fillId="3" borderId="2" xfId="0" applyFont="1" applyFill="1" applyBorder="1" applyAlignment="1">
      <alignment horizontal="left"/>
    </xf>
    <xf numFmtId="0" fontId="25" fillId="10" borderId="12" xfId="12" applyFont="1" applyFill="1" applyBorder="1" applyAlignment="1">
      <alignment horizontal="center" vertical="center" wrapText="1"/>
    </xf>
    <xf numFmtId="0" fontId="24" fillId="40" borderId="12" xfId="108" applyFont="1" applyFill="1" applyBorder="1" applyAlignment="1">
      <alignment wrapText="1"/>
    </xf>
    <xf numFmtId="0" fontId="25" fillId="0" borderId="13" xfId="108" applyFont="1" applyBorder="1" applyAlignment="1">
      <alignment horizontal="center" wrapText="1"/>
    </xf>
    <xf numFmtId="0" fontId="27" fillId="3" borderId="4" xfId="0" applyFont="1" applyFill="1" applyBorder="1"/>
    <xf numFmtId="0" fontId="24" fillId="0" borderId="14" xfId="108" applyFont="1" applyBorder="1" applyAlignment="1">
      <alignment wrapText="1"/>
    </xf>
    <xf numFmtId="0" fontId="115" fillId="0" borderId="14" xfId="0" applyFont="1" applyBorder="1" applyAlignment="1">
      <alignment horizontal="left" vertical="center" wrapText="1"/>
    </xf>
    <xf numFmtId="0" fontId="95" fillId="0" borderId="50" xfId="0" applyFont="1" applyBorder="1" applyAlignment="1">
      <alignment horizontal="center"/>
    </xf>
    <xf numFmtId="0" fontId="21" fillId="0" borderId="14" xfId="0" applyFont="1" applyBorder="1"/>
    <xf numFmtId="0" fontId="20" fillId="0" borderId="14" xfId="0" applyFont="1" applyBorder="1" applyAlignment="1">
      <alignment horizontal="center"/>
    </xf>
    <xf numFmtId="0" fontId="113" fillId="0" borderId="14" xfId="0" applyFont="1" applyBorder="1"/>
    <xf numFmtId="0" fontId="24" fillId="3" borderId="0" xfId="0" applyFont="1" applyFill="1" applyAlignment="1">
      <alignment horizontal="left"/>
    </xf>
    <xf numFmtId="0" fontId="25" fillId="11" borderId="44" xfId="108" applyFont="1" applyFill="1" applyBorder="1" applyAlignment="1">
      <alignment horizontal="left" vertical="center"/>
    </xf>
    <xf numFmtId="0" fontId="106" fillId="0" borderId="52" xfId="2" applyFont="1" applyBorder="1" applyAlignment="1">
      <alignment horizontal="left"/>
    </xf>
    <xf numFmtId="0" fontId="23" fillId="11" borderId="2" xfId="108" applyFont="1" applyFill="1" applyBorder="1" applyAlignment="1">
      <alignment horizontal="left" vertical="center"/>
    </xf>
    <xf numFmtId="0" fontId="23" fillId="11" borderId="44" xfId="108" applyFont="1" applyFill="1" applyBorder="1" applyAlignment="1">
      <alignment horizontal="left" vertical="center"/>
    </xf>
    <xf numFmtId="0" fontId="23" fillId="11" borderId="45" xfId="108" applyFont="1" applyFill="1" applyBorder="1" applyAlignment="1">
      <alignment horizontal="left" vertical="center"/>
    </xf>
    <xf numFmtId="0" fontId="24" fillId="3" borderId="12" xfId="0" applyFont="1" applyFill="1" applyBorder="1" applyAlignment="1">
      <alignment horizontal="center" vertical="center" wrapText="1"/>
    </xf>
    <xf numFmtId="0" fontId="24" fillId="6" borderId="2" xfId="108" applyFont="1" applyFill="1" applyBorder="1" applyAlignment="1">
      <alignment horizontal="left" vertical="center"/>
    </xf>
    <xf numFmtId="0" fontId="24" fillId="6" borderId="44" xfId="108" applyFont="1" applyFill="1" applyBorder="1" applyAlignment="1">
      <alignment horizontal="left" vertical="center"/>
    </xf>
    <xf numFmtId="0" fontId="24" fillId="11" borderId="2" xfId="108" applyFont="1" applyFill="1" applyBorder="1" applyAlignment="1">
      <alignment horizontal="left" vertical="center" wrapText="1"/>
    </xf>
    <xf numFmtId="0" fontId="24" fillId="11" borderId="44" xfId="108" applyFont="1" applyFill="1" applyBorder="1" applyAlignment="1">
      <alignment horizontal="left" vertical="center" wrapText="1"/>
    </xf>
    <xf numFmtId="0" fontId="24" fillId="11" borderId="45" xfId="108" applyFont="1" applyFill="1" applyBorder="1" applyAlignment="1">
      <alignment horizontal="left" vertical="center" wrapText="1"/>
    </xf>
    <xf numFmtId="0" fontId="24" fillId="11" borderId="12" xfId="108" applyFont="1" applyFill="1" applyBorder="1" applyAlignment="1">
      <alignment horizontal="left" vertical="center" wrapText="1"/>
    </xf>
    <xf numFmtId="0" fontId="27" fillId="11" borderId="2" xfId="108" applyFont="1" applyFill="1" applyBorder="1" applyAlignment="1">
      <alignment horizontal="right" vertical="center"/>
    </xf>
    <xf numFmtId="0" fontId="27" fillId="11" borderId="44" xfId="108" applyFont="1" applyFill="1" applyBorder="1" applyAlignment="1">
      <alignment horizontal="right" vertical="center"/>
    </xf>
    <xf numFmtId="0" fontId="27" fillId="11" borderId="45" xfId="108" applyFont="1" applyFill="1" applyBorder="1" applyAlignment="1">
      <alignment horizontal="right" vertical="center"/>
    </xf>
    <xf numFmtId="0" fontId="25" fillId="11" borderId="2" xfId="108" applyFont="1" applyFill="1" applyBorder="1" applyAlignment="1">
      <alignment horizontal="left" vertical="center"/>
    </xf>
    <xf numFmtId="0" fontId="25" fillId="11" borderId="44" xfId="108" applyFont="1" applyFill="1" applyBorder="1" applyAlignment="1">
      <alignment horizontal="left" vertical="center"/>
    </xf>
    <xf numFmtId="0" fontId="25" fillId="11" borderId="45" xfId="108" applyFont="1" applyFill="1" applyBorder="1" applyAlignment="1">
      <alignment horizontal="left" vertical="center"/>
    </xf>
    <xf numFmtId="0" fontId="25" fillId="11" borderId="2" xfId="108" applyFont="1" applyFill="1" applyBorder="1" applyAlignment="1">
      <alignment vertical="center"/>
    </xf>
    <xf numFmtId="0" fontId="25" fillId="11" borderId="44" xfId="108" applyFont="1" applyFill="1" applyBorder="1" applyAlignment="1">
      <alignment vertical="center"/>
    </xf>
    <xf numFmtId="0" fontId="25" fillId="11" borderId="45" xfId="108" applyFont="1" applyFill="1" applyBorder="1" applyAlignment="1">
      <alignment vertical="center"/>
    </xf>
    <xf numFmtId="0" fontId="25" fillId="10" borderId="12" xfId="108" applyFont="1" applyFill="1" applyBorder="1" applyAlignment="1">
      <alignment horizontal="center" vertical="center" wrapText="1"/>
    </xf>
    <xf numFmtId="0" fontId="23" fillId="10" borderId="12" xfId="12" applyFont="1" applyFill="1" applyBorder="1" applyAlignment="1">
      <alignment horizontal="center" vertical="center" wrapText="1"/>
    </xf>
    <xf numFmtId="0" fontId="25" fillId="10" borderId="12" xfId="12" applyFont="1" applyFill="1" applyBorder="1" applyAlignment="1">
      <alignment horizontal="center" vertical="center" wrapText="1"/>
    </xf>
    <xf numFmtId="0" fontId="103" fillId="10" borderId="12" xfId="108" applyFont="1" applyFill="1" applyBorder="1" applyAlignment="1">
      <alignment horizontal="center" vertical="center" wrapText="1"/>
    </xf>
    <xf numFmtId="171" fontId="103" fillId="10" borderId="12" xfId="788" applyNumberFormat="1" applyFont="1" applyFill="1" applyBorder="1" applyAlignment="1" applyProtection="1">
      <alignment horizontal="center" vertical="center" wrapText="1"/>
    </xf>
    <xf numFmtId="171" fontId="26" fillId="10" borderId="12" xfId="788" applyNumberFormat="1" applyFont="1" applyFill="1" applyBorder="1" applyAlignment="1" applyProtection="1">
      <alignment horizontal="center" vertical="center" wrapText="1"/>
    </xf>
    <xf numFmtId="14" fontId="23" fillId="0" borderId="13" xfId="108" applyNumberFormat="1" applyFont="1" applyBorder="1" applyAlignment="1">
      <alignment horizontal="center" vertical="center" wrapText="1"/>
    </xf>
    <xf numFmtId="14" fontId="23" fillId="0" borderId="4" xfId="108" applyNumberFormat="1" applyFont="1" applyBorder="1" applyAlignment="1">
      <alignment horizontal="center" vertical="center"/>
    </xf>
    <xf numFmtId="0" fontId="20" fillId="9" borderId="15" xfId="0" applyFont="1" applyFill="1" applyBorder="1" applyAlignment="1">
      <alignment horizontal="center" vertical="center" wrapText="1"/>
    </xf>
    <xf numFmtId="0" fontId="20" fillId="9" borderId="53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left" vertical="center"/>
    </xf>
    <xf numFmtId="0" fontId="20" fillId="9" borderId="44" xfId="0" applyFont="1" applyFill="1" applyBorder="1" applyAlignment="1">
      <alignment horizontal="left" vertical="center"/>
    </xf>
    <xf numFmtId="0" fontId="20" fillId="9" borderId="45" xfId="0" applyFont="1" applyFill="1" applyBorder="1" applyAlignment="1">
      <alignment horizontal="left" vertical="center"/>
    </xf>
    <xf numFmtId="0" fontId="32" fillId="9" borderId="2" xfId="0" applyFont="1" applyFill="1" applyBorder="1" applyAlignment="1">
      <alignment horizontal="left" vertical="center"/>
    </xf>
    <xf numFmtId="0" fontId="32" fillId="9" borderId="44" xfId="0" applyFont="1" applyFill="1" applyBorder="1" applyAlignment="1">
      <alignment horizontal="left" vertical="center"/>
    </xf>
    <xf numFmtId="0" fontId="32" fillId="9" borderId="45" xfId="0" applyFont="1" applyFill="1" applyBorder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32" fillId="0" borderId="49" xfId="0" applyFont="1" applyBorder="1" applyAlignment="1">
      <alignment horizontal="center" vertical="center"/>
    </xf>
    <xf numFmtId="0" fontId="112" fillId="0" borderId="49" xfId="0" applyFont="1" applyBorder="1" applyAlignment="1">
      <alignment horizontal="center" vertical="center"/>
    </xf>
    <xf numFmtId="0" fontId="32" fillId="9" borderId="12" xfId="0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32" fillId="9" borderId="44" xfId="0" applyFont="1" applyFill="1" applyBorder="1" applyAlignment="1">
      <alignment horizontal="center" vertical="center"/>
    </xf>
    <xf numFmtId="0" fontId="32" fillId="9" borderId="45" xfId="0" applyFont="1" applyFill="1" applyBorder="1" applyAlignment="1">
      <alignment horizontal="center" vertical="center"/>
    </xf>
    <xf numFmtId="0" fontId="23" fillId="6" borderId="6" xfId="108" applyFont="1" applyFill="1" applyBorder="1" applyAlignment="1">
      <alignment horizontal="center"/>
    </xf>
    <xf numFmtId="0" fontId="23" fillId="6" borderId="7" xfId="108" applyFont="1" applyFill="1" applyBorder="1" applyAlignment="1">
      <alignment horizontal="center"/>
    </xf>
    <xf numFmtId="0" fontId="23" fillId="6" borderId="21" xfId="108" applyFont="1" applyFill="1" applyBorder="1" applyAlignment="1">
      <alignment horizontal="center"/>
    </xf>
    <xf numFmtId="0" fontId="23" fillId="6" borderId="22" xfId="108" applyFont="1" applyFill="1" applyBorder="1" applyAlignment="1">
      <alignment horizontal="center"/>
    </xf>
    <xf numFmtId="172" fontId="37" fillId="0" borderId="9" xfId="128" applyNumberFormat="1" applyFont="1" applyBorder="1" applyAlignment="1"/>
    <xf numFmtId="172" fontId="37" fillId="0" borderId="10" xfId="128" applyNumberFormat="1" applyFont="1" applyBorder="1" applyAlignment="1"/>
    <xf numFmtId="172" fontId="37" fillId="0" borderId="11" xfId="128" applyNumberFormat="1" applyFont="1" applyBorder="1" applyAlignment="1"/>
    <xf numFmtId="172" fontId="37" fillId="0" borderId="17" xfId="128" applyNumberFormat="1" applyFont="1" applyBorder="1" applyAlignment="1"/>
    <xf numFmtId="172" fontId="37" fillId="0" borderId="28" xfId="128" applyNumberFormat="1" applyFont="1" applyBorder="1" applyAlignment="1"/>
    <xf numFmtId="172" fontId="38" fillId="0" borderId="30" xfId="128" applyNumberFormat="1" applyFont="1" applyBorder="1" applyAlignment="1"/>
  </cellXfs>
  <cellStyles count="1480">
    <cellStyle name="          _x000d__x000a_386grabber=VGA.3GR_x000d__x000a_" xfId="124" xr:uid="{00000000-0005-0000-0000-000000000000}"/>
    <cellStyle name="          _x000d__x000a_386grabber=VGA.3GR_x000d__x000a_ 2" xfId="129" xr:uid="{00000000-0005-0000-0000-000001000000}"/>
    <cellStyle name="          _x000d__x000a_386grabber=VGA.3GR_x000d__x000a_ 2 2" xfId="130" xr:uid="{00000000-0005-0000-0000-000002000000}"/>
    <cellStyle name="          _x000d__x000a_386grabber=VGA.3GR_x000d__x000a_ 3" xfId="131" xr:uid="{00000000-0005-0000-0000-000003000000}"/>
    <cellStyle name="          _x000d__x000a_386grabber=VGA.3GR_x000d__x000a_ 4" xfId="132" xr:uid="{00000000-0005-0000-0000-000004000000}"/>
    <cellStyle name="          _x000d__x000a_386grabber=VGA.3GR_x000d__x000a_ 4 2" xfId="133" xr:uid="{00000000-0005-0000-0000-000005000000}"/>
    <cellStyle name="          _x000d__x000a_386grabber=VGA.3GR_x000d__x000a_ 5" xfId="134" xr:uid="{00000000-0005-0000-0000-000006000000}"/>
    <cellStyle name="          _x000d__x000a_386grabber=VGA.3GR_x000d__x000a_ 6" xfId="135" xr:uid="{00000000-0005-0000-0000-000007000000}"/>
    <cellStyle name="          _x000d__x000a_386grabber=VGA.3GR_x000d__x000a_ 7" xfId="136" xr:uid="{00000000-0005-0000-0000-000008000000}"/>
    <cellStyle name="_Quotation 63-XXX00  GLOSSY FIBERSTONE" xfId="137" xr:uid="{00000000-0005-0000-0000-000009000000}"/>
    <cellStyle name="20% - Accent1 10" xfId="138" xr:uid="{00000000-0005-0000-0000-00000A000000}"/>
    <cellStyle name="20% - Accent1 11" xfId="139" xr:uid="{00000000-0005-0000-0000-00000B000000}"/>
    <cellStyle name="20% - Accent1 12" xfId="140" xr:uid="{00000000-0005-0000-0000-00000C000000}"/>
    <cellStyle name="20% - Accent1 13" xfId="141" xr:uid="{00000000-0005-0000-0000-00000D000000}"/>
    <cellStyle name="20% - Accent1 2" xfId="142" xr:uid="{00000000-0005-0000-0000-00000E000000}"/>
    <cellStyle name="20% - Accent1 2 2" xfId="143" xr:uid="{00000000-0005-0000-0000-00000F000000}"/>
    <cellStyle name="20% - Accent1 2 3" xfId="144" xr:uid="{00000000-0005-0000-0000-000010000000}"/>
    <cellStyle name="20% - Accent1 2 4" xfId="145" xr:uid="{00000000-0005-0000-0000-000011000000}"/>
    <cellStyle name="20% - Accent1 2 5" xfId="146" xr:uid="{00000000-0005-0000-0000-000012000000}"/>
    <cellStyle name="20% - Accent1 2 6" xfId="147" xr:uid="{00000000-0005-0000-0000-000013000000}"/>
    <cellStyle name="20% - Accent1 2 7" xfId="148" xr:uid="{00000000-0005-0000-0000-000014000000}"/>
    <cellStyle name="20% - Accent1 3" xfId="149" xr:uid="{00000000-0005-0000-0000-000015000000}"/>
    <cellStyle name="20% - Accent1 4" xfId="150" xr:uid="{00000000-0005-0000-0000-000016000000}"/>
    <cellStyle name="20% - Accent1 5" xfId="151" xr:uid="{00000000-0005-0000-0000-000017000000}"/>
    <cellStyle name="20% - Accent1 6" xfId="152" xr:uid="{00000000-0005-0000-0000-000018000000}"/>
    <cellStyle name="20% - Accent1 7" xfId="153" xr:uid="{00000000-0005-0000-0000-000019000000}"/>
    <cellStyle name="20% - Accent1 8" xfId="154" xr:uid="{00000000-0005-0000-0000-00001A000000}"/>
    <cellStyle name="20% - Accent1 9" xfId="155" xr:uid="{00000000-0005-0000-0000-00001B000000}"/>
    <cellStyle name="20% - Accent2 10" xfId="156" xr:uid="{00000000-0005-0000-0000-00001C000000}"/>
    <cellStyle name="20% - Accent2 11" xfId="157" xr:uid="{00000000-0005-0000-0000-00001D000000}"/>
    <cellStyle name="20% - Accent2 12" xfId="158" xr:uid="{00000000-0005-0000-0000-00001E000000}"/>
    <cellStyle name="20% - Accent2 13" xfId="159" xr:uid="{00000000-0005-0000-0000-00001F000000}"/>
    <cellStyle name="20% - Accent2 2" xfId="160" xr:uid="{00000000-0005-0000-0000-000020000000}"/>
    <cellStyle name="20% - Accent2 2 2" xfId="161" xr:uid="{00000000-0005-0000-0000-000021000000}"/>
    <cellStyle name="20% - Accent2 2 3" xfId="162" xr:uid="{00000000-0005-0000-0000-000022000000}"/>
    <cellStyle name="20% - Accent2 2 4" xfId="163" xr:uid="{00000000-0005-0000-0000-000023000000}"/>
    <cellStyle name="20% - Accent2 2 5" xfId="164" xr:uid="{00000000-0005-0000-0000-000024000000}"/>
    <cellStyle name="20% - Accent2 2 6" xfId="165" xr:uid="{00000000-0005-0000-0000-000025000000}"/>
    <cellStyle name="20% - Accent2 2 7" xfId="166" xr:uid="{00000000-0005-0000-0000-000026000000}"/>
    <cellStyle name="20% - Accent2 3" xfId="167" xr:uid="{00000000-0005-0000-0000-000027000000}"/>
    <cellStyle name="20% - Accent2 4" xfId="168" xr:uid="{00000000-0005-0000-0000-000028000000}"/>
    <cellStyle name="20% - Accent2 5" xfId="169" xr:uid="{00000000-0005-0000-0000-000029000000}"/>
    <cellStyle name="20% - Accent2 6" xfId="170" xr:uid="{00000000-0005-0000-0000-00002A000000}"/>
    <cellStyle name="20% - Accent2 7" xfId="171" xr:uid="{00000000-0005-0000-0000-00002B000000}"/>
    <cellStyle name="20% - Accent2 8" xfId="172" xr:uid="{00000000-0005-0000-0000-00002C000000}"/>
    <cellStyle name="20% - Accent2 9" xfId="173" xr:uid="{00000000-0005-0000-0000-00002D000000}"/>
    <cellStyle name="20% - Accent3 10" xfId="174" xr:uid="{00000000-0005-0000-0000-00002E000000}"/>
    <cellStyle name="20% - Accent3 11" xfId="175" xr:uid="{00000000-0005-0000-0000-00002F000000}"/>
    <cellStyle name="20% - Accent3 12" xfId="176" xr:uid="{00000000-0005-0000-0000-000030000000}"/>
    <cellStyle name="20% - Accent3 13" xfId="177" xr:uid="{00000000-0005-0000-0000-000031000000}"/>
    <cellStyle name="20% - Accent3 2" xfId="178" xr:uid="{00000000-0005-0000-0000-000032000000}"/>
    <cellStyle name="20% - Accent3 2 2" xfId="179" xr:uid="{00000000-0005-0000-0000-000033000000}"/>
    <cellStyle name="20% - Accent3 2 3" xfId="180" xr:uid="{00000000-0005-0000-0000-000034000000}"/>
    <cellStyle name="20% - Accent3 2 4" xfId="181" xr:uid="{00000000-0005-0000-0000-000035000000}"/>
    <cellStyle name="20% - Accent3 2 5" xfId="182" xr:uid="{00000000-0005-0000-0000-000036000000}"/>
    <cellStyle name="20% - Accent3 2 6" xfId="183" xr:uid="{00000000-0005-0000-0000-000037000000}"/>
    <cellStyle name="20% - Accent3 2 7" xfId="184" xr:uid="{00000000-0005-0000-0000-000038000000}"/>
    <cellStyle name="20% - Accent3 3" xfId="185" xr:uid="{00000000-0005-0000-0000-000039000000}"/>
    <cellStyle name="20% - Accent3 4" xfId="186" xr:uid="{00000000-0005-0000-0000-00003A000000}"/>
    <cellStyle name="20% - Accent3 5" xfId="187" xr:uid="{00000000-0005-0000-0000-00003B000000}"/>
    <cellStyle name="20% - Accent3 6" xfId="188" xr:uid="{00000000-0005-0000-0000-00003C000000}"/>
    <cellStyle name="20% - Accent3 7" xfId="189" xr:uid="{00000000-0005-0000-0000-00003D000000}"/>
    <cellStyle name="20% - Accent3 8" xfId="190" xr:uid="{00000000-0005-0000-0000-00003E000000}"/>
    <cellStyle name="20% - Accent3 9" xfId="191" xr:uid="{00000000-0005-0000-0000-00003F000000}"/>
    <cellStyle name="20% - Accent4 10" xfId="192" xr:uid="{00000000-0005-0000-0000-000040000000}"/>
    <cellStyle name="20% - Accent4 11" xfId="193" xr:uid="{00000000-0005-0000-0000-000041000000}"/>
    <cellStyle name="20% - Accent4 12" xfId="194" xr:uid="{00000000-0005-0000-0000-000042000000}"/>
    <cellStyle name="20% - Accent4 13" xfId="195" xr:uid="{00000000-0005-0000-0000-000043000000}"/>
    <cellStyle name="20% - Accent4 2" xfId="196" xr:uid="{00000000-0005-0000-0000-000044000000}"/>
    <cellStyle name="20% - Accent4 2 2" xfId="197" xr:uid="{00000000-0005-0000-0000-000045000000}"/>
    <cellStyle name="20% - Accent4 2 3" xfId="198" xr:uid="{00000000-0005-0000-0000-000046000000}"/>
    <cellStyle name="20% - Accent4 2 4" xfId="199" xr:uid="{00000000-0005-0000-0000-000047000000}"/>
    <cellStyle name="20% - Accent4 2 5" xfId="200" xr:uid="{00000000-0005-0000-0000-000048000000}"/>
    <cellStyle name="20% - Accent4 2 6" xfId="201" xr:uid="{00000000-0005-0000-0000-000049000000}"/>
    <cellStyle name="20% - Accent4 2 7" xfId="202" xr:uid="{00000000-0005-0000-0000-00004A000000}"/>
    <cellStyle name="20% - Accent4 3" xfId="203" xr:uid="{00000000-0005-0000-0000-00004B000000}"/>
    <cellStyle name="20% - Accent4 4" xfId="204" xr:uid="{00000000-0005-0000-0000-00004C000000}"/>
    <cellStyle name="20% - Accent4 5" xfId="205" xr:uid="{00000000-0005-0000-0000-00004D000000}"/>
    <cellStyle name="20% - Accent4 6" xfId="206" xr:uid="{00000000-0005-0000-0000-00004E000000}"/>
    <cellStyle name="20% - Accent4 7" xfId="207" xr:uid="{00000000-0005-0000-0000-00004F000000}"/>
    <cellStyle name="20% - Accent4 8" xfId="208" xr:uid="{00000000-0005-0000-0000-000050000000}"/>
    <cellStyle name="20% - Accent4 9" xfId="209" xr:uid="{00000000-0005-0000-0000-000051000000}"/>
    <cellStyle name="20% - Accent5 10" xfId="210" xr:uid="{00000000-0005-0000-0000-000052000000}"/>
    <cellStyle name="20% - Accent5 11" xfId="211" xr:uid="{00000000-0005-0000-0000-000053000000}"/>
    <cellStyle name="20% - Accent5 12" xfId="212" xr:uid="{00000000-0005-0000-0000-000054000000}"/>
    <cellStyle name="20% - Accent5 13" xfId="213" xr:uid="{00000000-0005-0000-0000-000055000000}"/>
    <cellStyle name="20% - Accent5 2" xfId="214" xr:uid="{00000000-0005-0000-0000-000056000000}"/>
    <cellStyle name="20% - Accent5 2 2" xfId="215" xr:uid="{00000000-0005-0000-0000-000057000000}"/>
    <cellStyle name="20% - Accent5 2 3" xfId="216" xr:uid="{00000000-0005-0000-0000-000058000000}"/>
    <cellStyle name="20% - Accent5 2 4" xfId="217" xr:uid="{00000000-0005-0000-0000-000059000000}"/>
    <cellStyle name="20% - Accent5 2 5" xfId="218" xr:uid="{00000000-0005-0000-0000-00005A000000}"/>
    <cellStyle name="20% - Accent5 2 6" xfId="219" xr:uid="{00000000-0005-0000-0000-00005B000000}"/>
    <cellStyle name="20% - Accent5 2 7" xfId="220" xr:uid="{00000000-0005-0000-0000-00005C000000}"/>
    <cellStyle name="20% - Accent5 3" xfId="221" xr:uid="{00000000-0005-0000-0000-00005D000000}"/>
    <cellStyle name="20% - Accent5 4" xfId="222" xr:uid="{00000000-0005-0000-0000-00005E000000}"/>
    <cellStyle name="20% - Accent5 5" xfId="223" xr:uid="{00000000-0005-0000-0000-00005F000000}"/>
    <cellStyle name="20% - Accent5 6" xfId="224" xr:uid="{00000000-0005-0000-0000-000060000000}"/>
    <cellStyle name="20% - Accent5 7" xfId="225" xr:uid="{00000000-0005-0000-0000-000061000000}"/>
    <cellStyle name="20% - Accent5 8" xfId="226" xr:uid="{00000000-0005-0000-0000-000062000000}"/>
    <cellStyle name="20% - Accent5 9" xfId="227" xr:uid="{00000000-0005-0000-0000-000063000000}"/>
    <cellStyle name="20% - Accent6 10" xfId="228" xr:uid="{00000000-0005-0000-0000-000064000000}"/>
    <cellStyle name="20% - Accent6 11" xfId="229" xr:uid="{00000000-0005-0000-0000-000065000000}"/>
    <cellStyle name="20% - Accent6 12" xfId="230" xr:uid="{00000000-0005-0000-0000-000066000000}"/>
    <cellStyle name="20% - Accent6 13" xfId="231" xr:uid="{00000000-0005-0000-0000-000067000000}"/>
    <cellStyle name="20% - Accent6 2" xfId="232" xr:uid="{00000000-0005-0000-0000-000068000000}"/>
    <cellStyle name="20% - Accent6 2 2" xfId="233" xr:uid="{00000000-0005-0000-0000-000069000000}"/>
    <cellStyle name="20% - Accent6 2 3" xfId="234" xr:uid="{00000000-0005-0000-0000-00006A000000}"/>
    <cellStyle name="20% - Accent6 2 4" xfId="235" xr:uid="{00000000-0005-0000-0000-00006B000000}"/>
    <cellStyle name="20% - Accent6 2 5" xfId="236" xr:uid="{00000000-0005-0000-0000-00006C000000}"/>
    <cellStyle name="20% - Accent6 2 6" xfId="237" xr:uid="{00000000-0005-0000-0000-00006D000000}"/>
    <cellStyle name="20% - Accent6 2 7" xfId="238" xr:uid="{00000000-0005-0000-0000-00006E000000}"/>
    <cellStyle name="20% - Accent6 3" xfId="239" xr:uid="{00000000-0005-0000-0000-00006F000000}"/>
    <cellStyle name="20% - Accent6 4" xfId="240" xr:uid="{00000000-0005-0000-0000-000070000000}"/>
    <cellStyle name="20% - Accent6 5" xfId="241" xr:uid="{00000000-0005-0000-0000-000071000000}"/>
    <cellStyle name="20% - Accent6 6" xfId="242" xr:uid="{00000000-0005-0000-0000-000072000000}"/>
    <cellStyle name="20% - Accent6 7" xfId="243" xr:uid="{00000000-0005-0000-0000-000073000000}"/>
    <cellStyle name="20% - Accent6 8" xfId="244" xr:uid="{00000000-0005-0000-0000-000074000000}"/>
    <cellStyle name="20% - Accent6 9" xfId="245" xr:uid="{00000000-0005-0000-0000-000075000000}"/>
    <cellStyle name="40% - Accent1 10" xfId="246" xr:uid="{00000000-0005-0000-0000-000076000000}"/>
    <cellStyle name="40% - Accent1 11" xfId="247" xr:uid="{00000000-0005-0000-0000-000077000000}"/>
    <cellStyle name="40% - Accent1 12" xfId="248" xr:uid="{00000000-0005-0000-0000-000078000000}"/>
    <cellStyle name="40% - Accent1 13" xfId="249" xr:uid="{00000000-0005-0000-0000-000079000000}"/>
    <cellStyle name="40% - Accent1 2" xfId="250" xr:uid="{00000000-0005-0000-0000-00007A000000}"/>
    <cellStyle name="40% - Accent1 2 2" xfId="251" xr:uid="{00000000-0005-0000-0000-00007B000000}"/>
    <cellStyle name="40% - Accent1 2 3" xfId="252" xr:uid="{00000000-0005-0000-0000-00007C000000}"/>
    <cellStyle name="40% - Accent1 2 4" xfId="253" xr:uid="{00000000-0005-0000-0000-00007D000000}"/>
    <cellStyle name="40% - Accent1 2 5" xfId="254" xr:uid="{00000000-0005-0000-0000-00007E000000}"/>
    <cellStyle name="40% - Accent1 2 6" xfId="255" xr:uid="{00000000-0005-0000-0000-00007F000000}"/>
    <cellStyle name="40% - Accent1 2 7" xfId="256" xr:uid="{00000000-0005-0000-0000-000080000000}"/>
    <cellStyle name="40% - Accent1 3" xfId="257" xr:uid="{00000000-0005-0000-0000-000081000000}"/>
    <cellStyle name="40% - Accent1 4" xfId="258" xr:uid="{00000000-0005-0000-0000-000082000000}"/>
    <cellStyle name="40% - Accent1 5" xfId="259" xr:uid="{00000000-0005-0000-0000-000083000000}"/>
    <cellStyle name="40% - Accent1 6" xfId="260" xr:uid="{00000000-0005-0000-0000-000084000000}"/>
    <cellStyle name="40% - Accent1 7" xfId="261" xr:uid="{00000000-0005-0000-0000-000085000000}"/>
    <cellStyle name="40% - Accent1 8" xfId="262" xr:uid="{00000000-0005-0000-0000-000086000000}"/>
    <cellStyle name="40% - Accent1 9" xfId="263" xr:uid="{00000000-0005-0000-0000-000087000000}"/>
    <cellStyle name="40% - Accent2 10" xfId="264" xr:uid="{00000000-0005-0000-0000-000088000000}"/>
    <cellStyle name="40% - Accent2 11" xfId="265" xr:uid="{00000000-0005-0000-0000-000089000000}"/>
    <cellStyle name="40% - Accent2 12" xfId="266" xr:uid="{00000000-0005-0000-0000-00008A000000}"/>
    <cellStyle name="40% - Accent2 13" xfId="267" xr:uid="{00000000-0005-0000-0000-00008B000000}"/>
    <cellStyle name="40% - Accent2 2" xfId="268" xr:uid="{00000000-0005-0000-0000-00008C000000}"/>
    <cellStyle name="40% - Accent2 2 2" xfId="269" xr:uid="{00000000-0005-0000-0000-00008D000000}"/>
    <cellStyle name="40% - Accent2 2 3" xfId="270" xr:uid="{00000000-0005-0000-0000-00008E000000}"/>
    <cellStyle name="40% - Accent2 2 4" xfId="271" xr:uid="{00000000-0005-0000-0000-00008F000000}"/>
    <cellStyle name="40% - Accent2 2 5" xfId="272" xr:uid="{00000000-0005-0000-0000-000090000000}"/>
    <cellStyle name="40% - Accent2 2 6" xfId="273" xr:uid="{00000000-0005-0000-0000-000091000000}"/>
    <cellStyle name="40% - Accent2 2 7" xfId="274" xr:uid="{00000000-0005-0000-0000-000092000000}"/>
    <cellStyle name="40% - Accent2 3" xfId="275" xr:uid="{00000000-0005-0000-0000-000093000000}"/>
    <cellStyle name="40% - Accent2 4" xfId="276" xr:uid="{00000000-0005-0000-0000-000094000000}"/>
    <cellStyle name="40% - Accent2 5" xfId="277" xr:uid="{00000000-0005-0000-0000-000095000000}"/>
    <cellStyle name="40% - Accent2 6" xfId="278" xr:uid="{00000000-0005-0000-0000-000096000000}"/>
    <cellStyle name="40% - Accent2 7" xfId="279" xr:uid="{00000000-0005-0000-0000-000097000000}"/>
    <cellStyle name="40% - Accent2 8" xfId="280" xr:uid="{00000000-0005-0000-0000-000098000000}"/>
    <cellStyle name="40% - Accent2 9" xfId="281" xr:uid="{00000000-0005-0000-0000-000099000000}"/>
    <cellStyle name="40% - Accent3 10" xfId="282" xr:uid="{00000000-0005-0000-0000-00009A000000}"/>
    <cellStyle name="40% - Accent3 11" xfId="283" xr:uid="{00000000-0005-0000-0000-00009B000000}"/>
    <cellStyle name="40% - Accent3 12" xfId="284" xr:uid="{00000000-0005-0000-0000-00009C000000}"/>
    <cellStyle name="40% - Accent3 13" xfId="285" xr:uid="{00000000-0005-0000-0000-00009D000000}"/>
    <cellStyle name="40% - Accent3 2" xfId="286" xr:uid="{00000000-0005-0000-0000-00009E000000}"/>
    <cellStyle name="40% - Accent3 2 2" xfId="287" xr:uid="{00000000-0005-0000-0000-00009F000000}"/>
    <cellStyle name="40% - Accent3 2 3" xfId="288" xr:uid="{00000000-0005-0000-0000-0000A0000000}"/>
    <cellStyle name="40% - Accent3 2 4" xfId="289" xr:uid="{00000000-0005-0000-0000-0000A1000000}"/>
    <cellStyle name="40% - Accent3 2 5" xfId="290" xr:uid="{00000000-0005-0000-0000-0000A2000000}"/>
    <cellStyle name="40% - Accent3 2 6" xfId="291" xr:uid="{00000000-0005-0000-0000-0000A3000000}"/>
    <cellStyle name="40% - Accent3 2 7" xfId="292" xr:uid="{00000000-0005-0000-0000-0000A4000000}"/>
    <cellStyle name="40% - Accent3 3" xfId="293" xr:uid="{00000000-0005-0000-0000-0000A5000000}"/>
    <cellStyle name="40% - Accent3 4" xfId="294" xr:uid="{00000000-0005-0000-0000-0000A6000000}"/>
    <cellStyle name="40% - Accent3 5" xfId="295" xr:uid="{00000000-0005-0000-0000-0000A7000000}"/>
    <cellStyle name="40% - Accent3 6" xfId="296" xr:uid="{00000000-0005-0000-0000-0000A8000000}"/>
    <cellStyle name="40% - Accent3 7" xfId="297" xr:uid="{00000000-0005-0000-0000-0000A9000000}"/>
    <cellStyle name="40% - Accent3 8" xfId="298" xr:uid="{00000000-0005-0000-0000-0000AA000000}"/>
    <cellStyle name="40% - Accent3 9" xfId="299" xr:uid="{00000000-0005-0000-0000-0000AB000000}"/>
    <cellStyle name="40% - Accent4 10" xfId="300" xr:uid="{00000000-0005-0000-0000-0000AC000000}"/>
    <cellStyle name="40% - Accent4 11" xfId="301" xr:uid="{00000000-0005-0000-0000-0000AD000000}"/>
    <cellStyle name="40% - Accent4 12" xfId="302" xr:uid="{00000000-0005-0000-0000-0000AE000000}"/>
    <cellStyle name="40% - Accent4 13" xfId="303" xr:uid="{00000000-0005-0000-0000-0000AF000000}"/>
    <cellStyle name="40% - Accent4 2" xfId="304" xr:uid="{00000000-0005-0000-0000-0000B0000000}"/>
    <cellStyle name="40% - Accent4 2 2" xfId="305" xr:uid="{00000000-0005-0000-0000-0000B1000000}"/>
    <cellStyle name="40% - Accent4 2 3" xfId="306" xr:uid="{00000000-0005-0000-0000-0000B2000000}"/>
    <cellStyle name="40% - Accent4 2 4" xfId="307" xr:uid="{00000000-0005-0000-0000-0000B3000000}"/>
    <cellStyle name="40% - Accent4 2 5" xfId="308" xr:uid="{00000000-0005-0000-0000-0000B4000000}"/>
    <cellStyle name="40% - Accent4 2 6" xfId="309" xr:uid="{00000000-0005-0000-0000-0000B5000000}"/>
    <cellStyle name="40% - Accent4 2 7" xfId="310" xr:uid="{00000000-0005-0000-0000-0000B6000000}"/>
    <cellStyle name="40% - Accent4 3" xfId="311" xr:uid="{00000000-0005-0000-0000-0000B7000000}"/>
    <cellStyle name="40% - Accent4 4" xfId="312" xr:uid="{00000000-0005-0000-0000-0000B8000000}"/>
    <cellStyle name="40% - Accent4 5" xfId="313" xr:uid="{00000000-0005-0000-0000-0000B9000000}"/>
    <cellStyle name="40% - Accent4 6" xfId="314" xr:uid="{00000000-0005-0000-0000-0000BA000000}"/>
    <cellStyle name="40% - Accent4 7" xfId="315" xr:uid="{00000000-0005-0000-0000-0000BB000000}"/>
    <cellStyle name="40% - Accent4 8" xfId="316" xr:uid="{00000000-0005-0000-0000-0000BC000000}"/>
    <cellStyle name="40% - Accent4 9" xfId="317" xr:uid="{00000000-0005-0000-0000-0000BD000000}"/>
    <cellStyle name="40% - Accent5 10" xfId="318" xr:uid="{00000000-0005-0000-0000-0000BE000000}"/>
    <cellStyle name="40% - Accent5 11" xfId="319" xr:uid="{00000000-0005-0000-0000-0000BF000000}"/>
    <cellStyle name="40% - Accent5 12" xfId="320" xr:uid="{00000000-0005-0000-0000-0000C0000000}"/>
    <cellStyle name="40% - Accent5 13" xfId="321" xr:uid="{00000000-0005-0000-0000-0000C1000000}"/>
    <cellStyle name="40% - Accent5 2" xfId="322" xr:uid="{00000000-0005-0000-0000-0000C2000000}"/>
    <cellStyle name="40% - Accent5 2 2" xfId="323" xr:uid="{00000000-0005-0000-0000-0000C3000000}"/>
    <cellStyle name="40% - Accent5 2 3" xfId="324" xr:uid="{00000000-0005-0000-0000-0000C4000000}"/>
    <cellStyle name="40% - Accent5 2 4" xfId="325" xr:uid="{00000000-0005-0000-0000-0000C5000000}"/>
    <cellStyle name="40% - Accent5 2 5" xfId="326" xr:uid="{00000000-0005-0000-0000-0000C6000000}"/>
    <cellStyle name="40% - Accent5 2 6" xfId="327" xr:uid="{00000000-0005-0000-0000-0000C7000000}"/>
    <cellStyle name="40% - Accent5 2 7" xfId="328" xr:uid="{00000000-0005-0000-0000-0000C8000000}"/>
    <cellStyle name="40% - Accent5 3" xfId="329" xr:uid="{00000000-0005-0000-0000-0000C9000000}"/>
    <cellStyle name="40% - Accent5 4" xfId="330" xr:uid="{00000000-0005-0000-0000-0000CA000000}"/>
    <cellStyle name="40% - Accent5 5" xfId="331" xr:uid="{00000000-0005-0000-0000-0000CB000000}"/>
    <cellStyle name="40% - Accent5 6" xfId="332" xr:uid="{00000000-0005-0000-0000-0000CC000000}"/>
    <cellStyle name="40% - Accent5 7" xfId="333" xr:uid="{00000000-0005-0000-0000-0000CD000000}"/>
    <cellStyle name="40% - Accent5 8" xfId="334" xr:uid="{00000000-0005-0000-0000-0000CE000000}"/>
    <cellStyle name="40% - Accent5 9" xfId="335" xr:uid="{00000000-0005-0000-0000-0000CF000000}"/>
    <cellStyle name="40% - Accent6 10" xfId="336" xr:uid="{00000000-0005-0000-0000-0000D0000000}"/>
    <cellStyle name="40% - Accent6 11" xfId="337" xr:uid="{00000000-0005-0000-0000-0000D1000000}"/>
    <cellStyle name="40% - Accent6 12" xfId="338" xr:uid="{00000000-0005-0000-0000-0000D2000000}"/>
    <cellStyle name="40% - Accent6 13" xfId="339" xr:uid="{00000000-0005-0000-0000-0000D3000000}"/>
    <cellStyle name="40% - Accent6 2" xfId="340" xr:uid="{00000000-0005-0000-0000-0000D4000000}"/>
    <cellStyle name="40% - Accent6 2 2" xfId="341" xr:uid="{00000000-0005-0000-0000-0000D5000000}"/>
    <cellStyle name="40% - Accent6 2 3" xfId="342" xr:uid="{00000000-0005-0000-0000-0000D6000000}"/>
    <cellStyle name="40% - Accent6 2 4" xfId="343" xr:uid="{00000000-0005-0000-0000-0000D7000000}"/>
    <cellStyle name="40% - Accent6 2 5" xfId="344" xr:uid="{00000000-0005-0000-0000-0000D8000000}"/>
    <cellStyle name="40% - Accent6 2 6" xfId="345" xr:uid="{00000000-0005-0000-0000-0000D9000000}"/>
    <cellStyle name="40% - Accent6 2 7" xfId="346" xr:uid="{00000000-0005-0000-0000-0000DA000000}"/>
    <cellStyle name="40% - Accent6 3" xfId="347" xr:uid="{00000000-0005-0000-0000-0000DB000000}"/>
    <cellStyle name="40% - Accent6 4" xfId="348" xr:uid="{00000000-0005-0000-0000-0000DC000000}"/>
    <cellStyle name="40% - Accent6 5" xfId="349" xr:uid="{00000000-0005-0000-0000-0000DD000000}"/>
    <cellStyle name="40% - Accent6 6" xfId="350" xr:uid="{00000000-0005-0000-0000-0000DE000000}"/>
    <cellStyle name="40% - Accent6 7" xfId="351" xr:uid="{00000000-0005-0000-0000-0000DF000000}"/>
    <cellStyle name="40% - Accent6 8" xfId="352" xr:uid="{00000000-0005-0000-0000-0000E0000000}"/>
    <cellStyle name="40% - Accent6 9" xfId="353" xr:uid="{00000000-0005-0000-0000-0000E1000000}"/>
    <cellStyle name="60% - Accent1 10" xfId="354" xr:uid="{00000000-0005-0000-0000-0000E2000000}"/>
    <cellStyle name="60% - Accent1 11" xfId="355" xr:uid="{00000000-0005-0000-0000-0000E3000000}"/>
    <cellStyle name="60% - Accent1 12" xfId="356" xr:uid="{00000000-0005-0000-0000-0000E4000000}"/>
    <cellStyle name="60% - Accent1 13" xfId="357" xr:uid="{00000000-0005-0000-0000-0000E5000000}"/>
    <cellStyle name="60% - Accent1 2" xfId="358" xr:uid="{00000000-0005-0000-0000-0000E6000000}"/>
    <cellStyle name="60% - Accent1 2 2" xfId="359" xr:uid="{00000000-0005-0000-0000-0000E7000000}"/>
    <cellStyle name="60% - Accent1 2 3" xfId="360" xr:uid="{00000000-0005-0000-0000-0000E8000000}"/>
    <cellStyle name="60% - Accent1 2 4" xfId="361" xr:uid="{00000000-0005-0000-0000-0000E9000000}"/>
    <cellStyle name="60% - Accent1 2 5" xfId="362" xr:uid="{00000000-0005-0000-0000-0000EA000000}"/>
    <cellStyle name="60% - Accent1 2 6" xfId="363" xr:uid="{00000000-0005-0000-0000-0000EB000000}"/>
    <cellStyle name="60% - Accent1 2 7" xfId="364" xr:uid="{00000000-0005-0000-0000-0000EC000000}"/>
    <cellStyle name="60% - Accent1 3" xfId="365" xr:uid="{00000000-0005-0000-0000-0000ED000000}"/>
    <cellStyle name="60% - Accent1 4" xfId="366" xr:uid="{00000000-0005-0000-0000-0000EE000000}"/>
    <cellStyle name="60% - Accent1 5" xfId="367" xr:uid="{00000000-0005-0000-0000-0000EF000000}"/>
    <cellStyle name="60% - Accent1 6" xfId="368" xr:uid="{00000000-0005-0000-0000-0000F0000000}"/>
    <cellStyle name="60% - Accent1 7" xfId="369" xr:uid="{00000000-0005-0000-0000-0000F1000000}"/>
    <cellStyle name="60% - Accent1 8" xfId="370" xr:uid="{00000000-0005-0000-0000-0000F2000000}"/>
    <cellStyle name="60% - Accent1 9" xfId="371" xr:uid="{00000000-0005-0000-0000-0000F3000000}"/>
    <cellStyle name="60% - Accent2 10" xfId="372" xr:uid="{00000000-0005-0000-0000-0000F4000000}"/>
    <cellStyle name="60% - Accent2 11" xfId="373" xr:uid="{00000000-0005-0000-0000-0000F5000000}"/>
    <cellStyle name="60% - Accent2 12" xfId="374" xr:uid="{00000000-0005-0000-0000-0000F6000000}"/>
    <cellStyle name="60% - Accent2 13" xfId="375" xr:uid="{00000000-0005-0000-0000-0000F7000000}"/>
    <cellStyle name="60% - Accent2 2" xfId="376" xr:uid="{00000000-0005-0000-0000-0000F8000000}"/>
    <cellStyle name="60% - Accent2 2 2" xfId="377" xr:uid="{00000000-0005-0000-0000-0000F9000000}"/>
    <cellStyle name="60% - Accent2 2 3" xfId="378" xr:uid="{00000000-0005-0000-0000-0000FA000000}"/>
    <cellStyle name="60% - Accent2 2 4" xfId="379" xr:uid="{00000000-0005-0000-0000-0000FB000000}"/>
    <cellStyle name="60% - Accent2 2 5" xfId="380" xr:uid="{00000000-0005-0000-0000-0000FC000000}"/>
    <cellStyle name="60% - Accent2 2 6" xfId="381" xr:uid="{00000000-0005-0000-0000-0000FD000000}"/>
    <cellStyle name="60% - Accent2 2 7" xfId="382" xr:uid="{00000000-0005-0000-0000-0000FE000000}"/>
    <cellStyle name="60% - Accent2 3" xfId="383" xr:uid="{00000000-0005-0000-0000-0000FF000000}"/>
    <cellStyle name="60% - Accent2 4" xfId="384" xr:uid="{00000000-0005-0000-0000-000000010000}"/>
    <cellStyle name="60% - Accent2 5" xfId="385" xr:uid="{00000000-0005-0000-0000-000001010000}"/>
    <cellStyle name="60% - Accent2 6" xfId="386" xr:uid="{00000000-0005-0000-0000-000002010000}"/>
    <cellStyle name="60% - Accent2 7" xfId="387" xr:uid="{00000000-0005-0000-0000-000003010000}"/>
    <cellStyle name="60% - Accent2 8" xfId="388" xr:uid="{00000000-0005-0000-0000-000004010000}"/>
    <cellStyle name="60% - Accent2 9" xfId="389" xr:uid="{00000000-0005-0000-0000-000005010000}"/>
    <cellStyle name="60% - Accent3 10" xfId="390" xr:uid="{00000000-0005-0000-0000-000006010000}"/>
    <cellStyle name="60% - Accent3 11" xfId="391" xr:uid="{00000000-0005-0000-0000-000007010000}"/>
    <cellStyle name="60% - Accent3 12" xfId="392" xr:uid="{00000000-0005-0000-0000-000008010000}"/>
    <cellStyle name="60% - Accent3 13" xfId="393" xr:uid="{00000000-0005-0000-0000-000009010000}"/>
    <cellStyle name="60% - Accent3 2" xfId="394" xr:uid="{00000000-0005-0000-0000-00000A010000}"/>
    <cellStyle name="60% - Accent3 2 2" xfId="395" xr:uid="{00000000-0005-0000-0000-00000B010000}"/>
    <cellStyle name="60% - Accent3 2 3" xfId="396" xr:uid="{00000000-0005-0000-0000-00000C010000}"/>
    <cellStyle name="60% - Accent3 2 4" xfId="397" xr:uid="{00000000-0005-0000-0000-00000D010000}"/>
    <cellStyle name="60% - Accent3 2 5" xfId="398" xr:uid="{00000000-0005-0000-0000-00000E010000}"/>
    <cellStyle name="60% - Accent3 2 6" xfId="399" xr:uid="{00000000-0005-0000-0000-00000F010000}"/>
    <cellStyle name="60% - Accent3 2 7" xfId="400" xr:uid="{00000000-0005-0000-0000-000010010000}"/>
    <cellStyle name="60% - Accent3 3" xfId="401" xr:uid="{00000000-0005-0000-0000-000011010000}"/>
    <cellStyle name="60% - Accent3 4" xfId="402" xr:uid="{00000000-0005-0000-0000-000012010000}"/>
    <cellStyle name="60% - Accent3 5" xfId="403" xr:uid="{00000000-0005-0000-0000-000013010000}"/>
    <cellStyle name="60% - Accent3 6" xfId="404" xr:uid="{00000000-0005-0000-0000-000014010000}"/>
    <cellStyle name="60% - Accent3 7" xfId="405" xr:uid="{00000000-0005-0000-0000-000015010000}"/>
    <cellStyle name="60% - Accent3 8" xfId="406" xr:uid="{00000000-0005-0000-0000-000016010000}"/>
    <cellStyle name="60% - Accent3 9" xfId="407" xr:uid="{00000000-0005-0000-0000-000017010000}"/>
    <cellStyle name="60% - Accent4 10" xfId="408" xr:uid="{00000000-0005-0000-0000-000018010000}"/>
    <cellStyle name="60% - Accent4 11" xfId="409" xr:uid="{00000000-0005-0000-0000-000019010000}"/>
    <cellStyle name="60% - Accent4 12" xfId="410" xr:uid="{00000000-0005-0000-0000-00001A010000}"/>
    <cellStyle name="60% - Accent4 13" xfId="411" xr:uid="{00000000-0005-0000-0000-00001B010000}"/>
    <cellStyle name="60% - Accent4 2" xfId="412" xr:uid="{00000000-0005-0000-0000-00001C010000}"/>
    <cellStyle name="60% - Accent4 2 2" xfId="413" xr:uid="{00000000-0005-0000-0000-00001D010000}"/>
    <cellStyle name="60% - Accent4 2 3" xfId="414" xr:uid="{00000000-0005-0000-0000-00001E010000}"/>
    <cellStyle name="60% - Accent4 2 4" xfId="415" xr:uid="{00000000-0005-0000-0000-00001F010000}"/>
    <cellStyle name="60% - Accent4 2 5" xfId="416" xr:uid="{00000000-0005-0000-0000-000020010000}"/>
    <cellStyle name="60% - Accent4 2 6" xfId="417" xr:uid="{00000000-0005-0000-0000-000021010000}"/>
    <cellStyle name="60% - Accent4 2 7" xfId="418" xr:uid="{00000000-0005-0000-0000-000022010000}"/>
    <cellStyle name="60% - Accent4 3" xfId="419" xr:uid="{00000000-0005-0000-0000-000023010000}"/>
    <cellStyle name="60% - Accent4 4" xfId="420" xr:uid="{00000000-0005-0000-0000-000024010000}"/>
    <cellStyle name="60% - Accent4 5" xfId="421" xr:uid="{00000000-0005-0000-0000-000025010000}"/>
    <cellStyle name="60% - Accent4 6" xfId="422" xr:uid="{00000000-0005-0000-0000-000026010000}"/>
    <cellStyle name="60% - Accent4 7" xfId="423" xr:uid="{00000000-0005-0000-0000-000027010000}"/>
    <cellStyle name="60% - Accent4 8" xfId="424" xr:uid="{00000000-0005-0000-0000-000028010000}"/>
    <cellStyle name="60% - Accent4 9" xfId="425" xr:uid="{00000000-0005-0000-0000-000029010000}"/>
    <cellStyle name="60% - Accent5 10" xfId="426" xr:uid="{00000000-0005-0000-0000-00002A010000}"/>
    <cellStyle name="60% - Accent5 11" xfId="427" xr:uid="{00000000-0005-0000-0000-00002B010000}"/>
    <cellStyle name="60% - Accent5 12" xfId="428" xr:uid="{00000000-0005-0000-0000-00002C010000}"/>
    <cellStyle name="60% - Accent5 13" xfId="429" xr:uid="{00000000-0005-0000-0000-00002D010000}"/>
    <cellStyle name="60% - Accent5 2" xfId="430" xr:uid="{00000000-0005-0000-0000-00002E010000}"/>
    <cellStyle name="60% - Accent5 2 2" xfId="431" xr:uid="{00000000-0005-0000-0000-00002F010000}"/>
    <cellStyle name="60% - Accent5 2 3" xfId="432" xr:uid="{00000000-0005-0000-0000-000030010000}"/>
    <cellStyle name="60% - Accent5 2 4" xfId="433" xr:uid="{00000000-0005-0000-0000-000031010000}"/>
    <cellStyle name="60% - Accent5 2 5" xfId="434" xr:uid="{00000000-0005-0000-0000-000032010000}"/>
    <cellStyle name="60% - Accent5 2 6" xfId="435" xr:uid="{00000000-0005-0000-0000-000033010000}"/>
    <cellStyle name="60% - Accent5 2 7" xfId="436" xr:uid="{00000000-0005-0000-0000-000034010000}"/>
    <cellStyle name="60% - Accent5 3" xfId="437" xr:uid="{00000000-0005-0000-0000-000035010000}"/>
    <cellStyle name="60% - Accent5 4" xfId="438" xr:uid="{00000000-0005-0000-0000-000036010000}"/>
    <cellStyle name="60% - Accent5 5" xfId="439" xr:uid="{00000000-0005-0000-0000-000037010000}"/>
    <cellStyle name="60% - Accent5 6" xfId="440" xr:uid="{00000000-0005-0000-0000-000038010000}"/>
    <cellStyle name="60% - Accent5 7" xfId="441" xr:uid="{00000000-0005-0000-0000-000039010000}"/>
    <cellStyle name="60% - Accent5 8" xfId="442" xr:uid="{00000000-0005-0000-0000-00003A010000}"/>
    <cellStyle name="60% - Accent5 9" xfId="443" xr:uid="{00000000-0005-0000-0000-00003B010000}"/>
    <cellStyle name="60% - Accent6 10" xfId="444" xr:uid="{00000000-0005-0000-0000-00003C010000}"/>
    <cellStyle name="60% - Accent6 11" xfId="445" xr:uid="{00000000-0005-0000-0000-00003D010000}"/>
    <cellStyle name="60% - Accent6 12" xfId="446" xr:uid="{00000000-0005-0000-0000-00003E010000}"/>
    <cellStyle name="60% - Accent6 13" xfId="447" xr:uid="{00000000-0005-0000-0000-00003F010000}"/>
    <cellStyle name="60% - Accent6 2" xfId="448" xr:uid="{00000000-0005-0000-0000-000040010000}"/>
    <cellStyle name="60% - Accent6 2 2" xfId="449" xr:uid="{00000000-0005-0000-0000-000041010000}"/>
    <cellStyle name="60% - Accent6 2 3" xfId="450" xr:uid="{00000000-0005-0000-0000-000042010000}"/>
    <cellStyle name="60% - Accent6 2 4" xfId="451" xr:uid="{00000000-0005-0000-0000-000043010000}"/>
    <cellStyle name="60% - Accent6 2 5" xfId="452" xr:uid="{00000000-0005-0000-0000-000044010000}"/>
    <cellStyle name="60% - Accent6 2 6" xfId="453" xr:uid="{00000000-0005-0000-0000-000045010000}"/>
    <cellStyle name="60% - Accent6 2 7" xfId="454" xr:uid="{00000000-0005-0000-0000-000046010000}"/>
    <cellStyle name="60% - Accent6 3" xfId="455" xr:uid="{00000000-0005-0000-0000-000047010000}"/>
    <cellStyle name="60% - Accent6 4" xfId="456" xr:uid="{00000000-0005-0000-0000-000048010000}"/>
    <cellStyle name="60% - Accent6 5" xfId="457" xr:uid="{00000000-0005-0000-0000-000049010000}"/>
    <cellStyle name="60% - Accent6 6" xfId="458" xr:uid="{00000000-0005-0000-0000-00004A010000}"/>
    <cellStyle name="60% - Accent6 7" xfId="459" xr:uid="{00000000-0005-0000-0000-00004B010000}"/>
    <cellStyle name="60% - Accent6 8" xfId="460" xr:uid="{00000000-0005-0000-0000-00004C010000}"/>
    <cellStyle name="60% - Accent6 9" xfId="461" xr:uid="{00000000-0005-0000-0000-00004D010000}"/>
    <cellStyle name="Accent1 10" xfId="462" xr:uid="{00000000-0005-0000-0000-00004E010000}"/>
    <cellStyle name="Accent1 11" xfId="463" xr:uid="{00000000-0005-0000-0000-00004F010000}"/>
    <cellStyle name="Accent1 12" xfId="464" xr:uid="{00000000-0005-0000-0000-000050010000}"/>
    <cellStyle name="Accent1 13" xfId="465" xr:uid="{00000000-0005-0000-0000-000051010000}"/>
    <cellStyle name="Accent1 2" xfId="466" xr:uid="{00000000-0005-0000-0000-000052010000}"/>
    <cellStyle name="Accent1 2 2" xfId="467" xr:uid="{00000000-0005-0000-0000-000053010000}"/>
    <cellStyle name="Accent1 2 3" xfId="468" xr:uid="{00000000-0005-0000-0000-000054010000}"/>
    <cellStyle name="Accent1 2 4" xfId="469" xr:uid="{00000000-0005-0000-0000-000055010000}"/>
    <cellStyle name="Accent1 2 5" xfId="470" xr:uid="{00000000-0005-0000-0000-000056010000}"/>
    <cellStyle name="Accent1 2 6" xfId="471" xr:uid="{00000000-0005-0000-0000-000057010000}"/>
    <cellStyle name="Accent1 2 7" xfId="472" xr:uid="{00000000-0005-0000-0000-000058010000}"/>
    <cellStyle name="Accent1 3" xfId="473" xr:uid="{00000000-0005-0000-0000-000059010000}"/>
    <cellStyle name="Accent1 4" xfId="474" xr:uid="{00000000-0005-0000-0000-00005A010000}"/>
    <cellStyle name="Accent1 5" xfId="475" xr:uid="{00000000-0005-0000-0000-00005B010000}"/>
    <cellStyle name="Accent1 6" xfId="476" xr:uid="{00000000-0005-0000-0000-00005C010000}"/>
    <cellStyle name="Accent1 7" xfId="477" xr:uid="{00000000-0005-0000-0000-00005D010000}"/>
    <cellStyle name="Accent1 8" xfId="478" xr:uid="{00000000-0005-0000-0000-00005E010000}"/>
    <cellStyle name="Accent1 9" xfId="479" xr:uid="{00000000-0005-0000-0000-00005F010000}"/>
    <cellStyle name="Accent2 10" xfId="480" xr:uid="{00000000-0005-0000-0000-000060010000}"/>
    <cellStyle name="Accent2 11" xfId="481" xr:uid="{00000000-0005-0000-0000-000061010000}"/>
    <cellStyle name="Accent2 12" xfId="482" xr:uid="{00000000-0005-0000-0000-000062010000}"/>
    <cellStyle name="Accent2 13" xfId="483" xr:uid="{00000000-0005-0000-0000-000063010000}"/>
    <cellStyle name="Accent2 2" xfId="484" xr:uid="{00000000-0005-0000-0000-000064010000}"/>
    <cellStyle name="Accent2 2 2" xfId="485" xr:uid="{00000000-0005-0000-0000-000065010000}"/>
    <cellStyle name="Accent2 2 3" xfId="486" xr:uid="{00000000-0005-0000-0000-000066010000}"/>
    <cellStyle name="Accent2 2 4" xfId="487" xr:uid="{00000000-0005-0000-0000-000067010000}"/>
    <cellStyle name="Accent2 2 5" xfId="488" xr:uid="{00000000-0005-0000-0000-000068010000}"/>
    <cellStyle name="Accent2 2 6" xfId="489" xr:uid="{00000000-0005-0000-0000-000069010000}"/>
    <cellStyle name="Accent2 2 7" xfId="490" xr:uid="{00000000-0005-0000-0000-00006A010000}"/>
    <cellStyle name="Accent2 3" xfId="491" xr:uid="{00000000-0005-0000-0000-00006B010000}"/>
    <cellStyle name="Accent2 4" xfId="492" xr:uid="{00000000-0005-0000-0000-00006C010000}"/>
    <cellStyle name="Accent2 5" xfId="493" xr:uid="{00000000-0005-0000-0000-00006D010000}"/>
    <cellStyle name="Accent2 6" xfId="494" xr:uid="{00000000-0005-0000-0000-00006E010000}"/>
    <cellStyle name="Accent2 7" xfId="495" xr:uid="{00000000-0005-0000-0000-00006F010000}"/>
    <cellStyle name="Accent2 8" xfId="496" xr:uid="{00000000-0005-0000-0000-000070010000}"/>
    <cellStyle name="Accent2 9" xfId="497" xr:uid="{00000000-0005-0000-0000-000071010000}"/>
    <cellStyle name="Accent3 10" xfId="498" xr:uid="{00000000-0005-0000-0000-000072010000}"/>
    <cellStyle name="Accent3 11" xfId="499" xr:uid="{00000000-0005-0000-0000-000073010000}"/>
    <cellStyle name="Accent3 12" xfId="500" xr:uid="{00000000-0005-0000-0000-000074010000}"/>
    <cellStyle name="Accent3 13" xfId="501" xr:uid="{00000000-0005-0000-0000-000075010000}"/>
    <cellStyle name="Accent3 2" xfId="3" xr:uid="{00000000-0005-0000-0000-000076010000}"/>
    <cellStyle name="Accent3 2 2" xfId="502" xr:uid="{00000000-0005-0000-0000-000077010000}"/>
    <cellStyle name="Accent3 2 3" xfId="503" xr:uid="{00000000-0005-0000-0000-000078010000}"/>
    <cellStyle name="Accent3 2 4" xfId="504" xr:uid="{00000000-0005-0000-0000-000079010000}"/>
    <cellStyle name="Accent3 2 5" xfId="505" xr:uid="{00000000-0005-0000-0000-00007A010000}"/>
    <cellStyle name="Accent3 2 6" xfId="506" xr:uid="{00000000-0005-0000-0000-00007B010000}"/>
    <cellStyle name="Accent3 2 7" xfId="507" xr:uid="{00000000-0005-0000-0000-00007C010000}"/>
    <cellStyle name="Accent3 2 8" xfId="508" xr:uid="{00000000-0005-0000-0000-00007D010000}"/>
    <cellStyle name="Accent3 3" xfId="509" xr:uid="{00000000-0005-0000-0000-00007E010000}"/>
    <cellStyle name="Accent3 4" xfId="510" xr:uid="{00000000-0005-0000-0000-00007F010000}"/>
    <cellStyle name="Accent3 5" xfId="511" xr:uid="{00000000-0005-0000-0000-000080010000}"/>
    <cellStyle name="Accent3 6" xfId="512" xr:uid="{00000000-0005-0000-0000-000081010000}"/>
    <cellStyle name="Accent3 7" xfId="513" xr:uid="{00000000-0005-0000-0000-000082010000}"/>
    <cellStyle name="Accent3 8" xfId="514" xr:uid="{00000000-0005-0000-0000-000083010000}"/>
    <cellStyle name="Accent3 9" xfId="515" xr:uid="{00000000-0005-0000-0000-000084010000}"/>
    <cellStyle name="Accent4 10" xfId="516" xr:uid="{00000000-0005-0000-0000-000085010000}"/>
    <cellStyle name="Accent4 11" xfId="517" xr:uid="{00000000-0005-0000-0000-000086010000}"/>
    <cellStyle name="Accent4 12" xfId="518" xr:uid="{00000000-0005-0000-0000-000087010000}"/>
    <cellStyle name="Accent4 13" xfId="519" xr:uid="{00000000-0005-0000-0000-000088010000}"/>
    <cellStyle name="Accent4 2" xfId="520" xr:uid="{00000000-0005-0000-0000-000089010000}"/>
    <cellStyle name="Accent4 2 2" xfId="521" xr:uid="{00000000-0005-0000-0000-00008A010000}"/>
    <cellStyle name="Accent4 2 3" xfId="522" xr:uid="{00000000-0005-0000-0000-00008B010000}"/>
    <cellStyle name="Accent4 2 4" xfId="523" xr:uid="{00000000-0005-0000-0000-00008C010000}"/>
    <cellStyle name="Accent4 2 5" xfId="524" xr:uid="{00000000-0005-0000-0000-00008D010000}"/>
    <cellStyle name="Accent4 2 6" xfId="525" xr:uid="{00000000-0005-0000-0000-00008E010000}"/>
    <cellStyle name="Accent4 2 7" xfId="526" xr:uid="{00000000-0005-0000-0000-00008F010000}"/>
    <cellStyle name="Accent4 3" xfId="527" xr:uid="{00000000-0005-0000-0000-000090010000}"/>
    <cellStyle name="Accent4 4" xfId="528" xr:uid="{00000000-0005-0000-0000-000091010000}"/>
    <cellStyle name="Accent4 5" xfId="529" xr:uid="{00000000-0005-0000-0000-000092010000}"/>
    <cellStyle name="Accent4 6" xfId="530" xr:uid="{00000000-0005-0000-0000-000093010000}"/>
    <cellStyle name="Accent4 7" xfId="531" xr:uid="{00000000-0005-0000-0000-000094010000}"/>
    <cellStyle name="Accent4 8" xfId="532" xr:uid="{00000000-0005-0000-0000-000095010000}"/>
    <cellStyle name="Accent4 9" xfId="533" xr:uid="{00000000-0005-0000-0000-000096010000}"/>
    <cellStyle name="Accent5 10" xfId="534" xr:uid="{00000000-0005-0000-0000-000097010000}"/>
    <cellStyle name="Accent5 11" xfId="535" xr:uid="{00000000-0005-0000-0000-000098010000}"/>
    <cellStyle name="Accent5 12" xfId="536" xr:uid="{00000000-0005-0000-0000-000099010000}"/>
    <cellStyle name="Accent5 13" xfId="537" xr:uid="{00000000-0005-0000-0000-00009A010000}"/>
    <cellStyle name="Accent5 2" xfId="127" xr:uid="{00000000-0005-0000-0000-00009B010000}"/>
    <cellStyle name="Accent5 2 2" xfId="538" xr:uid="{00000000-0005-0000-0000-00009C010000}"/>
    <cellStyle name="Accent5 2 3" xfId="539" xr:uid="{00000000-0005-0000-0000-00009D010000}"/>
    <cellStyle name="Accent5 2 4" xfId="540" xr:uid="{00000000-0005-0000-0000-00009E010000}"/>
    <cellStyle name="Accent5 2 5" xfId="541" xr:uid="{00000000-0005-0000-0000-00009F010000}"/>
    <cellStyle name="Accent5 2 6" xfId="542" xr:uid="{00000000-0005-0000-0000-0000A0010000}"/>
    <cellStyle name="Accent5 2 7" xfId="543" xr:uid="{00000000-0005-0000-0000-0000A1010000}"/>
    <cellStyle name="Accent5 3" xfId="544" xr:uid="{00000000-0005-0000-0000-0000A2010000}"/>
    <cellStyle name="Accent5 4" xfId="545" xr:uid="{00000000-0005-0000-0000-0000A3010000}"/>
    <cellStyle name="Accent5 5" xfId="546" xr:uid="{00000000-0005-0000-0000-0000A4010000}"/>
    <cellStyle name="Accent5 6" xfId="547" xr:uid="{00000000-0005-0000-0000-0000A5010000}"/>
    <cellStyle name="Accent5 7" xfId="548" xr:uid="{00000000-0005-0000-0000-0000A6010000}"/>
    <cellStyle name="Accent5 8" xfId="549" xr:uid="{00000000-0005-0000-0000-0000A7010000}"/>
    <cellStyle name="Accent5 9" xfId="550" xr:uid="{00000000-0005-0000-0000-0000A8010000}"/>
    <cellStyle name="Accent6 10" xfId="551" xr:uid="{00000000-0005-0000-0000-0000A9010000}"/>
    <cellStyle name="Accent6 11" xfId="552" xr:uid="{00000000-0005-0000-0000-0000AA010000}"/>
    <cellStyle name="Accent6 12" xfId="553" xr:uid="{00000000-0005-0000-0000-0000AB010000}"/>
    <cellStyle name="Accent6 13" xfId="554" xr:uid="{00000000-0005-0000-0000-0000AC010000}"/>
    <cellStyle name="Accent6 2" xfId="126" xr:uid="{00000000-0005-0000-0000-0000AD010000}"/>
    <cellStyle name="Accent6 2 2" xfId="555" xr:uid="{00000000-0005-0000-0000-0000AE010000}"/>
    <cellStyle name="Accent6 2 3" xfId="556" xr:uid="{00000000-0005-0000-0000-0000AF010000}"/>
    <cellStyle name="Accent6 2 4" xfId="557" xr:uid="{00000000-0005-0000-0000-0000B0010000}"/>
    <cellStyle name="Accent6 2 5" xfId="558" xr:uid="{00000000-0005-0000-0000-0000B1010000}"/>
    <cellStyle name="Accent6 2 6" xfId="559" xr:uid="{00000000-0005-0000-0000-0000B2010000}"/>
    <cellStyle name="Accent6 2 7" xfId="560" xr:uid="{00000000-0005-0000-0000-0000B3010000}"/>
    <cellStyle name="Accent6 3" xfId="561" xr:uid="{00000000-0005-0000-0000-0000B4010000}"/>
    <cellStyle name="Accent6 4" xfId="562" xr:uid="{00000000-0005-0000-0000-0000B5010000}"/>
    <cellStyle name="Accent6 5" xfId="563" xr:uid="{00000000-0005-0000-0000-0000B6010000}"/>
    <cellStyle name="Accent6 6" xfId="564" xr:uid="{00000000-0005-0000-0000-0000B7010000}"/>
    <cellStyle name="Accent6 7" xfId="565" xr:uid="{00000000-0005-0000-0000-0000B8010000}"/>
    <cellStyle name="Accent6 8" xfId="566" xr:uid="{00000000-0005-0000-0000-0000B9010000}"/>
    <cellStyle name="Accent6 9" xfId="567" xr:uid="{00000000-0005-0000-0000-0000BA010000}"/>
    <cellStyle name="Bad 10" xfId="568" xr:uid="{00000000-0005-0000-0000-0000BB010000}"/>
    <cellStyle name="Bad 11" xfId="569" xr:uid="{00000000-0005-0000-0000-0000BC010000}"/>
    <cellStyle name="Bad 12" xfId="570" xr:uid="{00000000-0005-0000-0000-0000BD010000}"/>
    <cellStyle name="Bad 13" xfId="571" xr:uid="{00000000-0005-0000-0000-0000BE010000}"/>
    <cellStyle name="Bad 2" xfId="572" xr:uid="{00000000-0005-0000-0000-0000BF010000}"/>
    <cellStyle name="Bad 2 2" xfId="573" xr:uid="{00000000-0005-0000-0000-0000C0010000}"/>
    <cellStyle name="Bad 2 3" xfId="574" xr:uid="{00000000-0005-0000-0000-0000C1010000}"/>
    <cellStyle name="Bad 2 4" xfId="575" xr:uid="{00000000-0005-0000-0000-0000C2010000}"/>
    <cellStyle name="Bad 2 5" xfId="576" xr:uid="{00000000-0005-0000-0000-0000C3010000}"/>
    <cellStyle name="Bad 2 6" xfId="577" xr:uid="{00000000-0005-0000-0000-0000C4010000}"/>
    <cellStyle name="Bad 2 7" xfId="578" xr:uid="{00000000-0005-0000-0000-0000C5010000}"/>
    <cellStyle name="Bad 3" xfId="579" xr:uid="{00000000-0005-0000-0000-0000C6010000}"/>
    <cellStyle name="Bad 4" xfId="580" xr:uid="{00000000-0005-0000-0000-0000C7010000}"/>
    <cellStyle name="Bad 5" xfId="581" xr:uid="{00000000-0005-0000-0000-0000C8010000}"/>
    <cellStyle name="Bad 6" xfId="582" xr:uid="{00000000-0005-0000-0000-0000C9010000}"/>
    <cellStyle name="Bad 7" xfId="583" xr:uid="{00000000-0005-0000-0000-0000CA010000}"/>
    <cellStyle name="Bad 8" xfId="584" xr:uid="{00000000-0005-0000-0000-0000CB010000}"/>
    <cellStyle name="Bad 9" xfId="585" xr:uid="{00000000-0005-0000-0000-0000CC010000}"/>
    <cellStyle name="Berekening" xfId="586" xr:uid="{00000000-0005-0000-0000-0000CD010000}"/>
    <cellStyle name="Calculation 10" xfId="587" xr:uid="{00000000-0005-0000-0000-0000CE010000}"/>
    <cellStyle name="Calculation 10 2" xfId="588" xr:uid="{00000000-0005-0000-0000-0000CF010000}"/>
    <cellStyle name="Calculation 11" xfId="589" xr:uid="{00000000-0005-0000-0000-0000D0010000}"/>
    <cellStyle name="Calculation 11 2" xfId="590" xr:uid="{00000000-0005-0000-0000-0000D1010000}"/>
    <cellStyle name="Calculation 12" xfId="591" xr:uid="{00000000-0005-0000-0000-0000D2010000}"/>
    <cellStyle name="Calculation 12 2" xfId="592" xr:uid="{00000000-0005-0000-0000-0000D3010000}"/>
    <cellStyle name="Calculation 13" xfId="593" xr:uid="{00000000-0005-0000-0000-0000D4010000}"/>
    <cellStyle name="Calculation 13 2" xfId="594" xr:uid="{00000000-0005-0000-0000-0000D5010000}"/>
    <cellStyle name="Calculation 2" xfId="595" xr:uid="{00000000-0005-0000-0000-0000D6010000}"/>
    <cellStyle name="Calculation 2 2" xfId="596" xr:uid="{00000000-0005-0000-0000-0000D7010000}"/>
    <cellStyle name="Calculation 2 2 2" xfId="597" xr:uid="{00000000-0005-0000-0000-0000D8010000}"/>
    <cellStyle name="Calculation 2 3" xfId="598" xr:uid="{00000000-0005-0000-0000-0000D9010000}"/>
    <cellStyle name="Calculation 2 3 2" xfId="599" xr:uid="{00000000-0005-0000-0000-0000DA010000}"/>
    <cellStyle name="Calculation 2 4" xfId="600" xr:uid="{00000000-0005-0000-0000-0000DB010000}"/>
    <cellStyle name="Calculation 2 4 2" xfId="601" xr:uid="{00000000-0005-0000-0000-0000DC010000}"/>
    <cellStyle name="Calculation 2 5" xfId="602" xr:uid="{00000000-0005-0000-0000-0000DD010000}"/>
    <cellStyle name="Calculation 2 5 2" xfId="603" xr:uid="{00000000-0005-0000-0000-0000DE010000}"/>
    <cellStyle name="Calculation 2 6" xfId="604" xr:uid="{00000000-0005-0000-0000-0000DF010000}"/>
    <cellStyle name="Calculation 2 6 2" xfId="605" xr:uid="{00000000-0005-0000-0000-0000E0010000}"/>
    <cellStyle name="Calculation 2 7" xfId="606" xr:uid="{00000000-0005-0000-0000-0000E1010000}"/>
    <cellStyle name="Calculation 3" xfId="607" xr:uid="{00000000-0005-0000-0000-0000E2010000}"/>
    <cellStyle name="Calculation 3 2" xfId="608" xr:uid="{00000000-0005-0000-0000-0000E3010000}"/>
    <cellStyle name="Calculation 4" xfId="609" xr:uid="{00000000-0005-0000-0000-0000E4010000}"/>
    <cellStyle name="Calculation 4 2" xfId="610" xr:uid="{00000000-0005-0000-0000-0000E5010000}"/>
    <cellStyle name="Calculation 5" xfId="611" xr:uid="{00000000-0005-0000-0000-0000E6010000}"/>
    <cellStyle name="Calculation 5 2" xfId="612" xr:uid="{00000000-0005-0000-0000-0000E7010000}"/>
    <cellStyle name="Calculation 6" xfId="613" xr:uid="{00000000-0005-0000-0000-0000E8010000}"/>
    <cellStyle name="Calculation 6 2" xfId="614" xr:uid="{00000000-0005-0000-0000-0000E9010000}"/>
    <cellStyle name="Calculation 7" xfId="615" xr:uid="{00000000-0005-0000-0000-0000EA010000}"/>
    <cellStyle name="Calculation 7 2" xfId="616" xr:uid="{00000000-0005-0000-0000-0000EB010000}"/>
    <cellStyle name="Calculation 8" xfId="617" xr:uid="{00000000-0005-0000-0000-0000EC010000}"/>
    <cellStyle name="Calculation 8 2" xfId="618" xr:uid="{00000000-0005-0000-0000-0000ED010000}"/>
    <cellStyle name="Calculation 9" xfId="619" xr:uid="{00000000-0005-0000-0000-0000EE010000}"/>
    <cellStyle name="Calculation 9 2" xfId="620" xr:uid="{00000000-0005-0000-0000-0000EF010000}"/>
    <cellStyle name="Check Cell 10" xfId="621" xr:uid="{00000000-0005-0000-0000-0000F0010000}"/>
    <cellStyle name="Check Cell 11" xfId="622" xr:uid="{00000000-0005-0000-0000-0000F1010000}"/>
    <cellStyle name="Check Cell 12" xfId="623" xr:uid="{00000000-0005-0000-0000-0000F2010000}"/>
    <cellStyle name="Check Cell 13" xfId="624" xr:uid="{00000000-0005-0000-0000-0000F3010000}"/>
    <cellStyle name="Check Cell 2" xfId="625" xr:uid="{00000000-0005-0000-0000-0000F4010000}"/>
    <cellStyle name="Check Cell 2 2" xfId="626" xr:uid="{00000000-0005-0000-0000-0000F5010000}"/>
    <cellStyle name="Check Cell 2 3" xfId="627" xr:uid="{00000000-0005-0000-0000-0000F6010000}"/>
    <cellStyle name="Check Cell 2 4" xfId="628" xr:uid="{00000000-0005-0000-0000-0000F7010000}"/>
    <cellStyle name="Check Cell 2 5" xfId="629" xr:uid="{00000000-0005-0000-0000-0000F8010000}"/>
    <cellStyle name="Check Cell 2 6" xfId="630" xr:uid="{00000000-0005-0000-0000-0000F9010000}"/>
    <cellStyle name="Check Cell 2 7" xfId="631" xr:uid="{00000000-0005-0000-0000-0000FA010000}"/>
    <cellStyle name="Check Cell 3" xfId="632" xr:uid="{00000000-0005-0000-0000-0000FB010000}"/>
    <cellStyle name="Check Cell 4" xfId="633" xr:uid="{00000000-0005-0000-0000-0000FC010000}"/>
    <cellStyle name="Check Cell 5" xfId="634" xr:uid="{00000000-0005-0000-0000-0000FD010000}"/>
    <cellStyle name="Check Cell 6" xfId="635" xr:uid="{00000000-0005-0000-0000-0000FE010000}"/>
    <cellStyle name="Check Cell 7" xfId="636" xr:uid="{00000000-0005-0000-0000-0000FF010000}"/>
    <cellStyle name="Check Cell 8" xfId="637" xr:uid="{00000000-0005-0000-0000-000000020000}"/>
    <cellStyle name="Check Cell 9" xfId="638" xr:uid="{00000000-0005-0000-0000-000001020000}"/>
    <cellStyle name="Comma" xfId="1" builtinId="3"/>
    <cellStyle name="Comma [0] 2" xfId="639" xr:uid="{00000000-0005-0000-0000-000003020000}"/>
    <cellStyle name="Comma [0] 3" xfId="640" xr:uid="{00000000-0005-0000-0000-000004020000}"/>
    <cellStyle name="Comma [0] 4" xfId="641" xr:uid="{00000000-0005-0000-0000-000005020000}"/>
    <cellStyle name="Comma [0] 5" xfId="642" xr:uid="{00000000-0005-0000-0000-000006020000}"/>
    <cellStyle name="Comma [0] 6" xfId="1464" xr:uid="{00000000-0005-0000-0000-000007020000}"/>
    <cellStyle name="Comma 10" xfId="643" xr:uid="{00000000-0005-0000-0000-000008020000}"/>
    <cellStyle name="Comma 10 2" xfId="644" xr:uid="{00000000-0005-0000-0000-000009020000}"/>
    <cellStyle name="Comma 10 2 2" xfId="645" xr:uid="{00000000-0005-0000-0000-00000A020000}"/>
    <cellStyle name="Comma 10 3" xfId="646" xr:uid="{00000000-0005-0000-0000-00000B020000}"/>
    <cellStyle name="Comma 10 3 2" xfId="647" xr:uid="{00000000-0005-0000-0000-00000C020000}"/>
    <cellStyle name="Comma 10 4" xfId="648" xr:uid="{00000000-0005-0000-0000-00000D020000}"/>
    <cellStyle name="Comma 11" xfId="649" xr:uid="{00000000-0005-0000-0000-00000E020000}"/>
    <cellStyle name="Comma 12" xfId="650" xr:uid="{00000000-0005-0000-0000-00000F020000}"/>
    <cellStyle name="Comma 13" xfId="651" xr:uid="{00000000-0005-0000-0000-000010020000}"/>
    <cellStyle name="Comma 13 2" xfId="652" xr:uid="{00000000-0005-0000-0000-000011020000}"/>
    <cellStyle name="Comma 14" xfId="653" xr:uid="{00000000-0005-0000-0000-000012020000}"/>
    <cellStyle name="Comma 15" xfId="654" xr:uid="{00000000-0005-0000-0000-000013020000}"/>
    <cellStyle name="Comma 16" xfId="655" xr:uid="{00000000-0005-0000-0000-000014020000}"/>
    <cellStyle name="Comma 17" xfId="656" xr:uid="{00000000-0005-0000-0000-000015020000}"/>
    <cellStyle name="Comma 18" xfId="657" xr:uid="{00000000-0005-0000-0000-000016020000}"/>
    <cellStyle name="Comma 19" xfId="658" xr:uid="{00000000-0005-0000-0000-000017020000}"/>
    <cellStyle name="Comma 2" xfId="128" xr:uid="{00000000-0005-0000-0000-000018020000}"/>
    <cellStyle name="Comma 2 10" xfId="659" xr:uid="{00000000-0005-0000-0000-000019020000}"/>
    <cellStyle name="Comma 2 10 2" xfId="660" xr:uid="{00000000-0005-0000-0000-00001A020000}"/>
    <cellStyle name="Comma 2 11" xfId="661" xr:uid="{00000000-0005-0000-0000-00001B020000}"/>
    <cellStyle name="Comma 2 12" xfId="662" xr:uid="{00000000-0005-0000-0000-00001C020000}"/>
    <cellStyle name="Comma 2 13" xfId="663" xr:uid="{00000000-0005-0000-0000-00001D020000}"/>
    <cellStyle name="Comma 2 14" xfId="664" xr:uid="{00000000-0005-0000-0000-00001E020000}"/>
    <cellStyle name="Comma 2 15" xfId="665" xr:uid="{00000000-0005-0000-0000-00001F020000}"/>
    <cellStyle name="Comma 2 16" xfId="666" xr:uid="{00000000-0005-0000-0000-000020020000}"/>
    <cellStyle name="Comma 2 17" xfId="667" xr:uid="{00000000-0005-0000-0000-000021020000}"/>
    <cellStyle name="Comma 2 18" xfId="668" xr:uid="{00000000-0005-0000-0000-000022020000}"/>
    <cellStyle name="Comma 2 19" xfId="669" xr:uid="{00000000-0005-0000-0000-000023020000}"/>
    <cellStyle name="Comma 2 2" xfId="4" xr:uid="{00000000-0005-0000-0000-000024020000}"/>
    <cellStyle name="Comma 2 2 10" xfId="670" xr:uid="{00000000-0005-0000-0000-000025020000}"/>
    <cellStyle name="Comma 2 2 11" xfId="671" xr:uid="{00000000-0005-0000-0000-000026020000}"/>
    <cellStyle name="Comma 2 2 12" xfId="672" xr:uid="{00000000-0005-0000-0000-000027020000}"/>
    <cellStyle name="Comma 2 2 12 2" xfId="673" xr:uid="{00000000-0005-0000-0000-000028020000}"/>
    <cellStyle name="Comma 2 2 13" xfId="674" xr:uid="{00000000-0005-0000-0000-000029020000}"/>
    <cellStyle name="Comma 2 2 14" xfId="1475" xr:uid="{00000000-0005-0000-0000-00002A020000}"/>
    <cellStyle name="Comma 2 2 2" xfId="675" xr:uid="{00000000-0005-0000-0000-00002B020000}"/>
    <cellStyle name="Comma 2 2 2 2" xfId="676" xr:uid="{00000000-0005-0000-0000-00002C020000}"/>
    <cellStyle name="Comma 2 2 2 2 2" xfId="677" xr:uid="{00000000-0005-0000-0000-00002D020000}"/>
    <cellStyle name="Comma 2 2 2 2 3" xfId="678" xr:uid="{00000000-0005-0000-0000-00002E020000}"/>
    <cellStyle name="Comma 2 2 2 2 4" xfId="679" xr:uid="{00000000-0005-0000-0000-00002F020000}"/>
    <cellStyle name="Comma 2 2 2 2 5" xfId="680" xr:uid="{00000000-0005-0000-0000-000030020000}"/>
    <cellStyle name="Comma 2 2 2 2 6" xfId="681" xr:uid="{00000000-0005-0000-0000-000031020000}"/>
    <cellStyle name="Comma 2 2 2 3" xfId="682" xr:uid="{00000000-0005-0000-0000-000032020000}"/>
    <cellStyle name="Comma 2 2 2 4" xfId="683" xr:uid="{00000000-0005-0000-0000-000033020000}"/>
    <cellStyle name="Comma 2 2 2 5" xfId="684" xr:uid="{00000000-0005-0000-0000-000034020000}"/>
    <cellStyle name="Comma 2 2 2 6" xfId="685" xr:uid="{00000000-0005-0000-0000-000035020000}"/>
    <cellStyle name="Comma 2 2 2 7" xfId="686" xr:uid="{00000000-0005-0000-0000-000036020000}"/>
    <cellStyle name="Comma 2 2 2 8" xfId="687" xr:uid="{00000000-0005-0000-0000-000037020000}"/>
    <cellStyle name="Comma 2 2 3" xfId="688" xr:uid="{00000000-0005-0000-0000-000038020000}"/>
    <cellStyle name="Comma 2 2 4" xfId="689" xr:uid="{00000000-0005-0000-0000-000039020000}"/>
    <cellStyle name="Comma 2 2 5" xfId="690" xr:uid="{00000000-0005-0000-0000-00003A020000}"/>
    <cellStyle name="Comma 2 2 6" xfId="691" xr:uid="{00000000-0005-0000-0000-00003B020000}"/>
    <cellStyle name="Comma 2 2 7" xfId="692" xr:uid="{00000000-0005-0000-0000-00003C020000}"/>
    <cellStyle name="Comma 2 2 8" xfId="693" xr:uid="{00000000-0005-0000-0000-00003D020000}"/>
    <cellStyle name="Comma 2 2 9" xfId="694" xr:uid="{00000000-0005-0000-0000-00003E020000}"/>
    <cellStyle name="Comma 2 20" xfId="695" xr:uid="{00000000-0005-0000-0000-00003F020000}"/>
    <cellStyle name="Comma 2 21" xfId="696" xr:uid="{00000000-0005-0000-0000-000040020000}"/>
    <cellStyle name="Comma 2 22" xfId="697" xr:uid="{00000000-0005-0000-0000-000041020000}"/>
    <cellStyle name="Comma 2 23" xfId="698" xr:uid="{00000000-0005-0000-0000-000042020000}"/>
    <cellStyle name="Comma 2 24" xfId="699" xr:uid="{00000000-0005-0000-0000-000043020000}"/>
    <cellStyle name="Comma 2 25" xfId="700" xr:uid="{00000000-0005-0000-0000-000044020000}"/>
    <cellStyle name="Comma 2 26" xfId="701" xr:uid="{00000000-0005-0000-0000-000045020000}"/>
    <cellStyle name="Comma 2 27" xfId="702" xr:uid="{00000000-0005-0000-0000-000046020000}"/>
    <cellStyle name="Comma 2 28" xfId="703" xr:uid="{00000000-0005-0000-0000-000047020000}"/>
    <cellStyle name="Comma 2 29" xfId="704" xr:uid="{00000000-0005-0000-0000-000048020000}"/>
    <cellStyle name="Comma 2 3" xfId="27" xr:uid="{00000000-0005-0000-0000-000049020000}"/>
    <cellStyle name="Comma 2 3 2" xfId="705" xr:uid="{00000000-0005-0000-0000-00004A020000}"/>
    <cellStyle name="Comma 2 3 2 2" xfId="706" xr:uid="{00000000-0005-0000-0000-00004B020000}"/>
    <cellStyle name="Comma 2 3 2 2 2" xfId="707" xr:uid="{00000000-0005-0000-0000-00004C020000}"/>
    <cellStyle name="Comma 2 3 3" xfId="708" xr:uid="{00000000-0005-0000-0000-00004D020000}"/>
    <cellStyle name="Comma 2 3 4" xfId="709" xr:uid="{00000000-0005-0000-0000-00004E020000}"/>
    <cellStyle name="Comma 2 3 5" xfId="710" xr:uid="{00000000-0005-0000-0000-00004F020000}"/>
    <cellStyle name="Comma 2 3 6" xfId="711" xr:uid="{00000000-0005-0000-0000-000050020000}"/>
    <cellStyle name="Comma 2 3 7" xfId="712" xr:uid="{00000000-0005-0000-0000-000051020000}"/>
    <cellStyle name="Comma 2 3 8" xfId="713" xr:uid="{00000000-0005-0000-0000-000052020000}"/>
    <cellStyle name="Comma 2 3 8 2" xfId="714" xr:uid="{00000000-0005-0000-0000-000053020000}"/>
    <cellStyle name="Comma 2 30" xfId="715" xr:uid="{00000000-0005-0000-0000-000054020000}"/>
    <cellStyle name="Comma 2 31" xfId="716" xr:uid="{00000000-0005-0000-0000-000055020000}"/>
    <cellStyle name="Comma 2 32" xfId="717" xr:uid="{00000000-0005-0000-0000-000056020000}"/>
    <cellStyle name="Comma 2 33" xfId="718" xr:uid="{00000000-0005-0000-0000-000057020000}"/>
    <cellStyle name="Comma 2 34" xfId="719" xr:uid="{00000000-0005-0000-0000-000058020000}"/>
    <cellStyle name="Comma 2 35" xfId="720" xr:uid="{00000000-0005-0000-0000-000059020000}"/>
    <cellStyle name="Comma 2 36" xfId="721" xr:uid="{00000000-0005-0000-0000-00005A020000}"/>
    <cellStyle name="Comma 2 37" xfId="722" xr:uid="{00000000-0005-0000-0000-00005B020000}"/>
    <cellStyle name="Comma 2 38" xfId="723" xr:uid="{00000000-0005-0000-0000-00005C020000}"/>
    <cellStyle name="Comma 2 39" xfId="724" xr:uid="{00000000-0005-0000-0000-00005D020000}"/>
    <cellStyle name="Comma 2 4" xfId="54" xr:uid="{00000000-0005-0000-0000-00005E020000}"/>
    <cellStyle name="Comma 2 4 2" xfId="725" xr:uid="{00000000-0005-0000-0000-00005F020000}"/>
    <cellStyle name="Comma 2 4 3" xfId="726" xr:uid="{00000000-0005-0000-0000-000060020000}"/>
    <cellStyle name="Comma 2 4 3 2" xfId="727" xr:uid="{00000000-0005-0000-0000-000061020000}"/>
    <cellStyle name="Comma 2 40" xfId="728" xr:uid="{00000000-0005-0000-0000-000062020000}"/>
    <cellStyle name="Comma 2 41" xfId="729" xr:uid="{00000000-0005-0000-0000-000063020000}"/>
    <cellStyle name="Comma 2 42" xfId="730" xr:uid="{00000000-0005-0000-0000-000064020000}"/>
    <cellStyle name="Comma 2 43" xfId="731" xr:uid="{00000000-0005-0000-0000-000065020000}"/>
    <cellStyle name="Comma 2 44" xfId="732" xr:uid="{00000000-0005-0000-0000-000066020000}"/>
    <cellStyle name="Comma 2 44 2" xfId="733" xr:uid="{00000000-0005-0000-0000-000067020000}"/>
    <cellStyle name="Comma 2 44 3" xfId="734" xr:uid="{00000000-0005-0000-0000-000068020000}"/>
    <cellStyle name="Comma 2 44 4" xfId="735" xr:uid="{00000000-0005-0000-0000-000069020000}"/>
    <cellStyle name="Comma 2 44 5" xfId="736" xr:uid="{00000000-0005-0000-0000-00006A020000}"/>
    <cellStyle name="Comma 2 45" xfId="737" xr:uid="{00000000-0005-0000-0000-00006B020000}"/>
    <cellStyle name="Comma 2 46" xfId="738" xr:uid="{00000000-0005-0000-0000-00006C020000}"/>
    <cellStyle name="Comma 2 47" xfId="739" xr:uid="{00000000-0005-0000-0000-00006D020000}"/>
    <cellStyle name="Comma 2 48" xfId="740" xr:uid="{00000000-0005-0000-0000-00006E020000}"/>
    <cellStyle name="Comma 2 49" xfId="741" xr:uid="{00000000-0005-0000-0000-00006F020000}"/>
    <cellStyle name="Comma 2 5" xfId="742" xr:uid="{00000000-0005-0000-0000-000070020000}"/>
    <cellStyle name="Comma 2 5 2" xfId="743" xr:uid="{00000000-0005-0000-0000-000071020000}"/>
    <cellStyle name="Comma 2 50" xfId="744" xr:uid="{00000000-0005-0000-0000-000072020000}"/>
    <cellStyle name="Comma 2 51" xfId="745" xr:uid="{00000000-0005-0000-0000-000073020000}"/>
    <cellStyle name="Comma 2 52" xfId="746" xr:uid="{00000000-0005-0000-0000-000074020000}"/>
    <cellStyle name="Comma 2 6" xfId="747" xr:uid="{00000000-0005-0000-0000-000075020000}"/>
    <cellStyle name="Comma 2 6 2" xfId="748" xr:uid="{00000000-0005-0000-0000-000076020000}"/>
    <cellStyle name="Comma 2 7" xfId="749" xr:uid="{00000000-0005-0000-0000-000077020000}"/>
    <cellStyle name="Comma 2 7 2" xfId="750" xr:uid="{00000000-0005-0000-0000-000078020000}"/>
    <cellStyle name="Comma 2 8" xfId="751" xr:uid="{00000000-0005-0000-0000-000079020000}"/>
    <cellStyle name="Comma 2 8 2" xfId="752" xr:uid="{00000000-0005-0000-0000-00007A020000}"/>
    <cellStyle name="Comma 2 9" xfId="753" xr:uid="{00000000-0005-0000-0000-00007B020000}"/>
    <cellStyle name="Comma 2 9 2" xfId="754" xr:uid="{00000000-0005-0000-0000-00007C020000}"/>
    <cellStyle name="Comma 20" xfId="755" xr:uid="{00000000-0005-0000-0000-00007D020000}"/>
    <cellStyle name="Comma 21" xfId="756" xr:uid="{00000000-0005-0000-0000-00007E020000}"/>
    <cellStyle name="Comma 22" xfId="757" xr:uid="{00000000-0005-0000-0000-00007F020000}"/>
    <cellStyle name="Comma 23" xfId="758" xr:uid="{00000000-0005-0000-0000-000080020000}"/>
    <cellStyle name="Comma 24" xfId="759" xr:uid="{00000000-0005-0000-0000-000081020000}"/>
    <cellStyle name="Comma 25" xfId="760" xr:uid="{00000000-0005-0000-0000-000082020000}"/>
    <cellStyle name="Comma 25 2" xfId="761" xr:uid="{00000000-0005-0000-0000-000083020000}"/>
    <cellStyle name="Comma 26" xfId="762" xr:uid="{00000000-0005-0000-0000-000084020000}"/>
    <cellStyle name="Comma 27" xfId="763" xr:uid="{00000000-0005-0000-0000-000085020000}"/>
    <cellStyle name="Comma 28" xfId="764" xr:uid="{00000000-0005-0000-0000-000086020000}"/>
    <cellStyle name="Comma 29" xfId="765" xr:uid="{00000000-0005-0000-0000-000087020000}"/>
    <cellStyle name="Comma 3" xfId="766" xr:uid="{00000000-0005-0000-0000-000088020000}"/>
    <cellStyle name="Comma 3 10" xfId="767" xr:uid="{00000000-0005-0000-0000-000089020000}"/>
    <cellStyle name="Comma 3 2" xfId="768" xr:uid="{00000000-0005-0000-0000-00008A020000}"/>
    <cellStyle name="Comma 3 2 2" xfId="769" xr:uid="{00000000-0005-0000-0000-00008B020000}"/>
    <cellStyle name="Comma 3 3" xfId="770" xr:uid="{00000000-0005-0000-0000-00008C020000}"/>
    <cellStyle name="Comma 3 4" xfId="771" xr:uid="{00000000-0005-0000-0000-00008D020000}"/>
    <cellStyle name="Comma 3 5" xfId="772" xr:uid="{00000000-0005-0000-0000-00008E020000}"/>
    <cellStyle name="Comma 3 6" xfId="773" xr:uid="{00000000-0005-0000-0000-00008F020000}"/>
    <cellStyle name="Comma 3 7" xfId="774" xr:uid="{00000000-0005-0000-0000-000090020000}"/>
    <cellStyle name="Comma 3 8" xfId="775" xr:uid="{00000000-0005-0000-0000-000091020000}"/>
    <cellStyle name="Comma 3 9" xfId="776" xr:uid="{00000000-0005-0000-0000-000092020000}"/>
    <cellStyle name="Comma 30" xfId="777" xr:uid="{00000000-0005-0000-0000-000093020000}"/>
    <cellStyle name="Comma 31" xfId="778" xr:uid="{00000000-0005-0000-0000-000094020000}"/>
    <cellStyle name="Comma 32" xfId="779" xr:uid="{00000000-0005-0000-0000-000095020000}"/>
    <cellStyle name="Comma 33" xfId="780" xr:uid="{00000000-0005-0000-0000-000096020000}"/>
    <cellStyle name="Comma 34" xfId="781" xr:uid="{00000000-0005-0000-0000-000097020000}"/>
    <cellStyle name="Comma 35" xfId="782" xr:uid="{00000000-0005-0000-0000-000098020000}"/>
    <cellStyle name="Comma 36" xfId="783" xr:uid="{00000000-0005-0000-0000-000099020000}"/>
    <cellStyle name="Comma 37" xfId="784" xr:uid="{00000000-0005-0000-0000-00009A020000}"/>
    <cellStyle name="Comma 38" xfId="785" xr:uid="{00000000-0005-0000-0000-00009B020000}"/>
    <cellStyle name="Comma 4" xfId="786" xr:uid="{00000000-0005-0000-0000-00009C020000}"/>
    <cellStyle name="Comma 4 2" xfId="787" xr:uid="{00000000-0005-0000-0000-00009D020000}"/>
    <cellStyle name="Comma 4 3" xfId="788" xr:uid="{00000000-0005-0000-0000-00009E020000}"/>
    <cellStyle name="Comma 4 3 2" xfId="789" xr:uid="{00000000-0005-0000-0000-00009F020000}"/>
    <cellStyle name="Comma 4 4" xfId="790" xr:uid="{00000000-0005-0000-0000-0000A0020000}"/>
    <cellStyle name="Comma 5" xfId="791" xr:uid="{00000000-0005-0000-0000-0000A1020000}"/>
    <cellStyle name="Comma 5 2" xfId="792" xr:uid="{00000000-0005-0000-0000-0000A2020000}"/>
    <cellStyle name="Comma 5 3" xfId="793" xr:uid="{00000000-0005-0000-0000-0000A3020000}"/>
    <cellStyle name="Comma 6" xfId="794" xr:uid="{00000000-0005-0000-0000-0000A4020000}"/>
    <cellStyle name="Comma 7" xfId="795" xr:uid="{00000000-0005-0000-0000-0000A5020000}"/>
    <cellStyle name="Comma 8" xfId="53" xr:uid="{00000000-0005-0000-0000-0000A6020000}"/>
    <cellStyle name="Comma 8 10" xfId="796" xr:uid="{00000000-0005-0000-0000-0000A7020000}"/>
    <cellStyle name="Comma 8 12" xfId="125" xr:uid="{00000000-0005-0000-0000-0000A8020000}"/>
    <cellStyle name="Comma 8 12 2" xfId="797" xr:uid="{00000000-0005-0000-0000-0000A9020000}"/>
    <cellStyle name="Comma 8 2" xfId="798" xr:uid="{00000000-0005-0000-0000-0000AA020000}"/>
    <cellStyle name="Comma 8 2 2" xfId="799" xr:uid="{00000000-0005-0000-0000-0000AB020000}"/>
    <cellStyle name="Comma 8 3" xfId="800" xr:uid="{00000000-0005-0000-0000-0000AC020000}"/>
    <cellStyle name="Comma 8 3 2" xfId="801" xr:uid="{00000000-0005-0000-0000-0000AD020000}"/>
    <cellStyle name="Comma 8 4" xfId="802" xr:uid="{00000000-0005-0000-0000-0000AE020000}"/>
    <cellStyle name="Comma 8 4 2" xfId="803" xr:uid="{00000000-0005-0000-0000-0000AF020000}"/>
    <cellStyle name="Comma 8 5" xfId="804" xr:uid="{00000000-0005-0000-0000-0000B0020000}"/>
    <cellStyle name="Comma 9" xfId="805" xr:uid="{00000000-0005-0000-0000-0000B1020000}"/>
    <cellStyle name="Comma0" xfId="5" xr:uid="{00000000-0005-0000-0000-0000B2020000}"/>
    <cellStyle name="Controlecel" xfId="806" xr:uid="{00000000-0005-0000-0000-0000B3020000}"/>
    <cellStyle name="Currency 2" xfId="807" xr:uid="{00000000-0005-0000-0000-0000B4020000}"/>
    <cellStyle name="Currency0" xfId="6" xr:uid="{00000000-0005-0000-0000-0000B5020000}"/>
    <cellStyle name="Date" xfId="7" xr:uid="{00000000-0005-0000-0000-0000B6020000}"/>
    <cellStyle name="Explanatory Text 10" xfId="808" xr:uid="{00000000-0005-0000-0000-0000B7020000}"/>
    <cellStyle name="Explanatory Text 11" xfId="809" xr:uid="{00000000-0005-0000-0000-0000B8020000}"/>
    <cellStyle name="Explanatory Text 12" xfId="810" xr:uid="{00000000-0005-0000-0000-0000B9020000}"/>
    <cellStyle name="Explanatory Text 13" xfId="811" xr:uid="{00000000-0005-0000-0000-0000BA020000}"/>
    <cellStyle name="Explanatory Text 2" xfId="812" xr:uid="{00000000-0005-0000-0000-0000BB020000}"/>
    <cellStyle name="Explanatory Text 2 2" xfId="813" xr:uid="{00000000-0005-0000-0000-0000BC020000}"/>
    <cellStyle name="Explanatory Text 2 3" xfId="814" xr:uid="{00000000-0005-0000-0000-0000BD020000}"/>
    <cellStyle name="Explanatory Text 2 4" xfId="815" xr:uid="{00000000-0005-0000-0000-0000BE020000}"/>
    <cellStyle name="Explanatory Text 2 5" xfId="816" xr:uid="{00000000-0005-0000-0000-0000BF020000}"/>
    <cellStyle name="Explanatory Text 2 6" xfId="817" xr:uid="{00000000-0005-0000-0000-0000C0020000}"/>
    <cellStyle name="Explanatory Text 2 7" xfId="818" xr:uid="{00000000-0005-0000-0000-0000C1020000}"/>
    <cellStyle name="Explanatory Text 3" xfId="819" xr:uid="{00000000-0005-0000-0000-0000C2020000}"/>
    <cellStyle name="Explanatory Text 4" xfId="820" xr:uid="{00000000-0005-0000-0000-0000C3020000}"/>
    <cellStyle name="Explanatory Text 5" xfId="821" xr:uid="{00000000-0005-0000-0000-0000C4020000}"/>
    <cellStyle name="Explanatory Text 6" xfId="822" xr:uid="{00000000-0005-0000-0000-0000C5020000}"/>
    <cellStyle name="Explanatory Text 7" xfId="823" xr:uid="{00000000-0005-0000-0000-0000C6020000}"/>
    <cellStyle name="Explanatory Text 8" xfId="824" xr:uid="{00000000-0005-0000-0000-0000C7020000}"/>
    <cellStyle name="Explanatory Text 9" xfId="825" xr:uid="{00000000-0005-0000-0000-0000C8020000}"/>
    <cellStyle name="Fixed" xfId="8" xr:uid="{00000000-0005-0000-0000-0000C9020000}"/>
    <cellStyle name="Gekoppelde cel" xfId="826" xr:uid="{00000000-0005-0000-0000-0000CA020000}"/>
    <cellStyle name="Goed" xfId="827" xr:uid="{00000000-0005-0000-0000-0000CB020000}"/>
    <cellStyle name="Good 10" xfId="828" xr:uid="{00000000-0005-0000-0000-0000CC020000}"/>
    <cellStyle name="Good 11" xfId="829" xr:uid="{00000000-0005-0000-0000-0000CD020000}"/>
    <cellStyle name="Good 12" xfId="830" xr:uid="{00000000-0005-0000-0000-0000CE020000}"/>
    <cellStyle name="Good 13" xfId="831" xr:uid="{00000000-0005-0000-0000-0000CF020000}"/>
    <cellStyle name="Good 2" xfId="832" xr:uid="{00000000-0005-0000-0000-0000D0020000}"/>
    <cellStyle name="Good 2 2" xfId="833" xr:uid="{00000000-0005-0000-0000-0000D1020000}"/>
    <cellStyle name="Good 2 3" xfId="834" xr:uid="{00000000-0005-0000-0000-0000D2020000}"/>
    <cellStyle name="Good 2 4" xfId="835" xr:uid="{00000000-0005-0000-0000-0000D3020000}"/>
    <cellStyle name="Good 2 5" xfId="836" xr:uid="{00000000-0005-0000-0000-0000D4020000}"/>
    <cellStyle name="Good 2 6" xfId="837" xr:uid="{00000000-0005-0000-0000-0000D5020000}"/>
    <cellStyle name="Good 2 7" xfId="838" xr:uid="{00000000-0005-0000-0000-0000D6020000}"/>
    <cellStyle name="Good 3" xfId="839" xr:uid="{00000000-0005-0000-0000-0000D7020000}"/>
    <cellStyle name="Good 4" xfId="840" xr:uid="{00000000-0005-0000-0000-0000D8020000}"/>
    <cellStyle name="Good 5" xfId="841" xr:uid="{00000000-0005-0000-0000-0000D9020000}"/>
    <cellStyle name="Good 6" xfId="842" xr:uid="{00000000-0005-0000-0000-0000DA020000}"/>
    <cellStyle name="Good 7" xfId="843" xr:uid="{00000000-0005-0000-0000-0000DB020000}"/>
    <cellStyle name="Good 8" xfId="844" xr:uid="{00000000-0005-0000-0000-0000DC020000}"/>
    <cellStyle name="Good 9" xfId="845" xr:uid="{00000000-0005-0000-0000-0000DD020000}"/>
    <cellStyle name="Heading 1 10" xfId="846" xr:uid="{00000000-0005-0000-0000-0000DE020000}"/>
    <cellStyle name="Heading 1 11" xfId="847" xr:uid="{00000000-0005-0000-0000-0000DF020000}"/>
    <cellStyle name="Heading 1 12" xfId="848" xr:uid="{00000000-0005-0000-0000-0000E0020000}"/>
    <cellStyle name="Heading 1 13" xfId="849" xr:uid="{00000000-0005-0000-0000-0000E1020000}"/>
    <cellStyle name="Heading 1 14" xfId="850" xr:uid="{00000000-0005-0000-0000-0000E2020000}"/>
    <cellStyle name="Heading 1 15" xfId="851" xr:uid="{00000000-0005-0000-0000-0000E3020000}"/>
    <cellStyle name="Heading 1 16" xfId="852" xr:uid="{00000000-0005-0000-0000-0000E4020000}"/>
    <cellStyle name="Heading 1 17" xfId="853" xr:uid="{00000000-0005-0000-0000-0000E5020000}"/>
    <cellStyle name="Heading 1 18" xfId="854" xr:uid="{00000000-0005-0000-0000-0000E6020000}"/>
    <cellStyle name="Heading 1 19" xfId="855" xr:uid="{00000000-0005-0000-0000-0000E7020000}"/>
    <cellStyle name="Heading 1 2" xfId="856" xr:uid="{00000000-0005-0000-0000-0000E8020000}"/>
    <cellStyle name="Heading 1 2 2" xfId="857" xr:uid="{00000000-0005-0000-0000-0000E9020000}"/>
    <cellStyle name="Heading 1 2 3" xfId="858" xr:uid="{00000000-0005-0000-0000-0000EA020000}"/>
    <cellStyle name="Heading 1 2 4" xfId="859" xr:uid="{00000000-0005-0000-0000-0000EB020000}"/>
    <cellStyle name="Heading 1 2 5" xfId="860" xr:uid="{00000000-0005-0000-0000-0000EC020000}"/>
    <cellStyle name="Heading 1 2 6" xfId="861" xr:uid="{00000000-0005-0000-0000-0000ED020000}"/>
    <cellStyle name="Heading 1 2 7" xfId="862" xr:uid="{00000000-0005-0000-0000-0000EE020000}"/>
    <cellStyle name="Heading 1 3" xfId="863" xr:uid="{00000000-0005-0000-0000-0000EF020000}"/>
    <cellStyle name="Heading 1 4" xfId="864" xr:uid="{00000000-0005-0000-0000-0000F0020000}"/>
    <cellStyle name="Heading 1 5" xfId="865" xr:uid="{00000000-0005-0000-0000-0000F1020000}"/>
    <cellStyle name="Heading 1 6" xfId="866" xr:uid="{00000000-0005-0000-0000-0000F2020000}"/>
    <cellStyle name="Heading 1 7" xfId="867" xr:uid="{00000000-0005-0000-0000-0000F3020000}"/>
    <cellStyle name="Heading 1 8" xfId="868" xr:uid="{00000000-0005-0000-0000-0000F4020000}"/>
    <cellStyle name="Heading 1 9" xfId="869" xr:uid="{00000000-0005-0000-0000-0000F5020000}"/>
    <cellStyle name="Heading 2 10" xfId="870" xr:uid="{00000000-0005-0000-0000-0000F6020000}"/>
    <cellStyle name="Heading 2 11" xfId="871" xr:uid="{00000000-0005-0000-0000-0000F7020000}"/>
    <cellStyle name="Heading 2 12" xfId="872" xr:uid="{00000000-0005-0000-0000-0000F8020000}"/>
    <cellStyle name="Heading 2 13" xfId="873" xr:uid="{00000000-0005-0000-0000-0000F9020000}"/>
    <cellStyle name="Heading 2 14" xfId="874" xr:uid="{00000000-0005-0000-0000-0000FA020000}"/>
    <cellStyle name="Heading 2 15" xfId="875" xr:uid="{00000000-0005-0000-0000-0000FB020000}"/>
    <cellStyle name="Heading 2 16" xfId="876" xr:uid="{00000000-0005-0000-0000-0000FC020000}"/>
    <cellStyle name="Heading 2 17" xfId="877" xr:uid="{00000000-0005-0000-0000-0000FD020000}"/>
    <cellStyle name="Heading 2 18" xfId="878" xr:uid="{00000000-0005-0000-0000-0000FE020000}"/>
    <cellStyle name="Heading 2 19" xfId="879" xr:uid="{00000000-0005-0000-0000-0000FF020000}"/>
    <cellStyle name="Heading 2 2" xfId="880" xr:uid="{00000000-0005-0000-0000-000000030000}"/>
    <cellStyle name="Heading 2 2 2" xfId="881" xr:uid="{00000000-0005-0000-0000-000001030000}"/>
    <cellStyle name="Heading 2 2 3" xfId="882" xr:uid="{00000000-0005-0000-0000-000002030000}"/>
    <cellStyle name="Heading 2 2 4" xfId="883" xr:uid="{00000000-0005-0000-0000-000003030000}"/>
    <cellStyle name="Heading 2 2 5" xfId="884" xr:uid="{00000000-0005-0000-0000-000004030000}"/>
    <cellStyle name="Heading 2 2 6" xfId="885" xr:uid="{00000000-0005-0000-0000-000005030000}"/>
    <cellStyle name="Heading 2 2 7" xfId="886" xr:uid="{00000000-0005-0000-0000-000006030000}"/>
    <cellStyle name="Heading 2 3" xfId="887" xr:uid="{00000000-0005-0000-0000-000007030000}"/>
    <cellStyle name="Heading 2 4" xfId="888" xr:uid="{00000000-0005-0000-0000-000008030000}"/>
    <cellStyle name="Heading 2 5" xfId="889" xr:uid="{00000000-0005-0000-0000-000009030000}"/>
    <cellStyle name="Heading 2 6" xfId="890" xr:uid="{00000000-0005-0000-0000-00000A030000}"/>
    <cellStyle name="Heading 2 7" xfId="891" xr:uid="{00000000-0005-0000-0000-00000B030000}"/>
    <cellStyle name="Heading 2 8" xfId="892" xr:uid="{00000000-0005-0000-0000-00000C030000}"/>
    <cellStyle name="Heading 2 9" xfId="893" xr:uid="{00000000-0005-0000-0000-00000D030000}"/>
    <cellStyle name="Heading 3 10" xfId="894" xr:uid="{00000000-0005-0000-0000-00000E030000}"/>
    <cellStyle name="Heading 3 10 2" xfId="895" xr:uid="{00000000-0005-0000-0000-00000F030000}"/>
    <cellStyle name="Heading 3 11" xfId="896" xr:uid="{00000000-0005-0000-0000-000010030000}"/>
    <cellStyle name="Heading 3 11 2" xfId="897" xr:uid="{00000000-0005-0000-0000-000011030000}"/>
    <cellStyle name="Heading 3 12" xfId="898" xr:uid="{00000000-0005-0000-0000-000012030000}"/>
    <cellStyle name="Heading 3 12 2" xfId="899" xr:uid="{00000000-0005-0000-0000-000013030000}"/>
    <cellStyle name="Heading 3 13" xfId="900" xr:uid="{00000000-0005-0000-0000-000014030000}"/>
    <cellStyle name="Heading 3 13 2" xfId="901" xr:uid="{00000000-0005-0000-0000-000015030000}"/>
    <cellStyle name="Heading 3 2" xfId="902" xr:uid="{00000000-0005-0000-0000-000016030000}"/>
    <cellStyle name="Heading 3 2 2" xfId="903" xr:uid="{00000000-0005-0000-0000-000017030000}"/>
    <cellStyle name="Heading 3 2 2 2" xfId="904" xr:uid="{00000000-0005-0000-0000-000018030000}"/>
    <cellStyle name="Heading 3 2 3" xfId="905" xr:uid="{00000000-0005-0000-0000-000019030000}"/>
    <cellStyle name="Heading 3 2 3 2" xfId="906" xr:uid="{00000000-0005-0000-0000-00001A030000}"/>
    <cellStyle name="Heading 3 2 4" xfId="907" xr:uid="{00000000-0005-0000-0000-00001B030000}"/>
    <cellStyle name="Heading 3 2 4 2" xfId="908" xr:uid="{00000000-0005-0000-0000-00001C030000}"/>
    <cellStyle name="Heading 3 2 5" xfId="909" xr:uid="{00000000-0005-0000-0000-00001D030000}"/>
    <cellStyle name="Heading 3 2 5 2" xfId="910" xr:uid="{00000000-0005-0000-0000-00001E030000}"/>
    <cellStyle name="Heading 3 2 6" xfId="911" xr:uid="{00000000-0005-0000-0000-00001F030000}"/>
    <cellStyle name="Heading 3 2 6 2" xfId="912" xr:uid="{00000000-0005-0000-0000-000020030000}"/>
    <cellStyle name="Heading 3 2 7" xfId="913" xr:uid="{00000000-0005-0000-0000-000021030000}"/>
    <cellStyle name="Heading 3 3" xfId="914" xr:uid="{00000000-0005-0000-0000-000022030000}"/>
    <cellStyle name="Heading 3 3 2" xfId="915" xr:uid="{00000000-0005-0000-0000-000023030000}"/>
    <cellStyle name="Heading 3 4" xfId="916" xr:uid="{00000000-0005-0000-0000-000024030000}"/>
    <cellStyle name="Heading 3 4 2" xfId="917" xr:uid="{00000000-0005-0000-0000-000025030000}"/>
    <cellStyle name="Heading 3 5" xfId="918" xr:uid="{00000000-0005-0000-0000-000026030000}"/>
    <cellStyle name="Heading 3 5 2" xfId="919" xr:uid="{00000000-0005-0000-0000-000027030000}"/>
    <cellStyle name="Heading 3 6" xfId="920" xr:uid="{00000000-0005-0000-0000-000028030000}"/>
    <cellStyle name="Heading 3 6 2" xfId="921" xr:uid="{00000000-0005-0000-0000-000029030000}"/>
    <cellStyle name="Heading 3 7" xfId="922" xr:uid="{00000000-0005-0000-0000-00002A030000}"/>
    <cellStyle name="Heading 3 7 2" xfId="923" xr:uid="{00000000-0005-0000-0000-00002B030000}"/>
    <cellStyle name="Heading 3 8" xfId="924" xr:uid="{00000000-0005-0000-0000-00002C030000}"/>
    <cellStyle name="Heading 3 8 2" xfId="925" xr:uid="{00000000-0005-0000-0000-00002D030000}"/>
    <cellStyle name="Heading 3 9" xfId="926" xr:uid="{00000000-0005-0000-0000-00002E030000}"/>
    <cellStyle name="Heading 3 9 2" xfId="927" xr:uid="{00000000-0005-0000-0000-00002F030000}"/>
    <cellStyle name="Heading 4 10" xfId="928" xr:uid="{00000000-0005-0000-0000-000030030000}"/>
    <cellStyle name="Heading 4 11" xfId="929" xr:uid="{00000000-0005-0000-0000-000031030000}"/>
    <cellStyle name="Heading 4 12" xfId="930" xr:uid="{00000000-0005-0000-0000-000032030000}"/>
    <cellStyle name="Heading 4 13" xfId="931" xr:uid="{00000000-0005-0000-0000-000033030000}"/>
    <cellStyle name="Heading 4 2" xfId="932" xr:uid="{00000000-0005-0000-0000-000034030000}"/>
    <cellStyle name="Heading 4 2 2" xfId="933" xr:uid="{00000000-0005-0000-0000-000035030000}"/>
    <cellStyle name="Heading 4 2 3" xfId="934" xr:uid="{00000000-0005-0000-0000-000036030000}"/>
    <cellStyle name="Heading 4 2 4" xfId="935" xr:uid="{00000000-0005-0000-0000-000037030000}"/>
    <cellStyle name="Heading 4 2 5" xfId="936" xr:uid="{00000000-0005-0000-0000-000038030000}"/>
    <cellStyle name="Heading 4 2 6" xfId="937" xr:uid="{00000000-0005-0000-0000-000039030000}"/>
    <cellStyle name="Heading 4 2 7" xfId="938" xr:uid="{00000000-0005-0000-0000-00003A030000}"/>
    <cellStyle name="Heading 4 3" xfId="939" xr:uid="{00000000-0005-0000-0000-00003B030000}"/>
    <cellStyle name="Heading 4 4" xfId="940" xr:uid="{00000000-0005-0000-0000-00003C030000}"/>
    <cellStyle name="Heading 4 5" xfId="941" xr:uid="{00000000-0005-0000-0000-00003D030000}"/>
    <cellStyle name="Heading 4 6" xfId="942" xr:uid="{00000000-0005-0000-0000-00003E030000}"/>
    <cellStyle name="Heading 4 7" xfId="943" xr:uid="{00000000-0005-0000-0000-00003F030000}"/>
    <cellStyle name="Heading 4 8" xfId="944" xr:uid="{00000000-0005-0000-0000-000040030000}"/>
    <cellStyle name="Heading 4 9" xfId="945" xr:uid="{00000000-0005-0000-0000-000041030000}"/>
    <cellStyle name="Input 10" xfId="946" xr:uid="{00000000-0005-0000-0000-000042030000}"/>
    <cellStyle name="Input 10 2" xfId="947" xr:uid="{00000000-0005-0000-0000-000043030000}"/>
    <cellStyle name="Input 11" xfId="948" xr:uid="{00000000-0005-0000-0000-000044030000}"/>
    <cellStyle name="Input 11 2" xfId="949" xr:uid="{00000000-0005-0000-0000-000045030000}"/>
    <cellStyle name="Input 12" xfId="950" xr:uid="{00000000-0005-0000-0000-000046030000}"/>
    <cellStyle name="Input 12 2" xfId="951" xr:uid="{00000000-0005-0000-0000-000047030000}"/>
    <cellStyle name="Input 13" xfId="952" xr:uid="{00000000-0005-0000-0000-000048030000}"/>
    <cellStyle name="Input 13 2" xfId="953" xr:uid="{00000000-0005-0000-0000-000049030000}"/>
    <cellStyle name="Input 2" xfId="954" xr:uid="{00000000-0005-0000-0000-00004A030000}"/>
    <cellStyle name="Input 2 2" xfId="955" xr:uid="{00000000-0005-0000-0000-00004B030000}"/>
    <cellStyle name="Input 2 2 2" xfId="956" xr:uid="{00000000-0005-0000-0000-00004C030000}"/>
    <cellStyle name="Input 2 3" xfId="957" xr:uid="{00000000-0005-0000-0000-00004D030000}"/>
    <cellStyle name="Input 2 3 2" xfId="958" xr:uid="{00000000-0005-0000-0000-00004E030000}"/>
    <cellStyle name="Input 2 4" xfId="959" xr:uid="{00000000-0005-0000-0000-00004F030000}"/>
    <cellStyle name="Input 2 4 2" xfId="960" xr:uid="{00000000-0005-0000-0000-000050030000}"/>
    <cellStyle name="Input 2 5" xfId="961" xr:uid="{00000000-0005-0000-0000-000051030000}"/>
    <cellStyle name="Input 2 5 2" xfId="962" xr:uid="{00000000-0005-0000-0000-000052030000}"/>
    <cellStyle name="Input 2 6" xfId="963" xr:uid="{00000000-0005-0000-0000-000053030000}"/>
    <cellStyle name="Input 2 6 2" xfId="964" xr:uid="{00000000-0005-0000-0000-000054030000}"/>
    <cellStyle name="Input 2 7" xfId="965" xr:uid="{00000000-0005-0000-0000-000055030000}"/>
    <cellStyle name="Input 3" xfId="966" xr:uid="{00000000-0005-0000-0000-000056030000}"/>
    <cellStyle name="Input 3 2" xfId="967" xr:uid="{00000000-0005-0000-0000-000057030000}"/>
    <cellStyle name="Input 4" xfId="968" xr:uid="{00000000-0005-0000-0000-000058030000}"/>
    <cellStyle name="Input 4 2" xfId="969" xr:uid="{00000000-0005-0000-0000-000059030000}"/>
    <cellStyle name="Input 5" xfId="970" xr:uid="{00000000-0005-0000-0000-00005A030000}"/>
    <cellStyle name="Input 5 2" xfId="971" xr:uid="{00000000-0005-0000-0000-00005B030000}"/>
    <cellStyle name="Input 6" xfId="972" xr:uid="{00000000-0005-0000-0000-00005C030000}"/>
    <cellStyle name="Input 6 2" xfId="973" xr:uid="{00000000-0005-0000-0000-00005D030000}"/>
    <cellStyle name="Input 7" xfId="974" xr:uid="{00000000-0005-0000-0000-00005E030000}"/>
    <cellStyle name="Input 7 2" xfId="975" xr:uid="{00000000-0005-0000-0000-00005F030000}"/>
    <cellStyle name="Input 8" xfId="976" xr:uid="{00000000-0005-0000-0000-000060030000}"/>
    <cellStyle name="Input 8 2" xfId="977" xr:uid="{00000000-0005-0000-0000-000061030000}"/>
    <cellStyle name="Input 9" xfId="978" xr:uid="{00000000-0005-0000-0000-000062030000}"/>
    <cellStyle name="Input 9 2" xfId="979" xr:uid="{00000000-0005-0000-0000-000063030000}"/>
    <cellStyle name="Invoer" xfId="980" xr:uid="{00000000-0005-0000-0000-000064030000}"/>
    <cellStyle name="Kop 1" xfId="981" xr:uid="{00000000-0005-0000-0000-000065030000}"/>
    <cellStyle name="Kop 2" xfId="982" xr:uid="{00000000-0005-0000-0000-000066030000}"/>
    <cellStyle name="Kop 3" xfId="983" xr:uid="{00000000-0005-0000-0000-000067030000}"/>
    <cellStyle name="Kop 4" xfId="984" xr:uid="{00000000-0005-0000-0000-000068030000}"/>
    <cellStyle name="Linked Cell 10" xfId="985" xr:uid="{00000000-0005-0000-0000-000069030000}"/>
    <cellStyle name="Linked Cell 11" xfId="986" xr:uid="{00000000-0005-0000-0000-00006A030000}"/>
    <cellStyle name="Linked Cell 12" xfId="987" xr:uid="{00000000-0005-0000-0000-00006B030000}"/>
    <cellStyle name="Linked Cell 13" xfId="988" xr:uid="{00000000-0005-0000-0000-00006C030000}"/>
    <cellStyle name="Linked Cell 2" xfId="989" xr:uid="{00000000-0005-0000-0000-00006D030000}"/>
    <cellStyle name="Linked Cell 2 2" xfId="990" xr:uid="{00000000-0005-0000-0000-00006E030000}"/>
    <cellStyle name="Linked Cell 2 3" xfId="991" xr:uid="{00000000-0005-0000-0000-00006F030000}"/>
    <cellStyle name="Linked Cell 2 4" xfId="992" xr:uid="{00000000-0005-0000-0000-000070030000}"/>
    <cellStyle name="Linked Cell 2 5" xfId="993" xr:uid="{00000000-0005-0000-0000-000071030000}"/>
    <cellStyle name="Linked Cell 2 6" xfId="994" xr:uid="{00000000-0005-0000-0000-000072030000}"/>
    <cellStyle name="Linked Cell 2 7" xfId="995" xr:uid="{00000000-0005-0000-0000-000073030000}"/>
    <cellStyle name="Linked Cell 3" xfId="996" xr:uid="{00000000-0005-0000-0000-000074030000}"/>
    <cellStyle name="Linked Cell 4" xfId="997" xr:uid="{00000000-0005-0000-0000-000075030000}"/>
    <cellStyle name="Linked Cell 5" xfId="998" xr:uid="{00000000-0005-0000-0000-000076030000}"/>
    <cellStyle name="Linked Cell 6" xfId="999" xr:uid="{00000000-0005-0000-0000-000077030000}"/>
    <cellStyle name="Linked Cell 7" xfId="1000" xr:uid="{00000000-0005-0000-0000-000078030000}"/>
    <cellStyle name="Linked Cell 8" xfId="1001" xr:uid="{00000000-0005-0000-0000-000079030000}"/>
    <cellStyle name="Linked Cell 9" xfId="1002" xr:uid="{00000000-0005-0000-0000-00007A030000}"/>
    <cellStyle name="Neutraal" xfId="1003" xr:uid="{00000000-0005-0000-0000-00007B030000}"/>
    <cellStyle name="Neutral 10" xfId="1004" xr:uid="{00000000-0005-0000-0000-00007C030000}"/>
    <cellStyle name="Neutral 11" xfId="1005" xr:uid="{00000000-0005-0000-0000-00007D030000}"/>
    <cellStyle name="Neutral 12" xfId="1006" xr:uid="{00000000-0005-0000-0000-00007E030000}"/>
    <cellStyle name="Neutral 13" xfId="1007" xr:uid="{00000000-0005-0000-0000-00007F030000}"/>
    <cellStyle name="Neutral 2" xfId="1008" xr:uid="{00000000-0005-0000-0000-000080030000}"/>
    <cellStyle name="Neutral 2 2" xfId="1009" xr:uid="{00000000-0005-0000-0000-000081030000}"/>
    <cellStyle name="Neutral 2 3" xfId="1010" xr:uid="{00000000-0005-0000-0000-000082030000}"/>
    <cellStyle name="Neutral 2 4" xfId="1011" xr:uid="{00000000-0005-0000-0000-000083030000}"/>
    <cellStyle name="Neutral 2 5" xfId="1012" xr:uid="{00000000-0005-0000-0000-000084030000}"/>
    <cellStyle name="Neutral 2 6" xfId="1013" xr:uid="{00000000-0005-0000-0000-000085030000}"/>
    <cellStyle name="Neutral 2 7" xfId="1014" xr:uid="{00000000-0005-0000-0000-000086030000}"/>
    <cellStyle name="Neutral 3" xfId="1015" xr:uid="{00000000-0005-0000-0000-000087030000}"/>
    <cellStyle name="Neutral 4" xfId="1016" xr:uid="{00000000-0005-0000-0000-000088030000}"/>
    <cellStyle name="Neutral 5" xfId="1017" xr:uid="{00000000-0005-0000-0000-000089030000}"/>
    <cellStyle name="Neutral 6" xfId="1018" xr:uid="{00000000-0005-0000-0000-00008A030000}"/>
    <cellStyle name="Neutral 7" xfId="1019" xr:uid="{00000000-0005-0000-0000-00008B030000}"/>
    <cellStyle name="Neutral 8" xfId="1020" xr:uid="{00000000-0005-0000-0000-00008C030000}"/>
    <cellStyle name="Neutral 9" xfId="1021" xr:uid="{00000000-0005-0000-0000-00008D030000}"/>
    <cellStyle name="Normal" xfId="0" builtinId="0"/>
    <cellStyle name="Normal 10" xfId="108" xr:uid="{00000000-0005-0000-0000-00008F030000}"/>
    <cellStyle name="Normal 11" xfId="1022" xr:uid="{00000000-0005-0000-0000-000090030000}"/>
    <cellStyle name="Normal 12" xfId="1023" xr:uid="{00000000-0005-0000-0000-000091030000}"/>
    <cellStyle name="Normal 13" xfId="1024" xr:uid="{00000000-0005-0000-0000-000092030000}"/>
    <cellStyle name="Normal 14" xfId="1025" xr:uid="{00000000-0005-0000-0000-000093030000}"/>
    <cellStyle name="Normal 14 2" xfId="1026" xr:uid="{00000000-0005-0000-0000-000094030000}"/>
    <cellStyle name="Normal 15" xfId="1027" xr:uid="{00000000-0005-0000-0000-000095030000}"/>
    <cellStyle name="Normal 16" xfId="120" xr:uid="{00000000-0005-0000-0000-000096030000}"/>
    <cellStyle name="Normal 17" xfId="1028" xr:uid="{00000000-0005-0000-0000-000097030000}"/>
    <cellStyle name="Normal 18" xfId="1029" xr:uid="{00000000-0005-0000-0000-000098030000}"/>
    <cellStyle name="Normal 18 2" xfId="1030" xr:uid="{00000000-0005-0000-0000-000099030000}"/>
    <cellStyle name="Normal 19" xfId="1031" xr:uid="{00000000-0005-0000-0000-00009A030000}"/>
    <cellStyle name="Normal 2" xfId="2" xr:uid="{00000000-0005-0000-0000-00009B030000}"/>
    <cellStyle name="Normal 2 10" xfId="1032" xr:uid="{00000000-0005-0000-0000-00009C030000}"/>
    <cellStyle name="Normal 2 11" xfId="1033" xr:uid="{00000000-0005-0000-0000-00009D030000}"/>
    <cellStyle name="Normal 2 12" xfId="1034" xr:uid="{00000000-0005-0000-0000-00009E030000}"/>
    <cellStyle name="Normal 2 13" xfId="1035" xr:uid="{00000000-0005-0000-0000-00009F030000}"/>
    <cellStyle name="Normal 2 14" xfId="1036" xr:uid="{00000000-0005-0000-0000-0000A0030000}"/>
    <cellStyle name="Normal 2 15" xfId="1037" xr:uid="{00000000-0005-0000-0000-0000A1030000}"/>
    <cellStyle name="Normal 2 16" xfId="10" xr:uid="{00000000-0005-0000-0000-0000A2030000}"/>
    <cellStyle name="Normal 2 16 10" xfId="1038" xr:uid="{00000000-0005-0000-0000-0000A3030000}"/>
    <cellStyle name="Normal 2 16 11" xfId="1039" xr:uid="{00000000-0005-0000-0000-0000A4030000}"/>
    <cellStyle name="Normal 2 16 12" xfId="1040" xr:uid="{00000000-0005-0000-0000-0000A5030000}"/>
    <cellStyle name="Normal 2 16 13" xfId="1041" xr:uid="{00000000-0005-0000-0000-0000A6030000}"/>
    <cellStyle name="Normal 2 16 14" xfId="1042" xr:uid="{00000000-0005-0000-0000-0000A7030000}"/>
    <cellStyle name="Normal 2 16 15" xfId="1043" xr:uid="{00000000-0005-0000-0000-0000A8030000}"/>
    <cellStyle name="Normal 2 16 16" xfId="1044" xr:uid="{00000000-0005-0000-0000-0000A9030000}"/>
    <cellStyle name="Normal 2 16 17" xfId="1045" xr:uid="{00000000-0005-0000-0000-0000AA030000}"/>
    <cellStyle name="Normal 2 16 18" xfId="1046" xr:uid="{00000000-0005-0000-0000-0000AB030000}"/>
    <cellStyle name="Normal 2 16 19" xfId="1047" xr:uid="{00000000-0005-0000-0000-0000AC030000}"/>
    <cellStyle name="Normal 2 16 2" xfId="1048" xr:uid="{00000000-0005-0000-0000-0000AD030000}"/>
    <cellStyle name="Normal 2 16 2 2" xfId="1049" xr:uid="{00000000-0005-0000-0000-0000AE030000}"/>
    <cellStyle name="Normal 2 16 2 3" xfId="1050" xr:uid="{00000000-0005-0000-0000-0000AF030000}"/>
    <cellStyle name="Normal 2 16 2 4" xfId="1051" xr:uid="{00000000-0005-0000-0000-0000B0030000}"/>
    <cellStyle name="Normal 2 16 2 5" xfId="1052" xr:uid="{00000000-0005-0000-0000-0000B1030000}"/>
    <cellStyle name="Normal 2 16 2 6" xfId="1053" xr:uid="{00000000-0005-0000-0000-0000B2030000}"/>
    <cellStyle name="Normal 2 16 20" xfId="1054" xr:uid="{00000000-0005-0000-0000-0000B3030000}"/>
    <cellStyle name="Normal 2 16 21" xfId="1055" xr:uid="{00000000-0005-0000-0000-0000B4030000}"/>
    <cellStyle name="Normal 2 16 22" xfId="1056" xr:uid="{00000000-0005-0000-0000-0000B5030000}"/>
    <cellStyle name="Normal 2 16 23" xfId="1057" xr:uid="{00000000-0005-0000-0000-0000B6030000}"/>
    <cellStyle name="Normal 2 16 24" xfId="1058" xr:uid="{00000000-0005-0000-0000-0000B7030000}"/>
    <cellStyle name="Normal 2 16 24 2" xfId="1059" xr:uid="{00000000-0005-0000-0000-0000B8030000}"/>
    <cellStyle name="Normal 2 16 24 3" xfId="1060" xr:uid="{00000000-0005-0000-0000-0000B9030000}"/>
    <cellStyle name="Normal 2 16 24 4" xfId="1061" xr:uid="{00000000-0005-0000-0000-0000BA030000}"/>
    <cellStyle name="Normal 2 16 24 5" xfId="1062" xr:uid="{00000000-0005-0000-0000-0000BB030000}"/>
    <cellStyle name="Normal 2 16 25" xfId="1063" xr:uid="{00000000-0005-0000-0000-0000BC030000}"/>
    <cellStyle name="Normal 2 16 26" xfId="1064" xr:uid="{00000000-0005-0000-0000-0000BD030000}"/>
    <cellStyle name="Normal 2 16 27" xfId="1065" xr:uid="{00000000-0005-0000-0000-0000BE030000}"/>
    <cellStyle name="Normal 2 16 3" xfId="1066" xr:uid="{00000000-0005-0000-0000-0000BF030000}"/>
    <cellStyle name="Normal 2 16 4" xfId="1067" xr:uid="{00000000-0005-0000-0000-0000C0030000}"/>
    <cellStyle name="Normal 2 16 5" xfId="1068" xr:uid="{00000000-0005-0000-0000-0000C1030000}"/>
    <cellStyle name="Normal 2 16 6" xfId="1069" xr:uid="{00000000-0005-0000-0000-0000C2030000}"/>
    <cellStyle name="Normal 2 16 7" xfId="1070" xr:uid="{00000000-0005-0000-0000-0000C3030000}"/>
    <cellStyle name="Normal 2 16 8" xfId="1071" xr:uid="{00000000-0005-0000-0000-0000C4030000}"/>
    <cellStyle name="Normal 2 16 9" xfId="1072" xr:uid="{00000000-0005-0000-0000-0000C5030000}"/>
    <cellStyle name="Normal 2 17" xfId="1073" xr:uid="{00000000-0005-0000-0000-0000C6030000}"/>
    <cellStyle name="Normal 2 18" xfId="1074" xr:uid="{00000000-0005-0000-0000-0000C7030000}"/>
    <cellStyle name="Normal 2 19" xfId="1075" xr:uid="{00000000-0005-0000-0000-0000C8030000}"/>
    <cellStyle name="Normal 2 2" xfId="9" xr:uid="{00000000-0005-0000-0000-0000C9030000}"/>
    <cellStyle name="Normal 2 2 10" xfId="37" xr:uid="{00000000-0005-0000-0000-0000CA030000}"/>
    <cellStyle name="Normal 2 2 11" xfId="39" xr:uid="{00000000-0005-0000-0000-0000CB030000}"/>
    <cellStyle name="Normal 2 2 12" xfId="30" xr:uid="{00000000-0005-0000-0000-0000CC030000}"/>
    <cellStyle name="Normal 2 2 13" xfId="48" xr:uid="{00000000-0005-0000-0000-0000CD030000}"/>
    <cellStyle name="Normal 2 2 14" xfId="51" xr:uid="{00000000-0005-0000-0000-0000CE030000}"/>
    <cellStyle name="Normal 2 2 15" xfId="56" xr:uid="{00000000-0005-0000-0000-0000CF030000}"/>
    <cellStyle name="Normal 2 2 16" xfId="60" xr:uid="{00000000-0005-0000-0000-0000D0030000}"/>
    <cellStyle name="Normal 2 2 17" xfId="57" xr:uid="{00000000-0005-0000-0000-0000D1030000}"/>
    <cellStyle name="Normal 2 2 18" xfId="59" xr:uid="{00000000-0005-0000-0000-0000D2030000}"/>
    <cellStyle name="Normal 2 2 19" xfId="55" xr:uid="{00000000-0005-0000-0000-0000D3030000}"/>
    <cellStyle name="Normal 2 2 2" xfId="11" xr:uid="{00000000-0005-0000-0000-0000D4030000}"/>
    <cellStyle name="Normal 2 2 2 10" xfId="1076" xr:uid="{00000000-0005-0000-0000-0000D5030000}"/>
    <cellStyle name="Normal 2 2 2 11" xfId="1077" xr:uid="{00000000-0005-0000-0000-0000D6030000}"/>
    <cellStyle name="Normal 2 2 2 12" xfId="1078" xr:uid="{00000000-0005-0000-0000-0000D7030000}"/>
    <cellStyle name="Normal 2 2 2 13" xfId="1079" xr:uid="{00000000-0005-0000-0000-0000D8030000}"/>
    <cellStyle name="Normal 2 2 2 14" xfId="1080" xr:uid="{00000000-0005-0000-0000-0000D9030000}"/>
    <cellStyle name="Normal 2 2 2 2" xfId="1081" xr:uid="{00000000-0005-0000-0000-0000DA030000}"/>
    <cellStyle name="Normal 2 2 2 2 2" xfId="1082" xr:uid="{00000000-0005-0000-0000-0000DB030000}"/>
    <cellStyle name="Normal 2 2 2 2 3" xfId="1083" xr:uid="{00000000-0005-0000-0000-0000DC030000}"/>
    <cellStyle name="Normal 2 2 2 2 4" xfId="1084" xr:uid="{00000000-0005-0000-0000-0000DD030000}"/>
    <cellStyle name="Normal 2 2 2 2 5" xfId="1085" xr:uid="{00000000-0005-0000-0000-0000DE030000}"/>
    <cellStyle name="Normal 2 2 2 2 6" xfId="1086" xr:uid="{00000000-0005-0000-0000-0000DF030000}"/>
    <cellStyle name="Normal 2 2 2 2 7" xfId="1087" xr:uid="{00000000-0005-0000-0000-0000E0030000}"/>
    <cellStyle name="Normal 2 2 2 2 8" xfId="1088" xr:uid="{00000000-0005-0000-0000-0000E1030000}"/>
    <cellStyle name="Normal 2 2 2 2 9" xfId="1089" xr:uid="{00000000-0005-0000-0000-0000E2030000}"/>
    <cellStyle name="Normal 2 2 2 3" xfId="1090" xr:uid="{00000000-0005-0000-0000-0000E3030000}"/>
    <cellStyle name="Normal 2 2 2 4" xfId="1091" xr:uid="{00000000-0005-0000-0000-0000E4030000}"/>
    <cellStyle name="Normal 2 2 2 5" xfId="1092" xr:uid="{00000000-0005-0000-0000-0000E5030000}"/>
    <cellStyle name="Normal 2 2 2 6" xfId="1093" xr:uid="{00000000-0005-0000-0000-0000E6030000}"/>
    <cellStyle name="Normal 2 2 2 7" xfId="1094" xr:uid="{00000000-0005-0000-0000-0000E7030000}"/>
    <cellStyle name="Normal 2 2 2 8" xfId="1095" xr:uid="{00000000-0005-0000-0000-0000E8030000}"/>
    <cellStyle name="Normal 2 2 2 9" xfId="1096" xr:uid="{00000000-0005-0000-0000-0000E9030000}"/>
    <cellStyle name="Normal 2 2 20" xfId="58" xr:uid="{00000000-0005-0000-0000-0000EA030000}"/>
    <cellStyle name="Normal 2 2 21" xfId="67" xr:uid="{00000000-0005-0000-0000-0000EB030000}"/>
    <cellStyle name="Normal 2 2 22" xfId="68" xr:uid="{00000000-0005-0000-0000-0000EC030000}"/>
    <cellStyle name="Normal 2 2 23" xfId="71" xr:uid="{00000000-0005-0000-0000-0000ED030000}"/>
    <cellStyle name="Normal 2 2 24" xfId="76" xr:uid="{00000000-0005-0000-0000-0000EE030000}"/>
    <cellStyle name="Normal 2 2 25" xfId="72" xr:uid="{00000000-0005-0000-0000-0000EF030000}"/>
    <cellStyle name="Normal 2 2 26" xfId="75" xr:uid="{00000000-0005-0000-0000-0000F0030000}"/>
    <cellStyle name="Normal 2 2 27" xfId="73" xr:uid="{00000000-0005-0000-0000-0000F1030000}"/>
    <cellStyle name="Normal 2 2 28" xfId="74" xr:uid="{00000000-0005-0000-0000-0000F2030000}"/>
    <cellStyle name="Normal 2 2 29" xfId="77" xr:uid="{00000000-0005-0000-0000-0000F3030000}"/>
    <cellStyle name="Normal 2 2 3" xfId="29" xr:uid="{00000000-0005-0000-0000-0000F4030000}"/>
    <cellStyle name="Normal 2 2 30" xfId="79" xr:uid="{00000000-0005-0000-0000-0000F5030000}"/>
    <cellStyle name="Normal 2 2 31" xfId="81" xr:uid="{00000000-0005-0000-0000-0000F6030000}"/>
    <cellStyle name="Normal 2 2 32" xfId="89" xr:uid="{00000000-0005-0000-0000-0000F7030000}"/>
    <cellStyle name="Normal 2 2 33" xfId="90" xr:uid="{00000000-0005-0000-0000-0000F8030000}"/>
    <cellStyle name="Normal 2 2 34" xfId="94" xr:uid="{00000000-0005-0000-0000-0000F9030000}"/>
    <cellStyle name="Normal 2 2 35" xfId="97" xr:uid="{00000000-0005-0000-0000-0000FA030000}"/>
    <cellStyle name="Normal 2 2 36" xfId="100" xr:uid="{00000000-0005-0000-0000-0000FB030000}"/>
    <cellStyle name="Normal 2 2 37" xfId="96" xr:uid="{00000000-0005-0000-0000-0000FC030000}"/>
    <cellStyle name="Normal 2 2 38" xfId="95" xr:uid="{00000000-0005-0000-0000-0000FD030000}"/>
    <cellStyle name="Normal 2 2 39" xfId="109" xr:uid="{00000000-0005-0000-0000-0000FE030000}"/>
    <cellStyle name="Normal 2 2 4" xfId="31" xr:uid="{00000000-0005-0000-0000-0000FF030000}"/>
    <cellStyle name="Normal 2 2 4 2" xfId="1097" xr:uid="{00000000-0005-0000-0000-000000040000}"/>
    <cellStyle name="Normal 2 2 40" xfId="111" xr:uid="{00000000-0005-0000-0000-000001040000}"/>
    <cellStyle name="Normal 2 2 41" xfId="116" xr:uid="{00000000-0005-0000-0000-000002040000}"/>
    <cellStyle name="Normal 2 2 42" xfId="112" xr:uid="{00000000-0005-0000-0000-000003040000}"/>
    <cellStyle name="Normal 2 2 43" xfId="115" xr:uid="{00000000-0005-0000-0000-000004040000}"/>
    <cellStyle name="Normal 2 2 44" xfId="113" xr:uid="{00000000-0005-0000-0000-000005040000}"/>
    <cellStyle name="Normal 2 2 45" xfId="114" xr:uid="{00000000-0005-0000-0000-000006040000}"/>
    <cellStyle name="Normal 2 2 5" xfId="36" xr:uid="{00000000-0005-0000-0000-000007040000}"/>
    <cellStyle name="Normal 2 2 5 2" xfId="1098" xr:uid="{00000000-0005-0000-0000-000008040000}"/>
    <cellStyle name="Normal 2 2 6" xfId="32" xr:uid="{00000000-0005-0000-0000-000009040000}"/>
    <cellStyle name="Normal 2 2 6 2" xfId="1099" xr:uid="{00000000-0005-0000-0000-00000A040000}"/>
    <cellStyle name="Normal 2 2 7" xfId="35" xr:uid="{00000000-0005-0000-0000-00000B040000}"/>
    <cellStyle name="Normal 2 2 7 2" xfId="1100" xr:uid="{00000000-0005-0000-0000-00000C040000}"/>
    <cellStyle name="Normal 2 2 8" xfId="33" xr:uid="{00000000-0005-0000-0000-00000D040000}"/>
    <cellStyle name="Normal 2 2 9" xfId="34" xr:uid="{00000000-0005-0000-0000-00000E040000}"/>
    <cellStyle name="Normal 2 20" xfId="1101" xr:uid="{00000000-0005-0000-0000-00000F040000}"/>
    <cellStyle name="Normal 2 21" xfId="1102" xr:uid="{00000000-0005-0000-0000-000010040000}"/>
    <cellStyle name="Normal 2 22" xfId="1103" xr:uid="{00000000-0005-0000-0000-000011040000}"/>
    <cellStyle name="Normal 2 23" xfId="1104" xr:uid="{00000000-0005-0000-0000-000012040000}"/>
    <cellStyle name="Normal 2 24" xfId="1105" xr:uid="{00000000-0005-0000-0000-000013040000}"/>
    <cellStyle name="Normal 2 25" xfId="1106" xr:uid="{00000000-0005-0000-0000-000014040000}"/>
    <cellStyle name="Normal 2 26" xfId="1107" xr:uid="{00000000-0005-0000-0000-000015040000}"/>
    <cellStyle name="Normal 2 27" xfId="1108" xr:uid="{00000000-0005-0000-0000-000016040000}"/>
    <cellStyle name="Normal 2 28" xfId="1109" xr:uid="{00000000-0005-0000-0000-000017040000}"/>
    <cellStyle name="Normal 2 28 2" xfId="1110" xr:uid="{00000000-0005-0000-0000-000018040000}"/>
    <cellStyle name="Normal 2 29" xfId="1111" xr:uid="{00000000-0005-0000-0000-000019040000}"/>
    <cellStyle name="Normal 2 3" xfId="28" xr:uid="{00000000-0005-0000-0000-00001A040000}"/>
    <cellStyle name="Normal 2 3 10" xfId="1112" xr:uid="{00000000-0005-0000-0000-00001B040000}"/>
    <cellStyle name="Normal 2 3 11" xfId="1113" xr:uid="{00000000-0005-0000-0000-00001C040000}"/>
    <cellStyle name="Normal 2 3 2" xfId="1114" xr:uid="{00000000-0005-0000-0000-00001D040000}"/>
    <cellStyle name="Normal 2 3 2 2" xfId="1115" xr:uid="{00000000-0005-0000-0000-00001E040000}"/>
    <cellStyle name="Normal 2 3 3" xfId="1116" xr:uid="{00000000-0005-0000-0000-00001F040000}"/>
    <cellStyle name="Normal 2 3 3 2" xfId="1117" xr:uid="{00000000-0005-0000-0000-000020040000}"/>
    <cellStyle name="Normal 2 3 4" xfId="1118" xr:uid="{00000000-0005-0000-0000-000021040000}"/>
    <cellStyle name="Normal 2 3 4 2" xfId="1119" xr:uid="{00000000-0005-0000-0000-000022040000}"/>
    <cellStyle name="Normal 2 3 5" xfId="1120" xr:uid="{00000000-0005-0000-0000-000023040000}"/>
    <cellStyle name="Normal 2 3 5 2" xfId="1121" xr:uid="{00000000-0005-0000-0000-000024040000}"/>
    <cellStyle name="Normal 2 3 6" xfId="1122" xr:uid="{00000000-0005-0000-0000-000025040000}"/>
    <cellStyle name="Normal 2 3 6 2" xfId="1123" xr:uid="{00000000-0005-0000-0000-000026040000}"/>
    <cellStyle name="Normal 2 3 7" xfId="1124" xr:uid="{00000000-0005-0000-0000-000027040000}"/>
    <cellStyle name="Normal 2 3 8" xfId="1125" xr:uid="{00000000-0005-0000-0000-000028040000}"/>
    <cellStyle name="Normal 2 3 9" xfId="1126" xr:uid="{00000000-0005-0000-0000-000029040000}"/>
    <cellStyle name="Normal 2 4" xfId="52" xr:uid="{00000000-0005-0000-0000-00002A040000}"/>
    <cellStyle name="Normal 2 4 2" xfId="1127" xr:uid="{00000000-0005-0000-0000-00002B040000}"/>
    <cellStyle name="Normal 2 4 3" xfId="1128" xr:uid="{00000000-0005-0000-0000-00002C040000}"/>
    <cellStyle name="Normal 2 4 4" xfId="1129" xr:uid="{00000000-0005-0000-0000-00002D040000}"/>
    <cellStyle name="Normal 2 4 5" xfId="1130" xr:uid="{00000000-0005-0000-0000-00002E040000}"/>
    <cellStyle name="Normal 2 4 6" xfId="1131" xr:uid="{00000000-0005-0000-0000-00002F040000}"/>
    <cellStyle name="Normal 2 5" xfId="1132" xr:uid="{00000000-0005-0000-0000-000030040000}"/>
    <cellStyle name="Normal 2 5 2" xfId="1133" xr:uid="{00000000-0005-0000-0000-000031040000}"/>
    <cellStyle name="Normal 2 5 3" xfId="1134" xr:uid="{00000000-0005-0000-0000-000032040000}"/>
    <cellStyle name="Normal 2 6" xfId="1135" xr:uid="{00000000-0005-0000-0000-000033040000}"/>
    <cellStyle name="Normal 2 6 2" xfId="1136" xr:uid="{00000000-0005-0000-0000-000034040000}"/>
    <cellStyle name="Normal 2 7" xfId="1137" xr:uid="{00000000-0005-0000-0000-000035040000}"/>
    <cellStyle name="Normal 2 8" xfId="1138" xr:uid="{00000000-0005-0000-0000-000036040000}"/>
    <cellStyle name="Normal 2 9" xfId="1139" xr:uid="{00000000-0005-0000-0000-000037040000}"/>
    <cellStyle name="Normal 2_LUONG POLY T5" xfId="1140" xr:uid="{00000000-0005-0000-0000-000038040000}"/>
    <cellStyle name="Normal 20" xfId="1141" xr:uid="{00000000-0005-0000-0000-000039040000}"/>
    <cellStyle name="Normal 21" xfId="1142" xr:uid="{00000000-0005-0000-0000-00003A040000}"/>
    <cellStyle name="Normal 22" xfId="1143" xr:uid="{00000000-0005-0000-0000-00003B040000}"/>
    <cellStyle name="Normal 22 2" xfId="1144" xr:uid="{00000000-0005-0000-0000-00003C040000}"/>
    <cellStyle name="Normal 23" xfId="1145" xr:uid="{00000000-0005-0000-0000-00003D040000}"/>
    <cellStyle name="Normal 24" xfId="1146" xr:uid="{00000000-0005-0000-0000-00003E040000}"/>
    <cellStyle name="Normal 25" xfId="1147" xr:uid="{00000000-0005-0000-0000-00003F040000}"/>
    <cellStyle name="Normal 26" xfId="1148" xr:uid="{00000000-0005-0000-0000-000040040000}"/>
    <cellStyle name="Normal 27" xfId="1149" xr:uid="{00000000-0005-0000-0000-000041040000}"/>
    <cellStyle name="Normal 28" xfId="1150" xr:uid="{00000000-0005-0000-0000-000042040000}"/>
    <cellStyle name="Normal 29" xfId="1151" xr:uid="{00000000-0005-0000-0000-000043040000}"/>
    <cellStyle name="Normal 29 2" xfId="1152" xr:uid="{00000000-0005-0000-0000-000044040000}"/>
    <cellStyle name="Normal 29 2 2" xfId="1153" xr:uid="{00000000-0005-0000-0000-000045040000}"/>
    <cellStyle name="Normal 29 3" xfId="1154" xr:uid="{00000000-0005-0000-0000-000046040000}"/>
    <cellStyle name="Normal 3" xfId="26" xr:uid="{00000000-0005-0000-0000-000047040000}"/>
    <cellStyle name="Normal 3 10" xfId="1155" xr:uid="{00000000-0005-0000-0000-000048040000}"/>
    <cellStyle name="Normal 3 10 2" xfId="1156" xr:uid="{00000000-0005-0000-0000-000049040000}"/>
    <cellStyle name="Normal 3 10 3" xfId="1157" xr:uid="{00000000-0005-0000-0000-00004A040000}"/>
    <cellStyle name="Normal 3 10 4" xfId="1158" xr:uid="{00000000-0005-0000-0000-00004B040000}"/>
    <cellStyle name="Normal 3 10 5" xfId="1159" xr:uid="{00000000-0005-0000-0000-00004C040000}"/>
    <cellStyle name="Normal 3 10 6" xfId="1160" xr:uid="{00000000-0005-0000-0000-00004D040000}"/>
    <cellStyle name="Normal 3 10 7" xfId="1161" xr:uid="{00000000-0005-0000-0000-00004E040000}"/>
    <cellStyle name="Normal 3 10 8" xfId="1162" xr:uid="{00000000-0005-0000-0000-00004F040000}"/>
    <cellStyle name="Normal 3 11" xfId="1163" xr:uid="{00000000-0005-0000-0000-000050040000}"/>
    <cellStyle name="Normal 3 11 2" xfId="1164" xr:uid="{00000000-0005-0000-0000-000051040000}"/>
    <cellStyle name="Normal 3 12" xfId="1165" xr:uid="{00000000-0005-0000-0000-000052040000}"/>
    <cellStyle name="Normal 3 12 2" xfId="1166" xr:uid="{00000000-0005-0000-0000-000053040000}"/>
    <cellStyle name="Normal 3 13" xfId="1167" xr:uid="{00000000-0005-0000-0000-000054040000}"/>
    <cellStyle name="Normal 3 14" xfId="1168" xr:uid="{00000000-0005-0000-0000-000055040000}"/>
    <cellStyle name="Normal 3 15" xfId="1169" xr:uid="{00000000-0005-0000-0000-000056040000}"/>
    <cellStyle name="Normal 3 16" xfId="1170" xr:uid="{00000000-0005-0000-0000-000057040000}"/>
    <cellStyle name="Normal 3 2" xfId="1171" xr:uid="{00000000-0005-0000-0000-000058040000}"/>
    <cellStyle name="Normal 3 2 2" xfId="1172" xr:uid="{00000000-0005-0000-0000-000059040000}"/>
    <cellStyle name="Normal 3 2 2 2" xfId="1173" xr:uid="{00000000-0005-0000-0000-00005A040000}"/>
    <cellStyle name="Normal 3 2 3" xfId="1174" xr:uid="{00000000-0005-0000-0000-00005B040000}"/>
    <cellStyle name="Normal 3 2 4" xfId="1175" xr:uid="{00000000-0005-0000-0000-00005C040000}"/>
    <cellStyle name="Normal 3 2 5" xfId="1176" xr:uid="{00000000-0005-0000-0000-00005D040000}"/>
    <cellStyle name="Normal 3 2 6" xfId="1177" xr:uid="{00000000-0005-0000-0000-00005E040000}"/>
    <cellStyle name="Normal 3 2 7" xfId="1178" xr:uid="{00000000-0005-0000-0000-00005F040000}"/>
    <cellStyle name="Normal 3 2 8" xfId="1179" xr:uid="{00000000-0005-0000-0000-000060040000}"/>
    <cellStyle name="Normal 3 3" xfId="1180" xr:uid="{00000000-0005-0000-0000-000061040000}"/>
    <cellStyle name="Normal 3 3 10" xfId="1181" xr:uid="{00000000-0005-0000-0000-000062040000}"/>
    <cellStyle name="Normal 3 3 10 2" xfId="1182" xr:uid="{00000000-0005-0000-0000-000063040000}"/>
    <cellStyle name="Normal 3 3 2" xfId="1183" xr:uid="{00000000-0005-0000-0000-000064040000}"/>
    <cellStyle name="Normal 3 3 2 2" xfId="1184" xr:uid="{00000000-0005-0000-0000-000065040000}"/>
    <cellStyle name="Normal 3 3 2 2 2" xfId="1185" xr:uid="{00000000-0005-0000-0000-000066040000}"/>
    <cellStyle name="Normal 3 3 3" xfId="1186" xr:uid="{00000000-0005-0000-0000-000067040000}"/>
    <cellStyle name="Normal 3 3 4" xfId="1187" xr:uid="{00000000-0005-0000-0000-000068040000}"/>
    <cellStyle name="Normal 3 3 5" xfId="1188" xr:uid="{00000000-0005-0000-0000-000069040000}"/>
    <cellStyle name="Normal 3 3 6" xfId="1189" xr:uid="{00000000-0005-0000-0000-00006A040000}"/>
    <cellStyle name="Normal 3 3 7" xfId="1190" xr:uid="{00000000-0005-0000-0000-00006B040000}"/>
    <cellStyle name="Normal 3 3 8" xfId="1191" xr:uid="{00000000-0005-0000-0000-00006C040000}"/>
    <cellStyle name="Normal 3 3 9" xfId="1192" xr:uid="{00000000-0005-0000-0000-00006D040000}"/>
    <cellStyle name="Normal 3 4" xfId="1193" xr:uid="{00000000-0005-0000-0000-00006E040000}"/>
    <cellStyle name="Normal 3 4 2" xfId="1194" xr:uid="{00000000-0005-0000-0000-00006F040000}"/>
    <cellStyle name="Normal 3 4 2 2" xfId="1195" xr:uid="{00000000-0005-0000-0000-000070040000}"/>
    <cellStyle name="Normal 3 4 3" xfId="1196" xr:uid="{00000000-0005-0000-0000-000071040000}"/>
    <cellStyle name="Normal 3 4 3 2" xfId="1197" xr:uid="{00000000-0005-0000-0000-000072040000}"/>
    <cellStyle name="Normal 3 4 4" xfId="1198" xr:uid="{00000000-0005-0000-0000-000073040000}"/>
    <cellStyle name="Normal 3 5" xfId="1199" xr:uid="{00000000-0005-0000-0000-000074040000}"/>
    <cellStyle name="Normal 3 5 2" xfId="1200" xr:uid="{00000000-0005-0000-0000-000075040000}"/>
    <cellStyle name="Normal 3 6" xfId="1201" xr:uid="{00000000-0005-0000-0000-000076040000}"/>
    <cellStyle name="Normal 3 6 2" xfId="1202" xr:uid="{00000000-0005-0000-0000-000077040000}"/>
    <cellStyle name="Normal 3 6 2 2" xfId="1203" xr:uid="{00000000-0005-0000-0000-000078040000}"/>
    <cellStyle name="Normal 3 7" xfId="1204" xr:uid="{00000000-0005-0000-0000-000079040000}"/>
    <cellStyle name="Normal 3 7 2" xfId="1205" xr:uid="{00000000-0005-0000-0000-00007A040000}"/>
    <cellStyle name="Normal 3 7 2 2" xfId="1206" xr:uid="{00000000-0005-0000-0000-00007B040000}"/>
    <cellStyle name="Normal 3 8" xfId="1207" xr:uid="{00000000-0005-0000-0000-00007C040000}"/>
    <cellStyle name="Normal 3 8 2" xfId="1208" xr:uid="{00000000-0005-0000-0000-00007D040000}"/>
    <cellStyle name="Normal 3 8 2 2" xfId="1209" xr:uid="{00000000-0005-0000-0000-00007E040000}"/>
    <cellStyle name="Normal 3 9" xfId="1210" xr:uid="{00000000-0005-0000-0000-00007F040000}"/>
    <cellStyle name="Normal 3 9 2" xfId="1211" xr:uid="{00000000-0005-0000-0000-000080040000}"/>
    <cellStyle name="Normal 3 9 2 2" xfId="1212" xr:uid="{00000000-0005-0000-0000-000081040000}"/>
    <cellStyle name="Normal 30" xfId="1213" xr:uid="{00000000-0005-0000-0000-000082040000}"/>
    <cellStyle name="Normal 31" xfId="1214" xr:uid="{00000000-0005-0000-0000-000083040000}"/>
    <cellStyle name="Normal 32" xfId="1215" xr:uid="{00000000-0005-0000-0000-000084040000}"/>
    <cellStyle name="Normal 33" xfId="1216" xr:uid="{00000000-0005-0000-0000-000085040000}"/>
    <cellStyle name="Normal 33 2" xfId="1217" xr:uid="{00000000-0005-0000-0000-000086040000}"/>
    <cellStyle name="Normal 33 2 2" xfId="1218" xr:uid="{00000000-0005-0000-0000-000087040000}"/>
    <cellStyle name="Normal 33 3" xfId="1219" xr:uid="{00000000-0005-0000-0000-000088040000}"/>
    <cellStyle name="Normal 34" xfId="1220" xr:uid="{00000000-0005-0000-0000-000089040000}"/>
    <cellStyle name="Normal 35" xfId="1221" xr:uid="{00000000-0005-0000-0000-00008A040000}"/>
    <cellStyle name="Normal 36" xfId="1222" xr:uid="{00000000-0005-0000-0000-00008B040000}"/>
    <cellStyle name="Normal 36 2" xfId="1223" xr:uid="{00000000-0005-0000-0000-00008C040000}"/>
    <cellStyle name="Normal 37" xfId="1224" xr:uid="{00000000-0005-0000-0000-00008D040000}"/>
    <cellStyle name="Normal 37 2" xfId="1225" xr:uid="{00000000-0005-0000-0000-00008E040000}"/>
    <cellStyle name="Normal 38" xfId="1226" xr:uid="{00000000-0005-0000-0000-00008F040000}"/>
    <cellStyle name="Normal 38 2" xfId="1227" xr:uid="{00000000-0005-0000-0000-000090040000}"/>
    <cellStyle name="Normal 39" xfId="1228" xr:uid="{00000000-0005-0000-0000-000091040000}"/>
    <cellStyle name="Normal 39 2" xfId="1229" xr:uid="{00000000-0005-0000-0000-000092040000}"/>
    <cellStyle name="Normal 4" xfId="93" xr:uid="{00000000-0005-0000-0000-000093040000}"/>
    <cellStyle name="Normal 4 10" xfId="49" xr:uid="{00000000-0005-0000-0000-000094040000}"/>
    <cellStyle name="Normal 4 11" xfId="50" xr:uid="{00000000-0005-0000-0000-000095040000}"/>
    <cellStyle name="Normal 4 12" xfId="61" xr:uid="{00000000-0005-0000-0000-000096040000}"/>
    <cellStyle name="Normal 4 13" xfId="62" xr:uid="{00000000-0005-0000-0000-000097040000}"/>
    <cellStyle name="Normal 4 14" xfId="63" xr:uid="{00000000-0005-0000-0000-000098040000}"/>
    <cellStyle name="Normal 4 15" xfId="64" xr:uid="{00000000-0005-0000-0000-000099040000}"/>
    <cellStyle name="Normal 4 16" xfId="65" xr:uid="{00000000-0005-0000-0000-00009A040000}"/>
    <cellStyle name="Normal 4 17" xfId="66" xr:uid="{00000000-0005-0000-0000-00009B040000}"/>
    <cellStyle name="Normal 4 18" xfId="69" xr:uid="{00000000-0005-0000-0000-00009C040000}"/>
    <cellStyle name="Normal 4 19" xfId="70" xr:uid="{00000000-0005-0000-0000-00009D040000}"/>
    <cellStyle name="Normal 4 2" xfId="38" xr:uid="{00000000-0005-0000-0000-00009E040000}"/>
    <cellStyle name="Normal 4 2 2" xfId="1230" xr:uid="{00000000-0005-0000-0000-00009F040000}"/>
    <cellStyle name="Normal 4 2 2 2" xfId="1231" xr:uid="{00000000-0005-0000-0000-0000A0040000}"/>
    <cellStyle name="Normal 4 20" xfId="78" xr:uid="{00000000-0005-0000-0000-0000A1040000}"/>
    <cellStyle name="Normal 4 21" xfId="80" xr:uid="{00000000-0005-0000-0000-0000A2040000}"/>
    <cellStyle name="Normal 4 22" xfId="82" xr:uid="{00000000-0005-0000-0000-0000A3040000}"/>
    <cellStyle name="Normal 4 23" xfId="83" xr:uid="{00000000-0005-0000-0000-0000A4040000}"/>
    <cellStyle name="Normal 4 24" xfId="84" xr:uid="{00000000-0005-0000-0000-0000A5040000}"/>
    <cellStyle name="Normal 4 25" xfId="85" xr:uid="{00000000-0005-0000-0000-0000A6040000}"/>
    <cellStyle name="Normal 4 26" xfId="86" xr:uid="{00000000-0005-0000-0000-0000A7040000}"/>
    <cellStyle name="Normal 4 27" xfId="87" xr:uid="{00000000-0005-0000-0000-0000A8040000}"/>
    <cellStyle name="Normal 4 28" xfId="88" xr:uid="{00000000-0005-0000-0000-0000A9040000}"/>
    <cellStyle name="Normal 4 29" xfId="91" xr:uid="{00000000-0005-0000-0000-0000AA040000}"/>
    <cellStyle name="Normal 4 3" xfId="40" xr:uid="{00000000-0005-0000-0000-0000AB040000}"/>
    <cellStyle name="Normal 4 3 2" xfId="1232" xr:uid="{00000000-0005-0000-0000-0000AC040000}"/>
    <cellStyle name="Normal 4 3 2 2" xfId="1233" xr:uid="{00000000-0005-0000-0000-0000AD040000}"/>
    <cellStyle name="Normal 4 30" xfId="92" xr:uid="{00000000-0005-0000-0000-0000AE040000}"/>
    <cellStyle name="Normal 4 31" xfId="99" xr:uid="{00000000-0005-0000-0000-0000AF040000}"/>
    <cellStyle name="Normal 4 32" xfId="103" xr:uid="{00000000-0005-0000-0000-0000B0040000}"/>
    <cellStyle name="Normal 4 33" xfId="105" xr:uid="{00000000-0005-0000-0000-0000B1040000}"/>
    <cellStyle name="Normal 4 34" xfId="106" xr:uid="{00000000-0005-0000-0000-0000B2040000}"/>
    <cellStyle name="Normal 4 35" xfId="107" xr:uid="{00000000-0005-0000-0000-0000B3040000}"/>
    <cellStyle name="Normal 4 36" xfId="110" xr:uid="{00000000-0005-0000-0000-0000B4040000}"/>
    <cellStyle name="Normal 4 37" xfId="117" xr:uid="{00000000-0005-0000-0000-0000B5040000}"/>
    <cellStyle name="Normal 4 38" xfId="118" xr:uid="{00000000-0005-0000-0000-0000B6040000}"/>
    <cellStyle name="Normal 4 39" xfId="119" xr:uid="{00000000-0005-0000-0000-0000B7040000}"/>
    <cellStyle name="Normal 4 4" xfId="41" xr:uid="{00000000-0005-0000-0000-0000B8040000}"/>
    <cellStyle name="Normal 4 4 2" xfId="1234" xr:uid="{00000000-0005-0000-0000-0000B9040000}"/>
    <cellStyle name="Normal 4 4 2 2" xfId="1235" xr:uid="{00000000-0005-0000-0000-0000BA040000}"/>
    <cellStyle name="Normal 4 40" xfId="121" xr:uid="{00000000-0005-0000-0000-0000BB040000}"/>
    <cellStyle name="Normal 4 41" xfId="122" xr:uid="{00000000-0005-0000-0000-0000BC040000}"/>
    <cellStyle name="Normal 4 42" xfId="123" xr:uid="{00000000-0005-0000-0000-0000BD040000}"/>
    <cellStyle name="Normal 4 5" xfId="43" xr:uid="{00000000-0005-0000-0000-0000BE040000}"/>
    <cellStyle name="Normal 4 5 2" xfId="1236" xr:uid="{00000000-0005-0000-0000-0000BF040000}"/>
    <cellStyle name="Normal 4 5 2 2" xfId="1237" xr:uid="{00000000-0005-0000-0000-0000C0040000}"/>
    <cellStyle name="Normal 4 6" xfId="44" xr:uid="{00000000-0005-0000-0000-0000C1040000}"/>
    <cellStyle name="Normal 4 6 2" xfId="1238" xr:uid="{00000000-0005-0000-0000-0000C2040000}"/>
    <cellStyle name="Normal 4 6 2 2" xfId="1239" xr:uid="{00000000-0005-0000-0000-0000C3040000}"/>
    <cellStyle name="Normal 4 7" xfId="45" xr:uid="{00000000-0005-0000-0000-0000C4040000}"/>
    <cellStyle name="Normal 4 7 2" xfId="1240" xr:uid="{00000000-0005-0000-0000-0000C5040000}"/>
    <cellStyle name="Normal 4 7 2 2" xfId="1241" xr:uid="{00000000-0005-0000-0000-0000C6040000}"/>
    <cellStyle name="Normal 4 8" xfId="46" xr:uid="{00000000-0005-0000-0000-0000C7040000}"/>
    <cellStyle name="Normal 4 8 2" xfId="1242" xr:uid="{00000000-0005-0000-0000-0000C8040000}"/>
    <cellStyle name="Normal 4 9" xfId="47" xr:uid="{00000000-0005-0000-0000-0000C9040000}"/>
    <cellStyle name="Normal 4 9 2" xfId="1243" xr:uid="{00000000-0005-0000-0000-0000CA040000}"/>
    <cellStyle name="Normal 40" xfId="1244" xr:uid="{00000000-0005-0000-0000-0000CB040000}"/>
    <cellStyle name="Normal 40 2" xfId="1245" xr:uid="{00000000-0005-0000-0000-0000CC040000}"/>
    <cellStyle name="Normal 41" xfId="1246" xr:uid="{00000000-0005-0000-0000-0000CD040000}"/>
    <cellStyle name="Normal 41 2" xfId="1247" xr:uid="{00000000-0005-0000-0000-0000CE040000}"/>
    <cellStyle name="Normal 42" xfId="1248" xr:uid="{00000000-0005-0000-0000-0000CF040000}"/>
    <cellStyle name="Normal 42 2" xfId="1249" xr:uid="{00000000-0005-0000-0000-0000D0040000}"/>
    <cellStyle name="Normal 43" xfId="1250" xr:uid="{00000000-0005-0000-0000-0000D1040000}"/>
    <cellStyle name="Normal 43 2" xfId="1251" xr:uid="{00000000-0005-0000-0000-0000D2040000}"/>
    <cellStyle name="Normal 44" xfId="1252" xr:uid="{00000000-0005-0000-0000-0000D3040000}"/>
    <cellStyle name="Normal 44 2" xfId="1253" xr:uid="{00000000-0005-0000-0000-0000D4040000}"/>
    <cellStyle name="Normal 45" xfId="1254" xr:uid="{00000000-0005-0000-0000-0000D5040000}"/>
    <cellStyle name="Normal 45 2" xfId="1255" xr:uid="{00000000-0005-0000-0000-0000D6040000}"/>
    <cellStyle name="Normal 46" xfId="1256" xr:uid="{00000000-0005-0000-0000-0000D7040000}"/>
    <cellStyle name="Normal 47" xfId="1257" xr:uid="{00000000-0005-0000-0000-0000D8040000}"/>
    <cellStyle name="Normal 47 2" xfId="1258" xr:uid="{00000000-0005-0000-0000-0000D9040000}"/>
    <cellStyle name="Normal 48" xfId="1259" xr:uid="{00000000-0005-0000-0000-0000DA040000}"/>
    <cellStyle name="Normal 48 2" xfId="1260" xr:uid="{00000000-0005-0000-0000-0000DB040000}"/>
    <cellStyle name="Normal 49" xfId="1261" xr:uid="{00000000-0005-0000-0000-0000DC040000}"/>
    <cellStyle name="Normal 49 2" xfId="1262" xr:uid="{00000000-0005-0000-0000-0000DD040000}"/>
    <cellStyle name="Normal 5" xfId="98" xr:uid="{00000000-0005-0000-0000-0000DE040000}"/>
    <cellStyle name="Normal 5 2" xfId="1263" xr:uid="{00000000-0005-0000-0000-0000DF040000}"/>
    <cellStyle name="Normal 5 3" xfId="1264" xr:uid="{00000000-0005-0000-0000-0000E0040000}"/>
    <cellStyle name="Normal 5 3 2" xfId="1265" xr:uid="{00000000-0005-0000-0000-0000E1040000}"/>
    <cellStyle name="Normal 5 4" xfId="1266" xr:uid="{00000000-0005-0000-0000-0000E2040000}"/>
    <cellStyle name="Normal 5 5" xfId="1267" xr:uid="{00000000-0005-0000-0000-0000E3040000}"/>
    <cellStyle name="Normal 5 6" xfId="1268" xr:uid="{00000000-0005-0000-0000-0000E4040000}"/>
    <cellStyle name="Normal 5 7" xfId="1269" xr:uid="{00000000-0005-0000-0000-0000E5040000}"/>
    <cellStyle name="Normal 50" xfId="1270" xr:uid="{00000000-0005-0000-0000-0000E6040000}"/>
    <cellStyle name="Normal 50 2" xfId="1271" xr:uid="{00000000-0005-0000-0000-0000E7040000}"/>
    <cellStyle name="Normal 51" xfId="1272" xr:uid="{00000000-0005-0000-0000-0000E8040000}"/>
    <cellStyle name="Normal 51 2" xfId="1273" xr:uid="{00000000-0005-0000-0000-0000E9040000}"/>
    <cellStyle name="Normal 52" xfId="1274" xr:uid="{00000000-0005-0000-0000-0000EA040000}"/>
    <cellStyle name="Normal 52 2" xfId="1275" xr:uid="{00000000-0005-0000-0000-0000EB040000}"/>
    <cellStyle name="Normal 53" xfId="1276" xr:uid="{00000000-0005-0000-0000-0000EC040000}"/>
    <cellStyle name="Normal 53 2" xfId="1277" xr:uid="{00000000-0005-0000-0000-0000ED040000}"/>
    <cellStyle name="Normal 54" xfId="1278" xr:uid="{00000000-0005-0000-0000-0000EE040000}"/>
    <cellStyle name="Normal 54 2" xfId="1279" xr:uid="{00000000-0005-0000-0000-0000EF040000}"/>
    <cellStyle name="Normal 55" xfId="1280" xr:uid="{00000000-0005-0000-0000-0000F0040000}"/>
    <cellStyle name="Normal 55 2" xfId="1281" xr:uid="{00000000-0005-0000-0000-0000F1040000}"/>
    <cellStyle name="Normal 56" xfId="1282" xr:uid="{00000000-0005-0000-0000-0000F2040000}"/>
    <cellStyle name="Normal 56 2" xfId="1283" xr:uid="{00000000-0005-0000-0000-0000F3040000}"/>
    <cellStyle name="Normal 57" xfId="1284" xr:uid="{00000000-0005-0000-0000-0000F4040000}"/>
    <cellStyle name="Normal 58" xfId="1285" xr:uid="{00000000-0005-0000-0000-0000F5040000}"/>
    <cellStyle name="Normal 58 2" xfId="1286" xr:uid="{00000000-0005-0000-0000-0000F6040000}"/>
    <cellStyle name="Normal 59" xfId="1287" xr:uid="{00000000-0005-0000-0000-0000F7040000}"/>
    <cellStyle name="Normal 6" xfId="101" xr:uid="{00000000-0005-0000-0000-0000F8040000}"/>
    <cellStyle name="Normal 6 2" xfId="1288" xr:uid="{00000000-0005-0000-0000-0000F9040000}"/>
    <cellStyle name="Normal 6 2 2" xfId="1289" xr:uid="{00000000-0005-0000-0000-0000FA040000}"/>
    <cellStyle name="Normal 6 3" xfId="1290" xr:uid="{00000000-0005-0000-0000-0000FB040000}"/>
    <cellStyle name="Normal 6 4" xfId="1291" xr:uid="{00000000-0005-0000-0000-0000FC040000}"/>
    <cellStyle name="Normal 60" xfId="1292" xr:uid="{00000000-0005-0000-0000-0000FD040000}"/>
    <cellStyle name="Normal 61" xfId="1293" xr:uid="{00000000-0005-0000-0000-0000FE040000}"/>
    <cellStyle name="Normal 62" xfId="1294" xr:uid="{00000000-0005-0000-0000-0000FF040000}"/>
    <cellStyle name="Normal 62 2" xfId="1295" xr:uid="{00000000-0005-0000-0000-000000050000}"/>
    <cellStyle name="Normal 63" xfId="1296" xr:uid="{00000000-0005-0000-0000-000001050000}"/>
    <cellStyle name="Normal 64" xfId="1297" xr:uid="{00000000-0005-0000-0000-000002050000}"/>
    <cellStyle name="Normal 65" xfId="1298" xr:uid="{00000000-0005-0000-0000-000003050000}"/>
    <cellStyle name="Normal 66" xfId="1299" xr:uid="{00000000-0005-0000-0000-000004050000}"/>
    <cellStyle name="Normal 67" xfId="1300" xr:uid="{00000000-0005-0000-0000-000005050000}"/>
    <cellStyle name="Normal 68" xfId="1301" xr:uid="{00000000-0005-0000-0000-000006050000}"/>
    <cellStyle name="Normal 69" xfId="1302" xr:uid="{00000000-0005-0000-0000-000007050000}"/>
    <cellStyle name="Normal 7" xfId="102" xr:uid="{00000000-0005-0000-0000-000008050000}"/>
    <cellStyle name="Normal 7 2" xfId="1303" xr:uid="{00000000-0005-0000-0000-000009050000}"/>
    <cellStyle name="Normal 7 2 2" xfId="1304" xr:uid="{00000000-0005-0000-0000-00000A050000}"/>
    <cellStyle name="Normal 7 3" xfId="1305" xr:uid="{00000000-0005-0000-0000-00000B050000}"/>
    <cellStyle name="Normal 70" xfId="1306" xr:uid="{00000000-0005-0000-0000-00000C050000}"/>
    <cellStyle name="Normal 71" xfId="1307" xr:uid="{00000000-0005-0000-0000-00000D050000}"/>
    <cellStyle name="Normal 72" xfId="1308" xr:uid="{00000000-0005-0000-0000-00000E050000}"/>
    <cellStyle name="Normal 73" xfId="1465" xr:uid="{00000000-0005-0000-0000-00000F050000}"/>
    <cellStyle name="Normal 74" xfId="1466" xr:uid="{00000000-0005-0000-0000-000010050000}"/>
    <cellStyle name="Normal 75" xfId="1467" xr:uid="{00000000-0005-0000-0000-000011050000}"/>
    <cellStyle name="Normal 76" xfId="1468" xr:uid="{00000000-0005-0000-0000-000012050000}"/>
    <cellStyle name="Normal 77" xfId="1469" xr:uid="{00000000-0005-0000-0000-000013050000}"/>
    <cellStyle name="Normal 78" xfId="1470" xr:uid="{00000000-0005-0000-0000-000014050000}"/>
    <cellStyle name="Normal 79" xfId="1472" xr:uid="{00000000-0005-0000-0000-000015050000}"/>
    <cellStyle name="Normal 8" xfId="104" xr:uid="{00000000-0005-0000-0000-000016050000}"/>
    <cellStyle name="Normal 8 2" xfId="1309" xr:uid="{00000000-0005-0000-0000-000017050000}"/>
    <cellStyle name="Normal 80" xfId="1473" xr:uid="{00000000-0005-0000-0000-000018050000}"/>
    <cellStyle name="Normal 81" xfId="1474" xr:uid="{00000000-0005-0000-0000-000019050000}"/>
    <cellStyle name="Normal 82" xfId="1476" xr:uid="{00000000-0005-0000-0000-00001A050000}"/>
    <cellStyle name="Normal 83" xfId="1477" xr:uid="{00000000-0005-0000-0000-00001B050000}"/>
    <cellStyle name="Normal 84" xfId="1478" xr:uid="{00000000-0005-0000-0000-00001C050000}"/>
    <cellStyle name="Normal 85" xfId="1479" xr:uid="{00000000-0005-0000-0000-00001D050000}"/>
    <cellStyle name="Normal 9" xfId="42" xr:uid="{00000000-0005-0000-0000-00001E050000}"/>
    <cellStyle name="Normal 9 2" xfId="1471" xr:uid="{00000000-0005-0000-0000-00001F050000}"/>
    <cellStyle name="Normal_XM (thô)" xfId="12" xr:uid="{00000000-0005-0000-0000-000020050000}"/>
    <cellStyle name="Note 10" xfId="1310" xr:uid="{00000000-0005-0000-0000-000021050000}"/>
    <cellStyle name="Note 10 2" xfId="1311" xr:uid="{00000000-0005-0000-0000-000022050000}"/>
    <cellStyle name="Note 11" xfId="1312" xr:uid="{00000000-0005-0000-0000-000023050000}"/>
    <cellStyle name="Note 11 2" xfId="1313" xr:uid="{00000000-0005-0000-0000-000024050000}"/>
    <cellStyle name="Note 12" xfId="1314" xr:uid="{00000000-0005-0000-0000-000025050000}"/>
    <cellStyle name="Note 12 2" xfId="1315" xr:uid="{00000000-0005-0000-0000-000026050000}"/>
    <cellStyle name="Note 13" xfId="1316" xr:uid="{00000000-0005-0000-0000-000027050000}"/>
    <cellStyle name="Note 13 2" xfId="1317" xr:uid="{00000000-0005-0000-0000-000028050000}"/>
    <cellStyle name="Note 2" xfId="1318" xr:uid="{00000000-0005-0000-0000-000029050000}"/>
    <cellStyle name="Note 2 2" xfId="1319" xr:uid="{00000000-0005-0000-0000-00002A050000}"/>
    <cellStyle name="Note 2 2 2" xfId="1320" xr:uid="{00000000-0005-0000-0000-00002B050000}"/>
    <cellStyle name="Note 2 3" xfId="1321" xr:uid="{00000000-0005-0000-0000-00002C050000}"/>
    <cellStyle name="Note 2 3 2" xfId="1322" xr:uid="{00000000-0005-0000-0000-00002D050000}"/>
    <cellStyle name="Note 2 4" xfId="1323" xr:uid="{00000000-0005-0000-0000-00002E050000}"/>
    <cellStyle name="Note 2 4 2" xfId="1324" xr:uid="{00000000-0005-0000-0000-00002F050000}"/>
    <cellStyle name="Note 2 5" xfId="1325" xr:uid="{00000000-0005-0000-0000-000030050000}"/>
    <cellStyle name="Note 2 5 2" xfId="1326" xr:uid="{00000000-0005-0000-0000-000031050000}"/>
    <cellStyle name="Note 2 6" xfId="1327" xr:uid="{00000000-0005-0000-0000-000032050000}"/>
    <cellStyle name="Note 2 6 2" xfId="1328" xr:uid="{00000000-0005-0000-0000-000033050000}"/>
    <cellStyle name="Note 2 7" xfId="1329" xr:uid="{00000000-0005-0000-0000-000034050000}"/>
    <cellStyle name="Note 3" xfId="1330" xr:uid="{00000000-0005-0000-0000-000035050000}"/>
    <cellStyle name="Note 3 2" xfId="1331" xr:uid="{00000000-0005-0000-0000-000036050000}"/>
    <cellStyle name="Note 4" xfId="1332" xr:uid="{00000000-0005-0000-0000-000037050000}"/>
    <cellStyle name="Note 4 2" xfId="1333" xr:uid="{00000000-0005-0000-0000-000038050000}"/>
    <cellStyle name="Note 5" xfId="1334" xr:uid="{00000000-0005-0000-0000-000039050000}"/>
    <cellStyle name="Note 5 2" xfId="1335" xr:uid="{00000000-0005-0000-0000-00003A050000}"/>
    <cellStyle name="Note 6" xfId="1336" xr:uid="{00000000-0005-0000-0000-00003B050000}"/>
    <cellStyle name="Note 6 2" xfId="1337" xr:uid="{00000000-0005-0000-0000-00003C050000}"/>
    <cellStyle name="Note 7" xfId="1338" xr:uid="{00000000-0005-0000-0000-00003D050000}"/>
    <cellStyle name="Note 7 2" xfId="1339" xr:uid="{00000000-0005-0000-0000-00003E050000}"/>
    <cellStyle name="Note 8" xfId="1340" xr:uid="{00000000-0005-0000-0000-00003F050000}"/>
    <cellStyle name="Note 8 2" xfId="1341" xr:uid="{00000000-0005-0000-0000-000040050000}"/>
    <cellStyle name="Note 9" xfId="1342" xr:uid="{00000000-0005-0000-0000-000041050000}"/>
    <cellStyle name="Note 9 2" xfId="1343" xr:uid="{00000000-0005-0000-0000-000042050000}"/>
    <cellStyle name="Notitie" xfId="1344" xr:uid="{00000000-0005-0000-0000-000043050000}"/>
    <cellStyle name="Ongeldig" xfId="1345" xr:uid="{00000000-0005-0000-0000-000044050000}"/>
    <cellStyle name="Output 10" xfId="1346" xr:uid="{00000000-0005-0000-0000-000045050000}"/>
    <cellStyle name="Output 10 2" xfId="1347" xr:uid="{00000000-0005-0000-0000-000046050000}"/>
    <cellStyle name="Output 11" xfId="1348" xr:uid="{00000000-0005-0000-0000-000047050000}"/>
    <cellStyle name="Output 11 2" xfId="1349" xr:uid="{00000000-0005-0000-0000-000048050000}"/>
    <cellStyle name="Output 12" xfId="1350" xr:uid="{00000000-0005-0000-0000-000049050000}"/>
    <cellStyle name="Output 12 2" xfId="1351" xr:uid="{00000000-0005-0000-0000-00004A050000}"/>
    <cellStyle name="Output 13" xfId="1352" xr:uid="{00000000-0005-0000-0000-00004B050000}"/>
    <cellStyle name="Output 13 2" xfId="1353" xr:uid="{00000000-0005-0000-0000-00004C050000}"/>
    <cellStyle name="Output 2" xfId="1354" xr:uid="{00000000-0005-0000-0000-00004D050000}"/>
    <cellStyle name="Output 2 2" xfId="1355" xr:uid="{00000000-0005-0000-0000-00004E050000}"/>
    <cellStyle name="Output 2 2 2" xfId="1356" xr:uid="{00000000-0005-0000-0000-00004F050000}"/>
    <cellStyle name="Output 2 3" xfId="1357" xr:uid="{00000000-0005-0000-0000-000050050000}"/>
    <cellStyle name="Output 2 3 2" xfId="1358" xr:uid="{00000000-0005-0000-0000-000051050000}"/>
    <cellStyle name="Output 2 4" xfId="1359" xr:uid="{00000000-0005-0000-0000-000052050000}"/>
    <cellStyle name="Output 2 4 2" xfId="1360" xr:uid="{00000000-0005-0000-0000-000053050000}"/>
    <cellStyle name="Output 2 5" xfId="1361" xr:uid="{00000000-0005-0000-0000-000054050000}"/>
    <cellStyle name="Output 2 5 2" xfId="1362" xr:uid="{00000000-0005-0000-0000-000055050000}"/>
    <cellStyle name="Output 2 6" xfId="1363" xr:uid="{00000000-0005-0000-0000-000056050000}"/>
    <cellStyle name="Output 2 6 2" xfId="1364" xr:uid="{00000000-0005-0000-0000-000057050000}"/>
    <cellStyle name="Output 2 7" xfId="1365" xr:uid="{00000000-0005-0000-0000-000058050000}"/>
    <cellStyle name="Output 3" xfId="1366" xr:uid="{00000000-0005-0000-0000-000059050000}"/>
    <cellStyle name="Output 3 2" xfId="1367" xr:uid="{00000000-0005-0000-0000-00005A050000}"/>
    <cellStyle name="Output 4" xfId="1368" xr:uid="{00000000-0005-0000-0000-00005B050000}"/>
    <cellStyle name="Output 4 2" xfId="1369" xr:uid="{00000000-0005-0000-0000-00005C050000}"/>
    <cellStyle name="Output 5" xfId="1370" xr:uid="{00000000-0005-0000-0000-00005D050000}"/>
    <cellStyle name="Output 5 2" xfId="1371" xr:uid="{00000000-0005-0000-0000-00005E050000}"/>
    <cellStyle name="Output 6" xfId="1372" xr:uid="{00000000-0005-0000-0000-00005F050000}"/>
    <cellStyle name="Output 6 2" xfId="1373" xr:uid="{00000000-0005-0000-0000-000060050000}"/>
    <cellStyle name="Output 7" xfId="1374" xr:uid="{00000000-0005-0000-0000-000061050000}"/>
    <cellStyle name="Output 7 2" xfId="1375" xr:uid="{00000000-0005-0000-0000-000062050000}"/>
    <cellStyle name="Output 8" xfId="1376" xr:uid="{00000000-0005-0000-0000-000063050000}"/>
    <cellStyle name="Output 8 2" xfId="1377" xr:uid="{00000000-0005-0000-0000-000064050000}"/>
    <cellStyle name="Output 9" xfId="1378" xr:uid="{00000000-0005-0000-0000-000065050000}"/>
    <cellStyle name="Output 9 2" xfId="1379" xr:uid="{00000000-0005-0000-0000-000066050000}"/>
    <cellStyle name="Percent 2" xfId="13" xr:uid="{00000000-0005-0000-0000-000067050000}"/>
    <cellStyle name="Percent 2 2" xfId="1380" xr:uid="{00000000-0005-0000-0000-000068050000}"/>
    <cellStyle name="Percent 2 2 2" xfId="1381" xr:uid="{00000000-0005-0000-0000-000069050000}"/>
    <cellStyle name="Percent 2 2 2 2" xfId="1382" xr:uid="{00000000-0005-0000-0000-00006A050000}"/>
    <cellStyle name="Percent 2 2 3" xfId="1383" xr:uid="{00000000-0005-0000-0000-00006B050000}"/>
    <cellStyle name="Percent 2 3" xfId="1384" xr:uid="{00000000-0005-0000-0000-00006C050000}"/>
    <cellStyle name="Percent 2 3 2" xfId="1385" xr:uid="{00000000-0005-0000-0000-00006D050000}"/>
    <cellStyle name="Percent 2 4" xfId="1386" xr:uid="{00000000-0005-0000-0000-00006E050000}"/>
    <cellStyle name="Percent 2 5" xfId="1387" xr:uid="{00000000-0005-0000-0000-00006F050000}"/>
    <cellStyle name="Percent 3" xfId="1388" xr:uid="{00000000-0005-0000-0000-000070050000}"/>
    <cellStyle name="Percent 3 2" xfId="1389" xr:uid="{00000000-0005-0000-0000-000071050000}"/>
    <cellStyle name="Percent 4" xfId="1390" xr:uid="{00000000-0005-0000-0000-000072050000}"/>
    <cellStyle name="Percent 5" xfId="1391" xr:uid="{00000000-0005-0000-0000-000073050000}"/>
    <cellStyle name="Percent 6" xfId="1392" xr:uid="{00000000-0005-0000-0000-000074050000}"/>
    <cellStyle name="Percent 7" xfId="1393" xr:uid="{00000000-0005-0000-0000-000075050000}"/>
    <cellStyle name="Stijl 1" xfId="1394" xr:uid="{00000000-0005-0000-0000-000076050000}"/>
    <cellStyle name="Style 1" xfId="14" xr:uid="{00000000-0005-0000-0000-000077050000}"/>
    <cellStyle name="Style 1 2" xfId="1395" xr:uid="{00000000-0005-0000-0000-000078050000}"/>
    <cellStyle name="Titel" xfId="1396" xr:uid="{00000000-0005-0000-0000-000079050000}"/>
    <cellStyle name="Title 10" xfId="1397" xr:uid="{00000000-0005-0000-0000-00007A050000}"/>
    <cellStyle name="Title 11" xfId="1398" xr:uid="{00000000-0005-0000-0000-00007B050000}"/>
    <cellStyle name="Title 12" xfId="1399" xr:uid="{00000000-0005-0000-0000-00007C050000}"/>
    <cellStyle name="Title 13" xfId="1400" xr:uid="{00000000-0005-0000-0000-00007D050000}"/>
    <cellStyle name="Title 2" xfId="1401" xr:uid="{00000000-0005-0000-0000-00007E050000}"/>
    <cellStyle name="Title 2 2" xfId="1402" xr:uid="{00000000-0005-0000-0000-00007F050000}"/>
    <cellStyle name="Title 2 3" xfId="1403" xr:uid="{00000000-0005-0000-0000-000080050000}"/>
    <cellStyle name="Title 2 4" xfId="1404" xr:uid="{00000000-0005-0000-0000-000081050000}"/>
    <cellStyle name="Title 2 5" xfId="1405" xr:uid="{00000000-0005-0000-0000-000082050000}"/>
    <cellStyle name="Title 2 6" xfId="1406" xr:uid="{00000000-0005-0000-0000-000083050000}"/>
    <cellStyle name="Title 3" xfId="1407" xr:uid="{00000000-0005-0000-0000-000084050000}"/>
    <cellStyle name="Title 4" xfId="1408" xr:uid="{00000000-0005-0000-0000-000085050000}"/>
    <cellStyle name="Title 5" xfId="1409" xr:uid="{00000000-0005-0000-0000-000086050000}"/>
    <cellStyle name="Title 6" xfId="1410" xr:uid="{00000000-0005-0000-0000-000087050000}"/>
    <cellStyle name="Title 7" xfId="1411" xr:uid="{00000000-0005-0000-0000-000088050000}"/>
    <cellStyle name="Title 8" xfId="1412" xr:uid="{00000000-0005-0000-0000-000089050000}"/>
    <cellStyle name="Title 9" xfId="1413" xr:uid="{00000000-0005-0000-0000-00008A050000}"/>
    <cellStyle name="Totaal" xfId="1414" xr:uid="{00000000-0005-0000-0000-00008B050000}"/>
    <cellStyle name="Total 10" xfId="1415" xr:uid="{00000000-0005-0000-0000-00008C050000}"/>
    <cellStyle name="Total 11" xfId="1416" xr:uid="{00000000-0005-0000-0000-00008D050000}"/>
    <cellStyle name="Total 12" xfId="1417" xr:uid="{00000000-0005-0000-0000-00008E050000}"/>
    <cellStyle name="Total 13" xfId="1418" xr:uid="{00000000-0005-0000-0000-00008F050000}"/>
    <cellStyle name="Total 14" xfId="1419" xr:uid="{00000000-0005-0000-0000-000090050000}"/>
    <cellStyle name="Total 15" xfId="1420" xr:uid="{00000000-0005-0000-0000-000091050000}"/>
    <cellStyle name="Total 16" xfId="1421" xr:uid="{00000000-0005-0000-0000-000092050000}"/>
    <cellStyle name="Total 16 2" xfId="1422" xr:uid="{00000000-0005-0000-0000-000093050000}"/>
    <cellStyle name="Total 17" xfId="1423" xr:uid="{00000000-0005-0000-0000-000094050000}"/>
    <cellStyle name="Total 17 2" xfId="1424" xr:uid="{00000000-0005-0000-0000-000095050000}"/>
    <cellStyle name="Total 18" xfId="1425" xr:uid="{00000000-0005-0000-0000-000096050000}"/>
    <cellStyle name="Total 18 2" xfId="1426" xr:uid="{00000000-0005-0000-0000-000097050000}"/>
    <cellStyle name="Total 19" xfId="1427" xr:uid="{00000000-0005-0000-0000-000098050000}"/>
    <cellStyle name="Total 19 2" xfId="1428" xr:uid="{00000000-0005-0000-0000-000099050000}"/>
    <cellStyle name="Total 2" xfId="1429" xr:uid="{00000000-0005-0000-0000-00009A050000}"/>
    <cellStyle name="Total 2 2" xfId="1430" xr:uid="{00000000-0005-0000-0000-00009B050000}"/>
    <cellStyle name="Total 2 3" xfId="1431" xr:uid="{00000000-0005-0000-0000-00009C050000}"/>
    <cellStyle name="Total 2 4" xfId="1432" xr:uid="{00000000-0005-0000-0000-00009D050000}"/>
    <cellStyle name="Total 2 5" xfId="1433" xr:uid="{00000000-0005-0000-0000-00009E050000}"/>
    <cellStyle name="Total 2 6" xfId="1434" xr:uid="{00000000-0005-0000-0000-00009F050000}"/>
    <cellStyle name="Total 2 7" xfId="1435" xr:uid="{00000000-0005-0000-0000-0000A0050000}"/>
    <cellStyle name="Total 3" xfId="1436" xr:uid="{00000000-0005-0000-0000-0000A1050000}"/>
    <cellStyle name="Total 4" xfId="1437" xr:uid="{00000000-0005-0000-0000-0000A2050000}"/>
    <cellStyle name="Total 5" xfId="1438" xr:uid="{00000000-0005-0000-0000-0000A3050000}"/>
    <cellStyle name="Total 6" xfId="1439" xr:uid="{00000000-0005-0000-0000-0000A4050000}"/>
    <cellStyle name="Total 7" xfId="1440" xr:uid="{00000000-0005-0000-0000-0000A5050000}"/>
    <cellStyle name="Total 8" xfId="1441" xr:uid="{00000000-0005-0000-0000-0000A6050000}"/>
    <cellStyle name="Total 9" xfId="1442" xr:uid="{00000000-0005-0000-0000-0000A7050000}"/>
    <cellStyle name="Uitvoer" xfId="1443" xr:uid="{00000000-0005-0000-0000-0000A8050000}"/>
    <cellStyle name="Verklarende tekst" xfId="1444" xr:uid="{00000000-0005-0000-0000-0000A9050000}"/>
    <cellStyle name="Waarschuwingstekst" xfId="1445" xr:uid="{00000000-0005-0000-0000-0000AA050000}"/>
    <cellStyle name="Warning Text 10" xfId="1446" xr:uid="{00000000-0005-0000-0000-0000AB050000}"/>
    <cellStyle name="Warning Text 11" xfId="1447" xr:uid="{00000000-0005-0000-0000-0000AC050000}"/>
    <cellStyle name="Warning Text 12" xfId="1448" xr:uid="{00000000-0005-0000-0000-0000AD050000}"/>
    <cellStyle name="Warning Text 13" xfId="1449" xr:uid="{00000000-0005-0000-0000-0000AE050000}"/>
    <cellStyle name="Warning Text 2" xfId="1450" xr:uid="{00000000-0005-0000-0000-0000AF050000}"/>
    <cellStyle name="Warning Text 2 2" xfId="1451" xr:uid="{00000000-0005-0000-0000-0000B0050000}"/>
    <cellStyle name="Warning Text 2 3" xfId="1452" xr:uid="{00000000-0005-0000-0000-0000B1050000}"/>
    <cellStyle name="Warning Text 2 4" xfId="1453" xr:uid="{00000000-0005-0000-0000-0000B2050000}"/>
    <cellStyle name="Warning Text 2 5" xfId="1454" xr:uid="{00000000-0005-0000-0000-0000B3050000}"/>
    <cellStyle name="Warning Text 2 6" xfId="1455" xr:uid="{00000000-0005-0000-0000-0000B4050000}"/>
    <cellStyle name="Warning Text 2 7" xfId="1456" xr:uid="{00000000-0005-0000-0000-0000B5050000}"/>
    <cellStyle name="Warning Text 3" xfId="1457" xr:uid="{00000000-0005-0000-0000-0000B6050000}"/>
    <cellStyle name="Warning Text 4" xfId="1458" xr:uid="{00000000-0005-0000-0000-0000B7050000}"/>
    <cellStyle name="Warning Text 5" xfId="1459" xr:uid="{00000000-0005-0000-0000-0000B8050000}"/>
    <cellStyle name="Warning Text 6" xfId="1460" xr:uid="{00000000-0005-0000-0000-0000B9050000}"/>
    <cellStyle name="Warning Text 7" xfId="1461" xr:uid="{00000000-0005-0000-0000-0000BA050000}"/>
    <cellStyle name="Warning Text 8" xfId="1462" xr:uid="{00000000-0005-0000-0000-0000BB050000}"/>
    <cellStyle name="Warning Text 9" xfId="1463" xr:uid="{00000000-0005-0000-0000-0000BC050000}"/>
    <cellStyle name="똿뗦먛귟 [0.00]_PRODUCT DETAIL Q1" xfId="15" xr:uid="{00000000-0005-0000-0000-0000BD050000}"/>
    <cellStyle name="똿뗦먛귟_PRODUCT DETAIL Q1" xfId="16" xr:uid="{00000000-0005-0000-0000-0000BE050000}"/>
    <cellStyle name="믅됞 [0.00]_PRODUCT DETAIL Q1" xfId="17" xr:uid="{00000000-0005-0000-0000-0000BF050000}"/>
    <cellStyle name="믅됞_PRODUCT DETAIL Q1" xfId="18" xr:uid="{00000000-0005-0000-0000-0000C0050000}"/>
    <cellStyle name="백분율_HOBONG" xfId="19" xr:uid="{00000000-0005-0000-0000-0000C1050000}"/>
    <cellStyle name="뷭?_BOOKSHIP" xfId="20" xr:uid="{00000000-0005-0000-0000-0000C2050000}"/>
    <cellStyle name="콤마 [0]_1202" xfId="21" xr:uid="{00000000-0005-0000-0000-0000C3050000}"/>
    <cellStyle name="콤마_1202" xfId="22" xr:uid="{00000000-0005-0000-0000-0000C4050000}"/>
    <cellStyle name="통화 [0]_1202" xfId="23" xr:uid="{00000000-0005-0000-0000-0000C5050000}"/>
    <cellStyle name="통화_1202" xfId="24" xr:uid="{00000000-0005-0000-0000-0000C6050000}"/>
    <cellStyle name="표준_(정보부문)월별인원계획" xfId="25" xr:uid="{00000000-0005-0000-0000-0000C7050000}"/>
  </cellStyles>
  <dxfs count="4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numFmt numFmtId="0" formatCode="General"/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hair">
          <color indexed="64"/>
        </right>
        <top style="hair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name val="Times New Roman"/>
        <scheme val="none"/>
      </font>
      <border diagonalUp="0" diagonalDown="0" outline="0">
        <left style="medium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solid">
          <fgColor indexed="64"/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mvi\Desktop\TIEN%20DO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9.%20PHONG%20DHSX\8.%20MY%20LE\BANG%20CHAM%20CONG%20NAM%202022\2.THANG%2002\BANG_CHAM_CONG_T02.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HEO TỔ"/>
      <sheetName val="NHAP HANG NGAY"/>
      <sheetName val="Sheet3"/>
      <sheetName val="KEHOACH 2020"/>
      <sheetName val="Sheet2"/>
      <sheetName val="TIEN DO"/>
      <sheetName val="bô sung"/>
      <sheetName val="TIEN DO (2019)"/>
      <sheetName val="KEHOACH 2019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eu_bao_nhansu"/>
      <sheetName val="Bang_cham_cong"/>
      <sheetName val="CONG CHI  TIET"/>
      <sheetName val="BAO_CAO"/>
      <sheetName val="TONG HOP CONG"/>
      <sheetName val="6H-SATC"/>
      <sheetName val="quy_uoc"/>
      <sheetName val="Sheet1"/>
    </sheetNames>
    <sheetDataSet>
      <sheetData sheetId="0"/>
      <sheetData sheetId="1">
        <row r="393">
          <cell r="DK393">
            <v>4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43" displayName="Table243" ref="A1:AH13" totalsRowCount="1" headerRowDxfId="69" dataDxfId="68">
  <autoFilter ref="A1:AH12" xr:uid="{00000000-0009-0000-0100-000002000000}"/>
  <tableColumns count="34">
    <tableColumn id="1" xr3:uid="{00000000-0010-0000-0000-000001000000}" name="Tuần" dataDxfId="67" totalsRowDxfId="66"/>
    <tableColumn id="29" xr3:uid="{00000000-0010-0000-0000-00001D000000}" name="682225229" dataDxfId="65" totalsRowDxfId="64" dataCellStyle="Normal 10"/>
    <tableColumn id="30" xr3:uid="{00000000-0010-0000-0000-00001E000000}" name="682225230" dataDxfId="63" totalsRowDxfId="62" dataCellStyle="Normal 10"/>
    <tableColumn id="31" xr3:uid="{00000000-0010-0000-0000-00001F000000}" name="682225231" dataDxfId="61" totalsRowDxfId="60" dataCellStyle="Normal 10"/>
    <tableColumn id="32" xr3:uid="{00000000-0010-0000-0000-000020000000}" name="682225232" dataDxfId="59" totalsRowDxfId="58" dataCellStyle="Normal 10"/>
    <tableColumn id="33" xr3:uid="{00000000-0010-0000-0000-000021000000}" name="682225233" dataDxfId="57" totalsRowDxfId="56" dataCellStyle="Normal 10"/>
    <tableColumn id="34" xr3:uid="{00000000-0010-0000-0000-000022000000}" name="682225234" dataDxfId="55" totalsRowDxfId="54" dataCellStyle="Normal 10"/>
    <tableColumn id="35" xr3:uid="{00000000-0010-0000-0000-000023000000}" name="682225235" dataDxfId="53" totalsRowDxfId="52" dataCellStyle="Normal 10"/>
    <tableColumn id="36" xr3:uid="{00000000-0010-0000-0000-000024000000}" name="682225236" dataDxfId="51" totalsRowDxfId="50" dataCellStyle="Normal 10"/>
    <tableColumn id="10" xr3:uid="{00000000-0010-0000-0000-00000A000000}" name="68222522" dataDxfId="49" totalsRowDxfId="48"/>
    <tableColumn id="2" xr3:uid="{00000000-0010-0000-0000-000002000000}" name="68222523" dataDxfId="47" totalsRowDxfId="46" dataCellStyle="Normal 10"/>
    <tableColumn id="3" xr3:uid="{00000000-0010-0000-0000-000003000000}" name="68222524" dataDxfId="45" totalsRowDxfId="44" dataCellStyle="Normal 10"/>
    <tableColumn id="4" xr3:uid="{00000000-0010-0000-0000-000004000000}" name="68222525" dataDxfId="43" totalsRowDxfId="42" dataCellStyle="Normal 10"/>
    <tableColumn id="5" xr3:uid="{00000000-0010-0000-0000-000005000000}" name="68222526" dataDxfId="41" totalsRowDxfId="40" dataCellStyle="Normal 10"/>
    <tableColumn id="6" xr3:uid="{00000000-0010-0000-0000-000006000000}" name="68222527" dataDxfId="39" totalsRowDxfId="38" dataCellStyle="Normal 10"/>
    <tableColumn id="7" xr3:uid="{00000000-0010-0000-0000-000007000000}" name="68222528" dataDxfId="37" totalsRowDxfId="36" dataCellStyle="Normal 10"/>
    <tableColumn id="8" xr3:uid="{00000000-0010-0000-0000-000008000000}" name="68222529" dataDxfId="35" totalsRowDxfId="34" dataCellStyle="Normal 10"/>
    <tableColumn id="9" xr3:uid="{00000000-0010-0000-0000-000009000000}" name="68222530" dataDxfId="33" totalsRowDxfId="32" dataCellStyle="Normal 10"/>
    <tableColumn id="11" xr3:uid="{00000000-0010-0000-0000-00000B000000}" name="68222531" dataDxfId="31" totalsRowDxfId="30" dataCellStyle="Normal 10"/>
    <tableColumn id="12" xr3:uid="{00000000-0010-0000-0000-00000C000000}" name="68222532" dataDxfId="29" totalsRowDxfId="28" dataCellStyle="Normal 10"/>
    <tableColumn id="13" xr3:uid="{00000000-0010-0000-0000-00000D000000}" name="68222533" dataDxfId="27" totalsRowDxfId="26" dataCellStyle="Normal 10"/>
    <tableColumn id="14" xr3:uid="{00000000-0010-0000-0000-00000E000000}" name="68222534" dataDxfId="25" totalsRowDxfId="24" dataCellStyle="Normal 10"/>
    <tableColumn id="15" xr3:uid="{00000000-0010-0000-0000-00000F000000}" name="68222535" dataDxfId="23" totalsRowDxfId="22" dataCellStyle="Normal 10"/>
    <tableColumn id="16" xr3:uid="{00000000-0010-0000-0000-000010000000}" name="68222536" dataDxfId="21" totalsRowDxfId="20" dataCellStyle="Normal 10"/>
    <tableColumn id="17" xr3:uid="{00000000-0010-0000-0000-000011000000}" name="68222537" dataDxfId="19" totalsRowDxfId="18" dataCellStyle="Normal 10"/>
    <tableColumn id="18" xr3:uid="{00000000-0010-0000-0000-000012000000}" name="68222538" dataDxfId="17" totalsRowDxfId="16" dataCellStyle="Normal 10"/>
    <tableColumn id="19" xr3:uid="{00000000-0010-0000-0000-000013000000}" name="68222539" dataDxfId="15" totalsRowDxfId="14" dataCellStyle="Normal 10"/>
    <tableColumn id="20" xr3:uid="{00000000-0010-0000-0000-000014000000}" name="68222540" dataDxfId="13" totalsRowDxfId="12" dataCellStyle="Normal 10"/>
    <tableColumn id="21" xr3:uid="{00000000-0010-0000-0000-000015000000}" name="68222541" dataDxfId="11" totalsRowDxfId="10" dataCellStyle="Normal 10"/>
    <tableColumn id="22" xr3:uid="{00000000-0010-0000-0000-000016000000}" name="68222542" dataDxfId="9" totalsRowDxfId="8" dataCellStyle="Normal 10"/>
    <tableColumn id="23" xr3:uid="{00000000-0010-0000-0000-000017000000}" name="68222543" dataDxfId="7" totalsRowDxfId="6" dataCellStyle="Normal 10"/>
    <tableColumn id="24" xr3:uid="{00000000-0010-0000-0000-000018000000}" name="68222544" dataDxfId="5" totalsRowDxfId="4" dataCellStyle="Normal 10"/>
    <tableColumn id="25" xr3:uid="{00000000-0010-0000-0000-000019000000}" name="68222545" dataDxfId="3" totalsRowDxfId="2" dataCellStyle="Normal 10"/>
    <tableColumn id="26" xr3:uid="{00000000-0010-0000-0000-00001A000000}" name="68222546" dataDxfId="1" totalsRowDxfId="0" dataCellStyle="Normal 1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66"/>
  <sheetViews>
    <sheetView windowProtection="1" workbookViewId="0">
      <selection activeCell="B46" sqref="B46"/>
    </sheetView>
  </sheetViews>
  <sheetFormatPr defaultColWidth="9" defaultRowHeight="14.25"/>
  <cols>
    <col min="1" max="1" width="5.42578125" style="105" customWidth="1"/>
    <col min="2" max="2" width="21.42578125" style="105" customWidth="1"/>
    <col min="3" max="3" width="14.5703125" style="105" customWidth="1"/>
    <col min="4" max="4" width="7" style="105" customWidth="1"/>
    <col min="5" max="6" width="7.7109375" style="105" customWidth="1"/>
    <col min="7" max="7" width="6.85546875" style="105" hidden="1" customWidth="1"/>
    <col min="8" max="17" width="5.140625" style="105" customWidth="1"/>
    <col min="18" max="18" width="5.7109375" style="105" customWidth="1"/>
    <col min="19" max="20" width="5.140625" style="105" customWidth="1"/>
    <col min="21" max="16384" width="9" style="105"/>
  </cols>
  <sheetData>
    <row r="1" spans="1:20" s="108" customFormat="1" ht="30.75" customHeight="1">
      <c r="A1" s="108" t="s">
        <v>550</v>
      </c>
    </row>
    <row r="2" spans="1:20" s="107" customFormat="1" ht="39" customHeight="1">
      <c r="A2" s="106" t="s">
        <v>520</v>
      </c>
      <c r="B2" s="106" t="s">
        <v>0</v>
      </c>
      <c r="C2" s="106" t="s">
        <v>31</v>
      </c>
      <c r="D2" s="106" t="s">
        <v>533</v>
      </c>
      <c r="E2" s="106" t="s">
        <v>35</v>
      </c>
      <c r="F2" s="106" t="s">
        <v>1</v>
      </c>
      <c r="G2" s="106" t="s">
        <v>16</v>
      </c>
      <c r="H2" s="104">
        <v>4</v>
      </c>
      <c r="I2" s="104">
        <v>5</v>
      </c>
      <c r="J2" s="104">
        <v>6</v>
      </c>
      <c r="K2" s="104">
        <v>7</v>
      </c>
      <c r="L2" s="104">
        <v>8</v>
      </c>
      <c r="M2" s="104">
        <v>9</v>
      </c>
      <c r="N2" s="104">
        <v>10</v>
      </c>
      <c r="O2" s="104">
        <v>11</v>
      </c>
      <c r="P2" s="104">
        <v>12</v>
      </c>
      <c r="Q2" s="104">
        <v>13</v>
      </c>
      <c r="R2" s="104">
        <v>14</v>
      </c>
      <c r="S2" s="104">
        <v>15</v>
      </c>
      <c r="T2" s="104">
        <v>16</v>
      </c>
    </row>
    <row r="3" spans="1:20" ht="21" hidden="1" customHeight="1">
      <c r="A3" s="103">
        <v>1</v>
      </c>
      <c r="B3" s="103" t="s">
        <v>484</v>
      </c>
      <c r="C3" s="103" t="s">
        <v>283</v>
      </c>
      <c r="D3" s="103">
        <v>47</v>
      </c>
      <c r="E3" s="103">
        <v>34</v>
      </c>
      <c r="F3" s="103">
        <f>D3-E3</f>
        <v>13</v>
      </c>
      <c r="G3" s="102">
        <v>1</v>
      </c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ht="21" customHeight="1">
      <c r="A4" s="103">
        <v>1</v>
      </c>
      <c r="B4" s="103" t="s">
        <v>484</v>
      </c>
      <c r="C4" s="103" t="s">
        <v>485</v>
      </c>
      <c r="D4" s="103">
        <v>76</v>
      </c>
      <c r="E4" s="103">
        <v>29</v>
      </c>
      <c r="F4" s="103">
        <f t="shared" ref="F4:F33" si="0">D4-E4</f>
        <v>47</v>
      </c>
      <c r="G4" s="102">
        <v>5</v>
      </c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</row>
    <row r="5" spans="1:20" ht="21" hidden="1" customHeight="1">
      <c r="A5" s="102">
        <v>2</v>
      </c>
      <c r="B5" s="103" t="s">
        <v>527</v>
      </c>
      <c r="C5" s="103" t="s">
        <v>529</v>
      </c>
      <c r="D5" s="103">
        <v>1000</v>
      </c>
      <c r="E5" s="103">
        <v>895</v>
      </c>
      <c r="F5" s="103">
        <f t="shared" si="0"/>
        <v>105</v>
      </c>
      <c r="G5" s="102">
        <v>1</v>
      </c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</row>
    <row r="6" spans="1:20" ht="21" hidden="1" customHeight="1">
      <c r="A6" s="103">
        <v>1</v>
      </c>
      <c r="B6" s="103" t="s">
        <v>527</v>
      </c>
      <c r="C6" s="103" t="s">
        <v>529</v>
      </c>
      <c r="D6" s="103">
        <v>1000</v>
      </c>
      <c r="E6" s="103">
        <v>810</v>
      </c>
      <c r="F6" s="103">
        <f t="shared" si="0"/>
        <v>190</v>
      </c>
      <c r="G6" s="102">
        <v>2</v>
      </c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</row>
    <row r="7" spans="1:20" ht="21" customHeight="1">
      <c r="A7" s="103">
        <v>2</v>
      </c>
      <c r="B7" s="103" t="s">
        <v>527</v>
      </c>
      <c r="C7" s="103" t="s">
        <v>529</v>
      </c>
      <c r="D7" s="103">
        <v>1000</v>
      </c>
      <c r="E7" s="103">
        <v>808</v>
      </c>
      <c r="F7" s="103">
        <f t="shared" si="0"/>
        <v>192</v>
      </c>
      <c r="G7" s="102">
        <v>5</v>
      </c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</row>
    <row r="8" spans="1:20" ht="21" hidden="1" customHeight="1">
      <c r="A8" s="103">
        <v>1</v>
      </c>
      <c r="B8" s="103" t="s">
        <v>527</v>
      </c>
      <c r="C8" s="103" t="s">
        <v>529</v>
      </c>
      <c r="D8" s="103">
        <v>960</v>
      </c>
      <c r="E8" s="103">
        <v>871</v>
      </c>
      <c r="F8" s="103">
        <f t="shared" si="0"/>
        <v>89</v>
      </c>
      <c r="G8" s="102">
        <v>3</v>
      </c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</row>
    <row r="9" spans="1:20" ht="21" customHeight="1">
      <c r="A9" s="103">
        <v>3</v>
      </c>
      <c r="B9" s="103" t="s">
        <v>534</v>
      </c>
      <c r="C9" s="103" t="s">
        <v>236</v>
      </c>
      <c r="D9" s="103">
        <v>12</v>
      </c>
      <c r="E9" s="103">
        <v>6</v>
      </c>
      <c r="F9" s="103">
        <f t="shared" si="0"/>
        <v>6</v>
      </c>
      <c r="G9" s="102">
        <v>5</v>
      </c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</row>
    <row r="10" spans="1:20" ht="21" hidden="1" customHeight="1">
      <c r="A10" s="103">
        <v>2</v>
      </c>
      <c r="B10" s="103" t="s">
        <v>534</v>
      </c>
      <c r="C10" s="103" t="s">
        <v>236</v>
      </c>
      <c r="D10" s="103">
        <v>48</v>
      </c>
      <c r="E10" s="103">
        <v>9</v>
      </c>
      <c r="F10" s="103">
        <f t="shared" si="0"/>
        <v>39</v>
      </c>
      <c r="G10" s="102">
        <v>3</v>
      </c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</row>
    <row r="11" spans="1:20" ht="21" hidden="1" customHeight="1">
      <c r="A11" s="103">
        <v>3</v>
      </c>
      <c r="B11" s="103" t="s">
        <v>534</v>
      </c>
      <c r="C11" s="103" t="s">
        <v>510</v>
      </c>
      <c r="D11" s="103">
        <v>51</v>
      </c>
      <c r="E11" s="103">
        <v>12</v>
      </c>
      <c r="F11" s="103">
        <f t="shared" si="0"/>
        <v>39</v>
      </c>
      <c r="G11" s="102">
        <v>3</v>
      </c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</row>
    <row r="12" spans="1:20" ht="21" hidden="1" customHeight="1">
      <c r="A12" s="103">
        <v>2</v>
      </c>
      <c r="B12" s="103" t="s">
        <v>534</v>
      </c>
      <c r="C12" s="103" t="s">
        <v>510</v>
      </c>
      <c r="D12" s="103">
        <v>21</v>
      </c>
      <c r="E12" s="103">
        <v>15</v>
      </c>
      <c r="F12" s="103">
        <f t="shared" si="0"/>
        <v>6</v>
      </c>
      <c r="G12" s="102">
        <v>2</v>
      </c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</row>
    <row r="13" spans="1:20" ht="21" hidden="1" customHeight="1">
      <c r="A13" s="103">
        <v>3</v>
      </c>
      <c r="B13" s="103" t="s">
        <v>536</v>
      </c>
      <c r="C13" s="103" t="s">
        <v>537</v>
      </c>
      <c r="D13" s="103">
        <v>32</v>
      </c>
      <c r="E13" s="103">
        <v>0</v>
      </c>
      <c r="F13" s="103">
        <f t="shared" si="0"/>
        <v>32</v>
      </c>
      <c r="G13" s="102">
        <v>1</v>
      </c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</row>
    <row r="14" spans="1:20" ht="21" customHeight="1">
      <c r="A14" s="103">
        <v>4</v>
      </c>
      <c r="B14" s="103" t="s">
        <v>536</v>
      </c>
      <c r="C14" s="103" t="s">
        <v>537</v>
      </c>
      <c r="D14" s="103">
        <v>32</v>
      </c>
      <c r="E14" s="103">
        <v>0</v>
      </c>
      <c r="F14" s="103">
        <f t="shared" si="0"/>
        <v>32</v>
      </c>
      <c r="G14" s="102">
        <v>5</v>
      </c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</row>
    <row r="15" spans="1:20" ht="21" hidden="1" customHeight="1">
      <c r="A15" s="103">
        <v>4</v>
      </c>
      <c r="B15" s="103" t="s">
        <v>536</v>
      </c>
      <c r="C15" s="103" t="s">
        <v>538</v>
      </c>
      <c r="D15" s="103">
        <v>48</v>
      </c>
      <c r="E15" s="103">
        <v>0</v>
      </c>
      <c r="F15" s="103">
        <f t="shared" si="0"/>
        <v>48</v>
      </c>
      <c r="G15" s="102">
        <v>3</v>
      </c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</row>
    <row r="16" spans="1:20" ht="21" hidden="1" customHeight="1">
      <c r="A16" s="103">
        <v>3</v>
      </c>
      <c r="B16" s="103" t="s">
        <v>536</v>
      </c>
      <c r="C16" s="103" t="s">
        <v>538</v>
      </c>
      <c r="D16" s="103">
        <v>48</v>
      </c>
      <c r="E16" s="103">
        <v>0</v>
      </c>
      <c r="F16" s="103">
        <f t="shared" si="0"/>
        <v>48</v>
      </c>
      <c r="G16" s="102">
        <v>2</v>
      </c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</row>
    <row r="17" spans="1:20" ht="21" hidden="1" customHeight="1">
      <c r="A17" s="103">
        <v>4</v>
      </c>
      <c r="B17" s="103" t="s">
        <v>536</v>
      </c>
      <c r="C17" s="103" t="s">
        <v>539</v>
      </c>
      <c r="D17" s="103">
        <v>42</v>
      </c>
      <c r="E17" s="103">
        <v>0</v>
      </c>
      <c r="F17" s="103">
        <f t="shared" si="0"/>
        <v>42</v>
      </c>
      <c r="G17" s="102">
        <v>2</v>
      </c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</row>
    <row r="18" spans="1:20" ht="21" hidden="1" customHeight="1">
      <c r="A18" s="103">
        <v>5</v>
      </c>
      <c r="B18" s="103" t="s">
        <v>536</v>
      </c>
      <c r="C18" s="103" t="s">
        <v>540</v>
      </c>
      <c r="D18" s="103">
        <v>19</v>
      </c>
      <c r="E18" s="103">
        <v>0</v>
      </c>
      <c r="F18" s="103">
        <f t="shared" si="0"/>
        <v>19</v>
      </c>
      <c r="G18" s="102">
        <v>3</v>
      </c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</row>
    <row r="19" spans="1:20" ht="21" hidden="1" customHeight="1">
      <c r="A19" s="103">
        <v>5</v>
      </c>
      <c r="B19" s="103" t="s">
        <v>536</v>
      </c>
      <c r="C19" s="103" t="s">
        <v>540</v>
      </c>
      <c r="D19" s="103">
        <v>53</v>
      </c>
      <c r="E19" s="103">
        <v>0</v>
      </c>
      <c r="F19" s="103">
        <f t="shared" si="0"/>
        <v>53</v>
      </c>
      <c r="G19" s="102">
        <v>2</v>
      </c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</row>
    <row r="20" spans="1:20" ht="21" hidden="1" customHeight="1">
      <c r="A20" s="103">
        <v>4</v>
      </c>
      <c r="B20" s="103" t="s">
        <v>536</v>
      </c>
      <c r="C20" s="103" t="s">
        <v>541</v>
      </c>
      <c r="D20" s="103">
        <v>42</v>
      </c>
      <c r="E20" s="103">
        <v>0</v>
      </c>
      <c r="F20" s="103">
        <f t="shared" si="0"/>
        <v>42</v>
      </c>
      <c r="G20" s="102">
        <v>1</v>
      </c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</row>
    <row r="21" spans="1:20" ht="21" customHeight="1">
      <c r="A21" s="103">
        <v>5</v>
      </c>
      <c r="B21" s="103" t="s">
        <v>536</v>
      </c>
      <c r="C21" s="103" t="s">
        <v>541</v>
      </c>
      <c r="D21" s="103">
        <v>42</v>
      </c>
      <c r="E21" s="103">
        <v>0</v>
      </c>
      <c r="F21" s="103">
        <f t="shared" si="0"/>
        <v>42</v>
      </c>
      <c r="G21" s="102">
        <v>5</v>
      </c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</row>
    <row r="22" spans="1:20" ht="21" hidden="1" customHeight="1">
      <c r="A22" s="103">
        <v>5</v>
      </c>
      <c r="B22" s="103" t="s">
        <v>542</v>
      </c>
      <c r="C22" s="103" t="s">
        <v>543</v>
      </c>
      <c r="D22" s="103">
        <v>6</v>
      </c>
      <c r="E22" s="103">
        <v>0</v>
      </c>
      <c r="F22" s="103">
        <f t="shared" si="0"/>
        <v>6</v>
      </c>
      <c r="G22" s="102">
        <v>1</v>
      </c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</row>
    <row r="23" spans="1:20" ht="21" hidden="1" customHeight="1">
      <c r="A23" s="103">
        <v>6</v>
      </c>
      <c r="B23" s="103" t="s">
        <v>542</v>
      </c>
      <c r="C23" s="103" t="s">
        <v>225</v>
      </c>
      <c r="D23" s="103">
        <v>22</v>
      </c>
      <c r="E23" s="103">
        <v>0</v>
      </c>
      <c r="F23" s="103">
        <f t="shared" si="0"/>
        <v>22</v>
      </c>
      <c r="G23" s="102">
        <v>2</v>
      </c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</row>
    <row r="24" spans="1:20" ht="21" hidden="1" customHeight="1">
      <c r="A24" s="103">
        <v>6</v>
      </c>
      <c r="B24" s="103" t="s">
        <v>542</v>
      </c>
      <c r="C24" s="103" t="s">
        <v>499</v>
      </c>
      <c r="D24" s="103">
        <v>4</v>
      </c>
      <c r="E24" s="103">
        <v>0</v>
      </c>
      <c r="F24" s="103">
        <f t="shared" si="0"/>
        <v>4</v>
      </c>
      <c r="G24" s="102">
        <v>1</v>
      </c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</row>
    <row r="25" spans="1:20" ht="21" hidden="1" customHeight="1">
      <c r="A25" s="102">
        <v>6</v>
      </c>
      <c r="B25" s="103" t="s">
        <v>544</v>
      </c>
      <c r="C25" s="103" t="s">
        <v>543</v>
      </c>
      <c r="D25" s="103">
        <v>11</v>
      </c>
      <c r="E25" s="103">
        <v>0</v>
      </c>
      <c r="F25" s="103">
        <f t="shared" si="0"/>
        <v>11</v>
      </c>
      <c r="G25" s="102">
        <v>3</v>
      </c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</row>
    <row r="26" spans="1:20" ht="21" hidden="1" customHeight="1">
      <c r="A26" s="103">
        <v>7</v>
      </c>
      <c r="B26" s="103" t="s">
        <v>544</v>
      </c>
      <c r="C26" s="103" t="s">
        <v>543</v>
      </c>
      <c r="D26" s="103">
        <v>5</v>
      </c>
      <c r="E26" s="103">
        <v>0</v>
      </c>
      <c r="F26" s="103">
        <f t="shared" si="0"/>
        <v>5</v>
      </c>
      <c r="G26" s="102">
        <v>1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</row>
    <row r="27" spans="1:20" ht="21" hidden="1" customHeight="1">
      <c r="A27" s="103">
        <v>7</v>
      </c>
      <c r="B27" s="103" t="s">
        <v>545</v>
      </c>
      <c r="C27" s="103" t="s">
        <v>510</v>
      </c>
      <c r="D27" s="103">
        <v>12</v>
      </c>
      <c r="E27" s="103">
        <v>0</v>
      </c>
      <c r="F27" s="103">
        <f t="shared" si="0"/>
        <v>12</v>
      </c>
      <c r="G27" s="102">
        <v>3</v>
      </c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</row>
    <row r="28" spans="1:20" ht="21" hidden="1" customHeight="1">
      <c r="A28" s="103">
        <v>7</v>
      </c>
      <c r="B28" s="103" t="s">
        <v>546</v>
      </c>
      <c r="C28" s="103" t="s">
        <v>522</v>
      </c>
      <c r="D28" s="103">
        <v>1</v>
      </c>
      <c r="E28" s="103">
        <v>0</v>
      </c>
      <c r="F28" s="103">
        <f t="shared" si="0"/>
        <v>1</v>
      </c>
      <c r="G28" s="102">
        <v>2</v>
      </c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</row>
    <row r="29" spans="1:20" ht="21" hidden="1" customHeight="1">
      <c r="A29" s="103">
        <v>8</v>
      </c>
      <c r="B29" s="103" t="s">
        <v>547</v>
      </c>
      <c r="C29" s="103" t="s">
        <v>23</v>
      </c>
      <c r="D29" s="103">
        <v>2</v>
      </c>
      <c r="E29" s="103">
        <v>0</v>
      </c>
      <c r="F29" s="103">
        <f t="shared" si="0"/>
        <v>2</v>
      </c>
      <c r="G29" s="102">
        <v>2</v>
      </c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</row>
    <row r="30" spans="1:20" ht="21" hidden="1" customHeight="1">
      <c r="A30" s="103">
        <v>9</v>
      </c>
      <c r="B30" s="103" t="s">
        <v>548</v>
      </c>
      <c r="C30" s="103" t="s">
        <v>24</v>
      </c>
      <c r="D30" s="103">
        <v>1</v>
      </c>
      <c r="E30" s="103">
        <v>0</v>
      </c>
      <c r="F30" s="103">
        <f t="shared" si="0"/>
        <v>1</v>
      </c>
      <c r="G30" s="102">
        <v>2</v>
      </c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</row>
    <row r="31" spans="1:20" ht="21" hidden="1" customHeight="1">
      <c r="A31" s="103">
        <v>10</v>
      </c>
      <c r="B31" s="103" t="s">
        <v>548</v>
      </c>
      <c r="C31" s="103" t="s">
        <v>28</v>
      </c>
      <c r="D31" s="103">
        <v>1</v>
      </c>
      <c r="E31" s="103">
        <v>0</v>
      </c>
      <c r="F31" s="103">
        <f t="shared" si="0"/>
        <v>1</v>
      </c>
      <c r="G31" s="102">
        <v>2</v>
      </c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</row>
    <row r="32" spans="1:20" ht="21" hidden="1" customHeight="1">
      <c r="A32" s="103">
        <v>8</v>
      </c>
      <c r="B32" s="103" t="s">
        <v>549</v>
      </c>
      <c r="C32" s="103" t="s">
        <v>522</v>
      </c>
      <c r="D32" s="103">
        <v>8</v>
      </c>
      <c r="E32" s="103">
        <v>0</v>
      </c>
      <c r="F32" s="103">
        <f t="shared" si="0"/>
        <v>8</v>
      </c>
      <c r="G32" s="102">
        <v>1</v>
      </c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</row>
    <row r="33" spans="1:20" ht="21" hidden="1" customHeight="1">
      <c r="A33" s="103">
        <v>9</v>
      </c>
      <c r="B33" s="103" t="s">
        <v>549</v>
      </c>
      <c r="C33" s="103" t="s">
        <v>522</v>
      </c>
      <c r="D33" s="103">
        <v>4</v>
      </c>
      <c r="E33" s="103">
        <v>0</v>
      </c>
      <c r="F33" s="103">
        <f t="shared" si="0"/>
        <v>4</v>
      </c>
      <c r="G33" s="102">
        <v>1</v>
      </c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</row>
    <row r="34" spans="1:20" ht="21" hidden="1" customHeight="1">
      <c r="A34" s="103"/>
      <c r="B34" s="103"/>
      <c r="C34" s="103"/>
      <c r="D34" s="103"/>
      <c r="E34" s="103"/>
      <c r="F34" s="103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</row>
    <row r="35" spans="1:20" ht="21" hidden="1" customHeight="1">
      <c r="A35" s="103"/>
      <c r="B35" s="103"/>
      <c r="C35" s="103"/>
      <c r="D35" s="103"/>
      <c r="E35" s="103"/>
      <c r="F35" s="103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</row>
    <row r="36" spans="1:20" ht="21" hidden="1" customHeight="1">
      <c r="A36" s="103"/>
      <c r="B36" s="103"/>
      <c r="C36" s="103"/>
      <c r="D36" s="103"/>
      <c r="E36" s="103"/>
      <c r="F36" s="103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</row>
    <row r="37" spans="1:20" ht="21" hidden="1" customHeight="1">
      <c r="A37" s="103"/>
      <c r="B37" s="103"/>
      <c r="C37" s="103"/>
      <c r="D37" s="103"/>
      <c r="E37" s="103"/>
      <c r="F37" s="103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</row>
    <row r="38" spans="1:20" ht="21" hidden="1" customHeight="1">
      <c r="A38" s="102"/>
      <c r="B38" s="103"/>
      <c r="C38" s="103"/>
      <c r="D38" s="103"/>
      <c r="E38" s="103"/>
      <c r="F38" s="103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</row>
    <row r="39" spans="1:20" ht="21" hidden="1" customHeight="1">
      <c r="A39" s="103"/>
      <c r="B39" s="103"/>
      <c r="C39" s="103"/>
      <c r="D39" s="103"/>
      <c r="E39" s="103"/>
      <c r="F39" s="103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</row>
    <row r="40" spans="1:20" ht="21" hidden="1" customHeight="1">
      <c r="A40" s="103"/>
      <c r="B40" s="103"/>
      <c r="C40" s="103"/>
      <c r="D40" s="103"/>
      <c r="E40" s="103"/>
      <c r="F40" s="103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</row>
    <row r="41" spans="1:20" ht="21" hidden="1" customHeight="1">
      <c r="A41" s="102"/>
      <c r="B41" s="103"/>
      <c r="C41" s="103"/>
      <c r="D41" s="103"/>
      <c r="E41" s="103"/>
      <c r="F41" s="103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</row>
    <row r="42" spans="1:20" ht="21" hidden="1" customHeight="1">
      <c r="A42" s="103"/>
      <c r="B42" s="103"/>
      <c r="C42" s="103"/>
      <c r="D42" s="103"/>
      <c r="E42" s="103"/>
      <c r="F42" s="103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</row>
    <row r="43" spans="1:20" ht="21" hidden="1" customHeight="1">
      <c r="A43" s="103"/>
      <c r="B43" s="103"/>
      <c r="C43" s="103"/>
      <c r="D43" s="103"/>
      <c r="E43" s="103"/>
      <c r="F43" s="103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</row>
    <row r="44" spans="1:20" ht="21" customHeight="1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ht="21" customHeight="1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ht="21" customHeight="1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ht="21" customHeight="1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ht="21" customHeight="1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</row>
    <row r="49" spans="1:20" ht="21" customHeight="1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</row>
    <row r="50" spans="1:20" ht="21" customHeight="1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</row>
    <row r="51" spans="1:20" ht="21" customHeight="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</row>
    <row r="52" spans="1:20" ht="21" customHeight="1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</row>
    <row r="53" spans="1:20" ht="21" customHeight="1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</row>
    <row r="54" spans="1:20" ht="21" customHeight="1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</row>
    <row r="55" spans="1:20" ht="21" customHeight="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</row>
    <row r="56" spans="1:20" ht="21" customHeigh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</row>
    <row r="57" spans="1:20" ht="21" customHeight="1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</row>
    <row r="58" spans="1:20" ht="21" customHeight="1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</row>
    <row r="59" spans="1:20" ht="21" customHeight="1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</row>
    <row r="60" spans="1:20" ht="21" customHeight="1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</row>
    <row r="61" spans="1:20" ht="21" customHeight="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</row>
    <row r="62" spans="1:20" ht="21" customHeight="1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</row>
    <row r="63" spans="1:20" ht="21" customHeight="1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</row>
    <row r="64" spans="1:20" ht="21" customHeight="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</row>
    <row r="65" spans="1:20" ht="21" customHeight="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</row>
    <row r="66" spans="1:20" ht="21" customHeight="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</row>
  </sheetData>
  <autoFilter ref="A2:T43" xr:uid="{00000000-0009-0000-0000-000000000000}">
    <filterColumn colId="6">
      <filters>
        <filter val="5"/>
      </filters>
    </filterColumn>
  </autoFilter>
  <pageMargins left="0.23622047244094491" right="0.15748031496062992" top="0.19685039370078741" bottom="0.19685039370078741" header="0.19685039370078741" footer="0.1968503937007874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AYN3398"/>
  <sheetViews>
    <sheetView windowProtection="1" tabSelected="1" zoomScale="80" zoomScaleNormal="80" zoomScaleSheetLayoutView="100" workbookViewId="0">
      <pane xSplit="15" ySplit="2" topLeftCell="OH275" activePane="bottomRight" state="frozen"/>
      <selection activeCell="H2580" sqref="H2580"/>
      <selection pane="topRight" activeCell="H2580" sqref="H2580"/>
      <selection pane="bottomLeft" activeCell="H2580" sqref="H2580"/>
      <selection pane="bottomRight" activeCell="ON1503" sqref="ON1503"/>
    </sheetView>
  </sheetViews>
  <sheetFormatPr defaultColWidth="9.140625" defaultRowHeight="23.25" customHeight="1"/>
  <cols>
    <col min="1" max="1" width="10" style="101" customWidth="1"/>
    <col min="2" max="2" width="16.140625" style="117" customWidth="1"/>
    <col min="3" max="3" width="11.7109375" style="101" customWidth="1"/>
    <col min="4" max="4" width="30.5703125" style="118" customWidth="1"/>
    <col min="5" max="5" width="20.42578125" style="119" customWidth="1"/>
    <col min="6" max="6" width="6.28515625" style="120" customWidth="1"/>
    <col min="7" max="7" width="10" style="219" customWidth="1"/>
    <col min="8" max="8" width="29.140625" style="101" customWidth="1"/>
    <col min="9" max="9" width="7.140625" style="120" customWidth="1"/>
    <col min="10" max="10" width="7.5703125" style="204" customWidth="1"/>
    <col min="11" max="11" width="8.85546875" style="220" customWidth="1"/>
    <col min="12" max="12" width="8.7109375" style="221" customWidth="1"/>
    <col min="13" max="13" width="8.7109375" style="278" hidden="1" customWidth="1"/>
    <col min="14" max="14" width="10.5703125" style="120" customWidth="1"/>
    <col min="15" max="15" width="9" style="222" customWidth="1"/>
    <col min="16" max="30" width="4.7109375" style="101" hidden="1" customWidth="1"/>
    <col min="31" max="31" width="5.7109375" style="101" hidden="1" customWidth="1"/>
    <col min="32" max="33" width="4.7109375" style="101" hidden="1" customWidth="1"/>
    <col min="34" max="34" width="3" style="101" hidden="1" customWidth="1"/>
    <col min="35" max="56" width="4.7109375" style="101" hidden="1" customWidth="1"/>
    <col min="57" max="57" width="7.28515625" style="101" hidden="1" customWidth="1"/>
    <col min="58" max="58" width="4.140625" style="101" hidden="1" customWidth="1"/>
    <col min="59" max="82" width="4.7109375" style="101" hidden="1" customWidth="1"/>
    <col min="83" max="83" width="5.140625" style="101" hidden="1" customWidth="1"/>
    <col min="84" max="122" width="4.7109375" style="101" hidden="1" customWidth="1"/>
    <col min="123" max="171" width="4.7109375" style="100" hidden="1" customWidth="1"/>
    <col min="172" max="172" width="3.85546875" style="100" hidden="1" customWidth="1"/>
    <col min="173" max="173" width="5.7109375" style="100" hidden="1" customWidth="1"/>
    <col min="174" max="174" width="4.7109375" style="100" hidden="1" customWidth="1"/>
    <col min="175" max="175" width="3.85546875" style="100" hidden="1" customWidth="1"/>
    <col min="176" max="177" width="4.7109375" style="100" hidden="1" customWidth="1"/>
    <col min="178" max="178" width="4.28515625" style="100" hidden="1" customWidth="1"/>
    <col min="179" max="179" width="4.7109375" style="100" hidden="1" customWidth="1"/>
    <col min="180" max="180" width="7.140625" style="100" hidden="1" customWidth="1"/>
    <col min="181" max="197" width="4.7109375" style="100" hidden="1" customWidth="1"/>
    <col min="198" max="198" width="8.140625" style="100" hidden="1" customWidth="1"/>
    <col min="199" max="274" width="4.7109375" style="100" hidden="1" customWidth="1"/>
    <col min="275" max="275" width="5.42578125" style="100" hidden="1" customWidth="1"/>
    <col min="276" max="278" width="4.7109375" style="100" hidden="1" customWidth="1"/>
    <col min="279" max="279" width="2.42578125" style="100" hidden="1" customWidth="1"/>
    <col min="280" max="291" width="4.7109375" style="100" hidden="1" customWidth="1"/>
    <col min="292" max="292" width="8.85546875" style="100" hidden="1" customWidth="1"/>
    <col min="293" max="321" width="4.85546875" style="100" hidden="1" customWidth="1"/>
    <col min="322" max="322" width="8.140625" style="100" hidden="1" customWidth="1"/>
    <col min="323" max="330" width="4.85546875" style="100" hidden="1" customWidth="1"/>
    <col min="331" max="331" width="4.42578125" style="100" hidden="1" customWidth="1"/>
    <col min="332" max="336" width="4.85546875" style="100" hidden="1" customWidth="1"/>
    <col min="337" max="351" width="7" style="100" hidden="1" customWidth="1"/>
    <col min="352" max="352" width="5.7109375" style="100" hidden="1" customWidth="1"/>
    <col min="353" max="382" width="4.85546875" style="100" hidden="1" customWidth="1"/>
    <col min="383" max="403" width="4.85546875" style="100" customWidth="1"/>
    <col min="404" max="404" width="8.85546875" style="100" customWidth="1"/>
    <col min="405" max="1238" width="4.85546875" style="100" customWidth="1"/>
    <col min="1239" max="1239" width="6.5703125" style="100" customWidth="1"/>
    <col min="1240" max="16384" width="9.140625" style="100"/>
  </cols>
  <sheetData>
    <row r="1" spans="1:1340" s="186" customFormat="1" ht="46.5" customHeight="1">
      <c r="A1" s="416" t="s">
        <v>502</v>
      </c>
      <c r="B1" s="422" t="s">
        <v>1825</v>
      </c>
      <c r="C1" s="177"/>
      <c r="D1" s="178" t="s">
        <v>0</v>
      </c>
      <c r="E1" s="178" t="s">
        <v>31</v>
      </c>
      <c r="F1" s="417" t="s">
        <v>19</v>
      </c>
      <c r="G1" s="179" t="s">
        <v>523</v>
      </c>
      <c r="H1" s="418" t="s">
        <v>1826</v>
      </c>
      <c r="I1" s="384" t="s">
        <v>32</v>
      </c>
      <c r="J1" s="419" t="s">
        <v>33</v>
      </c>
      <c r="K1" s="420"/>
      <c r="L1" s="421"/>
      <c r="M1" s="274" t="s">
        <v>2003</v>
      </c>
      <c r="N1" s="419" t="s">
        <v>503</v>
      </c>
      <c r="O1" s="180" t="s">
        <v>504</v>
      </c>
      <c r="P1" s="403" t="s">
        <v>650</v>
      </c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4"/>
      <c r="AI1" s="404"/>
      <c r="AJ1" s="404"/>
      <c r="AK1" s="404"/>
      <c r="AL1" s="404"/>
      <c r="AM1" s="404"/>
      <c r="AN1" s="404"/>
      <c r="AO1" s="405"/>
      <c r="AP1" s="403" t="s">
        <v>726</v>
      </c>
      <c r="AQ1" s="404"/>
      <c r="AR1" s="404"/>
      <c r="AS1" s="404"/>
      <c r="AT1" s="404"/>
      <c r="AU1" s="404"/>
      <c r="AV1" s="404"/>
      <c r="AW1" s="404"/>
      <c r="AX1" s="404"/>
      <c r="AY1" s="404"/>
      <c r="AZ1" s="404"/>
      <c r="BA1" s="404"/>
      <c r="BB1" s="404"/>
      <c r="BC1" s="404"/>
      <c r="BD1" s="404"/>
      <c r="BE1" s="405"/>
      <c r="BF1" s="182" t="s">
        <v>764</v>
      </c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1"/>
      <c r="CF1" s="403" t="s">
        <v>824</v>
      </c>
      <c r="CG1" s="404"/>
      <c r="CH1" s="404"/>
      <c r="CI1" s="404"/>
      <c r="CJ1" s="404"/>
      <c r="CK1" s="404"/>
      <c r="CL1" s="404"/>
      <c r="CM1" s="404"/>
      <c r="CN1" s="404"/>
      <c r="CO1" s="404"/>
      <c r="CP1" s="404"/>
      <c r="CQ1" s="404"/>
      <c r="CR1" s="404"/>
      <c r="CS1" s="404"/>
      <c r="CT1" s="404"/>
      <c r="CU1" s="404"/>
      <c r="CV1" s="404"/>
      <c r="CW1" s="404"/>
      <c r="CX1" s="404"/>
      <c r="CY1" s="404"/>
      <c r="CZ1" s="404"/>
      <c r="DA1" s="404"/>
      <c r="DB1" s="404"/>
      <c r="DC1" s="404"/>
      <c r="DD1" s="404"/>
      <c r="DE1" s="404"/>
      <c r="DF1" s="404"/>
      <c r="DG1" s="406"/>
      <c r="DH1" s="406"/>
      <c r="DI1" s="403" t="s">
        <v>957</v>
      </c>
      <c r="DJ1" s="404"/>
      <c r="DK1" s="404"/>
      <c r="DL1" s="404"/>
      <c r="DM1" s="404"/>
      <c r="DN1" s="404"/>
      <c r="DO1" s="404"/>
      <c r="DP1" s="404"/>
      <c r="DQ1" s="404"/>
      <c r="DR1" s="404"/>
      <c r="DS1" s="404"/>
      <c r="DT1" s="404"/>
      <c r="DU1" s="404"/>
      <c r="DV1" s="404"/>
      <c r="DW1" s="404"/>
      <c r="DX1" s="404"/>
      <c r="DY1" s="404"/>
      <c r="DZ1" s="404"/>
      <c r="EA1" s="404"/>
      <c r="EB1" s="404"/>
      <c r="EC1" s="404"/>
      <c r="ED1" s="404"/>
      <c r="EE1" s="404"/>
      <c r="EF1" s="404"/>
      <c r="EG1" s="404"/>
      <c r="EH1" s="404"/>
      <c r="EI1" s="404"/>
      <c r="EJ1" s="404"/>
      <c r="EK1" s="404"/>
      <c r="EL1" s="404"/>
      <c r="EM1" s="404"/>
      <c r="EN1" s="407"/>
      <c r="EO1" s="408"/>
      <c r="EP1" s="408"/>
      <c r="EQ1" s="408"/>
      <c r="ER1" s="408"/>
      <c r="ES1" s="408"/>
      <c r="ET1" s="408"/>
      <c r="EU1" s="408"/>
      <c r="EV1" s="408"/>
      <c r="EW1" s="408"/>
      <c r="EX1" s="408"/>
      <c r="EY1" s="408"/>
      <c r="EZ1" s="408"/>
      <c r="FA1" s="408"/>
      <c r="FB1" s="408"/>
      <c r="FC1" s="408"/>
      <c r="FD1" s="408"/>
      <c r="FE1" s="408"/>
      <c r="FF1" s="408"/>
      <c r="FG1" s="408"/>
      <c r="FH1" s="408"/>
      <c r="FI1" s="408"/>
      <c r="FJ1" s="408"/>
      <c r="FK1" s="408"/>
      <c r="FL1" s="408"/>
      <c r="FM1" s="408"/>
      <c r="FN1" s="408"/>
      <c r="FO1" s="408"/>
      <c r="FP1" s="408"/>
      <c r="FQ1" s="409"/>
      <c r="FR1" s="401" t="s">
        <v>1215</v>
      </c>
      <c r="FS1" s="402"/>
      <c r="FT1" s="402"/>
      <c r="FU1" s="402"/>
      <c r="FV1" s="402"/>
      <c r="FW1" s="402"/>
      <c r="FX1" s="402"/>
      <c r="FY1" s="402"/>
      <c r="FZ1" s="402"/>
      <c r="GA1" s="402"/>
      <c r="GB1" s="402"/>
      <c r="GC1" s="402"/>
      <c r="GD1" s="402"/>
      <c r="GE1" s="402"/>
      <c r="GF1" s="402"/>
      <c r="GG1" s="402"/>
      <c r="GH1" s="402"/>
      <c r="GI1" s="402"/>
      <c r="GJ1" s="402"/>
      <c r="GK1" s="402"/>
      <c r="GL1" s="402"/>
      <c r="GM1" s="402"/>
      <c r="GN1" s="402"/>
      <c r="GO1" s="402"/>
      <c r="GP1" s="402"/>
      <c r="GQ1" s="402"/>
      <c r="GR1" s="184"/>
      <c r="GS1" s="184"/>
      <c r="GT1" s="397" t="s">
        <v>1518</v>
      </c>
      <c r="GU1" s="398"/>
      <c r="GV1" s="398"/>
      <c r="GW1" s="398"/>
      <c r="GX1" s="398"/>
      <c r="GY1" s="398"/>
      <c r="GZ1" s="398"/>
      <c r="HA1" s="398"/>
      <c r="HB1" s="398"/>
      <c r="HC1" s="398"/>
      <c r="HD1" s="398"/>
      <c r="HE1" s="398"/>
      <c r="HF1" s="398"/>
      <c r="HG1" s="398"/>
      <c r="HH1" s="398"/>
      <c r="HI1" s="398"/>
      <c r="HJ1" s="398"/>
      <c r="HK1" s="398"/>
      <c r="HL1" s="398"/>
      <c r="HM1" s="398"/>
      <c r="HN1" s="398"/>
      <c r="HO1" s="398"/>
      <c r="HP1" s="398"/>
      <c r="HQ1" s="398"/>
      <c r="HR1" s="398"/>
      <c r="HS1" s="398"/>
      <c r="HT1" s="398"/>
      <c r="HU1" s="398"/>
      <c r="HV1" s="398"/>
      <c r="HW1" s="398"/>
      <c r="HX1" s="399"/>
      <c r="HY1" s="410" t="s">
        <v>1737</v>
      </c>
      <c r="HZ1" s="411"/>
      <c r="IA1" s="411"/>
      <c r="IB1" s="411"/>
      <c r="IC1" s="411"/>
      <c r="ID1" s="411"/>
      <c r="IE1" s="411"/>
      <c r="IF1" s="411"/>
      <c r="IG1" s="411"/>
      <c r="IH1" s="411"/>
      <c r="II1" s="411"/>
      <c r="IJ1" s="411"/>
      <c r="IK1" s="411"/>
      <c r="IL1" s="411"/>
      <c r="IM1" s="411"/>
      <c r="IN1" s="411"/>
      <c r="IO1" s="411"/>
      <c r="IP1" s="411"/>
      <c r="IQ1" s="411"/>
      <c r="IR1" s="411"/>
      <c r="IS1" s="411"/>
      <c r="IT1" s="411"/>
      <c r="IU1" s="411"/>
      <c r="IV1" s="411"/>
      <c r="IW1" s="411"/>
      <c r="IX1" s="411"/>
      <c r="IY1" s="411"/>
      <c r="IZ1" s="411"/>
      <c r="JA1" s="411"/>
      <c r="JB1" s="412"/>
      <c r="JC1" s="410" t="s">
        <v>1958</v>
      </c>
      <c r="JD1" s="411"/>
      <c r="JE1" s="411"/>
      <c r="JF1" s="411"/>
      <c r="JG1" s="411"/>
      <c r="JH1" s="411"/>
      <c r="JI1" s="411"/>
      <c r="JJ1" s="411"/>
      <c r="JK1" s="411"/>
      <c r="JL1" s="411"/>
      <c r="JM1" s="411"/>
      <c r="JN1" s="411"/>
      <c r="JO1" s="411"/>
      <c r="JP1" s="411"/>
      <c r="JQ1" s="411"/>
      <c r="JR1" s="411"/>
      <c r="JS1" s="411"/>
      <c r="JT1" s="411"/>
      <c r="JU1" s="411"/>
      <c r="JV1" s="411"/>
      <c r="JW1" s="411"/>
      <c r="JX1" s="411"/>
      <c r="JY1" s="411"/>
      <c r="JZ1" s="411"/>
      <c r="KA1" s="411"/>
      <c r="KB1" s="411"/>
      <c r="KC1" s="411"/>
      <c r="KD1" s="411"/>
      <c r="KE1" s="411"/>
      <c r="KF1" s="412"/>
      <c r="KG1" s="410" t="s">
        <v>2100</v>
      </c>
      <c r="KH1" s="411"/>
      <c r="KI1" s="411"/>
      <c r="KJ1" s="411"/>
      <c r="KK1" s="411"/>
      <c r="KL1" s="411"/>
      <c r="KM1" s="411"/>
      <c r="KN1" s="411"/>
      <c r="KO1" s="411"/>
      <c r="KP1" s="411"/>
      <c r="KQ1" s="411"/>
      <c r="KR1" s="411"/>
      <c r="KS1" s="411"/>
      <c r="KT1" s="411"/>
      <c r="KU1" s="411"/>
      <c r="KV1" s="411"/>
      <c r="KW1" s="411"/>
      <c r="KX1" s="411"/>
      <c r="KY1" s="411"/>
      <c r="KZ1" s="411"/>
      <c r="LA1" s="411"/>
      <c r="LB1" s="411"/>
      <c r="LC1" s="411"/>
      <c r="LD1" s="411"/>
      <c r="LE1" s="411"/>
      <c r="LF1" s="411"/>
      <c r="LG1" s="411"/>
      <c r="LH1" s="411"/>
      <c r="LI1" s="411"/>
      <c r="LJ1" s="412"/>
      <c r="LK1" s="413" t="s">
        <v>2255</v>
      </c>
      <c r="LL1" s="414"/>
      <c r="LM1" s="414"/>
      <c r="LN1" s="414"/>
      <c r="LO1" s="414"/>
      <c r="LP1" s="414"/>
      <c r="LQ1" s="414"/>
      <c r="LR1" s="414"/>
      <c r="LS1" s="414"/>
      <c r="LT1" s="414"/>
      <c r="LU1" s="414"/>
      <c r="LV1" s="414"/>
      <c r="LW1" s="414"/>
      <c r="LX1" s="414"/>
      <c r="LY1" s="414"/>
      <c r="LZ1" s="414"/>
      <c r="MA1" s="414"/>
      <c r="MB1" s="414"/>
      <c r="MC1" s="414"/>
      <c r="MD1" s="414"/>
      <c r="ME1" s="414"/>
      <c r="MF1" s="414"/>
      <c r="MG1" s="414"/>
      <c r="MH1" s="414"/>
      <c r="MI1" s="414"/>
      <c r="MJ1" s="414"/>
      <c r="MK1" s="414"/>
      <c r="ML1" s="414"/>
      <c r="MM1" s="414"/>
      <c r="MN1" s="414"/>
      <c r="MO1" s="415"/>
      <c r="MP1" s="410" t="s">
        <v>2382</v>
      </c>
      <c r="MQ1" s="411"/>
      <c r="MR1" s="411"/>
      <c r="MS1" s="411"/>
      <c r="MT1" s="411"/>
      <c r="MU1" s="411"/>
      <c r="MV1" s="411"/>
      <c r="MW1" s="411"/>
      <c r="MX1" s="411"/>
      <c r="MY1" s="411"/>
      <c r="MZ1" s="411"/>
      <c r="NA1" s="411"/>
      <c r="NB1" s="411"/>
      <c r="NC1" s="411"/>
      <c r="ND1" s="411"/>
      <c r="NE1" s="411"/>
      <c r="NF1" s="411"/>
      <c r="NG1" s="411"/>
      <c r="NH1" s="411"/>
      <c r="NI1" s="411"/>
      <c r="NJ1" s="411"/>
      <c r="NK1" s="411"/>
      <c r="NL1" s="411"/>
      <c r="NM1" s="411"/>
      <c r="NN1" s="411"/>
      <c r="NO1" s="411"/>
      <c r="NP1" s="411"/>
      <c r="NQ1" s="411"/>
      <c r="NR1" s="411"/>
      <c r="NS1" s="410" t="s">
        <v>2524</v>
      </c>
      <c r="NT1" s="411"/>
      <c r="NU1" s="411"/>
      <c r="NV1" s="411"/>
      <c r="NW1" s="411"/>
      <c r="NX1" s="411"/>
      <c r="NY1" s="411"/>
      <c r="NZ1" s="411"/>
      <c r="OA1" s="411"/>
      <c r="OB1" s="411"/>
      <c r="OC1" s="411"/>
      <c r="OD1" s="411"/>
      <c r="OE1" s="411"/>
      <c r="OF1" s="411"/>
      <c r="OG1" s="411"/>
      <c r="OH1" s="411"/>
      <c r="OI1" s="411"/>
      <c r="OJ1" s="411"/>
      <c r="OK1" s="411"/>
      <c r="OL1" s="411"/>
      <c r="OM1" s="412"/>
      <c r="ON1" s="395"/>
      <c r="OO1" s="397" t="s">
        <v>2595</v>
      </c>
      <c r="OP1" s="398"/>
      <c r="OQ1" s="398"/>
      <c r="OR1" s="398"/>
      <c r="OS1" s="398"/>
      <c r="OT1" s="398"/>
      <c r="OU1" s="398"/>
      <c r="OV1" s="398"/>
      <c r="OW1" s="398"/>
      <c r="OX1" s="398"/>
      <c r="OY1" s="398"/>
      <c r="OZ1" s="398"/>
      <c r="PA1" s="398"/>
      <c r="PB1" s="398"/>
      <c r="PC1" s="398"/>
      <c r="PD1" s="398"/>
      <c r="PE1" s="398"/>
      <c r="PF1" s="398"/>
      <c r="PG1" s="398"/>
      <c r="PH1" s="398"/>
      <c r="PI1" s="398"/>
      <c r="PJ1" s="398"/>
      <c r="PK1" s="398"/>
      <c r="PL1" s="398"/>
      <c r="PM1" s="398"/>
      <c r="PN1" s="398"/>
      <c r="PO1" s="398"/>
      <c r="PP1" s="398"/>
      <c r="PQ1" s="398"/>
      <c r="PR1" s="398"/>
      <c r="PS1" s="399"/>
      <c r="PT1" s="184"/>
      <c r="PU1" s="184"/>
      <c r="PV1" s="184"/>
      <c r="PW1" s="184"/>
      <c r="PX1" s="184"/>
      <c r="PY1" s="184"/>
      <c r="PZ1" s="184"/>
      <c r="QA1" s="184"/>
      <c r="QB1" s="184"/>
      <c r="QC1" s="184"/>
      <c r="QD1" s="184"/>
      <c r="QE1" s="184"/>
      <c r="QF1" s="184"/>
      <c r="QG1" s="184"/>
      <c r="QH1" s="184"/>
      <c r="QI1" s="184"/>
      <c r="QJ1" s="184"/>
      <c r="QK1" s="184"/>
      <c r="QL1" s="184"/>
      <c r="QM1" s="184"/>
      <c r="QN1" s="184"/>
      <c r="QO1" s="184"/>
      <c r="QP1" s="184"/>
      <c r="QQ1" s="184"/>
      <c r="QR1" s="184"/>
      <c r="QS1" s="184"/>
      <c r="QT1" s="184"/>
      <c r="QU1" s="184"/>
      <c r="QV1" s="184"/>
      <c r="QW1" s="184"/>
      <c r="QX1" s="184"/>
      <c r="QY1" s="184"/>
      <c r="QZ1" s="184"/>
      <c r="RA1" s="184"/>
      <c r="RB1" s="184"/>
      <c r="RC1" s="184"/>
      <c r="RD1" s="184"/>
      <c r="RE1" s="184"/>
      <c r="RF1" s="184"/>
      <c r="RG1" s="184"/>
      <c r="RH1" s="184"/>
      <c r="RI1" s="184"/>
      <c r="RJ1" s="184"/>
      <c r="RK1" s="184"/>
      <c r="RL1" s="184"/>
      <c r="RM1" s="184"/>
      <c r="RN1" s="184"/>
      <c r="RO1" s="184"/>
      <c r="RP1" s="184"/>
      <c r="RQ1" s="184"/>
      <c r="RR1" s="184"/>
      <c r="RS1" s="184"/>
      <c r="RT1" s="184"/>
      <c r="RU1" s="184"/>
      <c r="RV1" s="184"/>
      <c r="RW1" s="184"/>
      <c r="RX1" s="184"/>
      <c r="RY1" s="184"/>
      <c r="RZ1" s="184"/>
      <c r="SA1" s="184"/>
      <c r="SB1" s="184"/>
      <c r="SC1" s="184"/>
      <c r="SD1" s="184"/>
      <c r="SE1" s="184"/>
      <c r="SF1" s="184"/>
      <c r="SG1" s="184"/>
      <c r="SH1" s="184"/>
      <c r="SI1" s="184"/>
      <c r="SJ1" s="184"/>
      <c r="SK1" s="184"/>
      <c r="SL1" s="184"/>
      <c r="SM1" s="184"/>
      <c r="SN1" s="184"/>
      <c r="SO1" s="184"/>
      <c r="SP1" s="184"/>
      <c r="SQ1" s="184"/>
      <c r="SR1" s="184"/>
      <c r="SS1" s="184"/>
      <c r="ST1" s="184"/>
      <c r="SU1" s="184"/>
      <c r="SV1" s="184"/>
      <c r="SW1" s="184"/>
      <c r="SX1" s="184"/>
      <c r="SY1" s="184"/>
      <c r="SZ1" s="184"/>
      <c r="TA1" s="184"/>
      <c r="TB1" s="184"/>
      <c r="TC1" s="184"/>
      <c r="TD1" s="184"/>
      <c r="TE1" s="184"/>
      <c r="TF1" s="184"/>
      <c r="TG1" s="184"/>
      <c r="TH1" s="184"/>
      <c r="TI1" s="184"/>
      <c r="TJ1" s="184"/>
      <c r="TK1" s="184"/>
      <c r="TL1" s="184"/>
      <c r="TM1" s="184"/>
      <c r="TN1" s="184"/>
      <c r="TO1" s="184"/>
      <c r="TP1" s="184"/>
      <c r="TQ1" s="184"/>
      <c r="TR1" s="184"/>
      <c r="TS1" s="184"/>
      <c r="TT1" s="184"/>
      <c r="TU1" s="184"/>
      <c r="TV1" s="184"/>
      <c r="TW1" s="184"/>
      <c r="TX1" s="184"/>
      <c r="TY1" s="184"/>
      <c r="TZ1" s="184"/>
      <c r="UA1" s="184"/>
      <c r="UB1" s="184"/>
      <c r="UC1" s="184"/>
      <c r="UD1" s="184"/>
      <c r="UE1" s="184"/>
      <c r="UF1" s="184"/>
      <c r="UG1" s="184"/>
      <c r="UH1" s="184"/>
      <c r="UI1" s="184"/>
      <c r="UJ1" s="184"/>
      <c r="UK1" s="184"/>
      <c r="UL1" s="184"/>
      <c r="UM1" s="184"/>
      <c r="UN1" s="184"/>
      <c r="UO1" s="184"/>
      <c r="UP1" s="184"/>
      <c r="UQ1" s="184"/>
      <c r="UR1" s="184"/>
      <c r="US1" s="184"/>
      <c r="UT1" s="184"/>
      <c r="UU1" s="184"/>
      <c r="UV1" s="184"/>
      <c r="UW1" s="184"/>
      <c r="UX1" s="184"/>
      <c r="UY1" s="184"/>
      <c r="UZ1" s="184"/>
      <c r="VA1" s="184"/>
      <c r="VB1" s="184"/>
      <c r="VC1" s="184"/>
      <c r="VD1" s="184"/>
      <c r="VE1" s="184"/>
      <c r="VF1" s="184"/>
      <c r="VG1" s="184"/>
      <c r="VH1" s="184"/>
      <c r="VI1" s="185"/>
      <c r="VJ1" s="185"/>
      <c r="VK1" s="185"/>
      <c r="VL1" s="185"/>
      <c r="VM1" s="185"/>
      <c r="VN1" s="185"/>
      <c r="VO1" s="185"/>
      <c r="VP1" s="185"/>
      <c r="VQ1" s="185"/>
      <c r="VR1" s="185"/>
      <c r="VS1" s="185"/>
      <c r="VT1" s="185"/>
      <c r="VU1" s="185"/>
      <c r="VV1" s="185"/>
      <c r="VW1" s="185"/>
      <c r="VX1" s="185"/>
      <c r="VY1" s="185"/>
      <c r="VZ1" s="185"/>
      <c r="WA1" s="185"/>
      <c r="WB1" s="185"/>
      <c r="WC1" s="185"/>
      <c r="WD1" s="185"/>
      <c r="WE1" s="185"/>
      <c r="WF1" s="185"/>
      <c r="WG1" s="185"/>
      <c r="WH1" s="185"/>
      <c r="WI1" s="185"/>
      <c r="WJ1" s="185"/>
      <c r="WK1" s="185"/>
      <c r="WL1" s="185"/>
      <c r="WM1" s="185"/>
      <c r="WN1" s="185"/>
      <c r="WO1" s="185"/>
      <c r="WP1" s="185"/>
      <c r="WQ1" s="185"/>
      <c r="WR1" s="185"/>
      <c r="WS1" s="185"/>
      <c r="WT1" s="185"/>
      <c r="WU1" s="185"/>
      <c r="WV1" s="185"/>
      <c r="WW1" s="185"/>
      <c r="WX1" s="185"/>
      <c r="WY1" s="185"/>
      <c r="WZ1" s="185"/>
      <c r="XA1" s="185"/>
      <c r="XB1" s="185"/>
      <c r="XC1" s="185"/>
      <c r="XD1" s="185"/>
      <c r="XE1" s="185"/>
      <c r="XF1" s="185"/>
      <c r="XG1" s="185"/>
      <c r="XH1" s="185"/>
      <c r="XI1" s="185"/>
      <c r="XJ1" s="185"/>
      <c r="XK1" s="185"/>
      <c r="XL1" s="185"/>
      <c r="XM1" s="185"/>
      <c r="XN1" s="185"/>
      <c r="XO1" s="185"/>
      <c r="XP1" s="185"/>
      <c r="XQ1" s="185"/>
      <c r="XR1" s="185"/>
      <c r="XS1" s="185"/>
      <c r="XT1" s="185"/>
      <c r="XU1" s="185"/>
      <c r="XV1" s="185"/>
      <c r="XW1" s="185"/>
      <c r="XX1" s="185"/>
      <c r="XY1" s="185"/>
      <c r="XZ1" s="185"/>
      <c r="YA1" s="185"/>
      <c r="YB1" s="185"/>
      <c r="YC1" s="185"/>
      <c r="YD1" s="185"/>
      <c r="YE1" s="185"/>
      <c r="YF1" s="185"/>
      <c r="YG1" s="185"/>
      <c r="YH1" s="185"/>
      <c r="YI1" s="185"/>
      <c r="YJ1" s="185"/>
      <c r="YK1" s="185"/>
      <c r="YL1" s="185"/>
      <c r="YM1" s="185"/>
      <c r="YN1" s="185"/>
      <c r="YO1" s="185"/>
      <c r="YP1" s="185"/>
      <c r="YQ1" s="185"/>
      <c r="YR1" s="185"/>
      <c r="YS1" s="185"/>
      <c r="YT1" s="185"/>
      <c r="YU1" s="185"/>
      <c r="YV1" s="185"/>
      <c r="YW1" s="185"/>
      <c r="YX1" s="185"/>
      <c r="YY1" s="185"/>
      <c r="YZ1" s="185"/>
      <c r="ZA1" s="185"/>
      <c r="ZB1" s="185"/>
      <c r="ZC1" s="185"/>
      <c r="ZD1" s="185"/>
      <c r="ZE1" s="185"/>
      <c r="ZF1" s="185"/>
      <c r="ZG1" s="185"/>
      <c r="ZH1" s="185"/>
      <c r="ZI1" s="185"/>
      <c r="ZJ1" s="185"/>
      <c r="ZK1" s="185"/>
      <c r="ZL1" s="185"/>
      <c r="ZM1" s="185"/>
      <c r="ZN1" s="185"/>
      <c r="ZO1" s="185"/>
      <c r="ZP1" s="185"/>
      <c r="ZQ1" s="185"/>
      <c r="ZR1" s="185"/>
      <c r="ZS1" s="185"/>
      <c r="ZT1" s="185"/>
      <c r="ZU1" s="185"/>
      <c r="ZV1" s="185"/>
      <c r="ZW1" s="185"/>
      <c r="ZX1" s="185"/>
      <c r="ZY1" s="185"/>
      <c r="ZZ1" s="185"/>
      <c r="AAA1" s="185"/>
      <c r="AAB1" s="185"/>
      <c r="AAC1" s="185"/>
      <c r="AAD1" s="185"/>
      <c r="AAE1" s="185"/>
      <c r="AAF1" s="185"/>
      <c r="AAG1" s="185"/>
      <c r="AAH1" s="185"/>
      <c r="AAI1" s="185"/>
      <c r="AAJ1" s="185"/>
      <c r="AAK1" s="185"/>
      <c r="AAL1" s="185"/>
      <c r="AAM1" s="185"/>
      <c r="AAN1" s="185"/>
      <c r="AAO1" s="185"/>
      <c r="AAP1" s="185"/>
      <c r="AAQ1" s="185"/>
      <c r="AAR1" s="185"/>
      <c r="AAS1" s="185"/>
      <c r="AAT1" s="185"/>
      <c r="AAU1" s="185"/>
      <c r="AAV1" s="185"/>
      <c r="AAW1" s="185"/>
      <c r="AAX1" s="185"/>
      <c r="AAY1" s="185"/>
      <c r="AAZ1" s="185"/>
      <c r="ABA1" s="185"/>
      <c r="ABB1" s="185"/>
      <c r="ABC1" s="185"/>
      <c r="ABD1" s="185"/>
      <c r="ABE1" s="185"/>
      <c r="ABF1" s="185"/>
      <c r="ABG1" s="185"/>
      <c r="ABH1" s="185"/>
      <c r="ABI1" s="185"/>
      <c r="ABJ1" s="185"/>
      <c r="ABK1" s="185"/>
      <c r="ABL1" s="185"/>
      <c r="ABM1" s="185"/>
      <c r="ABN1" s="185"/>
      <c r="ABO1" s="185"/>
      <c r="ABP1" s="185"/>
      <c r="ABQ1" s="185"/>
      <c r="ABR1" s="185"/>
      <c r="ABS1" s="185"/>
      <c r="ABT1" s="185"/>
      <c r="ABU1" s="185"/>
      <c r="ABV1" s="185"/>
      <c r="ABW1" s="185"/>
      <c r="ABX1" s="185"/>
      <c r="ABY1" s="185"/>
      <c r="ABZ1" s="185"/>
      <c r="ACA1" s="185"/>
      <c r="ACB1" s="185"/>
      <c r="ACC1" s="185"/>
      <c r="ACD1" s="185"/>
      <c r="ACE1" s="185"/>
      <c r="ACF1" s="185"/>
      <c r="ACG1" s="185"/>
      <c r="ACH1" s="185"/>
      <c r="ACI1" s="185"/>
      <c r="ACJ1" s="185"/>
      <c r="ACK1" s="185"/>
      <c r="ACL1" s="185"/>
      <c r="ACM1" s="185"/>
      <c r="ACN1" s="185"/>
      <c r="ACO1" s="185"/>
      <c r="ACP1" s="185"/>
      <c r="ACQ1" s="185"/>
      <c r="ACR1" s="185"/>
      <c r="ACS1" s="185"/>
      <c r="ACT1" s="185"/>
      <c r="ACU1" s="185"/>
      <c r="ACV1" s="185"/>
      <c r="ACW1" s="185"/>
      <c r="ACX1" s="185"/>
      <c r="ACY1" s="185"/>
      <c r="ACZ1" s="185"/>
      <c r="ADA1" s="185"/>
      <c r="ADB1" s="185"/>
      <c r="ADC1" s="185"/>
      <c r="ADD1" s="185"/>
      <c r="ADE1" s="185"/>
      <c r="ADF1" s="185"/>
      <c r="ADG1" s="185"/>
      <c r="ADH1" s="185"/>
      <c r="ADI1" s="185"/>
      <c r="ADJ1" s="185"/>
      <c r="ADK1" s="185"/>
      <c r="ADL1" s="185"/>
      <c r="ADM1" s="185"/>
      <c r="ADN1" s="185"/>
      <c r="ADO1" s="185"/>
      <c r="ADP1" s="185"/>
      <c r="ADQ1" s="185"/>
      <c r="ADR1" s="185"/>
      <c r="ADS1" s="185"/>
      <c r="ADT1" s="185"/>
      <c r="ADU1" s="185"/>
      <c r="ADV1" s="185"/>
      <c r="ADW1" s="185"/>
      <c r="ADX1" s="185"/>
      <c r="ADY1" s="185"/>
      <c r="ADZ1" s="185"/>
      <c r="AEA1" s="185"/>
      <c r="AEB1" s="185"/>
      <c r="AEC1" s="185"/>
      <c r="AED1" s="185"/>
      <c r="AEE1" s="185"/>
      <c r="AEF1" s="185"/>
      <c r="AEG1" s="185"/>
      <c r="AEH1" s="185"/>
      <c r="AEI1" s="185"/>
      <c r="AEJ1" s="185"/>
      <c r="AEK1" s="185"/>
      <c r="AEL1" s="185"/>
      <c r="AEM1" s="185"/>
      <c r="AEN1" s="185"/>
      <c r="AEO1" s="185"/>
      <c r="AEP1" s="185"/>
      <c r="AEQ1" s="185"/>
      <c r="AER1" s="185"/>
      <c r="AES1" s="185"/>
      <c r="AET1" s="185"/>
      <c r="AEU1" s="185"/>
      <c r="AEV1" s="185"/>
      <c r="AEW1" s="185"/>
      <c r="AEX1" s="185"/>
      <c r="AEY1" s="185"/>
      <c r="AEZ1" s="185"/>
      <c r="AFA1" s="185"/>
      <c r="AFB1" s="185"/>
      <c r="AFC1" s="185"/>
      <c r="AFD1" s="185"/>
      <c r="AFE1" s="185"/>
      <c r="AFF1" s="185"/>
      <c r="AFG1" s="185"/>
      <c r="AFH1" s="185"/>
      <c r="AFI1" s="185"/>
      <c r="AFJ1" s="185"/>
      <c r="AFK1" s="185"/>
      <c r="AFL1" s="185"/>
      <c r="AFM1" s="185"/>
      <c r="AFN1" s="185"/>
      <c r="AFO1" s="185"/>
      <c r="AFP1" s="185"/>
      <c r="AFQ1" s="185"/>
      <c r="AFR1" s="185"/>
      <c r="AFS1" s="185"/>
      <c r="AFT1" s="185"/>
      <c r="AFU1" s="185"/>
      <c r="AFV1" s="185"/>
      <c r="AFW1" s="185"/>
      <c r="AFX1" s="185"/>
      <c r="AFY1" s="185"/>
      <c r="AFZ1" s="185"/>
      <c r="AGA1" s="185"/>
      <c r="AGB1" s="185"/>
      <c r="AGC1" s="185"/>
      <c r="AGD1" s="185"/>
      <c r="AGE1" s="185"/>
      <c r="AGF1" s="185"/>
      <c r="AGG1" s="185"/>
      <c r="AGH1" s="185"/>
      <c r="AGI1" s="185"/>
      <c r="AGJ1" s="185"/>
      <c r="AGK1" s="185"/>
      <c r="AGL1" s="185"/>
      <c r="AGM1" s="185"/>
      <c r="AGN1" s="185"/>
      <c r="AGO1" s="185"/>
      <c r="AGP1" s="185"/>
      <c r="AGQ1" s="185"/>
      <c r="AGR1" s="185"/>
      <c r="AGS1" s="185"/>
      <c r="AGT1" s="185"/>
      <c r="AGU1" s="185"/>
      <c r="AGV1" s="185"/>
      <c r="AGW1" s="185"/>
      <c r="AGX1" s="185"/>
      <c r="AGY1" s="185"/>
      <c r="AGZ1" s="185"/>
      <c r="AHA1" s="185"/>
      <c r="AHB1" s="185"/>
      <c r="AHC1" s="185"/>
      <c r="AHD1" s="185"/>
      <c r="AHE1" s="185"/>
      <c r="AHF1" s="185"/>
      <c r="AHG1" s="185"/>
      <c r="AHH1" s="185"/>
      <c r="AHI1" s="185"/>
      <c r="AHJ1" s="185"/>
      <c r="AHK1" s="185"/>
      <c r="AHL1" s="185"/>
      <c r="AHM1" s="185"/>
      <c r="AHN1" s="185"/>
      <c r="AHO1" s="185"/>
      <c r="AHP1" s="185"/>
      <c r="AHQ1" s="185"/>
      <c r="AHR1" s="185"/>
      <c r="AHS1" s="185"/>
      <c r="AHT1" s="185"/>
      <c r="AHU1" s="185"/>
      <c r="AHV1" s="185"/>
      <c r="AHW1" s="185"/>
      <c r="AHX1" s="185"/>
      <c r="AHY1" s="185"/>
      <c r="AHZ1" s="185"/>
      <c r="AIA1" s="185"/>
      <c r="AIB1" s="185"/>
      <c r="AIC1" s="185"/>
      <c r="AID1" s="185"/>
      <c r="AIE1" s="185"/>
      <c r="AIF1" s="185"/>
      <c r="AIG1" s="185"/>
      <c r="AIH1" s="185"/>
      <c r="AII1" s="185"/>
      <c r="AIJ1" s="185"/>
      <c r="AIK1" s="185"/>
      <c r="AIL1" s="185"/>
      <c r="AIM1" s="185"/>
      <c r="AIN1" s="185"/>
      <c r="AIO1" s="185"/>
      <c r="AIP1" s="185"/>
      <c r="AIQ1" s="185"/>
      <c r="AIR1" s="185"/>
      <c r="AIS1" s="185"/>
      <c r="AIT1" s="185"/>
      <c r="AIU1" s="185"/>
      <c r="AIV1" s="185"/>
      <c r="AIW1" s="185"/>
      <c r="AIX1" s="185"/>
      <c r="AIY1" s="185"/>
      <c r="AIZ1" s="185"/>
      <c r="AJA1" s="185"/>
      <c r="AJB1" s="185"/>
      <c r="AJC1" s="185"/>
      <c r="AJD1" s="185"/>
      <c r="AJE1" s="185"/>
      <c r="AJF1" s="185"/>
      <c r="AJG1" s="185"/>
      <c r="AJH1" s="185"/>
      <c r="AJI1" s="185"/>
      <c r="AJJ1" s="185"/>
      <c r="AJK1" s="185"/>
      <c r="AJL1" s="185"/>
      <c r="AJM1" s="185"/>
      <c r="AJN1" s="185"/>
      <c r="AJO1" s="185"/>
      <c r="AJP1" s="185"/>
      <c r="AJQ1" s="185"/>
      <c r="AJR1" s="185"/>
      <c r="AJS1" s="185"/>
      <c r="AJT1" s="185"/>
      <c r="AJU1" s="185"/>
      <c r="AJV1" s="185"/>
      <c r="AJW1" s="185"/>
      <c r="AJX1" s="185"/>
      <c r="AJY1" s="185"/>
      <c r="AJZ1" s="185"/>
      <c r="AKA1" s="185"/>
      <c r="AKB1" s="185"/>
      <c r="AKC1" s="185"/>
      <c r="AKD1" s="185"/>
      <c r="AKE1" s="185"/>
      <c r="AKF1" s="185"/>
      <c r="AKG1" s="185"/>
      <c r="AKH1" s="185"/>
      <c r="AKI1" s="185"/>
      <c r="AKJ1" s="185"/>
      <c r="AKK1" s="185"/>
      <c r="AKL1" s="185"/>
      <c r="AKM1" s="185"/>
      <c r="AKN1" s="185"/>
      <c r="AKO1" s="185"/>
      <c r="AKP1" s="185"/>
      <c r="AKQ1" s="185"/>
      <c r="AKR1" s="185"/>
      <c r="AKS1" s="185"/>
      <c r="AKT1" s="185"/>
      <c r="AKU1" s="185"/>
      <c r="AKV1" s="185"/>
      <c r="AKW1" s="185"/>
      <c r="AKX1" s="185"/>
      <c r="AKY1" s="185"/>
      <c r="AKZ1" s="185"/>
      <c r="ALA1" s="185"/>
      <c r="ALB1" s="185"/>
      <c r="ALC1" s="185"/>
      <c r="ALD1" s="185"/>
      <c r="ALE1" s="185"/>
      <c r="ALF1" s="185"/>
      <c r="ALG1" s="185"/>
      <c r="ALH1" s="185"/>
      <c r="ALI1" s="185"/>
      <c r="ALJ1" s="185"/>
      <c r="ALK1" s="185"/>
      <c r="ALL1" s="185"/>
      <c r="ALM1" s="185"/>
      <c r="ALN1" s="185"/>
      <c r="ALO1" s="185"/>
      <c r="ALP1" s="185"/>
      <c r="ALQ1" s="185"/>
      <c r="ALR1" s="185"/>
      <c r="ALS1" s="185"/>
      <c r="ALT1" s="185"/>
      <c r="ALU1" s="185"/>
      <c r="ALV1" s="185"/>
      <c r="ALW1" s="185"/>
      <c r="ALX1" s="185"/>
      <c r="ALY1" s="185"/>
      <c r="ALZ1" s="185"/>
      <c r="AMA1" s="185"/>
      <c r="AMB1" s="185"/>
      <c r="AMC1" s="185"/>
      <c r="AMD1" s="185"/>
      <c r="AME1" s="185"/>
      <c r="AMF1" s="185"/>
      <c r="AMG1" s="185"/>
      <c r="AMH1" s="185"/>
      <c r="AMI1" s="185"/>
      <c r="AMJ1" s="185"/>
      <c r="AMK1" s="185"/>
      <c r="AML1" s="185"/>
      <c r="AMM1" s="185"/>
      <c r="AMN1" s="185"/>
      <c r="AMO1" s="185"/>
      <c r="AMP1" s="185"/>
      <c r="AMQ1" s="185"/>
      <c r="AMR1" s="185"/>
      <c r="AMS1" s="185"/>
      <c r="AMT1" s="185"/>
      <c r="AMU1" s="185"/>
      <c r="AMV1" s="185"/>
      <c r="AMW1" s="185"/>
      <c r="AMX1" s="185"/>
      <c r="AMY1" s="185"/>
      <c r="AMZ1" s="185"/>
      <c r="ANA1" s="185"/>
      <c r="ANB1" s="185"/>
      <c r="ANC1" s="185"/>
      <c r="AND1" s="185"/>
      <c r="ANE1" s="185"/>
      <c r="ANF1" s="185"/>
      <c r="ANG1" s="185"/>
      <c r="ANH1" s="185"/>
      <c r="ANI1" s="185"/>
      <c r="ANJ1" s="185"/>
      <c r="ANK1" s="185"/>
      <c r="ANL1" s="185"/>
      <c r="ANM1" s="185"/>
      <c r="ANN1" s="185"/>
      <c r="ANO1" s="185"/>
      <c r="ANP1" s="185"/>
      <c r="ANQ1" s="185"/>
      <c r="ANR1" s="185"/>
      <c r="ANS1" s="185"/>
      <c r="ANT1" s="185"/>
      <c r="ANU1" s="185"/>
      <c r="ANV1" s="185"/>
      <c r="ANW1" s="185"/>
      <c r="ANX1" s="185"/>
      <c r="ANY1" s="185"/>
      <c r="ANZ1" s="185"/>
      <c r="AOA1" s="185"/>
      <c r="AOB1" s="185"/>
      <c r="AOC1" s="185"/>
      <c r="AOD1" s="185"/>
      <c r="AOE1" s="185"/>
      <c r="AOF1" s="185"/>
      <c r="AOG1" s="185"/>
      <c r="AOH1" s="185"/>
      <c r="AOI1" s="185"/>
      <c r="AOJ1" s="185"/>
      <c r="AOK1" s="185"/>
      <c r="AOL1" s="185"/>
      <c r="AOM1" s="185"/>
      <c r="AON1" s="185"/>
      <c r="AOO1" s="185"/>
      <c r="AOP1" s="185"/>
      <c r="AOQ1" s="185"/>
      <c r="AOR1" s="185"/>
      <c r="AOS1" s="185"/>
      <c r="AOT1" s="185"/>
      <c r="AOU1" s="185"/>
      <c r="AOV1" s="185"/>
      <c r="AOW1" s="185"/>
      <c r="AOX1" s="185"/>
      <c r="AOY1" s="185"/>
      <c r="AOZ1" s="185"/>
      <c r="APA1" s="185"/>
      <c r="APB1" s="185"/>
      <c r="APC1" s="185"/>
      <c r="APD1" s="185"/>
      <c r="APE1" s="185"/>
      <c r="APF1" s="185"/>
      <c r="APG1" s="185"/>
      <c r="APH1" s="185"/>
      <c r="API1" s="185"/>
      <c r="APJ1" s="185"/>
      <c r="APK1" s="185"/>
      <c r="APL1" s="185"/>
      <c r="APM1" s="185"/>
      <c r="APN1" s="185"/>
      <c r="APO1" s="185"/>
      <c r="APP1" s="185"/>
      <c r="APQ1" s="185"/>
      <c r="APR1" s="185"/>
      <c r="APS1" s="185"/>
      <c r="APT1" s="185"/>
      <c r="APU1" s="185"/>
      <c r="APV1" s="185"/>
      <c r="APW1" s="185"/>
      <c r="APX1" s="185"/>
      <c r="APY1" s="185"/>
      <c r="APZ1" s="185"/>
      <c r="AQA1" s="185"/>
      <c r="AQB1" s="185"/>
      <c r="AQC1" s="185"/>
      <c r="AQD1" s="185"/>
      <c r="AQE1" s="185"/>
      <c r="AQF1" s="185"/>
      <c r="AQG1" s="185"/>
      <c r="AQH1" s="185"/>
      <c r="AQI1" s="185"/>
      <c r="AQJ1" s="185"/>
      <c r="AQK1" s="185"/>
      <c r="AQL1" s="185"/>
      <c r="AQM1" s="185"/>
      <c r="AQN1" s="185"/>
      <c r="AQO1" s="185"/>
      <c r="AQP1" s="185"/>
      <c r="AQQ1" s="185"/>
      <c r="AQR1" s="185"/>
      <c r="AQS1" s="185"/>
      <c r="AQT1" s="185"/>
      <c r="AQU1" s="185"/>
      <c r="AQV1" s="185"/>
      <c r="AQW1" s="185"/>
      <c r="AQX1" s="185"/>
      <c r="AQY1" s="185"/>
      <c r="AQZ1" s="185"/>
      <c r="ARA1" s="185"/>
      <c r="ARB1" s="185"/>
      <c r="ARC1" s="185"/>
      <c r="ARD1" s="185"/>
      <c r="ARE1" s="185"/>
      <c r="ARF1" s="185"/>
      <c r="ARG1" s="185"/>
      <c r="ARH1" s="185"/>
      <c r="ARI1" s="185"/>
      <c r="ARJ1" s="185"/>
      <c r="ARK1" s="185"/>
      <c r="ARL1" s="185"/>
      <c r="ARM1" s="185"/>
      <c r="ARN1" s="185"/>
      <c r="ARO1" s="185"/>
      <c r="ARP1" s="185"/>
      <c r="ARQ1" s="185"/>
      <c r="ARR1" s="185"/>
      <c r="ARS1" s="185"/>
      <c r="ART1" s="185"/>
      <c r="ARU1" s="185"/>
      <c r="ARV1" s="185"/>
      <c r="ARW1" s="185"/>
      <c r="ARX1" s="185"/>
      <c r="ARY1" s="185"/>
      <c r="ARZ1" s="185"/>
      <c r="ASA1" s="185"/>
      <c r="ASB1" s="185"/>
      <c r="ASC1" s="185"/>
      <c r="ASD1" s="185"/>
      <c r="ASE1" s="185"/>
      <c r="ASF1" s="185"/>
      <c r="ASG1" s="185"/>
      <c r="ASH1" s="185"/>
      <c r="ASI1" s="185"/>
      <c r="ASJ1" s="185"/>
      <c r="ASK1" s="185"/>
      <c r="ASL1" s="185"/>
      <c r="ASM1" s="185"/>
      <c r="ASN1" s="185"/>
      <c r="ASO1" s="185"/>
      <c r="ASP1" s="185"/>
      <c r="ASQ1" s="185"/>
      <c r="ASR1" s="185"/>
      <c r="ASS1" s="185"/>
      <c r="AST1" s="185"/>
      <c r="ASU1" s="185"/>
      <c r="ASV1" s="185"/>
      <c r="ASW1" s="185"/>
      <c r="ASX1" s="185"/>
      <c r="ASY1" s="185"/>
      <c r="ASZ1" s="185"/>
      <c r="ATA1" s="185"/>
      <c r="ATB1" s="185"/>
      <c r="ATC1" s="185"/>
      <c r="ATD1" s="185"/>
      <c r="ATE1" s="185"/>
      <c r="ATF1" s="185"/>
      <c r="ATG1" s="185"/>
      <c r="ATH1" s="185"/>
      <c r="ATI1" s="185"/>
      <c r="ATJ1" s="185"/>
      <c r="ATK1" s="185"/>
      <c r="ATL1" s="185"/>
      <c r="ATM1" s="185"/>
      <c r="ATN1" s="185"/>
      <c r="ATO1" s="185"/>
      <c r="ATP1" s="185"/>
      <c r="ATQ1" s="185"/>
      <c r="ATR1" s="185"/>
      <c r="ATS1" s="185"/>
      <c r="ATT1" s="185"/>
      <c r="ATU1" s="185"/>
      <c r="ATV1" s="185"/>
      <c r="ATW1" s="185"/>
      <c r="ATX1" s="185"/>
      <c r="ATY1" s="185"/>
      <c r="ATZ1" s="185"/>
      <c r="AUA1" s="185"/>
      <c r="AUB1" s="185"/>
      <c r="AUC1" s="185"/>
      <c r="AUD1" s="185"/>
      <c r="AUE1" s="185"/>
      <c r="AUF1" s="185"/>
      <c r="AUG1" s="185"/>
      <c r="AUH1" s="185"/>
      <c r="AUI1" s="185"/>
      <c r="AUJ1" s="185"/>
      <c r="AUK1" s="185"/>
      <c r="AUL1" s="185"/>
      <c r="AUM1" s="185"/>
      <c r="AUN1" s="185"/>
      <c r="AUO1" s="185"/>
      <c r="AUP1" s="185"/>
      <c r="AUQ1" s="185"/>
      <c r="AUR1" s="185"/>
      <c r="AUS1" s="185"/>
      <c r="AUT1" s="185"/>
      <c r="AUU1" s="185"/>
      <c r="AUV1" s="185"/>
      <c r="AUW1" s="185"/>
      <c r="AUX1" s="185"/>
      <c r="AUY1" s="185"/>
      <c r="AUZ1" s="185"/>
      <c r="AVA1" s="185"/>
      <c r="AVB1" s="185"/>
      <c r="AVC1" s="185"/>
      <c r="AVD1" s="185"/>
      <c r="AVE1" s="185"/>
      <c r="AVF1" s="185"/>
      <c r="AVG1" s="185"/>
      <c r="AVH1" s="185"/>
      <c r="AVI1" s="185"/>
      <c r="AVJ1" s="185"/>
      <c r="AVK1" s="185"/>
      <c r="AVL1" s="185"/>
      <c r="AVM1" s="185"/>
      <c r="AVN1" s="185"/>
      <c r="AVO1" s="185"/>
      <c r="AVP1" s="185"/>
      <c r="AVQ1" s="185"/>
      <c r="AVR1" s="185"/>
      <c r="AVS1" s="185"/>
      <c r="AVT1" s="185"/>
      <c r="AVU1" s="185"/>
      <c r="AVV1" s="185"/>
      <c r="AVW1" s="185"/>
      <c r="AVX1" s="185"/>
      <c r="AVY1" s="185"/>
      <c r="AVZ1" s="185"/>
      <c r="AWA1" s="185"/>
      <c r="AWB1" s="185"/>
      <c r="AWC1" s="185"/>
      <c r="AWD1" s="185"/>
      <c r="AWE1" s="185"/>
      <c r="AWF1" s="185"/>
      <c r="AWG1" s="185"/>
      <c r="AWH1" s="185"/>
      <c r="AWI1" s="185"/>
      <c r="AWJ1" s="185"/>
      <c r="AWK1" s="185"/>
      <c r="AWL1" s="185"/>
      <c r="AWM1" s="185"/>
      <c r="AWN1" s="185"/>
      <c r="AWO1" s="185"/>
      <c r="AWP1" s="185"/>
      <c r="AWQ1" s="185"/>
      <c r="AWR1" s="185"/>
      <c r="AWS1" s="185"/>
      <c r="AWT1" s="185"/>
      <c r="AWU1" s="185"/>
      <c r="AWV1" s="185"/>
      <c r="AWW1" s="185"/>
      <c r="AWX1" s="185"/>
      <c r="AWY1" s="185"/>
      <c r="AWZ1" s="185"/>
      <c r="AXA1" s="185"/>
      <c r="AXB1" s="185"/>
      <c r="AXC1" s="185"/>
      <c r="AXD1" s="185"/>
      <c r="AXE1" s="185"/>
      <c r="AXF1" s="185"/>
      <c r="AXG1" s="185"/>
      <c r="AXH1" s="185"/>
      <c r="AXI1" s="185"/>
      <c r="AXJ1" s="185"/>
      <c r="AXK1" s="185"/>
      <c r="AXL1" s="185"/>
      <c r="AXM1" s="185"/>
      <c r="AXN1" s="185"/>
      <c r="AXO1" s="185"/>
      <c r="AXP1" s="185"/>
      <c r="AXQ1" s="185"/>
      <c r="AXR1" s="185"/>
      <c r="AXS1" s="185"/>
      <c r="AXT1" s="185"/>
      <c r="AXU1" s="185"/>
      <c r="AXV1" s="185"/>
      <c r="AXW1" s="185"/>
      <c r="AXX1" s="185"/>
      <c r="AXY1" s="185"/>
      <c r="AXZ1" s="185"/>
      <c r="AYA1" s="185"/>
      <c r="AYB1" s="185"/>
      <c r="AYC1" s="185"/>
      <c r="AYD1" s="185"/>
      <c r="AYE1" s="185"/>
      <c r="AYF1" s="185"/>
      <c r="AYG1" s="185"/>
      <c r="AYH1" s="185"/>
      <c r="AYI1" s="185"/>
      <c r="AYJ1" s="185"/>
      <c r="AYK1" s="185"/>
      <c r="AYL1" s="185"/>
      <c r="AYM1" s="185"/>
      <c r="AYN1" s="185"/>
    </row>
    <row r="2" spans="1:1340" s="186" customFormat="1" ht="50.25" customHeight="1">
      <c r="A2" s="416"/>
      <c r="B2" s="423"/>
      <c r="C2" s="187"/>
      <c r="D2" s="188">
        <v>0</v>
      </c>
      <c r="E2" s="178" t="s">
        <v>31</v>
      </c>
      <c r="F2" s="417"/>
      <c r="G2" s="189"/>
      <c r="H2" s="418"/>
      <c r="I2" s="178" t="s">
        <v>15</v>
      </c>
      <c r="J2" s="187" t="s">
        <v>34</v>
      </c>
      <c r="K2" s="190" t="s">
        <v>35</v>
      </c>
      <c r="L2" s="190" t="s">
        <v>1</v>
      </c>
      <c r="M2" s="274"/>
      <c r="N2" s="419"/>
      <c r="O2" s="191" t="s">
        <v>36</v>
      </c>
      <c r="P2" s="192">
        <v>2</v>
      </c>
      <c r="Q2" s="192">
        <v>4</v>
      </c>
      <c r="R2" s="192">
        <v>5</v>
      </c>
      <c r="S2" s="192">
        <v>6</v>
      </c>
      <c r="T2" s="192">
        <v>7</v>
      </c>
      <c r="U2" s="192">
        <v>8</v>
      </c>
      <c r="V2" s="192">
        <v>9</v>
      </c>
      <c r="W2" s="192">
        <v>11</v>
      </c>
      <c r="X2" s="192">
        <v>12</v>
      </c>
      <c r="Y2" s="192">
        <v>13</v>
      </c>
      <c r="Z2" s="192">
        <v>14</v>
      </c>
      <c r="AA2" s="192">
        <v>15</v>
      </c>
      <c r="AB2" s="192">
        <v>16</v>
      </c>
      <c r="AC2" s="192">
        <v>18</v>
      </c>
      <c r="AD2" s="192"/>
      <c r="AE2" s="192">
        <v>19</v>
      </c>
      <c r="AF2" s="192">
        <v>20</v>
      </c>
      <c r="AG2" s="192">
        <v>21</v>
      </c>
      <c r="AH2" s="192">
        <v>22</v>
      </c>
      <c r="AI2" s="192">
        <v>23</v>
      </c>
      <c r="AJ2" s="192">
        <v>25</v>
      </c>
      <c r="AK2" s="192">
        <v>26</v>
      </c>
      <c r="AL2" s="192">
        <v>27</v>
      </c>
      <c r="AM2" s="192">
        <v>28</v>
      </c>
      <c r="AN2" s="192">
        <v>29</v>
      </c>
      <c r="AO2" s="192">
        <v>30</v>
      </c>
      <c r="AP2" s="192">
        <v>1</v>
      </c>
      <c r="AQ2" s="192">
        <v>2</v>
      </c>
      <c r="AR2" s="192">
        <v>3</v>
      </c>
      <c r="AS2" s="192">
        <v>4</v>
      </c>
      <c r="AT2" s="192">
        <v>5</v>
      </c>
      <c r="AU2" s="192">
        <v>6</v>
      </c>
      <c r="AV2" s="192">
        <v>17</v>
      </c>
      <c r="AW2" s="192">
        <v>18</v>
      </c>
      <c r="AX2" s="192">
        <v>19</v>
      </c>
      <c r="AY2" s="192">
        <v>20</v>
      </c>
      <c r="AZ2" s="192">
        <v>22</v>
      </c>
      <c r="BA2" s="192">
        <v>23</v>
      </c>
      <c r="BB2" s="192">
        <v>24</v>
      </c>
      <c r="BC2" s="192">
        <v>25</v>
      </c>
      <c r="BD2" s="192">
        <v>26</v>
      </c>
      <c r="BE2" s="192">
        <v>27</v>
      </c>
      <c r="BF2" s="192">
        <v>1</v>
      </c>
      <c r="BG2" s="192">
        <v>2</v>
      </c>
      <c r="BH2" s="192">
        <v>3</v>
      </c>
      <c r="BI2" s="192">
        <v>4</v>
      </c>
      <c r="BJ2" s="192">
        <v>5</v>
      </c>
      <c r="BK2" s="192">
        <v>6</v>
      </c>
      <c r="BL2" s="192">
        <v>8</v>
      </c>
      <c r="BM2" s="192">
        <v>9</v>
      </c>
      <c r="BN2" s="192">
        <v>10</v>
      </c>
      <c r="BO2" s="192">
        <v>11</v>
      </c>
      <c r="BP2" s="192">
        <v>12</v>
      </c>
      <c r="BQ2" s="192">
        <v>13</v>
      </c>
      <c r="BR2" s="192">
        <v>15</v>
      </c>
      <c r="BS2" s="192">
        <v>17</v>
      </c>
      <c r="BT2" s="192">
        <v>18</v>
      </c>
      <c r="BU2" s="192">
        <v>19</v>
      </c>
      <c r="BV2" s="192">
        <v>20</v>
      </c>
      <c r="BW2" s="192">
        <v>22</v>
      </c>
      <c r="BX2" s="192">
        <v>23</v>
      </c>
      <c r="BY2" s="192">
        <v>24</v>
      </c>
      <c r="BZ2" s="192">
        <v>25</v>
      </c>
      <c r="CA2" s="192">
        <v>26</v>
      </c>
      <c r="CB2" s="192">
        <v>27</v>
      </c>
      <c r="CC2" s="192">
        <v>29</v>
      </c>
      <c r="CD2" s="192">
        <v>30</v>
      </c>
      <c r="CE2" s="192">
        <v>31</v>
      </c>
      <c r="CF2" s="192">
        <v>1</v>
      </c>
      <c r="CG2" s="192">
        <v>2</v>
      </c>
      <c r="CH2" s="192">
        <v>3</v>
      </c>
      <c r="CI2" s="192">
        <v>5</v>
      </c>
      <c r="CJ2" s="192">
        <v>6</v>
      </c>
      <c r="CK2" s="192">
        <v>7</v>
      </c>
      <c r="CL2" s="192">
        <v>8</v>
      </c>
      <c r="CM2" s="192">
        <v>9</v>
      </c>
      <c r="CN2" s="192">
        <v>10</v>
      </c>
      <c r="CO2" s="192">
        <v>11</v>
      </c>
      <c r="CP2" s="192">
        <v>12</v>
      </c>
      <c r="CQ2" s="192">
        <v>13</v>
      </c>
      <c r="CR2" s="192">
        <v>14</v>
      </c>
      <c r="CS2" s="192">
        <v>15</v>
      </c>
      <c r="CT2" s="192">
        <v>16</v>
      </c>
      <c r="CU2" s="192">
        <v>17</v>
      </c>
      <c r="CV2" s="192">
        <v>18</v>
      </c>
      <c r="CW2" s="192">
        <v>19</v>
      </c>
      <c r="CX2" s="192">
        <v>20</v>
      </c>
      <c r="CY2" s="192">
        <v>21</v>
      </c>
      <c r="CZ2" s="192">
        <v>22</v>
      </c>
      <c r="DA2" s="192">
        <v>23</v>
      </c>
      <c r="DB2" s="192">
        <v>24</v>
      </c>
      <c r="DC2" s="192">
        <v>25</v>
      </c>
      <c r="DD2" s="192">
        <v>26</v>
      </c>
      <c r="DE2" s="192">
        <v>27</v>
      </c>
      <c r="DF2" s="192">
        <v>28</v>
      </c>
      <c r="DG2" s="192">
        <v>29</v>
      </c>
      <c r="DH2" s="192">
        <v>30</v>
      </c>
      <c r="DI2" s="192">
        <v>1</v>
      </c>
      <c r="DJ2" s="192">
        <v>2</v>
      </c>
      <c r="DK2" s="192">
        <v>3</v>
      </c>
      <c r="DL2" s="192">
        <v>4</v>
      </c>
      <c r="DM2" s="192">
        <v>5</v>
      </c>
      <c r="DN2" s="192">
        <v>6</v>
      </c>
      <c r="DO2" s="192">
        <v>7</v>
      </c>
      <c r="DP2" s="192">
        <v>8</v>
      </c>
      <c r="DQ2" s="192">
        <v>9</v>
      </c>
      <c r="DR2" s="192">
        <v>10</v>
      </c>
      <c r="DS2" s="192">
        <v>11</v>
      </c>
      <c r="DT2" s="192">
        <v>12</v>
      </c>
      <c r="DU2" s="192">
        <v>13</v>
      </c>
      <c r="DV2" s="192">
        <v>14</v>
      </c>
      <c r="DW2" s="192">
        <v>15</v>
      </c>
      <c r="DX2" s="192">
        <v>16</v>
      </c>
      <c r="DY2" s="192">
        <v>17</v>
      </c>
      <c r="DZ2" s="192">
        <v>18</v>
      </c>
      <c r="EA2" s="192">
        <v>19</v>
      </c>
      <c r="EB2" s="192">
        <v>20</v>
      </c>
      <c r="EC2" s="192">
        <v>21</v>
      </c>
      <c r="ED2" s="192">
        <v>22</v>
      </c>
      <c r="EE2" s="192">
        <v>23</v>
      </c>
      <c r="EF2" s="192">
        <v>24</v>
      </c>
      <c r="EG2" s="192">
        <v>25</v>
      </c>
      <c r="EH2" s="192">
        <v>26</v>
      </c>
      <c r="EI2" s="192">
        <v>27</v>
      </c>
      <c r="EJ2" s="192">
        <v>28</v>
      </c>
      <c r="EK2" s="192">
        <v>29</v>
      </c>
      <c r="EL2" s="192">
        <v>20</v>
      </c>
      <c r="EM2" s="192">
        <v>31</v>
      </c>
      <c r="EN2" s="193">
        <v>1</v>
      </c>
      <c r="EO2" s="193">
        <v>2</v>
      </c>
      <c r="EP2" s="193">
        <v>3</v>
      </c>
      <c r="EQ2" s="193">
        <v>4</v>
      </c>
      <c r="ER2" s="193">
        <v>5</v>
      </c>
      <c r="ES2" s="193">
        <v>6</v>
      </c>
      <c r="ET2" s="193">
        <v>7</v>
      </c>
      <c r="EU2" s="193">
        <v>8</v>
      </c>
      <c r="EV2" s="193">
        <v>9</v>
      </c>
      <c r="EW2" s="193">
        <v>10</v>
      </c>
      <c r="EX2" s="193">
        <v>11</v>
      </c>
      <c r="EY2" s="193">
        <v>12</v>
      </c>
      <c r="EZ2" s="193">
        <v>13</v>
      </c>
      <c r="FA2" s="193">
        <v>14</v>
      </c>
      <c r="FB2" s="193">
        <v>15</v>
      </c>
      <c r="FC2" s="193">
        <v>16</v>
      </c>
      <c r="FD2" s="193">
        <v>17</v>
      </c>
      <c r="FE2" s="193">
        <v>18</v>
      </c>
      <c r="FF2" s="193">
        <v>19</v>
      </c>
      <c r="FG2" s="193">
        <v>20</v>
      </c>
      <c r="FH2" s="193">
        <v>21</v>
      </c>
      <c r="FI2" s="193">
        <v>22</v>
      </c>
      <c r="FJ2" s="193">
        <v>23</v>
      </c>
      <c r="FK2" s="193">
        <v>24</v>
      </c>
      <c r="FL2" s="193">
        <v>25</v>
      </c>
      <c r="FM2" s="193">
        <v>26</v>
      </c>
      <c r="FN2" s="193">
        <v>27</v>
      </c>
      <c r="FO2" s="193">
        <v>28</v>
      </c>
      <c r="FP2" s="193">
        <v>29</v>
      </c>
      <c r="FQ2" s="193">
        <v>30</v>
      </c>
      <c r="FR2" s="194">
        <v>1</v>
      </c>
      <c r="FS2" s="194">
        <v>5</v>
      </c>
      <c r="FT2" s="194">
        <v>6</v>
      </c>
      <c r="FU2" s="194">
        <v>7</v>
      </c>
      <c r="FV2" s="195">
        <v>8</v>
      </c>
      <c r="FW2" s="194">
        <v>9</v>
      </c>
      <c r="FX2" s="195">
        <v>10</v>
      </c>
      <c r="FY2" s="194">
        <v>11</v>
      </c>
      <c r="FZ2" s="195">
        <v>12</v>
      </c>
      <c r="GA2" s="194">
        <v>13</v>
      </c>
      <c r="GB2" s="195">
        <v>14</v>
      </c>
      <c r="GC2" s="194">
        <v>15</v>
      </c>
      <c r="GD2" s="195">
        <v>16</v>
      </c>
      <c r="GE2" s="194">
        <v>17</v>
      </c>
      <c r="GF2" s="195">
        <v>18</v>
      </c>
      <c r="GG2" s="194">
        <v>19</v>
      </c>
      <c r="GH2" s="195">
        <v>20</v>
      </c>
      <c r="GI2" s="194">
        <v>21</v>
      </c>
      <c r="GJ2" s="195">
        <v>22</v>
      </c>
      <c r="GK2" s="194">
        <v>23</v>
      </c>
      <c r="GL2" s="195">
        <v>24</v>
      </c>
      <c r="GM2" s="194">
        <v>25</v>
      </c>
      <c r="GN2" s="195">
        <v>26</v>
      </c>
      <c r="GO2" s="194">
        <v>27</v>
      </c>
      <c r="GP2" s="195">
        <v>28</v>
      </c>
      <c r="GQ2" s="194">
        <v>29</v>
      </c>
      <c r="GR2" s="195">
        <v>30</v>
      </c>
      <c r="GS2" s="195">
        <v>31</v>
      </c>
      <c r="GT2" s="195">
        <v>1</v>
      </c>
      <c r="GU2" s="195">
        <v>2</v>
      </c>
      <c r="GV2" s="195">
        <v>3</v>
      </c>
      <c r="GW2" s="195">
        <v>4</v>
      </c>
      <c r="GX2" s="195">
        <v>5</v>
      </c>
      <c r="GY2" s="195">
        <v>6</v>
      </c>
      <c r="GZ2" s="195">
        <v>7</v>
      </c>
      <c r="HA2" s="195">
        <v>8</v>
      </c>
      <c r="HB2" s="195">
        <v>9</v>
      </c>
      <c r="HC2" s="195">
        <v>10</v>
      </c>
      <c r="HD2" s="195">
        <v>11</v>
      </c>
      <c r="HE2" s="195">
        <v>12</v>
      </c>
      <c r="HF2" s="195">
        <v>13</v>
      </c>
      <c r="HG2" s="195">
        <v>14</v>
      </c>
      <c r="HH2" s="195">
        <v>15</v>
      </c>
      <c r="HI2" s="195">
        <v>16</v>
      </c>
      <c r="HJ2" s="195">
        <v>17</v>
      </c>
      <c r="HK2" s="195">
        <v>18</v>
      </c>
      <c r="HL2" s="195">
        <v>19</v>
      </c>
      <c r="HM2" s="195">
        <v>20</v>
      </c>
      <c r="HN2" s="195">
        <v>21</v>
      </c>
      <c r="HO2" s="195">
        <v>22</v>
      </c>
      <c r="HP2" s="195">
        <v>23</v>
      </c>
      <c r="HQ2" s="195">
        <v>24</v>
      </c>
      <c r="HR2" s="195">
        <v>25</v>
      </c>
      <c r="HS2" s="195">
        <v>26</v>
      </c>
      <c r="HT2" s="195">
        <v>27</v>
      </c>
      <c r="HU2" s="195">
        <v>28</v>
      </c>
      <c r="HV2" s="195">
        <v>29</v>
      </c>
      <c r="HW2" s="195">
        <v>30</v>
      </c>
      <c r="HX2" s="195">
        <v>31</v>
      </c>
      <c r="HY2" s="195">
        <v>1</v>
      </c>
      <c r="HZ2" s="195">
        <v>2</v>
      </c>
      <c r="IA2" s="195">
        <v>3</v>
      </c>
      <c r="IB2" s="195">
        <v>4</v>
      </c>
      <c r="IC2" s="195">
        <v>5</v>
      </c>
      <c r="ID2" s="195">
        <v>6</v>
      </c>
      <c r="IE2" s="195">
        <v>7</v>
      </c>
      <c r="IF2" s="195">
        <v>8</v>
      </c>
      <c r="IG2" s="195">
        <v>9</v>
      </c>
      <c r="IH2" s="195">
        <v>10</v>
      </c>
      <c r="II2" s="195">
        <v>11</v>
      </c>
      <c r="IJ2" s="195">
        <v>12</v>
      </c>
      <c r="IK2" s="195">
        <v>13</v>
      </c>
      <c r="IL2" s="195">
        <v>14</v>
      </c>
      <c r="IM2" s="195">
        <v>15</v>
      </c>
      <c r="IN2" s="195">
        <v>16</v>
      </c>
      <c r="IO2" s="195">
        <v>17</v>
      </c>
      <c r="IP2" s="195">
        <v>18</v>
      </c>
      <c r="IQ2" s="195">
        <v>19</v>
      </c>
      <c r="IR2" s="195">
        <v>20</v>
      </c>
      <c r="IS2" s="195">
        <v>21</v>
      </c>
      <c r="IT2" s="195">
        <v>22</v>
      </c>
      <c r="IU2" s="195">
        <v>23</v>
      </c>
      <c r="IV2" s="195">
        <v>24</v>
      </c>
      <c r="IW2" s="195">
        <v>25</v>
      </c>
      <c r="IX2" s="195">
        <v>26</v>
      </c>
      <c r="IY2" s="195">
        <v>27</v>
      </c>
      <c r="IZ2" s="195">
        <v>28</v>
      </c>
      <c r="JA2" s="195">
        <v>29</v>
      </c>
      <c r="JB2" s="195">
        <v>30</v>
      </c>
      <c r="JC2" s="195">
        <v>1</v>
      </c>
      <c r="JD2" s="195">
        <v>2</v>
      </c>
      <c r="JE2" s="195">
        <v>3</v>
      </c>
      <c r="JF2" s="195">
        <v>4</v>
      </c>
      <c r="JG2" s="195">
        <v>5</v>
      </c>
      <c r="JH2" s="195">
        <v>6</v>
      </c>
      <c r="JI2" s="195">
        <v>7</v>
      </c>
      <c r="JJ2" s="195">
        <v>8</v>
      </c>
      <c r="JK2" s="195">
        <v>9</v>
      </c>
      <c r="JL2" s="195">
        <v>10</v>
      </c>
      <c r="JM2" s="195">
        <v>11</v>
      </c>
      <c r="JN2" s="195">
        <v>12</v>
      </c>
      <c r="JO2" s="195">
        <v>13</v>
      </c>
      <c r="JP2" s="195">
        <v>14</v>
      </c>
      <c r="JQ2" s="195">
        <v>15</v>
      </c>
      <c r="JR2" s="195">
        <v>16</v>
      </c>
      <c r="JS2" s="195">
        <v>17</v>
      </c>
      <c r="JT2" s="195">
        <v>18</v>
      </c>
      <c r="JU2" s="195">
        <v>19</v>
      </c>
      <c r="JV2" s="195">
        <v>20</v>
      </c>
      <c r="JW2" s="195">
        <v>21</v>
      </c>
      <c r="JX2" s="195">
        <v>22</v>
      </c>
      <c r="JY2" s="195">
        <v>23</v>
      </c>
      <c r="JZ2" s="195">
        <v>24</v>
      </c>
      <c r="KA2" s="195">
        <v>25</v>
      </c>
      <c r="KB2" s="195">
        <v>26</v>
      </c>
      <c r="KC2" s="195">
        <v>27</v>
      </c>
      <c r="KD2" s="195">
        <v>28</v>
      </c>
      <c r="KE2" s="195">
        <v>29</v>
      </c>
      <c r="KF2" s="195">
        <v>30</v>
      </c>
      <c r="KG2" s="195">
        <v>1</v>
      </c>
      <c r="KH2" s="195">
        <v>2</v>
      </c>
      <c r="KI2" s="195">
        <v>3</v>
      </c>
      <c r="KJ2" s="195">
        <v>4</v>
      </c>
      <c r="KK2" s="195">
        <v>5</v>
      </c>
      <c r="KL2" s="195">
        <v>6</v>
      </c>
      <c r="KM2" s="195">
        <v>7</v>
      </c>
      <c r="KN2" s="195">
        <v>8</v>
      </c>
      <c r="KO2" s="195">
        <v>9</v>
      </c>
      <c r="KP2" s="195">
        <v>10</v>
      </c>
      <c r="KQ2" s="195">
        <v>11</v>
      </c>
      <c r="KR2" s="195">
        <v>12</v>
      </c>
      <c r="KS2" s="195">
        <v>13</v>
      </c>
      <c r="KT2" s="195">
        <v>14</v>
      </c>
      <c r="KU2" s="195">
        <v>15</v>
      </c>
      <c r="KV2" s="195">
        <v>16</v>
      </c>
      <c r="KW2" s="195">
        <v>17</v>
      </c>
      <c r="KX2" s="195">
        <v>18</v>
      </c>
      <c r="KY2" s="195">
        <v>19</v>
      </c>
      <c r="KZ2" s="195">
        <v>20</v>
      </c>
      <c r="LA2" s="195">
        <v>21</v>
      </c>
      <c r="LB2" s="195">
        <v>22</v>
      </c>
      <c r="LC2" s="195">
        <v>23</v>
      </c>
      <c r="LD2" s="195">
        <v>24</v>
      </c>
      <c r="LE2" s="195">
        <v>25</v>
      </c>
      <c r="LF2" s="195">
        <v>26</v>
      </c>
      <c r="LG2" s="195">
        <v>27</v>
      </c>
      <c r="LH2" s="195">
        <v>28</v>
      </c>
      <c r="LI2" s="195">
        <v>29</v>
      </c>
      <c r="LJ2" s="195">
        <v>30</v>
      </c>
      <c r="LK2" s="195">
        <v>1</v>
      </c>
      <c r="LL2" s="195">
        <v>2</v>
      </c>
      <c r="LM2" s="195">
        <v>3</v>
      </c>
      <c r="LN2" s="195">
        <v>4</v>
      </c>
      <c r="LO2" s="195">
        <v>5</v>
      </c>
      <c r="LP2" s="195">
        <v>6</v>
      </c>
      <c r="LQ2" s="195">
        <v>7</v>
      </c>
      <c r="LR2" s="195">
        <v>8</v>
      </c>
      <c r="LS2" s="195">
        <v>9</v>
      </c>
      <c r="LT2" s="195">
        <v>10</v>
      </c>
      <c r="LU2" s="195">
        <v>11</v>
      </c>
      <c r="LV2" s="195">
        <v>12</v>
      </c>
      <c r="LW2" s="195">
        <v>13</v>
      </c>
      <c r="LX2" s="195">
        <v>14</v>
      </c>
      <c r="LY2" s="195">
        <v>15</v>
      </c>
      <c r="LZ2" s="195">
        <v>16</v>
      </c>
      <c r="MA2" s="195">
        <v>17</v>
      </c>
      <c r="MB2" s="195">
        <v>18</v>
      </c>
      <c r="MC2" s="195">
        <v>19</v>
      </c>
      <c r="MD2" s="195">
        <v>20</v>
      </c>
      <c r="ME2" s="195">
        <v>21</v>
      </c>
      <c r="MF2" s="195">
        <v>22</v>
      </c>
      <c r="MG2" s="195">
        <v>23</v>
      </c>
      <c r="MH2" s="195">
        <v>24</v>
      </c>
      <c r="MI2" s="195">
        <v>25</v>
      </c>
      <c r="MJ2" s="195">
        <v>26</v>
      </c>
      <c r="MK2" s="195">
        <v>27</v>
      </c>
      <c r="ML2" s="195">
        <v>28</v>
      </c>
      <c r="MM2" s="195">
        <v>29</v>
      </c>
      <c r="MN2" s="195">
        <v>30</v>
      </c>
      <c r="MO2" s="195">
        <v>31</v>
      </c>
      <c r="MP2" s="195">
        <v>3</v>
      </c>
      <c r="MQ2" s="195">
        <v>4</v>
      </c>
      <c r="MR2" s="195">
        <v>5</v>
      </c>
      <c r="MS2" s="195">
        <v>6</v>
      </c>
      <c r="MT2" s="195">
        <v>7</v>
      </c>
      <c r="MU2" s="195">
        <v>8</v>
      </c>
      <c r="MV2" s="195">
        <v>9</v>
      </c>
      <c r="MW2" s="195">
        <v>10</v>
      </c>
      <c r="MX2" s="195">
        <v>11</v>
      </c>
      <c r="MY2" s="195">
        <v>12</v>
      </c>
      <c r="MZ2" s="195">
        <v>13</v>
      </c>
      <c r="NA2" s="195">
        <v>14</v>
      </c>
      <c r="NB2" s="195">
        <v>15</v>
      </c>
      <c r="NC2" s="195">
        <v>16</v>
      </c>
      <c r="ND2" s="195">
        <v>17</v>
      </c>
      <c r="NE2" s="195">
        <v>18</v>
      </c>
      <c r="NF2" s="195">
        <v>19</v>
      </c>
      <c r="NG2" s="195">
        <v>20</v>
      </c>
      <c r="NH2" s="195">
        <v>21</v>
      </c>
      <c r="NI2" s="195">
        <v>22</v>
      </c>
      <c r="NJ2" s="195">
        <v>23</v>
      </c>
      <c r="NK2" s="195">
        <v>24</v>
      </c>
      <c r="NL2" s="195">
        <v>25</v>
      </c>
      <c r="NM2" s="195">
        <v>26</v>
      </c>
      <c r="NN2" s="195">
        <v>27</v>
      </c>
      <c r="NO2" s="195">
        <v>28</v>
      </c>
      <c r="NP2" s="195">
        <v>29</v>
      </c>
      <c r="NQ2" s="195">
        <v>30</v>
      </c>
      <c r="NR2" s="195">
        <v>31</v>
      </c>
      <c r="NS2" s="195">
        <v>8</v>
      </c>
      <c r="NT2" s="195">
        <v>9</v>
      </c>
      <c r="NU2" s="195">
        <v>10</v>
      </c>
      <c r="NV2" s="195">
        <v>11</v>
      </c>
      <c r="NW2" s="195">
        <v>12</v>
      </c>
      <c r="NX2" s="195">
        <v>13</v>
      </c>
      <c r="NY2" s="195">
        <v>14</v>
      </c>
      <c r="NZ2" s="195">
        <v>15</v>
      </c>
      <c r="OA2" s="195">
        <v>16</v>
      </c>
      <c r="OB2" s="195">
        <v>17</v>
      </c>
      <c r="OC2" s="195">
        <v>18</v>
      </c>
      <c r="OD2" s="195">
        <v>19</v>
      </c>
      <c r="OE2" s="195">
        <v>20</v>
      </c>
      <c r="OF2" s="195">
        <v>21</v>
      </c>
      <c r="OG2" s="195">
        <v>22</v>
      </c>
      <c r="OH2" s="195">
        <v>23</v>
      </c>
      <c r="OI2" s="195">
        <v>24</v>
      </c>
      <c r="OJ2" s="195">
        <v>25</v>
      </c>
      <c r="OK2" s="195">
        <v>26</v>
      </c>
      <c r="OL2" s="195">
        <v>27</v>
      </c>
      <c r="OM2" s="195">
        <v>28</v>
      </c>
      <c r="ON2" s="193" t="s">
        <v>2624</v>
      </c>
      <c r="OO2" s="195">
        <v>1</v>
      </c>
      <c r="OP2" s="195">
        <v>2</v>
      </c>
      <c r="OQ2" s="195">
        <v>3</v>
      </c>
      <c r="OR2" s="195">
        <v>4</v>
      </c>
      <c r="OS2" s="195">
        <v>5</v>
      </c>
      <c r="OT2" s="195">
        <v>6</v>
      </c>
      <c r="OU2" s="195">
        <v>7</v>
      </c>
      <c r="OV2" s="195">
        <v>8</v>
      </c>
      <c r="OW2" s="195">
        <v>9</v>
      </c>
      <c r="OX2" s="195">
        <v>10</v>
      </c>
      <c r="OY2" s="195">
        <v>11</v>
      </c>
      <c r="OZ2" s="195">
        <v>12</v>
      </c>
      <c r="PA2" s="195">
        <v>13</v>
      </c>
      <c r="PB2" s="195">
        <v>14</v>
      </c>
      <c r="PC2" s="195">
        <v>15</v>
      </c>
      <c r="PD2" s="195">
        <v>16</v>
      </c>
      <c r="PE2" s="195">
        <v>17</v>
      </c>
      <c r="PF2" s="195">
        <v>18</v>
      </c>
      <c r="PG2" s="195">
        <v>19</v>
      </c>
      <c r="PH2" s="195">
        <v>20</v>
      </c>
      <c r="PI2" s="195">
        <v>21</v>
      </c>
      <c r="PJ2" s="195">
        <v>22</v>
      </c>
      <c r="PK2" s="195">
        <v>23</v>
      </c>
      <c r="PL2" s="195">
        <v>24</v>
      </c>
      <c r="PM2" s="195">
        <v>25</v>
      </c>
      <c r="PN2" s="195">
        <v>26</v>
      </c>
      <c r="PO2" s="195">
        <v>27</v>
      </c>
      <c r="PP2" s="195">
        <v>28</v>
      </c>
      <c r="PQ2" s="195">
        <v>29</v>
      </c>
      <c r="PR2" s="195">
        <v>30</v>
      </c>
      <c r="PS2" s="195">
        <v>31</v>
      </c>
      <c r="PT2" s="195"/>
      <c r="PU2" s="195"/>
      <c r="PV2" s="195"/>
      <c r="PW2" s="195"/>
      <c r="PX2" s="195"/>
      <c r="PY2" s="195"/>
      <c r="PZ2" s="195"/>
      <c r="QA2" s="195"/>
      <c r="QB2" s="195"/>
      <c r="QC2" s="195"/>
      <c r="QD2" s="195"/>
      <c r="QE2" s="195"/>
      <c r="QF2" s="195"/>
      <c r="QG2" s="195"/>
      <c r="QH2" s="195"/>
      <c r="QI2" s="195"/>
      <c r="QJ2" s="195"/>
      <c r="QK2" s="195"/>
      <c r="QL2" s="195"/>
      <c r="QM2" s="195"/>
      <c r="QN2" s="195"/>
      <c r="QO2" s="195"/>
      <c r="QP2" s="195"/>
      <c r="QQ2" s="195"/>
      <c r="QR2" s="195"/>
      <c r="QS2" s="195"/>
      <c r="QT2" s="195"/>
      <c r="QU2" s="195"/>
      <c r="QV2" s="195"/>
      <c r="QW2" s="195"/>
      <c r="QX2" s="195"/>
      <c r="QY2" s="195"/>
      <c r="QZ2" s="195"/>
      <c r="RA2" s="195"/>
      <c r="RB2" s="195"/>
      <c r="RC2" s="195"/>
      <c r="RD2" s="195"/>
      <c r="RE2" s="195"/>
      <c r="RF2" s="195"/>
      <c r="RG2" s="195"/>
      <c r="RH2" s="195"/>
      <c r="RI2" s="195"/>
      <c r="RJ2" s="195"/>
      <c r="RK2" s="195"/>
      <c r="RL2" s="195"/>
      <c r="RM2" s="195"/>
      <c r="RN2" s="195"/>
      <c r="RO2" s="195"/>
      <c r="RP2" s="195"/>
      <c r="RQ2" s="195"/>
      <c r="RR2" s="195"/>
      <c r="RS2" s="195"/>
      <c r="RT2" s="195"/>
      <c r="RU2" s="195"/>
      <c r="RV2" s="195"/>
      <c r="RW2" s="195"/>
      <c r="RX2" s="195"/>
      <c r="RY2" s="195"/>
      <c r="RZ2" s="195"/>
      <c r="SA2" s="195"/>
      <c r="SB2" s="195"/>
      <c r="SC2" s="195"/>
      <c r="SD2" s="195"/>
      <c r="SE2" s="195"/>
      <c r="SF2" s="195"/>
      <c r="SG2" s="195"/>
      <c r="SH2" s="195"/>
      <c r="SI2" s="195"/>
      <c r="SJ2" s="195"/>
      <c r="SK2" s="195"/>
      <c r="SL2" s="195"/>
      <c r="SM2" s="195"/>
      <c r="SN2" s="195"/>
      <c r="SO2" s="195"/>
      <c r="SP2" s="195"/>
      <c r="SQ2" s="195"/>
      <c r="SR2" s="195"/>
      <c r="SS2" s="195"/>
      <c r="ST2" s="195"/>
      <c r="SU2" s="195"/>
      <c r="SV2" s="195"/>
      <c r="SW2" s="195"/>
      <c r="SX2" s="195"/>
      <c r="SY2" s="195"/>
      <c r="SZ2" s="195"/>
      <c r="TA2" s="195"/>
      <c r="TB2" s="195"/>
      <c r="TC2" s="195"/>
      <c r="TD2" s="195"/>
      <c r="TE2" s="195"/>
      <c r="TF2" s="195"/>
      <c r="TG2" s="195"/>
      <c r="TH2" s="195"/>
      <c r="TI2" s="195"/>
      <c r="TJ2" s="195"/>
      <c r="TK2" s="195"/>
      <c r="TL2" s="195"/>
      <c r="TM2" s="195"/>
      <c r="TN2" s="195"/>
      <c r="TO2" s="195"/>
      <c r="TP2" s="195"/>
      <c r="TQ2" s="195"/>
      <c r="TR2" s="195"/>
      <c r="TS2" s="195"/>
      <c r="TT2" s="195"/>
      <c r="TU2" s="195"/>
      <c r="TV2" s="195"/>
      <c r="TW2" s="195"/>
      <c r="TX2" s="195"/>
      <c r="TY2" s="195"/>
      <c r="TZ2" s="195"/>
      <c r="UA2" s="195"/>
      <c r="UB2" s="195"/>
      <c r="UC2" s="195"/>
      <c r="UD2" s="195"/>
      <c r="UE2" s="195"/>
      <c r="UF2" s="195"/>
      <c r="UG2" s="195"/>
      <c r="UH2" s="195"/>
      <c r="UI2" s="195"/>
      <c r="UJ2" s="195"/>
      <c r="UK2" s="195"/>
      <c r="UL2" s="195"/>
      <c r="UM2" s="195"/>
      <c r="UN2" s="195"/>
      <c r="UO2" s="195"/>
      <c r="UP2" s="195"/>
      <c r="UQ2" s="195"/>
      <c r="UR2" s="195"/>
      <c r="US2" s="195"/>
      <c r="UT2" s="195"/>
      <c r="UU2" s="195"/>
      <c r="UV2" s="195"/>
      <c r="UW2" s="195"/>
      <c r="UX2" s="195"/>
      <c r="UY2" s="195"/>
      <c r="UZ2" s="195"/>
      <c r="VA2" s="195"/>
      <c r="VB2" s="195"/>
      <c r="VC2" s="195"/>
      <c r="VD2" s="195"/>
      <c r="VE2" s="195"/>
      <c r="VF2" s="195"/>
      <c r="VG2" s="195"/>
      <c r="VH2" s="195"/>
    </row>
    <row r="3" spans="1:1340" ht="23.25" customHeight="1">
      <c r="A3" s="101" t="str">
        <f t="shared" ref="A3:A5" si="0">D3&amp;E3</f>
        <v>006/EUROMARKET_SR-2168-83800-S1-B</v>
      </c>
      <c r="B3" s="95" t="s">
        <v>1422</v>
      </c>
      <c r="C3" s="97">
        <f t="shared" ref="C3:C23" ca="1" si="1">B3-TODAY()</f>
        <v>-664</v>
      </c>
      <c r="D3" s="112" t="s">
        <v>1417</v>
      </c>
      <c r="E3" s="123" t="s">
        <v>1420</v>
      </c>
      <c r="F3" s="98" t="str">
        <f t="shared" ref="F3:F5" si="2">MID(E3,13,2)</f>
        <v>B</v>
      </c>
      <c r="G3" s="110">
        <f ca="1">SUMIF($A:E,$A3,K:K)</f>
        <v>2</v>
      </c>
      <c r="H3" s="112" t="s">
        <v>1421</v>
      </c>
      <c r="I3" s="98">
        <v>2</v>
      </c>
      <c r="J3" s="99">
        <v>2</v>
      </c>
      <c r="K3" s="143">
        <f t="shared" ref="K3:K66" si="3">SUM(P3:BBC3)</f>
        <v>2</v>
      </c>
      <c r="L3" s="144">
        <f t="shared" ref="L3:L30" si="4">J3-K3</f>
        <v>0</v>
      </c>
      <c r="M3" s="275">
        <f t="shared" ref="M3:M31" si="5">IF(OR(MID(E3,10,1)="0",MID(E3,10,1)="F"),I3,IF(OR(,MID(E3,10,1)="S",MID(E3,10,1)="L",MID(E3,10,1)="B",MID(E3,10,1)="X"),MID(E3,11,1)*I3,0))</f>
        <v>2</v>
      </c>
      <c r="N3" s="98">
        <v>1</v>
      </c>
      <c r="O3" s="93">
        <f t="shared" ref="O3:O9" si="6">K3/J3*100</f>
        <v>100</v>
      </c>
      <c r="GK3" s="100">
        <v>2</v>
      </c>
      <c r="KF3" s="309"/>
      <c r="ON3" s="100">
        <f>SUM(NS3:OM3)</f>
        <v>0</v>
      </c>
    </row>
    <row r="4" spans="1:1340" ht="23.25" customHeight="1">
      <c r="A4" s="101" t="str">
        <f t="shared" si="0"/>
        <v>001/EUROMARKET-VG_SR-2168-83800-S1-B</v>
      </c>
      <c r="B4" s="95">
        <v>44425</v>
      </c>
      <c r="C4" s="97">
        <f t="shared" ca="1" si="1"/>
        <v>-639</v>
      </c>
      <c r="D4" s="112" t="s">
        <v>1552</v>
      </c>
      <c r="E4" s="123" t="s">
        <v>1420</v>
      </c>
      <c r="F4" s="98" t="str">
        <f t="shared" si="2"/>
        <v>B</v>
      </c>
      <c r="G4" s="110">
        <f ca="1">SUMIF($A:E,$A4,K:K)</f>
        <v>3</v>
      </c>
      <c r="H4" s="112" t="s">
        <v>1553</v>
      </c>
      <c r="I4" s="175">
        <v>3</v>
      </c>
      <c r="J4" s="115">
        <v>3</v>
      </c>
      <c r="K4" s="143">
        <f t="shared" si="3"/>
        <v>3</v>
      </c>
      <c r="L4" s="144">
        <f t="shared" si="4"/>
        <v>0</v>
      </c>
      <c r="M4" s="275">
        <f t="shared" si="5"/>
        <v>3</v>
      </c>
      <c r="N4" s="98">
        <v>1</v>
      </c>
      <c r="O4" s="93">
        <f t="shared" si="6"/>
        <v>100</v>
      </c>
      <c r="HG4" s="100">
        <v>2</v>
      </c>
      <c r="HI4" s="100">
        <v>1</v>
      </c>
      <c r="KF4" s="309"/>
      <c r="ON4" s="100">
        <f t="shared" ref="ON4:ON67" si="7">SUM(NS4:OM4)</f>
        <v>0</v>
      </c>
    </row>
    <row r="5" spans="1:1340" ht="23.25" customHeight="1">
      <c r="A5" s="101" t="str">
        <f t="shared" si="0"/>
        <v>017T/EUROMARKET-2168-83800-S1-B</v>
      </c>
      <c r="B5" s="95">
        <v>44518</v>
      </c>
      <c r="C5" s="97">
        <f t="shared" ca="1" si="1"/>
        <v>-546</v>
      </c>
      <c r="D5" s="112" t="s">
        <v>1835</v>
      </c>
      <c r="E5" s="123" t="s">
        <v>1420</v>
      </c>
      <c r="F5" s="98" t="str">
        <f t="shared" si="2"/>
        <v>B</v>
      </c>
      <c r="G5" s="110">
        <f ca="1">SUMIF($A:E,$A5,K:K)</f>
        <v>128</v>
      </c>
      <c r="H5" s="97" t="s">
        <v>616</v>
      </c>
      <c r="I5" s="175">
        <v>128</v>
      </c>
      <c r="J5" s="115">
        <v>128</v>
      </c>
      <c r="K5" s="143">
        <f t="shared" si="3"/>
        <v>128</v>
      </c>
      <c r="L5" s="144">
        <f t="shared" si="4"/>
        <v>0</v>
      </c>
      <c r="M5" s="275">
        <f t="shared" si="5"/>
        <v>128</v>
      </c>
      <c r="N5" s="98">
        <v>3</v>
      </c>
      <c r="O5" s="93">
        <f t="shared" si="6"/>
        <v>100</v>
      </c>
      <c r="JR5" s="100">
        <v>3</v>
      </c>
      <c r="JT5" s="100">
        <v>14</v>
      </c>
      <c r="JY5" s="100">
        <v>5</v>
      </c>
      <c r="KA5" s="100">
        <v>10</v>
      </c>
      <c r="KC5" s="100">
        <v>10</v>
      </c>
      <c r="KD5" s="100">
        <v>14</v>
      </c>
      <c r="KE5" s="100">
        <v>1</v>
      </c>
      <c r="KF5" s="309">
        <v>5</v>
      </c>
      <c r="KG5" s="100">
        <v>7</v>
      </c>
      <c r="KH5" s="100">
        <v>2</v>
      </c>
      <c r="KI5" s="100">
        <v>3</v>
      </c>
      <c r="KN5" s="100">
        <v>7</v>
      </c>
      <c r="KO5" s="100">
        <v>8</v>
      </c>
      <c r="KP5" s="100">
        <v>2</v>
      </c>
      <c r="KQ5" s="100">
        <v>11</v>
      </c>
      <c r="KV5" s="100">
        <v>14</v>
      </c>
      <c r="KW5" s="100">
        <v>4</v>
      </c>
      <c r="KX5" s="100">
        <v>7</v>
      </c>
      <c r="KY5" s="100">
        <v>1</v>
      </c>
      <c r="ON5" s="100">
        <f t="shared" si="7"/>
        <v>0</v>
      </c>
    </row>
    <row r="6" spans="1:1340" ht="23.25" customHeight="1">
      <c r="A6" s="101" t="s">
        <v>1845</v>
      </c>
      <c r="B6" s="95">
        <v>44477</v>
      </c>
      <c r="C6" s="97">
        <f t="shared" ca="1" si="1"/>
        <v>-587</v>
      </c>
      <c r="D6" s="112" t="s">
        <v>1836</v>
      </c>
      <c r="E6" s="279" t="s">
        <v>1420</v>
      </c>
      <c r="F6" s="98" t="s">
        <v>561</v>
      </c>
      <c r="G6" s="110">
        <v>0</v>
      </c>
      <c r="H6" s="97" t="s">
        <v>616</v>
      </c>
      <c r="I6" s="175">
        <v>110</v>
      </c>
      <c r="J6" s="115">
        <v>15</v>
      </c>
      <c r="K6" s="143">
        <f t="shared" si="3"/>
        <v>15</v>
      </c>
      <c r="L6" s="144">
        <f t="shared" si="4"/>
        <v>0</v>
      </c>
      <c r="M6" s="275">
        <f t="shared" si="5"/>
        <v>110</v>
      </c>
      <c r="N6" s="98" t="s">
        <v>1768</v>
      </c>
      <c r="O6" s="93">
        <f t="shared" si="6"/>
        <v>100</v>
      </c>
      <c r="IP6" s="100">
        <v>5</v>
      </c>
      <c r="IR6" s="100">
        <v>10</v>
      </c>
      <c r="KF6" s="309"/>
      <c r="ON6" s="100">
        <f t="shared" si="7"/>
        <v>0</v>
      </c>
    </row>
    <row r="7" spans="1:1340" ht="23.25" customHeight="1">
      <c r="A7" s="101" t="str">
        <f>D7&amp;E7</f>
        <v>015T/EUROMARKET-2168-83800-S1-B</v>
      </c>
      <c r="B7" s="95">
        <v>44477</v>
      </c>
      <c r="C7" s="97">
        <f t="shared" ca="1" si="1"/>
        <v>-587</v>
      </c>
      <c r="D7" s="112" t="s">
        <v>1836</v>
      </c>
      <c r="E7" s="123" t="s">
        <v>1420</v>
      </c>
      <c r="F7" s="98" t="str">
        <f t="shared" ref="F7:F13" si="8">MID(E7,13,2)</f>
        <v>B</v>
      </c>
      <c r="G7" s="110">
        <f ca="1">SUMIF($A:E,$A7,K:K)</f>
        <v>110</v>
      </c>
      <c r="H7" s="97" t="s">
        <v>616</v>
      </c>
      <c r="I7" s="175">
        <v>110</v>
      </c>
      <c r="J7" s="115">
        <f>110-J6</f>
        <v>95</v>
      </c>
      <c r="K7" s="143">
        <f t="shared" si="3"/>
        <v>95</v>
      </c>
      <c r="L7" s="144">
        <f t="shared" si="4"/>
        <v>0</v>
      </c>
      <c r="M7" s="275">
        <f t="shared" si="5"/>
        <v>110</v>
      </c>
      <c r="N7" s="98">
        <v>3</v>
      </c>
      <c r="O7" s="93">
        <f t="shared" si="6"/>
        <v>100</v>
      </c>
      <c r="IW7" s="100">
        <v>14</v>
      </c>
      <c r="JA7" s="100">
        <v>5</v>
      </c>
      <c r="JD7" s="100">
        <v>9</v>
      </c>
      <c r="JF7" s="100">
        <v>24</v>
      </c>
      <c r="JG7" s="100">
        <v>6</v>
      </c>
      <c r="JH7" s="100">
        <v>10</v>
      </c>
      <c r="JI7" s="100">
        <v>8</v>
      </c>
      <c r="JJ7" s="100">
        <v>19</v>
      </c>
      <c r="KF7" s="309"/>
      <c r="ON7" s="100">
        <f t="shared" si="7"/>
        <v>0</v>
      </c>
    </row>
    <row r="8" spans="1:1340" ht="23.25" customHeight="1">
      <c r="A8" s="101" t="str">
        <f>D8&amp;E8</f>
        <v>024T/EUROMARKET-2168-83800-S1-B</v>
      </c>
      <c r="B8" s="95">
        <v>44503</v>
      </c>
      <c r="C8" s="97">
        <f t="shared" ca="1" si="1"/>
        <v>-561</v>
      </c>
      <c r="D8" s="112" t="s">
        <v>1874</v>
      </c>
      <c r="E8" s="123" t="s">
        <v>1420</v>
      </c>
      <c r="F8" s="98" t="str">
        <f t="shared" si="8"/>
        <v>B</v>
      </c>
      <c r="G8" s="110">
        <f ca="1">SUMIF($A:E,$A8,K:K)</f>
        <v>18</v>
      </c>
      <c r="H8" s="97" t="s">
        <v>616</v>
      </c>
      <c r="I8" s="175">
        <v>18</v>
      </c>
      <c r="J8" s="115">
        <v>18</v>
      </c>
      <c r="K8" s="143">
        <f t="shared" si="3"/>
        <v>18</v>
      </c>
      <c r="L8" s="144">
        <f t="shared" ref="L8:L9" si="9">J8-K8</f>
        <v>0</v>
      </c>
      <c r="M8" s="275">
        <f t="shared" si="5"/>
        <v>18</v>
      </c>
      <c r="N8" s="98">
        <v>3</v>
      </c>
      <c r="O8" s="93">
        <f t="shared" si="6"/>
        <v>100</v>
      </c>
      <c r="JM8" s="100">
        <v>9</v>
      </c>
      <c r="JN8" s="100">
        <v>2</v>
      </c>
      <c r="JR8" s="100">
        <v>7</v>
      </c>
      <c r="KF8" s="309"/>
      <c r="ON8" s="100">
        <f t="shared" si="7"/>
        <v>0</v>
      </c>
    </row>
    <row r="9" spans="1:1340" ht="23.25" customHeight="1">
      <c r="A9" s="101" t="str">
        <f>D9&amp;E9</f>
        <v>020T/EUROMARKET-2168-83800-S1-B</v>
      </c>
      <c r="B9" s="95">
        <v>44546</v>
      </c>
      <c r="C9" s="97">
        <f t="shared" ca="1" si="1"/>
        <v>-518</v>
      </c>
      <c r="D9" s="112" t="s">
        <v>1876</v>
      </c>
      <c r="E9" s="123" t="s">
        <v>1420</v>
      </c>
      <c r="F9" s="98" t="str">
        <f t="shared" si="8"/>
        <v>B</v>
      </c>
      <c r="G9" s="110">
        <f ca="1">SUMIF($A:E,$A9,K:K)</f>
        <v>128</v>
      </c>
      <c r="H9" s="97" t="s">
        <v>508</v>
      </c>
      <c r="I9" s="175">
        <v>128</v>
      </c>
      <c r="J9" s="115">
        <v>128</v>
      </c>
      <c r="K9" s="143">
        <f t="shared" si="3"/>
        <v>128</v>
      </c>
      <c r="L9" s="144">
        <f t="shared" si="9"/>
        <v>0</v>
      </c>
      <c r="M9" s="275">
        <f t="shared" si="5"/>
        <v>128</v>
      </c>
      <c r="N9" s="98">
        <v>3</v>
      </c>
      <c r="O9" s="93">
        <f t="shared" si="6"/>
        <v>100</v>
      </c>
      <c r="KZ9" s="100">
        <v>1</v>
      </c>
      <c r="LB9" s="100">
        <v>10</v>
      </c>
      <c r="LC9" s="100">
        <v>5</v>
      </c>
      <c r="LE9" s="100">
        <v>5</v>
      </c>
      <c r="LG9" s="100">
        <v>5</v>
      </c>
      <c r="LI9" s="100">
        <v>5</v>
      </c>
      <c r="LJ9" s="100">
        <v>5</v>
      </c>
      <c r="LK9" s="100">
        <v>5</v>
      </c>
      <c r="LL9" s="100">
        <v>5</v>
      </c>
      <c r="LN9" s="100">
        <v>7</v>
      </c>
      <c r="LP9" s="100">
        <v>10</v>
      </c>
      <c r="LQ9" s="100">
        <v>6</v>
      </c>
      <c r="LR9" s="100">
        <v>5</v>
      </c>
      <c r="LS9" s="100">
        <v>10</v>
      </c>
      <c r="LT9" s="100">
        <v>9</v>
      </c>
      <c r="LU9" s="100">
        <v>11</v>
      </c>
      <c r="LW9" s="100">
        <v>9</v>
      </c>
      <c r="LX9" s="100">
        <v>6</v>
      </c>
      <c r="LY9" s="100">
        <v>7</v>
      </c>
      <c r="MD9" s="100">
        <v>2</v>
      </c>
      <c r="ON9" s="100">
        <f t="shared" si="7"/>
        <v>0</v>
      </c>
    </row>
    <row r="10" spans="1:1340" ht="23.25" customHeight="1">
      <c r="A10" s="101" t="str">
        <f>D10&amp;E10</f>
        <v>048/EUROMARKET-2168-83800-S1-A</v>
      </c>
      <c r="B10" s="95">
        <v>44427</v>
      </c>
      <c r="C10" s="97">
        <f t="shared" ca="1" si="1"/>
        <v>-637</v>
      </c>
      <c r="D10" s="159" t="s">
        <v>997</v>
      </c>
      <c r="E10" s="123" t="s">
        <v>588</v>
      </c>
      <c r="F10" s="98" t="str">
        <f t="shared" si="8"/>
        <v>A</v>
      </c>
      <c r="G10" s="110">
        <f ca="1">SUMIF($A:E,$A10,K:K)</f>
        <v>171</v>
      </c>
      <c r="H10" s="97" t="s">
        <v>933</v>
      </c>
      <c r="I10" s="175">
        <v>171</v>
      </c>
      <c r="J10" s="115">
        <v>100</v>
      </c>
      <c r="K10" s="143">
        <f t="shared" si="3"/>
        <v>100</v>
      </c>
      <c r="L10" s="144">
        <f t="shared" si="4"/>
        <v>0</v>
      </c>
      <c r="M10" s="275">
        <f t="shared" si="5"/>
        <v>171</v>
      </c>
      <c r="N10" s="98">
        <v>2</v>
      </c>
      <c r="O10" s="93">
        <f t="shared" ref="O10:O23" si="10">K10/J10*100</f>
        <v>100</v>
      </c>
      <c r="EI10" s="100">
        <v>4</v>
      </c>
      <c r="EJ10" s="100">
        <v>5</v>
      </c>
      <c r="EK10" s="100">
        <v>5</v>
      </c>
      <c r="EL10" s="100">
        <v>1</v>
      </c>
      <c r="EM10" s="100">
        <v>5</v>
      </c>
      <c r="EN10" s="100">
        <v>7</v>
      </c>
      <c r="EO10" s="100">
        <v>5</v>
      </c>
      <c r="EP10" s="100">
        <v>5</v>
      </c>
      <c r="EQ10" s="100">
        <v>2</v>
      </c>
      <c r="ER10" s="100">
        <v>3</v>
      </c>
      <c r="ET10" s="100">
        <v>8</v>
      </c>
      <c r="EU10" s="100">
        <v>4</v>
      </c>
      <c r="EW10" s="100">
        <v>8</v>
      </c>
      <c r="EX10" s="100">
        <v>7</v>
      </c>
      <c r="EY10" s="100">
        <v>6</v>
      </c>
      <c r="FA10" s="100">
        <v>4</v>
      </c>
      <c r="FB10" s="100">
        <v>4</v>
      </c>
      <c r="FC10" s="100">
        <v>6</v>
      </c>
      <c r="FD10" s="100">
        <v>4</v>
      </c>
      <c r="FE10" s="100">
        <v>3</v>
      </c>
      <c r="FF10" s="100">
        <v>2</v>
      </c>
      <c r="FJ10" s="100">
        <v>2</v>
      </c>
      <c r="ON10" s="100">
        <f t="shared" si="7"/>
        <v>0</v>
      </c>
    </row>
    <row r="11" spans="1:1340" ht="23.25" customHeight="1">
      <c r="A11" s="101" t="str">
        <f>D11&amp;E11</f>
        <v>048/EUROMARKET-2168-83800-S1-A</v>
      </c>
      <c r="B11" s="95">
        <v>44427</v>
      </c>
      <c r="C11" s="97">
        <f t="shared" ca="1" si="1"/>
        <v>-637</v>
      </c>
      <c r="D11" s="159" t="s">
        <v>997</v>
      </c>
      <c r="E11" s="123" t="s">
        <v>588</v>
      </c>
      <c r="F11" s="98" t="str">
        <f t="shared" si="8"/>
        <v>A</v>
      </c>
      <c r="G11" s="110">
        <f ca="1">SUMIF($A:E,$A11,K:K)</f>
        <v>171</v>
      </c>
      <c r="H11" s="97" t="s">
        <v>933</v>
      </c>
      <c r="I11" s="175">
        <v>171</v>
      </c>
      <c r="J11" s="115">
        <v>71</v>
      </c>
      <c r="K11" s="143">
        <f t="shared" si="3"/>
        <v>71</v>
      </c>
      <c r="L11" s="144">
        <f t="shared" si="4"/>
        <v>0</v>
      </c>
      <c r="M11" s="275">
        <f t="shared" si="5"/>
        <v>171</v>
      </c>
      <c r="N11" s="98">
        <v>1</v>
      </c>
      <c r="O11" s="93">
        <f t="shared" si="10"/>
        <v>100</v>
      </c>
      <c r="EM11" s="100">
        <v>7</v>
      </c>
      <c r="EN11" s="100">
        <v>3</v>
      </c>
      <c r="EO11" s="100">
        <v>5</v>
      </c>
      <c r="EP11" s="100">
        <v>3</v>
      </c>
      <c r="EQ11" s="100">
        <v>3</v>
      </c>
      <c r="ER11" s="100">
        <v>4</v>
      </c>
      <c r="ET11" s="100">
        <v>3</v>
      </c>
      <c r="EV11" s="100">
        <v>6</v>
      </c>
      <c r="EX11" s="100">
        <v>6</v>
      </c>
      <c r="EY11" s="100">
        <v>3</v>
      </c>
      <c r="FA11" s="100">
        <v>3</v>
      </c>
      <c r="FC11" s="100">
        <v>1</v>
      </c>
      <c r="FD11" s="100">
        <v>2</v>
      </c>
      <c r="FE11" s="100">
        <v>3</v>
      </c>
      <c r="FH11" s="100">
        <v>3</v>
      </c>
      <c r="FI11" s="100">
        <v>6</v>
      </c>
      <c r="FL11" s="100">
        <v>3</v>
      </c>
      <c r="FO11" s="100">
        <v>1</v>
      </c>
      <c r="FQ11" s="100">
        <v>1</v>
      </c>
      <c r="FU11" s="100">
        <v>5</v>
      </c>
      <c r="ON11" s="100">
        <f t="shared" si="7"/>
        <v>0</v>
      </c>
    </row>
    <row r="12" spans="1:1340" ht="23.25" customHeight="1">
      <c r="A12" s="101" t="s">
        <v>1370</v>
      </c>
      <c r="B12" s="95">
        <v>44531</v>
      </c>
      <c r="C12" s="97">
        <f t="shared" ca="1" si="1"/>
        <v>-533</v>
      </c>
      <c r="D12" s="112" t="s">
        <v>1371</v>
      </c>
      <c r="E12" s="279" t="s">
        <v>588</v>
      </c>
      <c r="F12" s="98" t="str">
        <f t="shared" si="8"/>
        <v>A</v>
      </c>
      <c r="G12" s="110">
        <f ca="1">SUMIF($A:E,$A12,K:K)</f>
        <v>5654</v>
      </c>
      <c r="H12" s="97" t="s">
        <v>508</v>
      </c>
      <c r="I12" s="175">
        <v>165</v>
      </c>
      <c r="J12" s="115">
        <v>150</v>
      </c>
      <c r="K12" s="143">
        <f t="shared" si="3"/>
        <v>150</v>
      </c>
      <c r="L12" s="144">
        <f t="shared" si="4"/>
        <v>0</v>
      </c>
      <c r="M12" s="275">
        <f t="shared" si="5"/>
        <v>165</v>
      </c>
      <c r="N12" s="98" t="s">
        <v>1768</v>
      </c>
      <c r="O12" s="93">
        <f t="shared" si="10"/>
        <v>100</v>
      </c>
      <c r="IZ12" s="100">
        <v>2</v>
      </c>
      <c r="JA12" s="100">
        <v>4</v>
      </c>
      <c r="JB12" s="100">
        <v>13</v>
      </c>
      <c r="JC12" s="100">
        <v>5</v>
      </c>
      <c r="JG12" s="100">
        <v>21</v>
      </c>
      <c r="JH12" s="100">
        <v>8</v>
      </c>
      <c r="JI12" s="100">
        <v>6</v>
      </c>
      <c r="JJ12" s="100">
        <v>10</v>
      </c>
      <c r="JK12" s="100">
        <v>8</v>
      </c>
      <c r="JM12" s="100">
        <v>9</v>
      </c>
      <c r="JO12" s="100">
        <v>8</v>
      </c>
      <c r="JP12" s="100">
        <v>12</v>
      </c>
      <c r="JQ12" s="100">
        <v>4</v>
      </c>
      <c r="JT12" s="100">
        <v>18</v>
      </c>
      <c r="JU12" s="100">
        <v>5</v>
      </c>
      <c r="JV12" s="100">
        <v>10</v>
      </c>
      <c r="JW12" s="100">
        <v>7</v>
      </c>
      <c r="ON12" s="100">
        <f t="shared" si="7"/>
        <v>0</v>
      </c>
    </row>
    <row r="13" spans="1:1340" ht="23.25" customHeight="1">
      <c r="A13" s="101" t="str">
        <f t="shared" ref="A13:A18" si="11">D13&amp;E13</f>
        <v xml:space="preserve"> 010T/EUROMARKET-2168-83800-S1-A</v>
      </c>
      <c r="B13" s="95">
        <v>44491</v>
      </c>
      <c r="C13" s="97">
        <f t="shared" ca="1" si="1"/>
        <v>-573</v>
      </c>
      <c r="D13" s="112" t="s">
        <v>1565</v>
      </c>
      <c r="E13" s="279" t="s">
        <v>588</v>
      </c>
      <c r="F13" s="98" t="str">
        <f t="shared" si="8"/>
        <v>A</v>
      </c>
      <c r="G13" s="110">
        <f ca="1">SUMIF($A:E,$A13,K:K)</f>
        <v>60</v>
      </c>
      <c r="H13" s="97" t="s">
        <v>1566</v>
      </c>
      <c r="I13" s="98">
        <v>60</v>
      </c>
      <c r="J13" s="99">
        <v>60</v>
      </c>
      <c r="K13" s="143">
        <f t="shared" si="3"/>
        <v>60</v>
      </c>
      <c r="L13" s="144">
        <f t="shared" si="4"/>
        <v>0</v>
      </c>
      <c r="M13" s="275">
        <f t="shared" si="5"/>
        <v>60</v>
      </c>
      <c r="N13" s="98" t="s">
        <v>1768</v>
      </c>
      <c r="O13" s="93">
        <f t="shared" si="10"/>
        <v>100</v>
      </c>
      <c r="IT13" s="100">
        <v>18</v>
      </c>
      <c r="IU13" s="100">
        <v>13</v>
      </c>
      <c r="IV13" s="100">
        <v>5</v>
      </c>
      <c r="IY13" s="100">
        <v>23</v>
      </c>
      <c r="IZ13" s="100">
        <v>1</v>
      </c>
      <c r="ON13" s="100">
        <f t="shared" si="7"/>
        <v>0</v>
      </c>
    </row>
    <row r="14" spans="1:1340" ht="23.25" customHeight="1">
      <c r="A14" s="101" t="str">
        <f t="shared" si="11"/>
        <v>025T/EUROMARKET-2168-83800-S1-A</v>
      </c>
      <c r="B14" s="95">
        <v>44546</v>
      </c>
      <c r="C14" s="97">
        <f t="shared" ca="1" si="1"/>
        <v>-518</v>
      </c>
      <c r="D14" s="112" t="s">
        <v>1777</v>
      </c>
      <c r="E14" s="279" t="s">
        <v>588</v>
      </c>
      <c r="F14" s="98" t="str">
        <f t="shared" ref="F14:F15" si="12">MID(E14,13,2)</f>
        <v>A</v>
      </c>
      <c r="G14" s="110">
        <f ca="1">SUMIF($A:E,$A14,K:K)</f>
        <v>100</v>
      </c>
      <c r="H14" s="97" t="s">
        <v>616</v>
      </c>
      <c r="I14" s="175">
        <v>100</v>
      </c>
      <c r="J14" s="115">
        <v>100</v>
      </c>
      <c r="K14" s="143">
        <f t="shared" si="3"/>
        <v>100</v>
      </c>
      <c r="L14" s="144">
        <f t="shared" si="4"/>
        <v>0</v>
      </c>
      <c r="M14" s="275">
        <f t="shared" si="5"/>
        <v>100</v>
      </c>
      <c r="N14" s="98" t="s">
        <v>1768</v>
      </c>
      <c r="O14" s="93">
        <f t="shared" si="10"/>
        <v>100</v>
      </c>
      <c r="JW14" s="100">
        <v>2</v>
      </c>
      <c r="JX14" s="100">
        <v>5</v>
      </c>
      <c r="KB14" s="100">
        <v>5</v>
      </c>
      <c r="KC14" s="100">
        <v>25</v>
      </c>
      <c r="KD14" s="100">
        <v>5</v>
      </c>
      <c r="KE14" s="100">
        <v>5</v>
      </c>
      <c r="KF14" s="100">
        <v>5</v>
      </c>
      <c r="KG14" s="100">
        <v>4</v>
      </c>
      <c r="KH14" s="100">
        <v>5</v>
      </c>
      <c r="KI14" s="100">
        <v>5</v>
      </c>
      <c r="KJ14" s="100">
        <v>5</v>
      </c>
      <c r="KN14" s="100">
        <v>5</v>
      </c>
      <c r="KO14" s="100">
        <v>5</v>
      </c>
      <c r="KP14" s="100">
        <v>4</v>
      </c>
      <c r="KQ14" s="100">
        <v>5</v>
      </c>
      <c r="KR14" s="100">
        <v>5</v>
      </c>
      <c r="KV14" s="100">
        <v>5</v>
      </c>
      <c r="ON14" s="100">
        <f t="shared" si="7"/>
        <v>0</v>
      </c>
    </row>
    <row r="15" spans="1:1340" ht="23.25" customHeight="1">
      <c r="A15" s="101" t="str">
        <f t="shared" si="11"/>
        <v>026T/EUROMARKET-2168-83800-S1-A</v>
      </c>
      <c r="B15" s="95">
        <v>44563</v>
      </c>
      <c r="C15" s="97">
        <f t="shared" ca="1" si="1"/>
        <v>-501</v>
      </c>
      <c r="D15" s="112" t="s">
        <v>1778</v>
      </c>
      <c r="E15" s="279" t="s">
        <v>588</v>
      </c>
      <c r="F15" s="98" t="str">
        <f t="shared" si="12"/>
        <v>A</v>
      </c>
      <c r="G15" s="110">
        <f ca="1">SUMIF($A:E,$A15,K:K)</f>
        <v>80</v>
      </c>
      <c r="H15" s="97" t="s">
        <v>616</v>
      </c>
      <c r="I15" s="175">
        <v>80</v>
      </c>
      <c r="J15" s="115">
        <v>80</v>
      </c>
      <c r="K15" s="143">
        <f t="shared" si="3"/>
        <v>80</v>
      </c>
      <c r="L15" s="144">
        <f t="shared" si="4"/>
        <v>0</v>
      </c>
      <c r="M15" s="275">
        <f t="shared" si="5"/>
        <v>80</v>
      </c>
      <c r="N15" s="98" t="s">
        <v>1768</v>
      </c>
      <c r="O15" s="93">
        <f t="shared" si="10"/>
        <v>100</v>
      </c>
      <c r="KV15" s="100">
        <v>5</v>
      </c>
      <c r="KW15" s="100">
        <v>5</v>
      </c>
      <c r="KY15" s="100">
        <v>3</v>
      </c>
      <c r="LB15" s="100">
        <v>6</v>
      </c>
      <c r="LC15" s="100">
        <v>9</v>
      </c>
      <c r="LD15" s="100">
        <v>4</v>
      </c>
      <c r="LE15" s="100">
        <v>3</v>
      </c>
      <c r="LF15" s="100">
        <v>6</v>
      </c>
      <c r="LI15" s="100">
        <v>11</v>
      </c>
      <c r="LJ15" s="100">
        <v>2</v>
      </c>
      <c r="LK15" s="100">
        <v>5</v>
      </c>
      <c r="LL15" s="100">
        <v>5</v>
      </c>
      <c r="LM15" s="100">
        <v>5</v>
      </c>
      <c r="LN15" s="100">
        <v>11</v>
      </c>
      <c r="ON15" s="100">
        <f t="shared" si="7"/>
        <v>0</v>
      </c>
    </row>
    <row r="16" spans="1:1340" ht="23.25" customHeight="1">
      <c r="A16" s="101" t="str">
        <f t="shared" si="11"/>
        <v>006/EUROMARKET_SR-2168-83700-S1-B</v>
      </c>
      <c r="B16" s="95" t="s">
        <v>1422</v>
      </c>
      <c r="C16" s="97">
        <f t="shared" ca="1" si="1"/>
        <v>-664</v>
      </c>
      <c r="D16" s="112" t="s">
        <v>1417</v>
      </c>
      <c r="E16" s="123" t="s">
        <v>1419</v>
      </c>
      <c r="F16" s="98" t="str">
        <f>MID(E16,13,2)</f>
        <v>B</v>
      </c>
      <c r="G16" s="110">
        <f ca="1">SUMIF($A:E,$A16,K:K)</f>
        <v>2</v>
      </c>
      <c r="H16" s="112" t="s">
        <v>1421</v>
      </c>
      <c r="I16" s="98">
        <v>2</v>
      </c>
      <c r="J16" s="99">
        <v>2</v>
      </c>
      <c r="K16" s="143">
        <f t="shared" si="3"/>
        <v>2</v>
      </c>
      <c r="L16" s="144">
        <f t="shared" si="4"/>
        <v>0</v>
      </c>
      <c r="M16" s="275">
        <f t="shared" si="5"/>
        <v>2</v>
      </c>
      <c r="N16" s="98">
        <v>1</v>
      </c>
      <c r="O16" s="93">
        <f t="shared" si="10"/>
        <v>100</v>
      </c>
      <c r="GK16" s="100">
        <v>2</v>
      </c>
      <c r="ON16" s="100">
        <f t="shared" si="7"/>
        <v>0</v>
      </c>
    </row>
    <row r="17" spans="1:404" ht="23.25" customHeight="1">
      <c r="A17" s="101" t="str">
        <f t="shared" si="11"/>
        <v>001/EUROMARKET-VG_SR-2168-83700-S1-B</v>
      </c>
      <c r="B17" s="95">
        <v>44425</v>
      </c>
      <c r="C17" s="97">
        <f t="shared" ca="1" si="1"/>
        <v>-639</v>
      </c>
      <c r="D17" s="112" t="s">
        <v>1552</v>
      </c>
      <c r="E17" s="123" t="s">
        <v>1419</v>
      </c>
      <c r="F17" s="98" t="str">
        <f>MID(E17,13,2)</f>
        <v>B</v>
      </c>
      <c r="G17" s="110">
        <f ca="1">SUMIF($A:E,$A17,K:K)</f>
        <v>3</v>
      </c>
      <c r="H17" s="112" t="s">
        <v>1553</v>
      </c>
      <c r="I17" s="175">
        <v>3</v>
      </c>
      <c r="J17" s="115">
        <v>3</v>
      </c>
      <c r="K17" s="143">
        <f t="shared" si="3"/>
        <v>3</v>
      </c>
      <c r="L17" s="144">
        <f t="shared" si="4"/>
        <v>0</v>
      </c>
      <c r="M17" s="275">
        <f t="shared" si="5"/>
        <v>3</v>
      </c>
      <c r="N17" s="98">
        <v>1</v>
      </c>
      <c r="O17" s="93">
        <f t="shared" si="10"/>
        <v>100</v>
      </c>
      <c r="HI17" s="100">
        <v>3</v>
      </c>
      <c r="ON17" s="100">
        <f t="shared" si="7"/>
        <v>0</v>
      </c>
    </row>
    <row r="18" spans="1:404" ht="23.25" customHeight="1">
      <c r="A18" s="101" t="str">
        <f t="shared" si="11"/>
        <v>017T/EUROMARKET-2168-83700-S1-B</v>
      </c>
      <c r="B18" s="95">
        <v>44518</v>
      </c>
      <c r="C18" s="97">
        <f t="shared" ca="1" si="1"/>
        <v>-546</v>
      </c>
      <c r="D18" s="112" t="s">
        <v>1835</v>
      </c>
      <c r="E18" s="123" t="s">
        <v>1419</v>
      </c>
      <c r="F18" s="98" t="str">
        <f>MID(E18,13,2)</f>
        <v>B</v>
      </c>
      <c r="G18" s="110">
        <f ca="1">SUMIF($A:E,$A18,K:K)</f>
        <v>180</v>
      </c>
      <c r="H18" s="97" t="s">
        <v>616</v>
      </c>
      <c r="I18" s="175">
        <v>180</v>
      </c>
      <c r="J18" s="115">
        <v>180</v>
      </c>
      <c r="K18" s="143">
        <f t="shared" si="3"/>
        <v>180</v>
      </c>
      <c r="L18" s="144">
        <f t="shared" si="4"/>
        <v>0</v>
      </c>
      <c r="M18" s="275">
        <f t="shared" si="5"/>
        <v>180</v>
      </c>
      <c r="N18" s="98">
        <v>2</v>
      </c>
      <c r="O18" s="93">
        <f t="shared" si="10"/>
        <v>100</v>
      </c>
      <c r="JP18" s="100">
        <v>10</v>
      </c>
      <c r="JR18" s="100">
        <v>4</v>
      </c>
      <c r="JU18" s="100">
        <v>6</v>
      </c>
      <c r="JV18" s="100">
        <v>13</v>
      </c>
      <c r="JW18" s="100">
        <v>6</v>
      </c>
      <c r="JX18" s="100">
        <v>6</v>
      </c>
      <c r="JY18" s="100">
        <v>23</v>
      </c>
      <c r="KA18" s="100">
        <v>11</v>
      </c>
      <c r="KB18" s="100">
        <v>7</v>
      </c>
      <c r="KC18" s="100">
        <v>6</v>
      </c>
      <c r="KD18" s="100">
        <v>12</v>
      </c>
      <c r="KF18" s="100">
        <v>6</v>
      </c>
      <c r="KG18" s="100">
        <v>19</v>
      </c>
      <c r="KH18" s="100">
        <v>6</v>
      </c>
      <c r="KI18" s="100">
        <v>5</v>
      </c>
      <c r="KJ18" s="100">
        <v>4</v>
      </c>
      <c r="KN18" s="100">
        <v>4</v>
      </c>
      <c r="KO18" s="100">
        <v>1</v>
      </c>
      <c r="KP18" s="100">
        <v>4</v>
      </c>
      <c r="KQ18" s="100">
        <v>7</v>
      </c>
      <c r="KS18" s="100">
        <v>1</v>
      </c>
      <c r="KW18" s="100">
        <v>7</v>
      </c>
      <c r="KY18" s="100">
        <v>12</v>
      </c>
      <c r="ON18" s="100">
        <f t="shared" si="7"/>
        <v>0</v>
      </c>
    </row>
    <row r="19" spans="1:404" ht="23.25" customHeight="1">
      <c r="A19" s="101" t="s">
        <v>1844</v>
      </c>
      <c r="B19" s="95">
        <v>44477</v>
      </c>
      <c r="C19" s="97">
        <f t="shared" ca="1" si="1"/>
        <v>-587</v>
      </c>
      <c r="D19" s="112" t="s">
        <v>1836</v>
      </c>
      <c r="E19" s="279" t="s">
        <v>1419</v>
      </c>
      <c r="F19" s="98" t="s">
        <v>561</v>
      </c>
      <c r="G19" s="110">
        <v>150</v>
      </c>
      <c r="H19" s="97" t="s">
        <v>616</v>
      </c>
      <c r="I19" s="175">
        <v>150</v>
      </c>
      <c r="J19" s="115">
        <v>15</v>
      </c>
      <c r="K19" s="143">
        <f t="shared" si="3"/>
        <v>15</v>
      </c>
      <c r="L19" s="144">
        <f t="shared" si="4"/>
        <v>0</v>
      </c>
      <c r="M19" s="275">
        <f t="shared" si="5"/>
        <v>150</v>
      </c>
      <c r="N19" s="98" t="s">
        <v>1768</v>
      </c>
      <c r="O19" s="93">
        <f t="shared" si="10"/>
        <v>100</v>
      </c>
      <c r="IO19" s="100">
        <v>5</v>
      </c>
      <c r="IR19" s="100">
        <v>8</v>
      </c>
      <c r="IS19" s="100">
        <v>2</v>
      </c>
      <c r="ON19" s="100">
        <f t="shared" si="7"/>
        <v>0</v>
      </c>
    </row>
    <row r="20" spans="1:404" ht="23.25" customHeight="1">
      <c r="A20" s="101" t="str">
        <f t="shared" ref="A20:A23" si="13">D20&amp;E20</f>
        <v>015T/EUROMARKET-2168-83700-S1-B</v>
      </c>
      <c r="B20" s="95">
        <v>44477</v>
      </c>
      <c r="C20" s="97">
        <f t="shared" ca="1" si="1"/>
        <v>-587</v>
      </c>
      <c r="D20" s="112" t="s">
        <v>1836</v>
      </c>
      <c r="E20" s="123" t="s">
        <v>1419</v>
      </c>
      <c r="F20" s="98" t="str">
        <f>MID(E20,13,2)</f>
        <v>B</v>
      </c>
      <c r="G20" s="224">
        <f ca="1">SUMIF($A:E,$A20,K:K)</f>
        <v>150</v>
      </c>
      <c r="H20" s="97" t="s">
        <v>616</v>
      </c>
      <c r="I20" s="175">
        <v>150</v>
      </c>
      <c r="J20" s="115">
        <f>150-J19</f>
        <v>135</v>
      </c>
      <c r="K20" s="143">
        <f t="shared" si="3"/>
        <v>135</v>
      </c>
      <c r="L20" s="144">
        <f t="shared" si="4"/>
        <v>0</v>
      </c>
      <c r="M20" s="275">
        <f t="shared" si="5"/>
        <v>150</v>
      </c>
      <c r="N20" s="98">
        <v>2</v>
      </c>
      <c r="O20" s="93">
        <f t="shared" si="10"/>
        <v>100</v>
      </c>
      <c r="IU20" s="100">
        <v>4</v>
      </c>
      <c r="IV20" s="100">
        <v>12</v>
      </c>
      <c r="IY20" s="100">
        <v>5</v>
      </c>
      <c r="IZ20" s="100">
        <v>3</v>
      </c>
      <c r="JA20" s="100">
        <v>4</v>
      </c>
      <c r="JB20" s="100">
        <v>6</v>
      </c>
      <c r="JC20" s="100">
        <v>12</v>
      </c>
      <c r="JD20" s="100">
        <v>7</v>
      </c>
      <c r="JF20" s="100">
        <v>15</v>
      </c>
      <c r="JH20" s="100">
        <v>18</v>
      </c>
      <c r="JI20" s="100">
        <v>12</v>
      </c>
      <c r="JJ20" s="100">
        <v>15</v>
      </c>
      <c r="JK20" s="100">
        <v>22</v>
      </c>
      <c r="ON20" s="100">
        <f t="shared" si="7"/>
        <v>0</v>
      </c>
    </row>
    <row r="21" spans="1:404" ht="23.25" customHeight="1">
      <c r="A21" s="101" t="str">
        <f t="shared" si="13"/>
        <v>024T/EUROMARKET-2168-83700-S1-B</v>
      </c>
      <c r="B21" s="95">
        <v>44503</v>
      </c>
      <c r="C21" s="97">
        <f t="shared" ca="1" si="1"/>
        <v>-561</v>
      </c>
      <c r="D21" s="112" t="s">
        <v>1874</v>
      </c>
      <c r="E21" s="123" t="s">
        <v>1419</v>
      </c>
      <c r="F21" s="98" t="str">
        <f>MID(E21,13,2)</f>
        <v>B</v>
      </c>
      <c r="G21" s="110">
        <f ca="1">SUMIF($A:E,$A21,K:K)</f>
        <v>18</v>
      </c>
      <c r="H21" s="97" t="s">
        <v>616</v>
      </c>
      <c r="I21" s="175">
        <v>18</v>
      </c>
      <c r="J21" s="115">
        <v>18</v>
      </c>
      <c r="K21" s="143">
        <f t="shared" si="3"/>
        <v>18</v>
      </c>
      <c r="L21" s="144">
        <f t="shared" si="4"/>
        <v>0</v>
      </c>
      <c r="M21" s="275">
        <f t="shared" si="5"/>
        <v>18</v>
      </c>
      <c r="N21" s="98">
        <v>2</v>
      </c>
      <c r="O21" s="93">
        <f t="shared" si="10"/>
        <v>100</v>
      </c>
      <c r="JN21" s="100">
        <v>3</v>
      </c>
      <c r="JO21" s="100">
        <v>11</v>
      </c>
      <c r="JP21" s="100">
        <v>4</v>
      </c>
      <c r="ON21" s="100">
        <f t="shared" si="7"/>
        <v>0</v>
      </c>
    </row>
    <row r="22" spans="1:404" ht="23.25" customHeight="1">
      <c r="A22" s="101" t="str">
        <f t="shared" si="13"/>
        <v>020T/EUROMARKET-2168-83700-S1-B</v>
      </c>
      <c r="B22" s="95">
        <v>44546</v>
      </c>
      <c r="C22" s="97">
        <f t="shared" ca="1" si="1"/>
        <v>-518</v>
      </c>
      <c r="D22" s="112" t="s">
        <v>1876</v>
      </c>
      <c r="E22" s="123" t="s">
        <v>1419</v>
      </c>
      <c r="F22" s="98" t="str">
        <f>MID(E22,13,2)</f>
        <v>B</v>
      </c>
      <c r="G22" s="110">
        <f ca="1">SUMIF($A:E,$A22,K:K)</f>
        <v>150</v>
      </c>
      <c r="H22" s="97" t="s">
        <v>508</v>
      </c>
      <c r="I22" s="175">
        <v>150</v>
      </c>
      <c r="J22" s="115">
        <v>150</v>
      </c>
      <c r="K22" s="143">
        <f t="shared" si="3"/>
        <v>150</v>
      </c>
      <c r="L22" s="144">
        <f t="shared" si="4"/>
        <v>0</v>
      </c>
      <c r="M22" s="275">
        <f t="shared" si="5"/>
        <v>150</v>
      </c>
      <c r="N22" s="98">
        <v>2</v>
      </c>
      <c r="O22" s="93">
        <f t="shared" si="10"/>
        <v>100</v>
      </c>
      <c r="KZ22" s="100">
        <v>2</v>
      </c>
      <c r="LB22" s="100">
        <v>6</v>
      </c>
      <c r="LC22" s="100">
        <v>10</v>
      </c>
      <c r="LF22" s="100">
        <v>23</v>
      </c>
      <c r="LG22" s="100">
        <v>21</v>
      </c>
      <c r="LJ22" s="100">
        <v>2</v>
      </c>
      <c r="LL22" s="100">
        <v>3</v>
      </c>
      <c r="LN22" s="100">
        <v>23</v>
      </c>
      <c r="LR22" s="100">
        <v>12</v>
      </c>
      <c r="LS22" s="100">
        <v>12</v>
      </c>
      <c r="LT22" s="100">
        <v>11</v>
      </c>
      <c r="LU22" s="100">
        <v>6</v>
      </c>
      <c r="LW22" s="100">
        <v>13</v>
      </c>
      <c r="LX22" s="100">
        <v>6</v>
      </c>
      <c r="ON22" s="100">
        <f t="shared" si="7"/>
        <v>0</v>
      </c>
    </row>
    <row r="23" spans="1:404" ht="23.25" customHeight="1">
      <c r="A23" s="101" t="str">
        <f t="shared" si="13"/>
        <v>026T/EUROMARKET-2168-83700-S1-B</v>
      </c>
      <c r="B23" s="95">
        <v>44577</v>
      </c>
      <c r="C23" s="97">
        <f t="shared" ca="1" si="1"/>
        <v>-487</v>
      </c>
      <c r="D23" s="112" t="s">
        <v>1778</v>
      </c>
      <c r="E23" s="123" t="s">
        <v>1419</v>
      </c>
      <c r="F23" s="98" t="str">
        <f t="shared" ref="F23" si="14">MID(E23,13,2)</f>
        <v>B</v>
      </c>
      <c r="G23" s="110">
        <f ca="1">SUMIF($A:E,$A23,K:K)</f>
        <v>120</v>
      </c>
      <c r="H23" s="97" t="s">
        <v>508</v>
      </c>
      <c r="I23" s="98">
        <v>120</v>
      </c>
      <c r="J23" s="99">
        <v>120</v>
      </c>
      <c r="K23" s="143">
        <f t="shared" si="3"/>
        <v>120</v>
      </c>
      <c r="L23" s="144">
        <f t="shared" si="4"/>
        <v>0</v>
      </c>
      <c r="M23" s="275">
        <f t="shared" si="5"/>
        <v>120</v>
      </c>
      <c r="N23" s="98">
        <v>2</v>
      </c>
      <c r="O23" s="93">
        <f t="shared" si="10"/>
        <v>100</v>
      </c>
      <c r="LX23" s="100">
        <v>3</v>
      </c>
      <c r="LY23" s="100">
        <v>7</v>
      </c>
      <c r="LZ23" s="100">
        <v>7</v>
      </c>
      <c r="MA23" s="100">
        <v>6</v>
      </c>
      <c r="MB23" s="100">
        <v>6</v>
      </c>
      <c r="MD23" s="100">
        <v>6</v>
      </c>
      <c r="ME23" s="100">
        <v>5</v>
      </c>
      <c r="MG23" s="100">
        <v>7</v>
      </c>
      <c r="MH23" s="100">
        <v>7</v>
      </c>
      <c r="MK23" s="100">
        <v>6</v>
      </c>
      <c r="ML23" s="100">
        <v>6</v>
      </c>
      <c r="MM23" s="100">
        <v>6</v>
      </c>
      <c r="MN23" s="100">
        <v>6</v>
      </c>
      <c r="MO23" s="100">
        <v>6</v>
      </c>
      <c r="MP23" s="100">
        <v>6</v>
      </c>
      <c r="MQ23" s="100">
        <v>5</v>
      </c>
      <c r="MR23" s="100">
        <v>3</v>
      </c>
      <c r="MS23" s="100">
        <v>8</v>
      </c>
      <c r="MT23" s="100">
        <v>6</v>
      </c>
      <c r="MW23" s="100">
        <v>5</v>
      </c>
      <c r="MX23" s="100">
        <v>3</v>
      </c>
      <c r="ON23" s="100">
        <f t="shared" si="7"/>
        <v>0</v>
      </c>
    </row>
    <row r="24" spans="1:404" ht="23.25" customHeight="1">
      <c r="A24" s="101" t="str">
        <f>D24&amp;E24</f>
        <v>039/EUROMARKET2168-83700-S1-A</v>
      </c>
      <c r="B24" s="95">
        <v>44420</v>
      </c>
      <c r="C24" s="97">
        <f t="shared" ref="C24:C43" ca="1" si="15">B24-TODAY()</f>
        <v>-644</v>
      </c>
      <c r="D24" s="96" t="s">
        <v>920</v>
      </c>
      <c r="E24" s="94" t="s">
        <v>587</v>
      </c>
      <c r="F24" s="98" t="str">
        <f t="shared" ref="F24:F28" si="16">MID(E24,13,2)</f>
        <v>A</v>
      </c>
      <c r="G24" s="110">
        <f ca="1">SUMIF($A:E,$A24,K:K)</f>
        <v>95</v>
      </c>
      <c r="H24" s="97" t="s">
        <v>820</v>
      </c>
      <c r="I24" s="98">
        <v>95</v>
      </c>
      <c r="J24" s="99">
        <v>95</v>
      </c>
      <c r="K24" s="143">
        <f t="shared" si="3"/>
        <v>95</v>
      </c>
      <c r="L24" s="144">
        <f t="shared" si="4"/>
        <v>0</v>
      </c>
      <c r="M24" s="275">
        <f t="shared" si="5"/>
        <v>95</v>
      </c>
      <c r="N24" s="98">
        <v>3</v>
      </c>
      <c r="O24" s="93">
        <f t="shared" ref="O24:O55" si="17">K24/J24*100</f>
        <v>100</v>
      </c>
      <c r="EH24" s="100">
        <v>7</v>
      </c>
      <c r="EI24" s="100">
        <v>8</v>
      </c>
      <c r="EJ24" s="100">
        <v>9</v>
      </c>
      <c r="EL24" s="100">
        <v>8</v>
      </c>
      <c r="EM24" s="100">
        <v>2</v>
      </c>
      <c r="EN24" s="100">
        <v>12</v>
      </c>
      <c r="EO24" s="100">
        <v>11</v>
      </c>
      <c r="EP24" s="100">
        <v>5</v>
      </c>
      <c r="ER24" s="100">
        <v>8</v>
      </c>
      <c r="ET24" s="100">
        <v>1</v>
      </c>
      <c r="EU24" s="100">
        <v>6</v>
      </c>
      <c r="EV24" s="100">
        <v>4</v>
      </c>
      <c r="EW24" s="100">
        <v>5</v>
      </c>
      <c r="EX24" s="100">
        <v>3</v>
      </c>
      <c r="FB24" s="100">
        <v>3</v>
      </c>
      <c r="FI24" s="100">
        <v>2</v>
      </c>
      <c r="FQ24" s="100">
        <v>1</v>
      </c>
      <c r="ON24" s="100">
        <f t="shared" si="7"/>
        <v>0</v>
      </c>
    </row>
    <row r="25" spans="1:404" ht="23.25" customHeight="1">
      <c r="A25" s="101" t="str">
        <f>D25&amp;E25</f>
        <v>023/EUROMARKET-2168-83700-S1-A</v>
      </c>
      <c r="B25" s="95">
        <v>44413</v>
      </c>
      <c r="C25" s="97">
        <f t="shared" ca="1" si="15"/>
        <v>-651</v>
      </c>
      <c r="D25" s="96" t="s">
        <v>809</v>
      </c>
      <c r="E25" s="94" t="s">
        <v>587</v>
      </c>
      <c r="F25" s="98" t="str">
        <f t="shared" si="16"/>
        <v>A</v>
      </c>
      <c r="G25" s="110">
        <f ca="1">SUMIF($A:E,$A25,K:K)</f>
        <v>110</v>
      </c>
      <c r="H25" s="97" t="s">
        <v>616</v>
      </c>
      <c r="I25" s="98">
        <v>110</v>
      </c>
      <c r="J25" s="99">
        <v>110</v>
      </c>
      <c r="K25" s="143">
        <f t="shared" si="3"/>
        <v>110</v>
      </c>
      <c r="L25" s="144">
        <f t="shared" si="4"/>
        <v>0</v>
      </c>
      <c r="M25" s="275">
        <f t="shared" si="5"/>
        <v>110</v>
      </c>
      <c r="N25" s="98">
        <v>3</v>
      </c>
      <c r="O25" s="93">
        <f t="shared" si="17"/>
        <v>100</v>
      </c>
      <c r="DK25" s="101">
        <v>2</v>
      </c>
      <c r="DL25" s="101">
        <v>17</v>
      </c>
      <c r="DM25" s="101">
        <v>6</v>
      </c>
      <c r="DO25" s="101">
        <v>7</v>
      </c>
      <c r="DP25" s="101">
        <v>9</v>
      </c>
      <c r="DR25" s="101">
        <v>10</v>
      </c>
      <c r="DS25" s="100">
        <v>9</v>
      </c>
      <c r="DU25" s="100">
        <v>9</v>
      </c>
      <c r="DV25" s="100">
        <v>9</v>
      </c>
      <c r="DY25" s="100">
        <v>14</v>
      </c>
      <c r="DZ25" s="100">
        <v>11</v>
      </c>
      <c r="EA25" s="100">
        <v>1</v>
      </c>
      <c r="EC25" s="100">
        <v>2</v>
      </c>
      <c r="ED25" s="100">
        <v>4</v>
      </c>
      <c r="ON25" s="100">
        <f t="shared" si="7"/>
        <v>0</v>
      </c>
    </row>
    <row r="26" spans="1:404" ht="23.25" customHeight="1">
      <c r="A26" s="101" t="str">
        <f>D26&amp;E26</f>
        <v>048/EUROMARKET-2168-83700-S1-A</v>
      </c>
      <c r="B26" s="95">
        <v>44427</v>
      </c>
      <c r="C26" s="97">
        <f t="shared" ca="1" si="15"/>
        <v>-637</v>
      </c>
      <c r="D26" s="159" t="s">
        <v>997</v>
      </c>
      <c r="E26" s="123" t="s">
        <v>587</v>
      </c>
      <c r="F26" s="98" t="str">
        <f t="shared" si="16"/>
        <v>A</v>
      </c>
      <c r="G26" s="110">
        <f ca="1">SUMIF($A:E,$A26,K:K)</f>
        <v>160</v>
      </c>
      <c r="H26" s="97" t="s">
        <v>933</v>
      </c>
      <c r="I26" s="175">
        <v>160</v>
      </c>
      <c r="J26" s="115">
        <v>160</v>
      </c>
      <c r="K26" s="143">
        <f t="shared" si="3"/>
        <v>160</v>
      </c>
      <c r="L26" s="144">
        <f t="shared" si="4"/>
        <v>0</v>
      </c>
      <c r="M26" s="275">
        <f t="shared" si="5"/>
        <v>160</v>
      </c>
      <c r="N26" s="98">
        <v>5</v>
      </c>
      <c r="O26" s="93">
        <f t="shared" si="17"/>
        <v>100</v>
      </c>
      <c r="EL26" s="100">
        <v>3</v>
      </c>
      <c r="EM26" s="100">
        <v>6</v>
      </c>
      <c r="EN26" s="100">
        <v>5</v>
      </c>
      <c r="EO26" s="100">
        <v>5</v>
      </c>
      <c r="EP26" s="100">
        <v>4</v>
      </c>
      <c r="EQ26" s="100">
        <v>2</v>
      </c>
      <c r="ER26" s="100">
        <v>8</v>
      </c>
      <c r="ET26" s="100">
        <v>6</v>
      </c>
      <c r="EU26" s="100">
        <v>5</v>
      </c>
      <c r="EV26" s="100">
        <v>4</v>
      </c>
      <c r="EW26" s="100">
        <v>4</v>
      </c>
      <c r="EX26" s="100">
        <v>7</v>
      </c>
      <c r="EY26" s="100">
        <v>5</v>
      </c>
      <c r="FA26" s="100">
        <v>6</v>
      </c>
      <c r="FB26" s="100">
        <v>5</v>
      </c>
      <c r="FC26" s="100">
        <v>5</v>
      </c>
      <c r="FE26" s="100">
        <v>10</v>
      </c>
      <c r="FH26" s="100">
        <v>10</v>
      </c>
      <c r="FI26" s="100">
        <v>5</v>
      </c>
      <c r="FJ26" s="100">
        <v>5</v>
      </c>
      <c r="FK26" s="100">
        <v>5</v>
      </c>
      <c r="FL26" s="100">
        <v>4</v>
      </c>
      <c r="FM26" s="100">
        <v>6</v>
      </c>
      <c r="FO26" s="100">
        <v>5</v>
      </c>
      <c r="FP26" s="100">
        <v>5</v>
      </c>
      <c r="FQ26" s="100">
        <v>4</v>
      </c>
      <c r="FS26" s="100">
        <v>10</v>
      </c>
      <c r="FT26" s="100">
        <v>5</v>
      </c>
      <c r="FV26" s="100">
        <v>6</v>
      </c>
      <c r="ON26" s="100">
        <f t="shared" si="7"/>
        <v>0</v>
      </c>
    </row>
    <row r="27" spans="1:404" ht="23.25" customHeight="1">
      <c r="A27" s="101" t="str">
        <f>D27&amp;E28</f>
        <v>069/EUROMARKET-2168-83700-S1-A</v>
      </c>
      <c r="B27" s="95">
        <v>44497</v>
      </c>
      <c r="C27" s="97">
        <f t="shared" ca="1" si="15"/>
        <v>-567</v>
      </c>
      <c r="D27" s="96" t="s">
        <v>1193</v>
      </c>
      <c r="E27" s="280" t="s">
        <v>587</v>
      </c>
      <c r="F27" s="98" t="str">
        <f t="shared" si="16"/>
        <v>A</v>
      </c>
      <c r="G27" s="110">
        <f ca="1">SUMIF($A:E,$A27,K:K)</f>
        <v>60</v>
      </c>
      <c r="H27" s="97" t="s">
        <v>933</v>
      </c>
      <c r="I27" s="98">
        <v>60</v>
      </c>
      <c r="J27" s="99">
        <v>60</v>
      </c>
      <c r="K27" s="143">
        <f t="shared" si="3"/>
        <v>60</v>
      </c>
      <c r="L27" s="144">
        <f t="shared" si="4"/>
        <v>0</v>
      </c>
      <c r="M27" s="275">
        <f t="shared" si="5"/>
        <v>60</v>
      </c>
      <c r="N27" s="98" t="s">
        <v>1768</v>
      </c>
      <c r="O27" s="93">
        <f t="shared" si="17"/>
        <v>100</v>
      </c>
      <c r="IU27" s="100">
        <v>16</v>
      </c>
      <c r="IV27" s="100">
        <v>7</v>
      </c>
      <c r="IY27" s="100">
        <v>24</v>
      </c>
      <c r="IZ27" s="100">
        <v>4</v>
      </c>
      <c r="JA27" s="100">
        <v>4</v>
      </c>
      <c r="JB27" s="100">
        <v>5</v>
      </c>
      <c r="ON27" s="100">
        <f t="shared" si="7"/>
        <v>0</v>
      </c>
    </row>
    <row r="28" spans="1:404" ht="30.75" customHeight="1">
      <c r="A28" s="101" t="str">
        <f>D28&amp;E30</f>
        <v>067/EUROMARKET-2168-83700-S1-A</v>
      </c>
      <c r="B28" s="95">
        <v>44497</v>
      </c>
      <c r="C28" s="97">
        <f t="shared" ca="1" si="15"/>
        <v>-567</v>
      </c>
      <c r="D28" s="96" t="s">
        <v>1194</v>
      </c>
      <c r="E28" s="280" t="s">
        <v>587</v>
      </c>
      <c r="F28" s="98" t="str">
        <f t="shared" si="16"/>
        <v>A</v>
      </c>
      <c r="G28" s="110">
        <f ca="1">SUMIF($A:E,$A28,K:K)</f>
        <v>150</v>
      </c>
      <c r="H28" s="97" t="s">
        <v>933</v>
      </c>
      <c r="I28" s="98">
        <v>150</v>
      </c>
      <c r="J28" s="99">
        <v>150</v>
      </c>
      <c r="K28" s="143">
        <f t="shared" si="3"/>
        <v>150</v>
      </c>
      <c r="L28" s="144">
        <f t="shared" si="4"/>
        <v>0</v>
      </c>
      <c r="M28" s="275">
        <f t="shared" si="5"/>
        <v>150</v>
      </c>
      <c r="N28" s="98" t="s">
        <v>1768</v>
      </c>
      <c r="O28" s="93">
        <f t="shared" si="17"/>
        <v>100</v>
      </c>
      <c r="JM28" s="100">
        <v>5</v>
      </c>
      <c r="JO28" s="100">
        <v>10</v>
      </c>
      <c r="JP28" s="100">
        <v>15</v>
      </c>
      <c r="JQ28" s="100">
        <v>10</v>
      </c>
      <c r="JT28" s="100">
        <v>19</v>
      </c>
      <c r="JU28" s="100">
        <v>10</v>
      </c>
      <c r="JV28" s="100">
        <v>10</v>
      </c>
      <c r="JW28" s="100">
        <v>11</v>
      </c>
      <c r="JX28" s="100">
        <v>5</v>
      </c>
      <c r="KA28" s="100">
        <v>20</v>
      </c>
      <c r="KB28" s="100">
        <v>10</v>
      </c>
      <c r="KC28" s="100">
        <v>9</v>
      </c>
      <c r="KD28" s="100">
        <v>16</v>
      </c>
      <c r="ON28" s="100">
        <f t="shared" si="7"/>
        <v>0</v>
      </c>
    </row>
    <row r="29" spans="1:404" ht="30.75" customHeight="1">
      <c r="A29" s="101" t="s">
        <v>1370</v>
      </c>
      <c r="B29" s="95">
        <v>44531</v>
      </c>
      <c r="C29" s="97">
        <f t="shared" ca="1" si="15"/>
        <v>-533</v>
      </c>
      <c r="D29" s="112" t="s">
        <v>1371</v>
      </c>
      <c r="E29" s="279" t="s">
        <v>587</v>
      </c>
      <c r="F29" s="98" t="str">
        <f t="shared" ref="F29:F30" si="18">MID(E29,13,2)</f>
        <v>A</v>
      </c>
      <c r="G29" s="110">
        <f ca="1">SUMIF($A:E,$A29,K:K)</f>
        <v>5654</v>
      </c>
      <c r="H29" s="97" t="s">
        <v>508</v>
      </c>
      <c r="I29" s="175">
        <v>165</v>
      </c>
      <c r="J29" s="115">
        <v>168</v>
      </c>
      <c r="K29" s="143">
        <f t="shared" si="3"/>
        <v>168</v>
      </c>
      <c r="L29" s="144">
        <f t="shared" si="4"/>
        <v>0</v>
      </c>
      <c r="M29" s="275">
        <f t="shared" si="5"/>
        <v>165</v>
      </c>
      <c r="N29" s="98" t="s">
        <v>1768</v>
      </c>
      <c r="O29" s="93">
        <f t="shared" si="17"/>
        <v>100</v>
      </c>
      <c r="JB29" s="100">
        <v>11</v>
      </c>
      <c r="JC29" s="100">
        <v>5</v>
      </c>
      <c r="JG29" s="100">
        <v>25</v>
      </c>
      <c r="JH29" s="100">
        <v>10</v>
      </c>
      <c r="JI29" s="100">
        <v>10</v>
      </c>
      <c r="JJ29" s="100">
        <v>5</v>
      </c>
      <c r="JK29" s="100">
        <v>10</v>
      </c>
      <c r="KE29" s="100">
        <v>3</v>
      </c>
      <c r="KF29" s="100">
        <v>5</v>
      </c>
      <c r="KG29" s="100">
        <v>10</v>
      </c>
      <c r="KH29" s="100">
        <v>5</v>
      </c>
      <c r="KI29" s="100">
        <v>11</v>
      </c>
      <c r="KJ29" s="100">
        <v>10</v>
      </c>
      <c r="KN29" s="100">
        <v>4</v>
      </c>
      <c r="KO29" s="100">
        <v>9</v>
      </c>
      <c r="KP29" s="100">
        <v>15</v>
      </c>
      <c r="KQ29" s="100">
        <v>5</v>
      </c>
      <c r="KR29" s="100">
        <v>10</v>
      </c>
      <c r="KU29" s="100">
        <v>5</v>
      </c>
      <c r="ON29" s="100">
        <f t="shared" si="7"/>
        <v>0</v>
      </c>
    </row>
    <row r="30" spans="1:404" ht="23.25" customHeight="1">
      <c r="A30" s="101" t="str">
        <f t="shared" ref="A30:A36" si="19">D30&amp;E30</f>
        <v>026T/EUROMARKET-2168-83700-S1-A</v>
      </c>
      <c r="B30" s="95">
        <v>44564</v>
      </c>
      <c r="C30" s="97">
        <f t="shared" ca="1" si="15"/>
        <v>-500</v>
      </c>
      <c r="D30" s="112" t="s">
        <v>1778</v>
      </c>
      <c r="E30" s="279" t="s">
        <v>587</v>
      </c>
      <c r="F30" s="98" t="str">
        <f t="shared" si="18"/>
        <v>A</v>
      </c>
      <c r="G30" s="110">
        <f ca="1">SUMIF($A:E,$A30,K:K)</f>
        <v>110</v>
      </c>
      <c r="H30" s="97" t="s">
        <v>616</v>
      </c>
      <c r="I30" s="175">
        <v>110</v>
      </c>
      <c r="J30" s="115">
        <v>110</v>
      </c>
      <c r="K30" s="143">
        <f t="shared" si="3"/>
        <v>110</v>
      </c>
      <c r="L30" s="144">
        <f t="shared" si="4"/>
        <v>0</v>
      </c>
      <c r="M30" s="275">
        <f t="shared" si="5"/>
        <v>110</v>
      </c>
      <c r="N30" s="98" t="s">
        <v>1768</v>
      </c>
      <c r="O30" s="93">
        <f>K30/J30*100</f>
        <v>100</v>
      </c>
      <c r="KU30" s="100">
        <v>5</v>
      </c>
      <c r="KV30" s="100">
        <v>14</v>
      </c>
      <c r="KW30" s="100">
        <v>10</v>
      </c>
      <c r="KX30" s="100">
        <v>7</v>
      </c>
      <c r="KY30" s="100">
        <v>13</v>
      </c>
      <c r="LB30" s="100">
        <v>17</v>
      </c>
      <c r="LC30" s="100">
        <v>4</v>
      </c>
      <c r="LD30" s="100">
        <v>16</v>
      </c>
      <c r="LE30" s="100">
        <v>8</v>
      </c>
      <c r="LF30" s="100">
        <v>11</v>
      </c>
      <c r="LI30" s="100">
        <v>5</v>
      </c>
      <c r="ON30" s="100">
        <f t="shared" si="7"/>
        <v>0</v>
      </c>
    </row>
    <row r="31" spans="1:404" ht="23.25" customHeight="1">
      <c r="A31" s="101" t="str">
        <f t="shared" si="19"/>
        <v>006/EUROMARKET_SR-2168-83600-S1-B</v>
      </c>
      <c r="B31" s="95" t="s">
        <v>1422</v>
      </c>
      <c r="C31" s="97">
        <f t="shared" ca="1" si="15"/>
        <v>-664</v>
      </c>
      <c r="D31" s="112" t="s">
        <v>1417</v>
      </c>
      <c r="E31" s="123" t="s">
        <v>1418</v>
      </c>
      <c r="F31" s="98" t="str">
        <f t="shared" ref="F31:F36" si="20">MID(E31,13,2)</f>
        <v>B</v>
      </c>
      <c r="G31" s="110">
        <f ca="1">SUMIF($A:E,$A31,K:K)</f>
        <v>2</v>
      </c>
      <c r="H31" s="112" t="s">
        <v>1421</v>
      </c>
      <c r="I31" s="98">
        <v>2</v>
      </c>
      <c r="J31" s="99">
        <v>2</v>
      </c>
      <c r="K31" s="143">
        <f t="shared" si="3"/>
        <v>2</v>
      </c>
      <c r="L31" s="144">
        <f t="shared" ref="L31:L32" si="21">J31-K31</f>
        <v>0</v>
      </c>
      <c r="M31" s="275">
        <f t="shared" si="5"/>
        <v>2</v>
      </c>
      <c r="N31" s="98">
        <v>1</v>
      </c>
      <c r="O31" s="93">
        <f t="shared" ref="O31:O36" si="22">K31/J31*100</f>
        <v>100</v>
      </c>
      <c r="GK31" s="100">
        <v>2</v>
      </c>
      <c r="ON31" s="100">
        <f t="shared" si="7"/>
        <v>0</v>
      </c>
    </row>
    <row r="32" spans="1:404" ht="23.25" customHeight="1">
      <c r="A32" s="101" t="str">
        <f t="shared" si="19"/>
        <v>001/EUROMARKET-VG_SR-2168-83600-S1-B</v>
      </c>
      <c r="B32" s="95">
        <v>44425</v>
      </c>
      <c r="C32" s="97">
        <f t="shared" ca="1" si="15"/>
        <v>-639</v>
      </c>
      <c r="D32" s="112" t="s">
        <v>1552</v>
      </c>
      <c r="E32" s="123" t="s">
        <v>1418</v>
      </c>
      <c r="F32" s="98" t="str">
        <f t="shared" si="20"/>
        <v>B</v>
      </c>
      <c r="G32" s="110">
        <f ca="1">SUMIF($A:E,$A32,K:K)</f>
        <v>3</v>
      </c>
      <c r="H32" s="112" t="s">
        <v>1553</v>
      </c>
      <c r="I32" s="175">
        <v>3</v>
      </c>
      <c r="J32" s="115">
        <v>3</v>
      </c>
      <c r="K32" s="143">
        <f t="shared" si="3"/>
        <v>3</v>
      </c>
      <c r="L32" s="144">
        <f t="shared" si="21"/>
        <v>0</v>
      </c>
      <c r="M32" s="275">
        <f t="shared" ref="M32:M73" si="23">IF(OR(MID(E32,10,1)="0",MID(E32,10,1)="F"),I32,IF(OR(,MID(E32,10,1)="S",MID(E32,10,1)="L",MID(E32,10,1)="B",MID(E32,10,1)="X"),MID(E32,11,1)*I32,0))</f>
        <v>3</v>
      </c>
      <c r="N32" s="98">
        <v>1</v>
      </c>
      <c r="O32" s="93">
        <f t="shared" si="22"/>
        <v>100</v>
      </c>
      <c r="HG32" s="100">
        <v>1</v>
      </c>
      <c r="HI32" s="100">
        <v>2</v>
      </c>
      <c r="ON32" s="100">
        <f t="shared" si="7"/>
        <v>0</v>
      </c>
    </row>
    <row r="33" spans="1:404" ht="23.25" customHeight="1">
      <c r="A33" s="101" t="str">
        <f t="shared" si="19"/>
        <v>017T/EUROMARKET-2168-83600-S1-B</v>
      </c>
      <c r="B33" s="95">
        <v>44518</v>
      </c>
      <c r="C33" s="97">
        <f t="shared" ca="1" si="15"/>
        <v>-546</v>
      </c>
      <c r="D33" s="112" t="s">
        <v>1835</v>
      </c>
      <c r="E33" s="123" t="s">
        <v>1418</v>
      </c>
      <c r="F33" s="98" t="str">
        <f t="shared" si="20"/>
        <v>B</v>
      </c>
      <c r="G33" s="110">
        <f ca="1">SUMIF($A:E,$A33,K:K)</f>
        <v>150</v>
      </c>
      <c r="H33" s="97" t="s">
        <v>616</v>
      </c>
      <c r="I33" s="175">
        <v>150</v>
      </c>
      <c r="J33" s="115">
        <v>150</v>
      </c>
      <c r="K33" s="143">
        <f t="shared" si="3"/>
        <v>150</v>
      </c>
      <c r="L33" s="144">
        <f t="shared" ref="L33" si="24">J33-K33</f>
        <v>0</v>
      </c>
      <c r="M33" s="275">
        <f t="shared" si="23"/>
        <v>150</v>
      </c>
      <c r="N33" s="98">
        <v>1</v>
      </c>
      <c r="O33" s="93">
        <f t="shared" si="22"/>
        <v>100</v>
      </c>
      <c r="JI33" s="100">
        <v>1</v>
      </c>
      <c r="JK33" s="100">
        <v>17</v>
      </c>
      <c r="JM33" s="100">
        <v>8</v>
      </c>
      <c r="KE33" s="100">
        <v>1</v>
      </c>
      <c r="KF33" s="100">
        <v>6</v>
      </c>
      <c r="KI33" s="100">
        <v>5</v>
      </c>
      <c r="KP33" s="100">
        <v>17</v>
      </c>
      <c r="KQ33" s="100">
        <v>18</v>
      </c>
      <c r="KR33" s="100">
        <v>7</v>
      </c>
      <c r="KS33" s="100">
        <v>17</v>
      </c>
      <c r="KW33" s="100">
        <v>15</v>
      </c>
      <c r="KX33" s="100">
        <v>8</v>
      </c>
      <c r="KY33" s="100">
        <v>10</v>
      </c>
      <c r="KZ33" s="100">
        <v>20</v>
      </c>
      <c r="ON33" s="100">
        <f t="shared" si="7"/>
        <v>0</v>
      </c>
    </row>
    <row r="34" spans="1:404" ht="23.25" customHeight="1">
      <c r="A34" s="101" t="str">
        <f t="shared" si="19"/>
        <v>015T/EUROMARKET-2168-83600-S1-B</v>
      </c>
      <c r="B34" s="95">
        <v>44477</v>
      </c>
      <c r="C34" s="97">
        <f t="shared" ca="1" si="15"/>
        <v>-587</v>
      </c>
      <c r="D34" s="112" t="s">
        <v>1836</v>
      </c>
      <c r="E34" s="123" t="s">
        <v>1418</v>
      </c>
      <c r="F34" s="98" t="str">
        <f t="shared" si="20"/>
        <v>B</v>
      </c>
      <c r="G34" s="110">
        <f ca="1">SUMIF($A:E,$A34,K:K)</f>
        <v>125</v>
      </c>
      <c r="H34" s="97" t="s">
        <v>616</v>
      </c>
      <c r="I34" s="175">
        <v>125</v>
      </c>
      <c r="J34" s="115">
        <v>125</v>
      </c>
      <c r="K34" s="143">
        <f t="shared" si="3"/>
        <v>125</v>
      </c>
      <c r="L34" s="144">
        <f t="shared" ref="L34" si="25">J34-K34</f>
        <v>0</v>
      </c>
      <c r="M34" s="275">
        <f t="shared" si="23"/>
        <v>125</v>
      </c>
      <c r="N34" s="98">
        <v>1</v>
      </c>
      <c r="O34" s="93">
        <f t="shared" si="22"/>
        <v>100</v>
      </c>
      <c r="IO34" s="100">
        <v>4</v>
      </c>
      <c r="IR34" s="100">
        <v>8</v>
      </c>
      <c r="IT34" s="100">
        <v>8</v>
      </c>
      <c r="IV34" s="100">
        <v>16</v>
      </c>
      <c r="IW34" s="100">
        <v>5</v>
      </c>
      <c r="IY34" s="100">
        <v>9</v>
      </c>
      <c r="IZ34" s="100">
        <v>4</v>
      </c>
      <c r="JA34" s="100">
        <v>8</v>
      </c>
      <c r="JB34" s="100">
        <v>3</v>
      </c>
      <c r="JD34" s="100">
        <v>14</v>
      </c>
      <c r="JF34" s="100">
        <v>13</v>
      </c>
      <c r="JG34" s="100">
        <v>13</v>
      </c>
      <c r="JH34" s="100">
        <v>10</v>
      </c>
      <c r="JI34" s="100">
        <v>10</v>
      </c>
      <c r="ON34" s="100">
        <f t="shared" si="7"/>
        <v>0</v>
      </c>
    </row>
    <row r="35" spans="1:404" ht="23.25" customHeight="1">
      <c r="A35" s="101" t="str">
        <f t="shared" si="19"/>
        <v>024T/EUROMARKET-2168-83600-S1-B</v>
      </c>
      <c r="B35" s="95">
        <v>44503</v>
      </c>
      <c r="C35" s="97">
        <f t="shared" ca="1" si="15"/>
        <v>-561</v>
      </c>
      <c r="D35" s="112" t="s">
        <v>1874</v>
      </c>
      <c r="E35" s="123" t="s">
        <v>1418</v>
      </c>
      <c r="F35" s="98" t="str">
        <f t="shared" si="20"/>
        <v>B</v>
      </c>
      <c r="G35" s="110">
        <f ca="1">SUMIF($A:E,$A35,K:K)</f>
        <v>18</v>
      </c>
      <c r="H35" s="97" t="s">
        <v>616</v>
      </c>
      <c r="I35" s="175">
        <v>18</v>
      </c>
      <c r="J35" s="115">
        <v>18</v>
      </c>
      <c r="K35" s="143">
        <f t="shared" si="3"/>
        <v>18</v>
      </c>
      <c r="L35" s="144">
        <f t="shared" ref="L35:L75" si="26">J35-K35</f>
        <v>0</v>
      </c>
      <c r="M35" s="275">
        <f t="shared" si="23"/>
        <v>18</v>
      </c>
      <c r="N35" s="98">
        <v>1</v>
      </c>
      <c r="O35" s="93">
        <f t="shared" si="22"/>
        <v>100</v>
      </c>
      <c r="JN35" s="100">
        <v>13</v>
      </c>
      <c r="JP35" s="100">
        <v>4</v>
      </c>
      <c r="KE35" s="100">
        <v>1</v>
      </c>
      <c r="ON35" s="100">
        <f t="shared" si="7"/>
        <v>0</v>
      </c>
    </row>
    <row r="36" spans="1:404" ht="23.25" customHeight="1">
      <c r="A36" s="101" t="str">
        <f t="shared" si="19"/>
        <v>020T/EUROMARKET-2168-83600-S1-B</v>
      </c>
      <c r="B36" s="95">
        <v>44546</v>
      </c>
      <c r="C36" s="97">
        <f t="shared" ca="1" si="15"/>
        <v>-518</v>
      </c>
      <c r="D36" s="112" t="s">
        <v>1876</v>
      </c>
      <c r="E36" s="123" t="s">
        <v>1418</v>
      </c>
      <c r="F36" s="98" t="str">
        <f t="shared" si="20"/>
        <v>B</v>
      </c>
      <c r="G36" s="110">
        <f ca="1">SUMIF($A:E,$A36,K:K)</f>
        <v>125</v>
      </c>
      <c r="H36" s="97" t="s">
        <v>508</v>
      </c>
      <c r="I36" s="175">
        <v>125</v>
      </c>
      <c r="J36" s="115">
        <v>125</v>
      </c>
      <c r="K36" s="143">
        <f t="shared" si="3"/>
        <v>125</v>
      </c>
      <c r="L36" s="144">
        <f t="shared" si="26"/>
        <v>0</v>
      </c>
      <c r="M36" s="275">
        <f t="shared" si="23"/>
        <v>125</v>
      </c>
      <c r="N36" s="98">
        <v>1</v>
      </c>
      <c r="O36" s="93">
        <f t="shared" si="22"/>
        <v>100</v>
      </c>
      <c r="LD36" s="100">
        <v>1</v>
      </c>
      <c r="LE36" s="100">
        <v>6</v>
      </c>
      <c r="LF36" s="100">
        <v>8</v>
      </c>
      <c r="LG36" s="100">
        <v>9</v>
      </c>
      <c r="LI36" s="100">
        <v>8</v>
      </c>
      <c r="LJ36" s="100">
        <v>8</v>
      </c>
      <c r="LK36" s="100">
        <v>4</v>
      </c>
      <c r="LM36" s="100">
        <v>4</v>
      </c>
      <c r="LP36" s="100">
        <v>4</v>
      </c>
      <c r="LQ36" s="100">
        <v>8</v>
      </c>
      <c r="LR36" s="100">
        <v>4</v>
      </c>
      <c r="LU36" s="100">
        <v>11</v>
      </c>
      <c r="LX36" s="100">
        <v>25</v>
      </c>
      <c r="LY36" s="100">
        <v>6</v>
      </c>
      <c r="LZ36" s="100">
        <v>8</v>
      </c>
      <c r="MB36" s="100">
        <v>11</v>
      </c>
      <c r="ON36" s="100">
        <f t="shared" si="7"/>
        <v>0</v>
      </c>
    </row>
    <row r="37" spans="1:404" ht="23.25" customHeight="1">
      <c r="A37" s="101" t="str">
        <f>D37&amp;E38</f>
        <v>069/EUROMARKET-2168-83600-S1-A</v>
      </c>
      <c r="B37" s="95">
        <v>44497</v>
      </c>
      <c r="C37" s="97">
        <f t="shared" ca="1" si="15"/>
        <v>-567</v>
      </c>
      <c r="D37" s="96" t="s">
        <v>1193</v>
      </c>
      <c r="E37" s="94" t="s">
        <v>586</v>
      </c>
      <c r="F37" s="98" t="str">
        <f t="shared" ref="F37:F41" si="27">MID(E37,13,2)</f>
        <v>A</v>
      </c>
      <c r="G37" s="110">
        <f ca="1">SUMIF($A:E,$A37,K:K)</f>
        <v>60</v>
      </c>
      <c r="H37" s="97" t="s">
        <v>933</v>
      </c>
      <c r="I37" s="98">
        <v>60</v>
      </c>
      <c r="J37" s="99">
        <v>60</v>
      </c>
      <c r="K37" s="143">
        <f t="shared" si="3"/>
        <v>60</v>
      </c>
      <c r="L37" s="144">
        <f t="shared" si="26"/>
        <v>0</v>
      </c>
      <c r="M37" s="275">
        <f t="shared" si="23"/>
        <v>60</v>
      </c>
      <c r="N37" s="98">
        <v>1</v>
      </c>
      <c r="O37" s="93">
        <f t="shared" si="17"/>
        <v>100</v>
      </c>
      <c r="HB37" s="100">
        <v>2</v>
      </c>
      <c r="HC37" s="100">
        <v>5</v>
      </c>
      <c r="HD37" s="100">
        <v>8</v>
      </c>
      <c r="HG37" s="100">
        <v>19</v>
      </c>
      <c r="HI37" s="100">
        <v>22</v>
      </c>
      <c r="HJ37" s="100">
        <v>4</v>
      </c>
      <c r="ON37" s="100">
        <f t="shared" si="7"/>
        <v>0</v>
      </c>
    </row>
    <row r="38" spans="1:404" ht="23.25" customHeight="1">
      <c r="A38" s="101" t="str">
        <f>D38&amp;E39</f>
        <v>067/EUROMARKET-2168-83600-S1-A</v>
      </c>
      <c r="B38" s="95">
        <v>44497</v>
      </c>
      <c r="C38" s="97">
        <f t="shared" ca="1" si="15"/>
        <v>-567</v>
      </c>
      <c r="D38" s="96" t="s">
        <v>1194</v>
      </c>
      <c r="E38" s="94" t="s">
        <v>586</v>
      </c>
      <c r="F38" s="98" t="str">
        <f t="shared" si="27"/>
        <v>A</v>
      </c>
      <c r="G38" s="110">
        <f ca="1">SUMIF($A:E,$A38,K:K)</f>
        <v>150</v>
      </c>
      <c r="H38" s="97" t="s">
        <v>933</v>
      </c>
      <c r="I38" s="98">
        <v>150</v>
      </c>
      <c r="J38" s="99">
        <v>150</v>
      </c>
      <c r="K38" s="143">
        <f t="shared" si="3"/>
        <v>150</v>
      </c>
      <c r="L38" s="144">
        <f t="shared" ref="L38:L41" si="28">J38-K38</f>
        <v>0</v>
      </c>
      <c r="M38" s="275">
        <f t="shared" si="23"/>
        <v>150</v>
      </c>
      <c r="N38" s="98">
        <v>1</v>
      </c>
      <c r="O38" s="93">
        <f t="shared" si="17"/>
        <v>100</v>
      </c>
      <c r="HJ38" s="100">
        <v>3</v>
      </c>
      <c r="HM38" s="100">
        <v>11</v>
      </c>
      <c r="HN38" s="100">
        <v>12</v>
      </c>
      <c r="HQ38" s="100">
        <v>4</v>
      </c>
      <c r="HU38" s="100">
        <v>5</v>
      </c>
      <c r="HW38" s="100">
        <v>2</v>
      </c>
      <c r="HX38" s="100">
        <v>2</v>
      </c>
      <c r="IB38" s="100">
        <v>4</v>
      </c>
      <c r="II38" s="100">
        <v>5</v>
      </c>
      <c r="IK38" s="100">
        <v>1</v>
      </c>
      <c r="JQ38" s="100">
        <v>17</v>
      </c>
      <c r="JR38" s="100">
        <v>8</v>
      </c>
      <c r="JV38" s="100">
        <v>10</v>
      </c>
      <c r="JX38" s="100">
        <v>17</v>
      </c>
      <c r="JY38" s="100">
        <v>11</v>
      </c>
      <c r="KA38" s="100">
        <v>19</v>
      </c>
      <c r="KC38" s="100">
        <v>13</v>
      </c>
      <c r="KD38" s="100">
        <v>6</v>
      </c>
      <c r="ON38" s="100">
        <f t="shared" si="7"/>
        <v>0</v>
      </c>
    </row>
    <row r="39" spans="1:404" ht="23.25" customHeight="1">
      <c r="A39" s="101" t="s">
        <v>1370</v>
      </c>
      <c r="B39" s="95">
        <v>44531</v>
      </c>
      <c r="C39" s="97">
        <f t="shared" ca="1" si="15"/>
        <v>-533</v>
      </c>
      <c r="D39" s="112" t="s">
        <v>1371</v>
      </c>
      <c r="E39" s="279" t="s">
        <v>586</v>
      </c>
      <c r="F39" s="98" t="str">
        <f t="shared" si="27"/>
        <v>A</v>
      </c>
      <c r="G39" s="110">
        <f ca="1">SUMIF($A:E,$A39,K:K)</f>
        <v>5654</v>
      </c>
      <c r="H39" s="97" t="s">
        <v>508</v>
      </c>
      <c r="I39" s="175">
        <v>165</v>
      </c>
      <c r="J39" s="115">
        <v>165</v>
      </c>
      <c r="K39" s="143">
        <f t="shared" si="3"/>
        <v>165</v>
      </c>
      <c r="L39" s="144">
        <f t="shared" si="28"/>
        <v>0</v>
      </c>
      <c r="M39" s="275">
        <f t="shared" si="23"/>
        <v>165</v>
      </c>
      <c r="N39" s="98" t="s">
        <v>1768</v>
      </c>
      <c r="O39" s="93">
        <f t="shared" si="17"/>
        <v>100</v>
      </c>
      <c r="KP39" s="100">
        <v>11</v>
      </c>
      <c r="KQ39" s="100">
        <v>12</v>
      </c>
      <c r="KR39" s="100">
        <v>12</v>
      </c>
      <c r="KU39" s="100">
        <v>12</v>
      </c>
      <c r="KV39" s="100">
        <v>18</v>
      </c>
      <c r="KW39" s="100">
        <v>12</v>
      </c>
      <c r="KX39" s="100">
        <v>11</v>
      </c>
      <c r="KY39" s="100">
        <v>11</v>
      </c>
      <c r="LB39" s="100">
        <v>17</v>
      </c>
      <c r="LC39" s="100">
        <v>8</v>
      </c>
      <c r="LD39" s="100">
        <v>14</v>
      </c>
      <c r="LE39" s="100">
        <v>8</v>
      </c>
      <c r="LF39" s="100">
        <v>14</v>
      </c>
      <c r="LI39" s="100">
        <v>5</v>
      </c>
      <c r="ON39" s="100">
        <f t="shared" si="7"/>
        <v>0</v>
      </c>
    </row>
    <row r="40" spans="1:404" ht="23.25" customHeight="1">
      <c r="A40" s="101" t="str">
        <f t="shared" ref="A40:A45" si="29">D40&amp;E40</f>
        <v>025T/EUROMARKET-2168-83600-S1-A</v>
      </c>
      <c r="B40" s="95">
        <v>44548</v>
      </c>
      <c r="C40" s="97">
        <f t="shared" ca="1" si="15"/>
        <v>-516</v>
      </c>
      <c r="D40" s="112" t="s">
        <v>1777</v>
      </c>
      <c r="E40" s="279" t="s">
        <v>586</v>
      </c>
      <c r="F40" s="98" t="str">
        <f t="shared" si="27"/>
        <v>A</v>
      </c>
      <c r="G40" s="224">
        <f ca="1">SUMIF($A:E,$A40,K:K)</f>
        <v>180</v>
      </c>
      <c r="H40" s="97" t="s">
        <v>616</v>
      </c>
      <c r="I40" s="175">
        <v>180</v>
      </c>
      <c r="J40" s="115">
        <v>180</v>
      </c>
      <c r="K40" s="143">
        <f t="shared" si="3"/>
        <v>180</v>
      </c>
      <c r="L40" s="144">
        <f t="shared" si="28"/>
        <v>0</v>
      </c>
      <c r="M40" s="275">
        <f t="shared" si="23"/>
        <v>180</v>
      </c>
      <c r="N40" s="98" t="s">
        <v>1768</v>
      </c>
      <c r="O40" s="93">
        <f t="shared" si="17"/>
        <v>100</v>
      </c>
      <c r="LI40" s="100">
        <v>14</v>
      </c>
      <c r="LJ40" s="100">
        <v>5</v>
      </c>
      <c r="LK40" s="100">
        <v>13</v>
      </c>
      <c r="LL40" s="100">
        <v>12</v>
      </c>
      <c r="LM40" s="100">
        <v>10</v>
      </c>
      <c r="LN40" s="100">
        <v>18</v>
      </c>
      <c r="LP40" s="100">
        <v>11</v>
      </c>
      <c r="LQ40" s="100">
        <v>4</v>
      </c>
      <c r="LR40" s="100">
        <v>11</v>
      </c>
      <c r="LS40" s="100">
        <v>13</v>
      </c>
      <c r="LT40" s="100">
        <v>11</v>
      </c>
      <c r="LU40" s="100">
        <v>12</v>
      </c>
      <c r="LW40" s="100">
        <v>12</v>
      </c>
      <c r="LX40" s="100">
        <v>7</v>
      </c>
      <c r="LY40" s="100">
        <v>10</v>
      </c>
      <c r="LZ40" s="100">
        <v>13</v>
      </c>
      <c r="MA40" s="100">
        <v>4</v>
      </c>
      <c r="ON40" s="100">
        <f t="shared" si="7"/>
        <v>0</v>
      </c>
    </row>
    <row r="41" spans="1:404" ht="23.25" customHeight="1">
      <c r="A41" s="101" t="str">
        <f t="shared" si="29"/>
        <v>026T/EUROMARKET-2168-83600-S1-A</v>
      </c>
      <c r="B41" s="95">
        <v>44564</v>
      </c>
      <c r="C41" s="97">
        <f t="shared" ca="1" si="15"/>
        <v>-500</v>
      </c>
      <c r="D41" s="112" t="s">
        <v>1778</v>
      </c>
      <c r="E41" s="279" t="s">
        <v>586</v>
      </c>
      <c r="F41" s="98" t="str">
        <f t="shared" si="27"/>
        <v>A</v>
      </c>
      <c r="G41" s="224">
        <f ca="1">SUMIF($A:E,$A41,K:K)</f>
        <v>200</v>
      </c>
      <c r="H41" s="97" t="s">
        <v>616</v>
      </c>
      <c r="I41" s="175">
        <v>200</v>
      </c>
      <c r="J41" s="115">
        <v>200</v>
      </c>
      <c r="K41" s="143">
        <f t="shared" si="3"/>
        <v>200</v>
      </c>
      <c r="L41" s="144">
        <f t="shared" si="28"/>
        <v>0</v>
      </c>
      <c r="M41" s="275">
        <f t="shared" si="23"/>
        <v>200</v>
      </c>
      <c r="N41" s="98" t="s">
        <v>1768</v>
      </c>
      <c r="O41" s="93">
        <f t="shared" si="17"/>
        <v>100</v>
      </c>
      <c r="MA41" s="100">
        <v>9</v>
      </c>
      <c r="MB41" s="100">
        <v>12</v>
      </c>
      <c r="MD41" s="100">
        <v>12</v>
      </c>
      <c r="ME41" s="100">
        <v>12</v>
      </c>
      <c r="MF41" s="100">
        <v>12</v>
      </c>
      <c r="MG41" s="100">
        <v>12</v>
      </c>
      <c r="MH41" s="100">
        <v>12</v>
      </c>
      <c r="MK41" s="100">
        <v>12</v>
      </c>
      <c r="ML41" s="100">
        <v>9</v>
      </c>
      <c r="MM41" s="100">
        <v>14</v>
      </c>
      <c r="MN41" s="100">
        <v>9</v>
      </c>
      <c r="MO41" s="100">
        <v>15</v>
      </c>
      <c r="MP41" s="100">
        <v>11</v>
      </c>
      <c r="MR41" s="100">
        <v>21</v>
      </c>
      <c r="MS41" s="100">
        <v>14</v>
      </c>
      <c r="MT41" s="100">
        <v>4</v>
      </c>
      <c r="MW41" s="100">
        <v>10</v>
      </c>
      <c r="ON41" s="100">
        <f t="shared" si="7"/>
        <v>0</v>
      </c>
    </row>
    <row r="42" spans="1:404" ht="23.25" customHeight="1">
      <c r="A42" s="101" t="str">
        <f t="shared" si="29"/>
        <v>001/KHBS-2168-83200-03-B</v>
      </c>
      <c r="B42" s="95">
        <v>44203</v>
      </c>
      <c r="C42" s="97">
        <f t="shared" ca="1" si="15"/>
        <v>-861</v>
      </c>
      <c r="D42" s="96" t="s">
        <v>653</v>
      </c>
      <c r="E42" s="94" t="s">
        <v>572</v>
      </c>
      <c r="F42" s="98" t="str">
        <f>MID(E42,13,2)</f>
        <v>B</v>
      </c>
      <c r="G42" s="110">
        <f ca="1">SUMIF($A:E,$A42,K:K)</f>
        <v>4</v>
      </c>
      <c r="H42" s="97" t="s">
        <v>508</v>
      </c>
      <c r="I42" s="98">
        <v>4</v>
      </c>
      <c r="J42" s="99">
        <v>4</v>
      </c>
      <c r="K42" s="143">
        <f t="shared" si="3"/>
        <v>4</v>
      </c>
      <c r="L42" s="144">
        <f t="shared" si="26"/>
        <v>0</v>
      </c>
      <c r="M42" s="275">
        <f t="shared" si="23"/>
        <v>4</v>
      </c>
      <c r="N42" s="98">
        <v>2</v>
      </c>
      <c r="O42" s="93">
        <f t="shared" si="17"/>
        <v>100</v>
      </c>
      <c r="S42" s="101">
        <v>2</v>
      </c>
      <c r="W42" s="101">
        <v>2</v>
      </c>
      <c r="ON42" s="100">
        <f t="shared" si="7"/>
        <v>0</v>
      </c>
    </row>
    <row r="43" spans="1:404" ht="23.25" customHeight="1">
      <c r="A43" s="101" t="str">
        <f t="shared" si="29"/>
        <v>002T/OBI-2168-83200-03-B</v>
      </c>
      <c r="B43" s="95">
        <v>44416</v>
      </c>
      <c r="C43" s="97">
        <f t="shared" ca="1" si="15"/>
        <v>-648</v>
      </c>
      <c r="D43" s="112" t="s">
        <v>1047</v>
      </c>
      <c r="E43" s="123" t="s">
        <v>572</v>
      </c>
      <c r="F43" s="98" t="str">
        <f>MID(E43,13,2)</f>
        <v>B</v>
      </c>
      <c r="G43" s="110">
        <f ca="1">SUMIF($A:E,$A43,K:K)</f>
        <v>240</v>
      </c>
      <c r="H43" s="97" t="s">
        <v>916</v>
      </c>
      <c r="I43" s="175">
        <v>240</v>
      </c>
      <c r="J43" s="115">
        <v>120</v>
      </c>
      <c r="K43" s="143">
        <f t="shared" si="3"/>
        <v>120</v>
      </c>
      <c r="L43" s="144">
        <f t="shared" si="26"/>
        <v>0</v>
      </c>
      <c r="M43" s="275">
        <f t="shared" si="23"/>
        <v>240</v>
      </c>
      <c r="N43" s="98">
        <v>1</v>
      </c>
      <c r="O43" s="93">
        <f t="shared" si="17"/>
        <v>100</v>
      </c>
      <c r="EW43" s="100">
        <v>6</v>
      </c>
      <c r="EX43" s="100">
        <v>5</v>
      </c>
      <c r="EY43" s="100">
        <v>10</v>
      </c>
      <c r="FB43" s="100">
        <v>14</v>
      </c>
      <c r="FD43" s="100">
        <v>1</v>
      </c>
      <c r="FE43" s="100">
        <v>4</v>
      </c>
      <c r="FF43" s="100">
        <v>10</v>
      </c>
      <c r="FH43" s="100">
        <v>9</v>
      </c>
      <c r="FI43" s="100">
        <v>9</v>
      </c>
      <c r="FK43" s="100">
        <v>13</v>
      </c>
      <c r="FL43" s="100">
        <v>15</v>
      </c>
      <c r="FM43" s="100">
        <v>7</v>
      </c>
      <c r="FO43" s="100">
        <v>4</v>
      </c>
      <c r="FP43" s="100">
        <v>5</v>
      </c>
      <c r="GG43" s="100">
        <v>8</v>
      </c>
      <c r="ON43" s="100">
        <f t="shared" si="7"/>
        <v>0</v>
      </c>
    </row>
    <row r="44" spans="1:404" ht="23.25" customHeight="1">
      <c r="A44" s="101" t="str">
        <f t="shared" si="29"/>
        <v>002T/OBI-2168-83200-03-B</v>
      </c>
      <c r="B44" s="95">
        <v>44416</v>
      </c>
      <c r="C44" s="97">
        <f t="shared" ref="C44:C50" ca="1" si="30">B44-TODAY()</f>
        <v>-648</v>
      </c>
      <c r="D44" s="112" t="s">
        <v>1047</v>
      </c>
      <c r="E44" s="123" t="s">
        <v>572</v>
      </c>
      <c r="F44" s="98" t="str">
        <f>MID(E44,13,2)</f>
        <v>B</v>
      </c>
      <c r="G44" s="110">
        <f ca="1">SUMIF($A:E,$A44,K:K)</f>
        <v>240</v>
      </c>
      <c r="H44" s="97" t="s">
        <v>916</v>
      </c>
      <c r="I44" s="175">
        <v>240</v>
      </c>
      <c r="J44" s="115">
        <f>240-J43</f>
        <v>120</v>
      </c>
      <c r="K44" s="143">
        <f t="shared" si="3"/>
        <v>120</v>
      </c>
      <c r="L44" s="144">
        <f t="shared" si="26"/>
        <v>0</v>
      </c>
      <c r="M44" s="275">
        <f t="shared" si="23"/>
        <v>240</v>
      </c>
      <c r="N44" s="98">
        <v>3</v>
      </c>
      <c r="O44" s="93">
        <f t="shared" si="17"/>
        <v>100</v>
      </c>
      <c r="EW44" s="100">
        <v>1</v>
      </c>
      <c r="FA44" s="100">
        <v>12</v>
      </c>
      <c r="FB44" s="100">
        <v>3</v>
      </c>
      <c r="FC44" s="100">
        <v>6</v>
      </c>
      <c r="FD44" s="100">
        <v>10</v>
      </c>
      <c r="FE44" s="100">
        <v>9</v>
      </c>
      <c r="FH44" s="100">
        <v>16</v>
      </c>
      <c r="FI44" s="100">
        <v>3</v>
      </c>
      <c r="FJ44" s="100">
        <v>10</v>
      </c>
      <c r="FK44" s="100">
        <v>11</v>
      </c>
      <c r="FL44" s="100">
        <v>7</v>
      </c>
      <c r="FO44" s="100">
        <v>4</v>
      </c>
      <c r="FP44" s="100">
        <v>7</v>
      </c>
      <c r="FQ44" s="100">
        <v>8</v>
      </c>
      <c r="FS44" s="100">
        <v>9</v>
      </c>
      <c r="FU44" s="100">
        <v>1</v>
      </c>
      <c r="GA44" s="100">
        <v>3</v>
      </c>
      <c r="ON44" s="100">
        <f t="shared" si="7"/>
        <v>0</v>
      </c>
    </row>
    <row r="45" spans="1:404" ht="23.25" customHeight="1">
      <c r="A45" s="101" t="str">
        <f t="shared" si="29"/>
        <v>006T/OBI-2168-83200-03-B</v>
      </c>
      <c r="B45" s="95">
        <v>44424</v>
      </c>
      <c r="C45" s="97">
        <f t="shared" ca="1" si="30"/>
        <v>-640</v>
      </c>
      <c r="D45" s="112" t="s">
        <v>1296</v>
      </c>
      <c r="E45" s="123" t="s">
        <v>572</v>
      </c>
      <c r="F45" s="98" t="str">
        <f>MID(E45,13,2)</f>
        <v>B</v>
      </c>
      <c r="G45" s="110">
        <f ca="1">SUMIF($A:E,$A45,K:K)</f>
        <v>160</v>
      </c>
      <c r="H45" s="97" t="s">
        <v>507</v>
      </c>
      <c r="I45" s="175">
        <v>160</v>
      </c>
      <c r="J45" s="115">
        <v>160</v>
      </c>
      <c r="K45" s="143">
        <f t="shared" si="3"/>
        <v>160</v>
      </c>
      <c r="L45" s="144">
        <f t="shared" si="26"/>
        <v>0</v>
      </c>
      <c r="M45" s="275">
        <f t="shared" si="23"/>
        <v>160</v>
      </c>
      <c r="N45" s="98">
        <v>2</v>
      </c>
      <c r="O45" s="93">
        <f t="shared" si="17"/>
        <v>100</v>
      </c>
      <c r="GD45" s="100">
        <v>9</v>
      </c>
      <c r="GG45" s="100">
        <v>2</v>
      </c>
      <c r="GH45" s="100">
        <v>27</v>
      </c>
      <c r="GK45" s="100">
        <v>8</v>
      </c>
      <c r="GN45" s="100">
        <v>29</v>
      </c>
      <c r="GO45" s="100">
        <v>6</v>
      </c>
      <c r="GP45" s="100">
        <v>19</v>
      </c>
      <c r="GR45" s="100">
        <v>7</v>
      </c>
      <c r="GS45" s="100">
        <v>5</v>
      </c>
      <c r="GU45" s="100">
        <v>16</v>
      </c>
      <c r="GV45" s="100">
        <v>13</v>
      </c>
      <c r="GW45" s="100">
        <v>4</v>
      </c>
      <c r="GX45" s="100">
        <v>15</v>
      </c>
      <c r="ON45" s="100">
        <f t="shared" si="7"/>
        <v>0</v>
      </c>
    </row>
    <row r="46" spans="1:404" ht="23.25" customHeight="1">
      <c r="A46" s="101" t="s">
        <v>1370</v>
      </c>
      <c r="B46" s="95">
        <v>44465</v>
      </c>
      <c r="C46" s="97">
        <f t="shared" ca="1" si="30"/>
        <v>-599</v>
      </c>
      <c r="D46" s="112" t="s">
        <v>1395</v>
      </c>
      <c r="E46" s="123" t="s">
        <v>572</v>
      </c>
      <c r="F46" s="98" t="str">
        <f>MID(E46,13,2)</f>
        <v>B</v>
      </c>
      <c r="G46" s="110">
        <f ca="1">SUMIF($A:E,$A46,K:K)</f>
        <v>5654</v>
      </c>
      <c r="H46" s="97" t="s">
        <v>927</v>
      </c>
      <c r="I46" s="175">
        <v>80</v>
      </c>
      <c r="J46" s="115">
        <v>80</v>
      </c>
      <c r="K46" s="143">
        <f t="shared" si="3"/>
        <v>80</v>
      </c>
      <c r="L46" s="144">
        <f t="shared" si="26"/>
        <v>0</v>
      </c>
      <c r="M46" s="275">
        <f t="shared" si="23"/>
        <v>80</v>
      </c>
      <c r="N46" s="98">
        <v>2</v>
      </c>
      <c r="O46" s="93">
        <f t="shared" si="17"/>
        <v>100</v>
      </c>
      <c r="GX46" s="100">
        <v>9</v>
      </c>
      <c r="GZ46" s="100">
        <v>16</v>
      </c>
      <c r="HB46" s="100">
        <v>19</v>
      </c>
      <c r="HC46" s="100">
        <v>17</v>
      </c>
      <c r="HE46" s="100">
        <v>5</v>
      </c>
      <c r="HK46" s="100">
        <v>5</v>
      </c>
      <c r="ID46" s="100">
        <v>2</v>
      </c>
      <c r="IF46" s="100">
        <v>6</v>
      </c>
      <c r="IH46" s="100">
        <v>1</v>
      </c>
      <c r="ON46" s="100">
        <f t="shared" si="7"/>
        <v>0</v>
      </c>
    </row>
    <row r="47" spans="1:404" ht="23.25" customHeight="1">
      <c r="A47" s="101" t="s">
        <v>1792</v>
      </c>
      <c r="B47" s="95">
        <v>44530</v>
      </c>
      <c r="C47" s="97">
        <f t="shared" ca="1" si="30"/>
        <v>-534</v>
      </c>
      <c r="D47" s="112" t="s">
        <v>1851</v>
      </c>
      <c r="E47" s="123" t="s">
        <v>572</v>
      </c>
      <c r="F47" s="98" t="s">
        <v>561</v>
      </c>
      <c r="G47" s="110">
        <v>86</v>
      </c>
      <c r="H47" s="97" t="s">
        <v>508</v>
      </c>
      <c r="I47" s="98">
        <v>1680</v>
      </c>
      <c r="J47" s="125">
        <v>500</v>
      </c>
      <c r="K47" s="143">
        <f t="shared" si="3"/>
        <v>500</v>
      </c>
      <c r="L47" s="144">
        <f t="shared" si="26"/>
        <v>0</v>
      </c>
      <c r="M47" s="275">
        <f t="shared" si="23"/>
        <v>1680</v>
      </c>
      <c r="N47" s="98">
        <v>4</v>
      </c>
      <c r="O47" s="93">
        <f t="shared" si="17"/>
        <v>100</v>
      </c>
      <c r="KJ47" s="100">
        <v>12</v>
      </c>
      <c r="KN47" s="100">
        <v>15</v>
      </c>
      <c r="KO47" s="100">
        <v>22</v>
      </c>
      <c r="KQ47" s="100">
        <v>38</v>
      </c>
      <c r="KR47" s="100">
        <v>22</v>
      </c>
      <c r="KU47" s="100">
        <v>19</v>
      </c>
      <c r="KV47" s="100">
        <v>31</v>
      </c>
      <c r="KW47" s="100">
        <v>16</v>
      </c>
      <c r="KX47" s="100">
        <v>19</v>
      </c>
      <c r="KY47" s="100">
        <v>18</v>
      </c>
      <c r="LB47" s="100">
        <v>37</v>
      </c>
      <c r="LC47" s="100">
        <v>26</v>
      </c>
      <c r="LD47" s="100">
        <v>1</v>
      </c>
      <c r="LE47" s="100">
        <v>16</v>
      </c>
      <c r="LF47" s="100">
        <v>18</v>
      </c>
      <c r="LG47" s="100">
        <v>14</v>
      </c>
      <c r="LI47" s="100">
        <v>49</v>
      </c>
      <c r="LK47" s="100">
        <v>20</v>
      </c>
      <c r="LM47" s="100">
        <v>80</v>
      </c>
      <c r="LP47" s="100">
        <v>27</v>
      </c>
      <c r="ON47" s="100">
        <f t="shared" si="7"/>
        <v>0</v>
      </c>
    </row>
    <row r="48" spans="1:404" ht="23.25" customHeight="1">
      <c r="A48" s="101" t="s">
        <v>1792</v>
      </c>
      <c r="B48" s="95">
        <v>44530</v>
      </c>
      <c r="C48" s="97">
        <f t="shared" ca="1" si="30"/>
        <v>-534</v>
      </c>
      <c r="D48" s="112" t="s">
        <v>1851</v>
      </c>
      <c r="E48" s="279" t="s">
        <v>572</v>
      </c>
      <c r="F48" s="98" t="s">
        <v>561</v>
      </c>
      <c r="G48" s="110">
        <v>86</v>
      </c>
      <c r="H48" s="97" t="s">
        <v>508</v>
      </c>
      <c r="I48" s="98">
        <v>1680</v>
      </c>
      <c r="J48" s="125">
        <v>594</v>
      </c>
      <c r="K48" s="143">
        <f t="shared" si="3"/>
        <v>594</v>
      </c>
      <c r="L48" s="144">
        <f t="shared" si="26"/>
        <v>0</v>
      </c>
      <c r="M48" s="275">
        <f t="shared" si="23"/>
        <v>1680</v>
      </c>
      <c r="N48" s="98" t="s">
        <v>1776</v>
      </c>
      <c r="O48" s="93">
        <f t="shared" si="17"/>
        <v>100</v>
      </c>
      <c r="IG48" s="100">
        <v>14</v>
      </c>
      <c r="IH48" s="100">
        <v>32</v>
      </c>
      <c r="IK48" s="100">
        <v>17</v>
      </c>
      <c r="IL48" s="100">
        <v>16</v>
      </c>
      <c r="IM48" s="100">
        <v>17</v>
      </c>
      <c r="IN48" s="100">
        <v>23</v>
      </c>
      <c r="IP48" s="100">
        <v>7</v>
      </c>
      <c r="IR48" s="100">
        <v>8</v>
      </c>
      <c r="IS48" s="100">
        <v>17</v>
      </c>
      <c r="IT48" s="100">
        <v>14</v>
      </c>
      <c r="IU48" s="100">
        <v>16</v>
      </c>
      <c r="IV48" s="100">
        <v>8</v>
      </c>
      <c r="IW48" s="100">
        <v>9</v>
      </c>
      <c r="IY48" s="100">
        <v>8</v>
      </c>
      <c r="IZ48" s="100">
        <v>8</v>
      </c>
      <c r="JA48" s="100">
        <v>15</v>
      </c>
      <c r="JB48" s="100">
        <v>9</v>
      </c>
      <c r="JC48" s="100">
        <v>8</v>
      </c>
      <c r="JF48" s="100">
        <v>24</v>
      </c>
      <c r="JG48" s="100">
        <v>8</v>
      </c>
      <c r="JH48" s="100">
        <v>16</v>
      </c>
      <c r="JI48" s="100">
        <v>8</v>
      </c>
      <c r="JJ48" s="100">
        <v>15</v>
      </c>
      <c r="JK48" s="100">
        <v>8</v>
      </c>
      <c r="JM48" s="100">
        <v>9</v>
      </c>
      <c r="JN48" s="100">
        <v>16</v>
      </c>
      <c r="JP48" s="100">
        <v>24</v>
      </c>
      <c r="JT48" s="100">
        <v>8</v>
      </c>
      <c r="JU48" s="100">
        <v>31</v>
      </c>
      <c r="JV48" s="100">
        <v>8</v>
      </c>
      <c r="JW48" s="100">
        <v>8</v>
      </c>
      <c r="JX48" s="100">
        <v>8</v>
      </c>
      <c r="JY48" s="100">
        <v>8</v>
      </c>
      <c r="KA48" s="100">
        <v>8</v>
      </c>
      <c r="KB48" s="100">
        <v>8</v>
      </c>
      <c r="KC48" s="100">
        <v>16</v>
      </c>
      <c r="KD48" s="100">
        <v>14</v>
      </c>
      <c r="KE48" s="100">
        <v>8</v>
      </c>
      <c r="KF48" s="100">
        <v>9</v>
      </c>
      <c r="KG48" s="100">
        <v>17</v>
      </c>
      <c r="KH48" s="100">
        <v>5</v>
      </c>
      <c r="KI48" s="100">
        <v>11</v>
      </c>
      <c r="KJ48" s="100">
        <v>6</v>
      </c>
      <c r="KN48" s="100">
        <v>9</v>
      </c>
      <c r="KO48" s="100">
        <v>8</v>
      </c>
      <c r="KP48" s="100">
        <v>16</v>
      </c>
      <c r="KQ48" s="100">
        <v>7</v>
      </c>
      <c r="KR48" s="100">
        <v>7</v>
      </c>
      <c r="ON48" s="100">
        <f t="shared" si="7"/>
        <v>0</v>
      </c>
    </row>
    <row r="49" spans="1:404" ht="23.25" customHeight="1">
      <c r="A49" s="101" t="str">
        <f>D49&amp;E49</f>
        <v>001T/KARMIN-VG-2168-83200-03-B</v>
      </c>
      <c r="B49" s="95">
        <v>44530</v>
      </c>
      <c r="C49" s="97">
        <f t="shared" ca="1" si="30"/>
        <v>-534</v>
      </c>
      <c r="D49" s="112" t="s">
        <v>1851</v>
      </c>
      <c r="E49" s="123" t="s">
        <v>572</v>
      </c>
      <c r="F49" s="98" t="str">
        <f>MID(E49,13,2)</f>
        <v>B</v>
      </c>
      <c r="G49" s="110">
        <f ca="1">SUMIF($A:E,$A49,K:K)</f>
        <v>922</v>
      </c>
      <c r="H49" s="97" t="s">
        <v>508</v>
      </c>
      <c r="I49" s="98">
        <v>1680</v>
      </c>
      <c r="J49" s="125">
        <v>86</v>
      </c>
      <c r="K49" s="143">
        <f t="shared" si="3"/>
        <v>86</v>
      </c>
      <c r="L49" s="144">
        <f t="shared" si="26"/>
        <v>0</v>
      </c>
      <c r="M49" s="275">
        <f t="shared" si="23"/>
        <v>1680</v>
      </c>
      <c r="N49" s="98">
        <v>5</v>
      </c>
      <c r="O49" s="93">
        <f t="shared" si="17"/>
        <v>100</v>
      </c>
      <c r="HU49" s="100">
        <v>8</v>
      </c>
      <c r="HW49" s="100">
        <v>15</v>
      </c>
      <c r="HX49" s="100">
        <v>8</v>
      </c>
      <c r="HY49" s="100">
        <v>13</v>
      </c>
      <c r="IB49" s="100">
        <v>7</v>
      </c>
      <c r="ID49" s="100">
        <v>14</v>
      </c>
      <c r="IE49" s="100">
        <v>21</v>
      </c>
      <c r="ON49" s="100">
        <f t="shared" si="7"/>
        <v>0</v>
      </c>
    </row>
    <row r="50" spans="1:404" ht="23.25" customHeight="1">
      <c r="A50" s="101" t="str">
        <f>D50&amp;E50</f>
        <v>001T/KARMIN-VG-2168-83200-03-B</v>
      </c>
      <c r="B50" s="95">
        <v>44530</v>
      </c>
      <c r="C50" s="97">
        <f t="shared" ca="1" si="30"/>
        <v>-534</v>
      </c>
      <c r="D50" s="112" t="s">
        <v>1851</v>
      </c>
      <c r="E50" s="123" t="s">
        <v>572</v>
      </c>
      <c r="F50" s="98" t="str">
        <f>MID(E50,13,2)</f>
        <v>B</v>
      </c>
      <c r="G50" s="110">
        <f ca="1">SUMIF($A:E,$A50,K:K)</f>
        <v>922</v>
      </c>
      <c r="H50" s="97" t="s">
        <v>508</v>
      </c>
      <c r="I50" s="98">
        <v>1680</v>
      </c>
      <c r="J50" s="125">
        <v>500</v>
      </c>
      <c r="K50" s="143">
        <f t="shared" si="3"/>
        <v>500</v>
      </c>
      <c r="L50" s="144">
        <f t="shared" ref="L50:L52" si="31">J50-K50</f>
        <v>0</v>
      </c>
      <c r="M50" s="275">
        <f t="shared" si="23"/>
        <v>1680</v>
      </c>
      <c r="N50" s="98">
        <v>4</v>
      </c>
      <c r="O50" s="93">
        <f t="shared" si="17"/>
        <v>100</v>
      </c>
      <c r="IY50" s="100">
        <v>29</v>
      </c>
      <c r="IZ50" s="100">
        <v>17</v>
      </c>
      <c r="JB50" s="100">
        <v>16</v>
      </c>
      <c r="JC50" s="100">
        <v>10</v>
      </c>
      <c r="JD50" s="100">
        <v>10</v>
      </c>
      <c r="JF50" s="100">
        <v>10</v>
      </c>
      <c r="JG50" s="100">
        <v>10</v>
      </c>
      <c r="JH50" s="100">
        <v>9</v>
      </c>
      <c r="JI50" s="100">
        <v>18</v>
      </c>
      <c r="JK50" s="100">
        <v>20</v>
      </c>
      <c r="JM50" s="100">
        <v>19</v>
      </c>
      <c r="JN50" s="100">
        <v>10</v>
      </c>
      <c r="JO50" s="100">
        <v>20</v>
      </c>
      <c r="JP50" s="100">
        <v>20</v>
      </c>
      <c r="JQ50" s="100">
        <v>9</v>
      </c>
      <c r="JR50" s="100">
        <v>10</v>
      </c>
      <c r="JT50" s="100">
        <v>11</v>
      </c>
      <c r="JU50" s="100">
        <v>10</v>
      </c>
      <c r="JV50" s="100">
        <v>47</v>
      </c>
      <c r="JW50" s="100">
        <v>4</v>
      </c>
      <c r="JY50" s="100">
        <v>28</v>
      </c>
      <c r="KA50" s="100">
        <v>15</v>
      </c>
      <c r="KB50" s="100">
        <v>8</v>
      </c>
      <c r="KC50" s="100">
        <v>16</v>
      </c>
      <c r="KD50" s="100">
        <v>25</v>
      </c>
      <c r="KE50" s="100">
        <v>17</v>
      </c>
      <c r="KF50" s="100">
        <v>21</v>
      </c>
      <c r="KG50" s="100">
        <v>20</v>
      </c>
      <c r="KH50" s="100">
        <v>19</v>
      </c>
      <c r="KI50" s="100">
        <v>12</v>
      </c>
      <c r="KJ50" s="100">
        <v>10</v>
      </c>
      <c r="ON50" s="100">
        <f t="shared" si="7"/>
        <v>0</v>
      </c>
    </row>
    <row r="51" spans="1:404" ht="23.25" customHeight="1">
      <c r="A51" s="101" t="s">
        <v>2113</v>
      </c>
      <c r="B51" s="95">
        <v>44532</v>
      </c>
      <c r="C51" s="97">
        <v>-5</v>
      </c>
      <c r="D51" s="231" t="s">
        <v>2114</v>
      </c>
      <c r="E51" s="289" t="s">
        <v>572</v>
      </c>
      <c r="F51" s="98" t="s">
        <v>561</v>
      </c>
      <c r="G51" s="110">
        <v>586</v>
      </c>
      <c r="H51" s="97" t="s">
        <v>508</v>
      </c>
      <c r="I51" s="98">
        <v>336</v>
      </c>
      <c r="J51" s="99">
        <v>136</v>
      </c>
      <c r="K51" s="143">
        <f t="shared" si="3"/>
        <v>136</v>
      </c>
      <c r="L51" s="144">
        <f t="shared" si="31"/>
        <v>0</v>
      </c>
      <c r="M51" s="275">
        <f t="shared" si="23"/>
        <v>336</v>
      </c>
      <c r="N51" s="98">
        <v>4</v>
      </c>
      <c r="O51" s="93">
        <f t="shared" si="17"/>
        <v>100</v>
      </c>
      <c r="LP51" s="100">
        <v>19</v>
      </c>
      <c r="LQ51" s="100">
        <v>66</v>
      </c>
      <c r="LR51" s="100">
        <v>44</v>
      </c>
      <c r="LS51" s="100">
        <v>7</v>
      </c>
      <c r="ON51" s="100">
        <f t="shared" si="7"/>
        <v>0</v>
      </c>
    </row>
    <row r="52" spans="1:404" ht="23.25" customHeight="1">
      <c r="A52" s="101" t="s">
        <v>2113</v>
      </c>
      <c r="B52" s="95">
        <v>44532</v>
      </c>
      <c r="C52" s="97">
        <f ca="1">B52-TODAY()</f>
        <v>-532</v>
      </c>
      <c r="D52" s="112" t="s">
        <v>2114</v>
      </c>
      <c r="E52" s="279" t="s">
        <v>572</v>
      </c>
      <c r="F52" s="98" t="s">
        <v>561</v>
      </c>
      <c r="G52" s="110">
        <v>586</v>
      </c>
      <c r="H52" s="97" t="s">
        <v>508</v>
      </c>
      <c r="I52" s="98">
        <v>336</v>
      </c>
      <c r="J52" s="99">
        <v>200</v>
      </c>
      <c r="K52" s="143">
        <f t="shared" si="3"/>
        <v>200</v>
      </c>
      <c r="L52" s="144">
        <f t="shared" si="31"/>
        <v>0</v>
      </c>
      <c r="M52" s="275">
        <f t="shared" si="23"/>
        <v>336</v>
      </c>
      <c r="N52" s="98" t="s">
        <v>1776</v>
      </c>
      <c r="O52" s="93">
        <f t="shared" si="17"/>
        <v>100</v>
      </c>
      <c r="KR52" s="100">
        <v>11</v>
      </c>
      <c r="KU52" s="100">
        <v>8</v>
      </c>
      <c r="KV52" s="100">
        <v>7</v>
      </c>
      <c r="KW52" s="100">
        <v>17</v>
      </c>
      <c r="KX52" s="100">
        <v>8</v>
      </c>
      <c r="KY52" s="100">
        <v>16</v>
      </c>
      <c r="KZ52" s="100">
        <v>16</v>
      </c>
      <c r="LB52" s="100">
        <v>16</v>
      </c>
      <c r="LC52" s="100">
        <v>8</v>
      </c>
      <c r="LD52" s="100">
        <v>16</v>
      </c>
      <c r="LE52" s="100">
        <v>12</v>
      </c>
      <c r="LF52" s="100">
        <v>17</v>
      </c>
      <c r="LG52" s="100">
        <v>19</v>
      </c>
      <c r="LI52" s="100">
        <v>16</v>
      </c>
      <c r="LJ52" s="100">
        <v>8</v>
      </c>
      <c r="LK52" s="100">
        <v>5</v>
      </c>
      <c r="ON52" s="100">
        <f t="shared" si="7"/>
        <v>0</v>
      </c>
    </row>
    <row r="53" spans="1:404" ht="23.25" customHeight="1">
      <c r="A53" s="101" t="s">
        <v>2216</v>
      </c>
      <c r="B53" s="95">
        <v>44569</v>
      </c>
      <c r="C53" s="97">
        <v>44</v>
      </c>
      <c r="D53" s="112" t="s">
        <v>2115</v>
      </c>
      <c r="E53" s="123" t="s">
        <v>572</v>
      </c>
      <c r="F53" s="98" t="s">
        <v>561</v>
      </c>
      <c r="G53" s="110">
        <v>0</v>
      </c>
      <c r="H53" s="97" t="s">
        <v>508</v>
      </c>
      <c r="I53" s="98">
        <v>1288</v>
      </c>
      <c r="J53" s="99">
        <v>400</v>
      </c>
      <c r="K53" s="143">
        <f t="shared" si="3"/>
        <v>400</v>
      </c>
      <c r="L53" s="144">
        <f t="shared" ref="L53:L54" si="32">J53-K53</f>
        <v>0</v>
      </c>
      <c r="M53" s="275">
        <f t="shared" si="23"/>
        <v>1288</v>
      </c>
      <c r="N53" s="98" t="s">
        <v>1776</v>
      </c>
      <c r="O53" s="93">
        <f t="shared" si="17"/>
        <v>100</v>
      </c>
      <c r="LK53" s="100">
        <v>10</v>
      </c>
      <c r="LL53" s="100">
        <v>16</v>
      </c>
      <c r="LM53" s="100">
        <v>6</v>
      </c>
      <c r="LN53" s="100">
        <v>8</v>
      </c>
      <c r="LP53" s="100">
        <v>16</v>
      </c>
      <c r="LQ53" s="100">
        <v>10</v>
      </c>
      <c r="LR53" s="100">
        <v>16</v>
      </c>
      <c r="LS53" s="100">
        <v>16</v>
      </c>
      <c r="LT53" s="100">
        <v>16</v>
      </c>
      <c r="LU53" s="100">
        <v>15</v>
      </c>
      <c r="LW53" s="100">
        <v>11</v>
      </c>
      <c r="LX53" s="100">
        <v>4</v>
      </c>
      <c r="LY53" s="100">
        <v>14</v>
      </c>
      <c r="LZ53" s="100">
        <v>16</v>
      </c>
      <c r="MA53" s="100">
        <v>16</v>
      </c>
      <c r="MB53" s="100">
        <v>16</v>
      </c>
      <c r="MD53" s="100">
        <v>16</v>
      </c>
      <c r="ME53" s="100">
        <v>16</v>
      </c>
      <c r="MF53" s="100">
        <v>16</v>
      </c>
      <c r="MG53" s="100">
        <v>16</v>
      </c>
      <c r="MH53" s="100">
        <v>16</v>
      </c>
      <c r="MK53" s="100">
        <v>16</v>
      </c>
      <c r="ML53" s="100">
        <v>16</v>
      </c>
      <c r="MM53" s="100">
        <v>16</v>
      </c>
      <c r="MO53" s="100">
        <v>16</v>
      </c>
      <c r="MP53" s="100">
        <v>16</v>
      </c>
      <c r="MQ53" s="100">
        <v>21</v>
      </c>
      <c r="MR53" s="100">
        <v>7</v>
      </c>
      <c r="MT53" s="100">
        <v>1</v>
      </c>
      <c r="MU53" s="100">
        <v>5</v>
      </c>
      <c r="ON53" s="100">
        <f t="shared" si="7"/>
        <v>0</v>
      </c>
    </row>
    <row r="54" spans="1:404" ht="23.25" customHeight="1">
      <c r="A54" s="101" t="str">
        <f t="shared" ref="A54:A61" si="33">D54&amp;E54</f>
        <v>001T/KARMIN-VG-21( đ2)68-83200-03-B</v>
      </c>
      <c r="B54" s="95">
        <v>44569</v>
      </c>
      <c r="C54" s="97">
        <f t="shared" ref="C54:C87" ca="1" si="34">B54-TODAY()</f>
        <v>-495</v>
      </c>
      <c r="D54" s="112" t="s">
        <v>2115</v>
      </c>
      <c r="E54" s="123" t="s">
        <v>572</v>
      </c>
      <c r="F54" s="98" t="str">
        <f t="shared" ref="F54:F84" si="35">MID(E54,13,2)</f>
        <v>B</v>
      </c>
      <c r="G54" s="110">
        <f ca="1">SUMIF($A:E,$A54,K:K)</f>
        <v>1288</v>
      </c>
      <c r="H54" s="97" t="s">
        <v>508</v>
      </c>
      <c r="I54" s="98">
        <v>1288</v>
      </c>
      <c r="J54" s="99">
        <f>1288-400</f>
        <v>888</v>
      </c>
      <c r="K54" s="143">
        <f t="shared" si="3"/>
        <v>888</v>
      </c>
      <c r="L54" s="144">
        <f t="shared" si="32"/>
        <v>0</v>
      </c>
      <c r="M54" s="275">
        <f t="shared" si="23"/>
        <v>1288</v>
      </c>
      <c r="N54" s="98">
        <v>4</v>
      </c>
      <c r="O54" s="93">
        <f t="shared" si="17"/>
        <v>100</v>
      </c>
      <c r="LS54" s="100">
        <v>39</v>
      </c>
      <c r="LT54" s="100">
        <v>39</v>
      </c>
      <c r="LU54" s="100">
        <v>45</v>
      </c>
      <c r="LW54" s="100">
        <v>48</v>
      </c>
      <c r="LX54" s="100">
        <v>46</v>
      </c>
      <c r="LY54" s="100">
        <v>43</v>
      </c>
      <c r="LZ54" s="100">
        <v>49</v>
      </c>
      <c r="MB54" s="100">
        <v>23</v>
      </c>
      <c r="MD54" s="100">
        <v>23</v>
      </c>
      <c r="ME54" s="100">
        <v>23</v>
      </c>
      <c r="MF54" s="100">
        <v>46</v>
      </c>
      <c r="MG54" s="100">
        <v>46</v>
      </c>
      <c r="MH54" s="100">
        <v>22</v>
      </c>
      <c r="MK54" s="100">
        <v>46</v>
      </c>
      <c r="ML54" s="100">
        <v>24</v>
      </c>
      <c r="MM54" s="100">
        <v>45</v>
      </c>
      <c r="MN54" s="100">
        <v>47</v>
      </c>
      <c r="MO54" s="100">
        <v>46</v>
      </c>
      <c r="MP54" s="100">
        <v>45</v>
      </c>
      <c r="MQ54" s="100">
        <v>44</v>
      </c>
      <c r="MR54" s="100">
        <v>46</v>
      </c>
      <c r="MS54" s="100">
        <v>28</v>
      </c>
      <c r="MU54" s="100">
        <v>25</v>
      </c>
      <c r="ON54" s="100">
        <f t="shared" si="7"/>
        <v>0</v>
      </c>
    </row>
    <row r="55" spans="1:404" ht="23.25" customHeight="1">
      <c r="A55" s="101" t="str">
        <f t="shared" si="33"/>
        <v xml:space="preserve">	001/AL-FARES-VG-2168-83200-03-B</v>
      </c>
      <c r="B55" s="95">
        <v>44676</v>
      </c>
      <c r="C55" s="97">
        <f t="shared" ca="1" si="34"/>
        <v>-388</v>
      </c>
      <c r="D55" s="112" t="s">
        <v>1814</v>
      </c>
      <c r="E55" s="123" t="s">
        <v>572</v>
      </c>
      <c r="F55" s="98" t="str">
        <f t="shared" si="35"/>
        <v>B</v>
      </c>
      <c r="G55" s="110">
        <f ca="1">SUMIF($A:E,$A55,K:K)</f>
        <v>0</v>
      </c>
      <c r="H55" s="112" t="s">
        <v>1561</v>
      </c>
      <c r="I55" s="175">
        <v>72</v>
      </c>
      <c r="J55" s="115">
        <v>72</v>
      </c>
      <c r="K55" s="143">
        <f t="shared" si="3"/>
        <v>0</v>
      </c>
      <c r="L55" s="144">
        <f t="shared" si="26"/>
        <v>72</v>
      </c>
      <c r="M55" s="275">
        <f t="shared" si="23"/>
        <v>72</v>
      </c>
      <c r="N55" s="98">
        <v>6</v>
      </c>
      <c r="O55" s="93">
        <f t="shared" si="17"/>
        <v>0</v>
      </c>
      <c r="ON55" s="100">
        <f t="shared" si="7"/>
        <v>0</v>
      </c>
    </row>
    <row r="56" spans="1:404" ht="23.25" customHeight="1">
      <c r="A56" s="101" t="str">
        <f t="shared" si="33"/>
        <v>003/ANNA-VG-21(đ1)68-82400-S1-A</v>
      </c>
      <c r="B56" s="95">
        <v>44547</v>
      </c>
      <c r="C56" s="97">
        <f t="shared" ca="1" si="34"/>
        <v>-517</v>
      </c>
      <c r="D56" s="112" t="s">
        <v>1622</v>
      </c>
      <c r="E56" s="279" t="s">
        <v>641</v>
      </c>
      <c r="F56" s="98" t="str">
        <f t="shared" si="35"/>
        <v>A</v>
      </c>
      <c r="G56" s="110">
        <f ca="1">SUMIF($A:E,$A56,K:K)</f>
        <v>10</v>
      </c>
      <c r="H56" s="319" t="s">
        <v>1678</v>
      </c>
      <c r="I56" s="175">
        <v>10</v>
      </c>
      <c r="J56" s="115">
        <v>10</v>
      </c>
      <c r="K56" s="143">
        <f t="shared" si="3"/>
        <v>10</v>
      </c>
      <c r="L56" s="144">
        <f t="shared" si="26"/>
        <v>0</v>
      </c>
      <c r="M56" s="275">
        <f t="shared" si="23"/>
        <v>10</v>
      </c>
      <c r="N56" s="98" t="s">
        <v>1768</v>
      </c>
      <c r="O56" s="93">
        <f t="shared" ref="O56:O62" si="36">K56/J56*100</f>
        <v>100</v>
      </c>
      <c r="LS56" s="100">
        <v>4</v>
      </c>
      <c r="LT56" s="100">
        <v>1</v>
      </c>
      <c r="LX56" s="100">
        <v>2</v>
      </c>
      <c r="MA56" s="100">
        <v>3</v>
      </c>
      <c r="ON56" s="100">
        <f t="shared" si="7"/>
        <v>0</v>
      </c>
    </row>
    <row r="57" spans="1:404" ht="23.25" customHeight="1">
      <c r="A57" s="101" t="str">
        <f t="shared" si="33"/>
        <v>005/METRO-VG-2168-82320-01-B4</v>
      </c>
      <c r="B57" s="95">
        <v>44516</v>
      </c>
      <c r="C57" s="97">
        <f t="shared" ca="1" si="34"/>
        <v>-548</v>
      </c>
      <c r="D57" s="112" t="s">
        <v>1701</v>
      </c>
      <c r="E57" s="123" t="s">
        <v>579</v>
      </c>
      <c r="F57" s="98" t="str">
        <f t="shared" si="35"/>
        <v>B4</v>
      </c>
      <c r="G57" s="110">
        <f ca="1">SUMIF($A:E,$A57,K:K)</f>
        <v>12</v>
      </c>
      <c r="H57" s="97" t="s">
        <v>1593</v>
      </c>
      <c r="I57" s="175">
        <v>12</v>
      </c>
      <c r="J57" s="115">
        <v>12</v>
      </c>
      <c r="K57" s="143">
        <f t="shared" si="3"/>
        <v>12</v>
      </c>
      <c r="L57" s="144">
        <f t="shared" si="26"/>
        <v>0</v>
      </c>
      <c r="M57" s="275">
        <f t="shared" si="23"/>
        <v>12</v>
      </c>
      <c r="N57" s="98">
        <v>2</v>
      </c>
      <c r="O57" s="93">
        <f t="shared" si="36"/>
        <v>100</v>
      </c>
      <c r="KG57" s="100">
        <v>1</v>
      </c>
      <c r="KH57" s="100">
        <v>10</v>
      </c>
      <c r="KJ57" s="100">
        <v>1</v>
      </c>
      <c r="ON57" s="100">
        <f t="shared" si="7"/>
        <v>0</v>
      </c>
    </row>
    <row r="58" spans="1:404" ht="22.5" customHeight="1">
      <c r="A58" s="101" t="str">
        <f t="shared" si="33"/>
        <v>006/METRO-VG-2168-82320-01-B4</v>
      </c>
      <c r="B58" s="95">
        <v>44516</v>
      </c>
      <c r="C58" s="97">
        <f t="shared" ca="1" si="34"/>
        <v>-548</v>
      </c>
      <c r="D58" s="112" t="s">
        <v>1704</v>
      </c>
      <c r="E58" s="123" t="s">
        <v>579</v>
      </c>
      <c r="F58" s="98" t="str">
        <f t="shared" si="35"/>
        <v>B4</v>
      </c>
      <c r="G58" s="110">
        <f ca="1">SUMIF($A:E,$A58,K:K)</f>
        <v>42</v>
      </c>
      <c r="H58" s="97" t="s">
        <v>1593</v>
      </c>
      <c r="I58" s="175">
        <v>42</v>
      </c>
      <c r="J58" s="115">
        <v>37</v>
      </c>
      <c r="K58" s="143">
        <f t="shared" si="3"/>
        <v>37</v>
      </c>
      <c r="L58" s="144">
        <f t="shared" si="26"/>
        <v>0</v>
      </c>
      <c r="M58" s="275">
        <f t="shared" si="23"/>
        <v>42</v>
      </c>
      <c r="N58" s="98">
        <v>2</v>
      </c>
      <c r="O58" s="93">
        <f t="shared" si="36"/>
        <v>100</v>
      </c>
      <c r="KJ58" s="100">
        <v>7</v>
      </c>
      <c r="KR58" s="100">
        <v>15</v>
      </c>
      <c r="KY58" s="100">
        <v>15</v>
      </c>
      <c r="ON58" s="100">
        <f t="shared" si="7"/>
        <v>0</v>
      </c>
    </row>
    <row r="59" spans="1:404" ht="22.5" customHeight="1">
      <c r="A59" s="101" t="str">
        <f t="shared" si="33"/>
        <v>006/METRO-VG-2168-82320-01-B4</v>
      </c>
      <c r="B59" s="95">
        <v>44516</v>
      </c>
      <c r="C59" s="97">
        <f t="shared" ca="1" si="34"/>
        <v>-548</v>
      </c>
      <c r="D59" s="112" t="s">
        <v>1704</v>
      </c>
      <c r="E59" s="123" t="s">
        <v>579</v>
      </c>
      <c r="F59" s="98" t="str">
        <f t="shared" si="35"/>
        <v>B4</v>
      </c>
      <c r="G59" s="110">
        <f ca="1">SUMIF($A:E,$A59,K:K)</f>
        <v>42</v>
      </c>
      <c r="H59" s="97" t="s">
        <v>1593</v>
      </c>
      <c r="I59" s="175">
        <v>42</v>
      </c>
      <c r="J59" s="115">
        <v>5</v>
      </c>
      <c r="K59" s="143">
        <f t="shared" si="3"/>
        <v>5</v>
      </c>
      <c r="L59" s="144">
        <f t="shared" ref="L59" si="37">J59-K59</f>
        <v>0</v>
      </c>
      <c r="M59" s="275">
        <f t="shared" si="23"/>
        <v>42</v>
      </c>
      <c r="N59" s="98">
        <v>1</v>
      </c>
      <c r="O59" s="93">
        <f t="shared" si="36"/>
        <v>100</v>
      </c>
      <c r="KZ59" s="100">
        <v>5</v>
      </c>
      <c r="ON59" s="100">
        <f t="shared" si="7"/>
        <v>0</v>
      </c>
    </row>
    <row r="60" spans="1:404" ht="23.25" customHeight="1">
      <c r="A60" s="101" t="str">
        <f t="shared" si="33"/>
        <v>021/METRO-VG-2168-82320-01-B4</v>
      </c>
      <c r="B60" s="95">
        <v>44494</v>
      </c>
      <c r="C60" s="97">
        <f t="shared" ca="1" si="34"/>
        <v>-570</v>
      </c>
      <c r="D60" s="112" t="s">
        <v>1733</v>
      </c>
      <c r="E60" s="123" t="s">
        <v>579</v>
      </c>
      <c r="F60" s="98" t="str">
        <f t="shared" si="35"/>
        <v>B4</v>
      </c>
      <c r="G60" s="110">
        <f ca="1">SUMIF($A:E,$A60,K:K)</f>
        <v>156</v>
      </c>
      <c r="H60" s="97" t="s">
        <v>2052</v>
      </c>
      <c r="I60" s="98">
        <v>156</v>
      </c>
      <c r="J60" s="99">
        <v>156</v>
      </c>
      <c r="K60" s="143">
        <f t="shared" si="3"/>
        <v>156</v>
      </c>
      <c r="L60" s="144">
        <f t="shared" si="26"/>
        <v>0</v>
      </c>
      <c r="M60" s="275">
        <f t="shared" si="23"/>
        <v>156</v>
      </c>
      <c r="N60" s="98">
        <v>2</v>
      </c>
      <c r="O60" s="93">
        <f t="shared" si="36"/>
        <v>100</v>
      </c>
      <c r="JH60" s="100">
        <v>4</v>
      </c>
      <c r="JI60" s="100">
        <v>5</v>
      </c>
      <c r="JJ60" s="100">
        <v>10</v>
      </c>
      <c r="JM60" s="100">
        <v>9</v>
      </c>
      <c r="JN60" s="100">
        <v>1</v>
      </c>
      <c r="JQ60" s="100">
        <v>7</v>
      </c>
      <c r="JT60" s="100">
        <v>16</v>
      </c>
      <c r="JU60" s="100">
        <v>3</v>
      </c>
      <c r="JV60" s="100">
        <v>22</v>
      </c>
      <c r="JW60" s="100">
        <v>9</v>
      </c>
      <c r="JX60" s="100">
        <v>5</v>
      </c>
      <c r="JY60" s="100">
        <v>44</v>
      </c>
      <c r="KA60" s="100">
        <v>21</v>
      </c>
      <c r="ON60" s="100">
        <f t="shared" si="7"/>
        <v>0</v>
      </c>
    </row>
    <row r="61" spans="1:404" ht="23.25" customHeight="1">
      <c r="A61" s="101" t="str">
        <f t="shared" si="33"/>
        <v>003/ANNA-VG-21(đ5)68-82300-02-A</v>
      </c>
      <c r="B61" s="95">
        <v>44600</v>
      </c>
      <c r="C61" s="97">
        <f t="shared" ca="1" si="34"/>
        <v>-464</v>
      </c>
      <c r="D61" s="112" t="s">
        <v>1664</v>
      </c>
      <c r="E61" s="279" t="s">
        <v>1667</v>
      </c>
      <c r="F61" s="98" t="str">
        <f t="shared" si="35"/>
        <v>A</v>
      </c>
      <c r="G61" s="110">
        <f ca="1">SUMIF($A:E,$A61,K:K)</f>
        <v>22</v>
      </c>
      <c r="H61" s="112" t="s">
        <v>990</v>
      </c>
      <c r="I61" s="175">
        <v>22</v>
      </c>
      <c r="J61" s="115">
        <v>22</v>
      </c>
      <c r="K61" s="143">
        <f t="shared" si="3"/>
        <v>22</v>
      </c>
      <c r="L61" s="144">
        <f t="shared" si="26"/>
        <v>0</v>
      </c>
      <c r="M61" s="275">
        <f t="shared" si="23"/>
        <v>22</v>
      </c>
      <c r="N61" s="98" t="s">
        <v>1768</v>
      </c>
      <c r="O61" s="93">
        <f>K61/J61*100</f>
        <v>100</v>
      </c>
      <c r="MY61" s="100">
        <v>1</v>
      </c>
      <c r="MZ61" s="100">
        <v>5</v>
      </c>
      <c r="ND61" s="100">
        <v>2</v>
      </c>
      <c r="NE61" s="100">
        <v>2</v>
      </c>
      <c r="NF61" s="100">
        <v>2</v>
      </c>
      <c r="NG61" s="100">
        <v>2</v>
      </c>
      <c r="NI61" s="100">
        <v>2</v>
      </c>
      <c r="NK61" s="100">
        <v>2</v>
      </c>
      <c r="NL61" s="100">
        <v>1</v>
      </c>
      <c r="NM61" s="100">
        <v>3</v>
      </c>
      <c r="ON61" s="100">
        <f t="shared" si="7"/>
        <v>0</v>
      </c>
    </row>
    <row r="62" spans="1:404" ht="23.25" customHeight="1">
      <c r="A62" s="101" t="str">
        <f>D62&amp;F62</f>
        <v>003_SR-21(OBI)01</v>
      </c>
      <c r="B62" s="95">
        <v>44242</v>
      </c>
      <c r="C62" s="97">
        <f t="shared" ca="1" si="34"/>
        <v>-822</v>
      </c>
      <c r="D62" s="96" t="s">
        <v>658</v>
      </c>
      <c r="E62" s="253" t="s">
        <v>725</v>
      </c>
      <c r="F62" s="98" t="str">
        <f t="shared" si="35"/>
        <v>01</v>
      </c>
      <c r="G62" s="110">
        <f ca="1">SUMIF($A:E,$A62,K:K)</f>
        <v>6</v>
      </c>
      <c r="H62" s="97" t="s">
        <v>716</v>
      </c>
      <c r="I62" s="98">
        <v>2</v>
      </c>
      <c r="J62" s="99">
        <v>2</v>
      </c>
      <c r="K62" s="143">
        <f t="shared" si="3"/>
        <v>2</v>
      </c>
      <c r="L62" s="144">
        <f t="shared" si="26"/>
        <v>0</v>
      </c>
      <c r="M62" s="275">
        <f t="shared" si="23"/>
        <v>2</v>
      </c>
      <c r="N62" s="98">
        <v>5</v>
      </c>
      <c r="O62" s="93">
        <f t="shared" si="36"/>
        <v>100</v>
      </c>
      <c r="AR62" s="101">
        <v>2</v>
      </c>
      <c r="ON62" s="100">
        <f t="shared" si="7"/>
        <v>0</v>
      </c>
    </row>
    <row r="63" spans="1:404" ht="23.25" customHeight="1">
      <c r="A63" s="101" t="str">
        <f t="shared" ref="A63:A80" si="38">D63&amp;E63</f>
        <v xml:space="preserve">	001/AL-FARES-VG-2168-82200-S2-A</v>
      </c>
      <c r="B63" s="95">
        <v>44686</v>
      </c>
      <c r="C63" s="97">
        <f t="shared" ca="1" si="34"/>
        <v>-378</v>
      </c>
      <c r="D63" s="112" t="s">
        <v>1814</v>
      </c>
      <c r="E63" s="279" t="s">
        <v>535</v>
      </c>
      <c r="F63" s="98" t="str">
        <f t="shared" si="35"/>
        <v>A</v>
      </c>
      <c r="G63" s="110">
        <f ca="1">SUMIF($A:E,$A63,K:K)</f>
        <v>0</v>
      </c>
      <c r="H63" s="112" t="s">
        <v>1561</v>
      </c>
      <c r="I63" s="175">
        <v>24</v>
      </c>
      <c r="J63" s="115">
        <v>24</v>
      </c>
      <c r="K63" s="143">
        <f t="shared" si="3"/>
        <v>0</v>
      </c>
      <c r="L63" s="144">
        <f t="shared" si="26"/>
        <v>24</v>
      </c>
      <c r="M63" s="275">
        <f t="shared" si="23"/>
        <v>48</v>
      </c>
      <c r="N63" s="98" t="s">
        <v>1768</v>
      </c>
      <c r="O63" s="93">
        <f>K63/J63*100</f>
        <v>0</v>
      </c>
      <c r="ON63" s="100">
        <f t="shared" si="7"/>
        <v>0</v>
      </c>
    </row>
    <row r="64" spans="1:404" ht="23.25" customHeight="1">
      <c r="A64" s="101" t="str">
        <f t="shared" si="38"/>
        <v>003/ANNA-VG-21(đ4)68-82200-02-A</v>
      </c>
      <c r="B64" s="95">
        <v>44579</v>
      </c>
      <c r="C64" s="97">
        <f t="shared" ca="1" si="34"/>
        <v>-485</v>
      </c>
      <c r="D64" s="112" t="s">
        <v>1652</v>
      </c>
      <c r="E64" s="279" t="s">
        <v>1663</v>
      </c>
      <c r="F64" s="98" t="str">
        <f t="shared" si="35"/>
        <v>A</v>
      </c>
      <c r="G64" s="110">
        <f ca="1">SUMIF($A:E,$A64,K:K)</f>
        <v>32</v>
      </c>
      <c r="H64" s="112" t="s">
        <v>990</v>
      </c>
      <c r="I64" s="175">
        <v>32</v>
      </c>
      <c r="J64" s="115">
        <v>32</v>
      </c>
      <c r="K64" s="143">
        <f t="shared" si="3"/>
        <v>32</v>
      </c>
      <c r="L64" s="144">
        <f t="shared" si="26"/>
        <v>0</v>
      </c>
      <c r="M64" s="275">
        <f t="shared" si="23"/>
        <v>32</v>
      </c>
      <c r="N64" s="98">
        <v>2</v>
      </c>
      <c r="O64" s="93">
        <f t="shared" ref="O64:O85" si="39">K64/J64*100</f>
        <v>100</v>
      </c>
      <c r="LW64" s="100">
        <v>1</v>
      </c>
      <c r="LX64" s="100">
        <v>6</v>
      </c>
      <c r="LZ64" s="100">
        <v>4</v>
      </c>
      <c r="MA64" s="100">
        <v>1</v>
      </c>
      <c r="MB64" s="100">
        <v>1</v>
      </c>
      <c r="MD64" s="100">
        <v>4</v>
      </c>
      <c r="MF64" s="100">
        <v>2</v>
      </c>
      <c r="MG64" s="100">
        <v>2</v>
      </c>
      <c r="MH64" s="100">
        <v>1</v>
      </c>
      <c r="ML64" s="100">
        <v>2</v>
      </c>
      <c r="MM64" s="100">
        <v>1</v>
      </c>
      <c r="MN64" s="100">
        <v>1</v>
      </c>
      <c r="MP64" s="100">
        <v>5</v>
      </c>
      <c r="MQ64" s="100">
        <v>1</v>
      </c>
      <c r="ON64" s="100">
        <f t="shared" si="7"/>
        <v>0</v>
      </c>
    </row>
    <row r="65" spans="1:404" ht="23.25" customHeight="1">
      <c r="A65" s="101" t="str">
        <f t="shared" si="38"/>
        <v>003/ANNA-VG-21(đ1)68-82200-01-A</v>
      </c>
      <c r="B65" s="95">
        <v>44545</v>
      </c>
      <c r="C65" s="97">
        <f t="shared" ca="1" si="34"/>
        <v>-519</v>
      </c>
      <c r="D65" s="112" t="s">
        <v>1622</v>
      </c>
      <c r="E65" s="279" t="s">
        <v>1637</v>
      </c>
      <c r="F65" s="98" t="str">
        <f t="shared" si="35"/>
        <v>A</v>
      </c>
      <c r="G65" s="110">
        <f ca="1">SUMIF($A:E,$A65,K:K)</f>
        <v>6</v>
      </c>
      <c r="H65" s="319" t="s">
        <v>990</v>
      </c>
      <c r="I65" s="175">
        <v>6</v>
      </c>
      <c r="J65" s="115">
        <v>6</v>
      </c>
      <c r="K65" s="143">
        <f t="shared" si="3"/>
        <v>6</v>
      </c>
      <c r="L65" s="144">
        <f t="shared" si="26"/>
        <v>0</v>
      </c>
      <c r="M65" s="275">
        <f t="shared" si="23"/>
        <v>6</v>
      </c>
      <c r="N65" s="98" t="s">
        <v>1768</v>
      </c>
      <c r="O65" s="93">
        <f t="shared" si="39"/>
        <v>100</v>
      </c>
      <c r="LK65" s="100">
        <v>1</v>
      </c>
      <c r="LM65" s="100">
        <v>1</v>
      </c>
      <c r="LN65" s="100">
        <v>2</v>
      </c>
      <c r="LQ65" s="100">
        <v>2</v>
      </c>
      <c r="ON65" s="100">
        <f t="shared" si="7"/>
        <v>0</v>
      </c>
    </row>
    <row r="66" spans="1:404" ht="23.25" customHeight="1">
      <c r="A66" s="101" t="str">
        <f t="shared" si="38"/>
        <v>006/CANADIAN-2168-82200-01-05</v>
      </c>
      <c r="B66" s="95">
        <v>44435</v>
      </c>
      <c r="C66" s="97">
        <f t="shared" ca="1" si="34"/>
        <v>-629</v>
      </c>
      <c r="D66" s="96" t="s">
        <v>934</v>
      </c>
      <c r="E66" s="94" t="s">
        <v>559</v>
      </c>
      <c r="F66" s="98" t="str">
        <f t="shared" si="35"/>
        <v>05</v>
      </c>
      <c r="G66" s="110">
        <f ca="1">SUMIF($A:E,$A66,K:K)</f>
        <v>12</v>
      </c>
      <c r="H66" s="97" t="s">
        <v>505</v>
      </c>
      <c r="I66" s="98">
        <v>12</v>
      </c>
      <c r="J66" s="97">
        <v>12</v>
      </c>
      <c r="K66" s="143">
        <f t="shared" si="3"/>
        <v>12</v>
      </c>
      <c r="L66" s="144">
        <f t="shared" si="26"/>
        <v>0</v>
      </c>
      <c r="M66" s="275">
        <f t="shared" si="23"/>
        <v>12</v>
      </c>
      <c r="N66" s="98">
        <v>5</v>
      </c>
      <c r="O66" s="93">
        <f t="shared" si="39"/>
        <v>100</v>
      </c>
      <c r="GO66" s="100">
        <v>5</v>
      </c>
      <c r="GR66" s="100">
        <v>6</v>
      </c>
      <c r="GW66" s="100">
        <v>1</v>
      </c>
      <c r="ON66" s="100">
        <f t="shared" si="7"/>
        <v>0</v>
      </c>
    </row>
    <row r="67" spans="1:404" ht="23.25" customHeight="1">
      <c r="A67" s="101" t="str">
        <f t="shared" si="38"/>
        <v>005/CANADIAN-2168-82200-01-05</v>
      </c>
      <c r="B67" s="95">
        <v>44435</v>
      </c>
      <c r="C67" s="97">
        <f t="shared" ca="1" si="34"/>
        <v>-629</v>
      </c>
      <c r="D67" s="96" t="s">
        <v>936</v>
      </c>
      <c r="E67" s="94" t="s">
        <v>559</v>
      </c>
      <c r="F67" s="98" t="str">
        <f t="shared" si="35"/>
        <v>05</v>
      </c>
      <c r="G67" s="110">
        <f ca="1">SUMIF($A:E,$A67,K:K)</f>
        <v>12</v>
      </c>
      <c r="H67" s="97" t="s">
        <v>505</v>
      </c>
      <c r="I67" s="98">
        <v>12</v>
      </c>
      <c r="J67" s="97">
        <v>12</v>
      </c>
      <c r="K67" s="143">
        <f t="shared" ref="K67:K130" si="40">SUM(P67:BBC67)</f>
        <v>12</v>
      </c>
      <c r="L67" s="144">
        <f t="shared" si="26"/>
        <v>0</v>
      </c>
      <c r="M67" s="275">
        <f t="shared" si="23"/>
        <v>12</v>
      </c>
      <c r="N67" s="98">
        <v>5</v>
      </c>
      <c r="O67" s="93">
        <f t="shared" si="39"/>
        <v>100</v>
      </c>
      <c r="GW67" s="100">
        <v>5</v>
      </c>
      <c r="GY67" s="100">
        <v>1</v>
      </c>
      <c r="HB67" s="100">
        <v>6</v>
      </c>
      <c r="ON67" s="100">
        <f t="shared" si="7"/>
        <v>0</v>
      </c>
    </row>
    <row r="68" spans="1:404" ht="35.25" customHeight="1">
      <c r="A68" s="101" t="str">
        <f t="shared" si="38"/>
        <v>014/CANADIAN-2168-82200-01-05</v>
      </c>
      <c r="B68" s="95">
        <v>44468</v>
      </c>
      <c r="C68" s="97">
        <f t="shared" ca="1" si="34"/>
        <v>-596</v>
      </c>
      <c r="D68" s="96" t="s">
        <v>998</v>
      </c>
      <c r="E68" s="94" t="s">
        <v>559</v>
      </c>
      <c r="F68" s="98" t="str">
        <f t="shared" si="35"/>
        <v>05</v>
      </c>
      <c r="G68" s="110">
        <f ca="1">SUMIF($A:E,$A68,K:K)</f>
        <v>12</v>
      </c>
      <c r="H68" s="97" t="s">
        <v>505</v>
      </c>
      <c r="I68" s="98">
        <v>12</v>
      </c>
      <c r="J68" s="99">
        <v>12</v>
      </c>
      <c r="K68" s="143">
        <f t="shared" si="40"/>
        <v>12</v>
      </c>
      <c r="L68" s="144">
        <f t="shared" si="26"/>
        <v>0</v>
      </c>
      <c r="M68" s="275">
        <f t="shared" si="23"/>
        <v>12</v>
      </c>
      <c r="N68" s="98">
        <v>5</v>
      </c>
      <c r="O68" s="93">
        <f t="shared" si="39"/>
        <v>100</v>
      </c>
      <c r="HF68" s="100">
        <v>4</v>
      </c>
      <c r="HJ68" s="100">
        <v>4</v>
      </c>
      <c r="HM68" s="100">
        <v>3</v>
      </c>
      <c r="HP68" s="100">
        <v>1</v>
      </c>
      <c r="ON68" s="100">
        <f t="shared" ref="ON68:ON131" si="41">SUM(NS68:OM68)</f>
        <v>0</v>
      </c>
    </row>
    <row r="69" spans="1:404" ht="23.25" customHeight="1">
      <c r="A69" s="101" t="str">
        <f t="shared" si="38"/>
        <v>012/CANADIAN-2168-82200-01-05</v>
      </c>
      <c r="B69" s="95">
        <v>44464</v>
      </c>
      <c r="C69" s="97">
        <f t="shared" ca="1" si="34"/>
        <v>-600</v>
      </c>
      <c r="D69" s="96" t="s">
        <v>999</v>
      </c>
      <c r="E69" s="94" t="s">
        <v>559</v>
      </c>
      <c r="F69" s="98" t="str">
        <f t="shared" si="35"/>
        <v>05</v>
      </c>
      <c r="G69" s="110">
        <f ca="1">SUMIF($A:E,$A69,K:K)</f>
        <v>6</v>
      </c>
      <c r="H69" s="97" t="s">
        <v>505</v>
      </c>
      <c r="I69" s="98">
        <v>6</v>
      </c>
      <c r="J69" s="97">
        <v>6</v>
      </c>
      <c r="K69" s="143">
        <f t="shared" si="40"/>
        <v>6</v>
      </c>
      <c r="L69" s="144">
        <f t="shared" si="26"/>
        <v>0</v>
      </c>
      <c r="M69" s="275">
        <f t="shared" si="23"/>
        <v>6</v>
      </c>
      <c r="N69" s="98">
        <v>5</v>
      </c>
      <c r="O69" s="93">
        <f t="shared" si="39"/>
        <v>100</v>
      </c>
      <c r="HB69" s="100">
        <v>2</v>
      </c>
      <c r="HC69" s="100">
        <v>2</v>
      </c>
      <c r="HF69" s="100">
        <v>2</v>
      </c>
      <c r="ON69" s="100">
        <f t="shared" si="41"/>
        <v>0</v>
      </c>
    </row>
    <row r="70" spans="1:404" ht="23.25" customHeight="1">
      <c r="A70" s="101" t="str">
        <f t="shared" si="38"/>
        <v>006/CANADIAN-2168-82200-01-01</v>
      </c>
      <c r="B70" s="95">
        <v>44435</v>
      </c>
      <c r="C70" s="97">
        <f t="shared" ca="1" si="34"/>
        <v>-629</v>
      </c>
      <c r="D70" s="96" t="s">
        <v>934</v>
      </c>
      <c r="E70" s="94" t="s">
        <v>558</v>
      </c>
      <c r="F70" s="98" t="str">
        <f t="shared" si="35"/>
        <v>01</v>
      </c>
      <c r="G70" s="110">
        <f ca="1">SUMIF($A:E,$A70,K:K)</f>
        <v>6</v>
      </c>
      <c r="H70" s="97" t="s">
        <v>505</v>
      </c>
      <c r="I70" s="98">
        <v>6</v>
      </c>
      <c r="J70" s="97">
        <v>6</v>
      </c>
      <c r="K70" s="143">
        <f t="shared" si="40"/>
        <v>6</v>
      </c>
      <c r="L70" s="144">
        <f t="shared" si="26"/>
        <v>0</v>
      </c>
      <c r="M70" s="275">
        <f t="shared" si="23"/>
        <v>6</v>
      </c>
      <c r="N70" s="98">
        <v>5</v>
      </c>
      <c r="O70" s="93">
        <f t="shared" si="39"/>
        <v>100</v>
      </c>
      <c r="GH70" s="100">
        <v>5</v>
      </c>
      <c r="GI70" s="100">
        <v>1</v>
      </c>
      <c r="ON70" s="100">
        <f t="shared" si="41"/>
        <v>0</v>
      </c>
    </row>
    <row r="71" spans="1:404" ht="23.25" customHeight="1">
      <c r="A71" s="101" t="str">
        <f t="shared" si="38"/>
        <v>005/CANADIAN-2168-82200-01-01</v>
      </c>
      <c r="B71" s="95">
        <v>44435</v>
      </c>
      <c r="C71" s="97">
        <f t="shared" ca="1" si="34"/>
        <v>-629</v>
      </c>
      <c r="D71" s="96" t="s">
        <v>936</v>
      </c>
      <c r="E71" s="94" t="s">
        <v>558</v>
      </c>
      <c r="F71" s="98" t="str">
        <f t="shared" si="35"/>
        <v>01</v>
      </c>
      <c r="G71" s="110">
        <f ca="1">SUMIF($A:E,$A71,K:K)</f>
        <v>6</v>
      </c>
      <c r="H71" s="97" t="s">
        <v>505</v>
      </c>
      <c r="I71" s="98">
        <v>6</v>
      </c>
      <c r="J71" s="97">
        <v>6</v>
      </c>
      <c r="K71" s="143">
        <f t="shared" si="40"/>
        <v>6</v>
      </c>
      <c r="L71" s="144">
        <f t="shared" si="26"/>
        <v>0</v>
      </c>
      <c r="M71" s="275">
        <f t="shared" si="23"/>
        <v>6</v>
      </c>
      <c r="N71" s="98">
        <v>5</v>
      </c>
      <c r="O71" s="93">
        <f t="shared" si="39"/>
        <v>100</v>
      </c>
      <c r="GI71" s="100">
        <v>2</v>
      </c>
      <c r="GL71" s="100">
        <v>4</v>
      </c>
      <c r="ON71" s="100">
        <f t="shared" si="41"/>
        <v>0</v>
      </c>
    </row>
    <row r="72" spans="1:404" ht="23.25" customHeight="1">
      <c r="A72" s="101" t="str">
        <f t="shared" si="38"/>
        <v>014/CANADIAN-2168-82200-01-01</v>
      </c>
      <c r="B72" s="95">
        <v>44468</v>
      </c>
      <c r="C72" s="97">
        <f t="shared" ca="1" si="34"/>
        <v>-596</v>
      </c>
      <c r="D72" s="96" t="s">
        <v>998</v>
      </c>
      <c r="E72" s="94" t="s">
        <v>558</v>
      </c>
      <c r="F72" s="98" t="str">
        <f t="shared" si="35"/>
        <v>01</v>
      </c>
      <c r="G72" s="110">
        <f ca="1">SUMIF($A:E,$A72,K:K)</f>
        <v>12</v>
      </c>
      <c r="H72" s="97" t="s">
        <v>505</v>
      </c>
      <c r="I72" s="98">
        <v>12</v>
      </c>
      <c r="J72" s="99">
        <v>12</v>
      </c>
      <c r="K72" s="143">
        <f t="shared" si="40"/>
        <v>12</v>
      </c>
      <c r="L72" s="144">
        <f t="shared" si="26"/>
        <v>0</v>
      </c>
      <c r="M72" s="275">
        <f t="shared" si="23"/>
        <v>12</v>
      </c>
      <c r="N72" s="98">
        <v>5</v>
      </c>
      <c r="O72" s="93">
        <f t="shared" si="39"/>
        <v>100</v>
      </c>
      <c r="HP72" s="100">
        <v>5</v>
      </c>
      <c r="HQ72" s="100">
        <v>1</v>
      </c>
      <c r="HR72" s="100">
        <v>1</v>
      </c>
      <c r="HS72" s="100">
        <v>3</v>
      </c>
      <c r="IE72" s="100">
        <v>2</v>
      </c>
      <c r="ON72" s="100">
        <f t="shared" si="41"/>
        <v>0</v>
      </c>
    </row>
    <row r="73" spans="1:404" ht="23.25" customHeight="1">
      <c r="A73" s="101" t="str">
        <f t="shared" si="38"/>
        <v>016/CANADIAN-2168-82200-01-01</v>
      </c>
      <c r="B73" s="95">
        <v>44510</v>
      </c>
      <c r="C73" s="97">
        <f t="shared" ca="1" si="34"/>
        <v>-554</v>
      </c>
      <c r="D73" s="96" t="s">
        <v>1024</v>
      </c>
      <c r="E73" s="280" t="s">
        <v>558</v>
      </c>
      <c r="F73" s="98" t="str">
        <f t="shared" si="35"/>
        <v>01</v>
      </c>
      <c r="G73" s="110">
        <f ca="1">SUMIF($A:E,$A73,K:K)</f>
        <v>6</v>
      </c>
      <c r="H73" s="97" t="s">
        <v>576</v>
      </c>
      <c r="I73" s="98">
        <v>6</v>
      </c>
      <c r="J73" s="97">
        <v>6</v>
      </c>
      <c r="K73" s="143">
        <f t="shared" si="40"/>
        <v>6</v>
      </c>
      <c r="L73" s="144">
        <f t="shared" si="26"/>
        <v>0</v>
      </c>
      <c r="M73" s="275">
        <f t="shared" si="23"/>
        <v>6</v>
      </c>
      <c r="N73" s="98">
        <v>2</v>
      </c>
      <c r="O73" s="93">
        <f t="shared" si="39"/>
        <v>100</v>
      </c>
      <c r="KJ73" s="100">
        <v>1</v>
      </c>
      <c r="KN73" s="100">
        <v>2</v>
      </c>
      <c r="KP73" s="100">
        <v>3</v>
      </c>
      <c r="ON73" s="100">
        <f t="shared" si="41"/>
        <v>0</v>
      </c>
    </row>
    <row r="74" spans="1:404" ht="23.25" customHeight="1">
      <c r="A74" s="101" t="str">
        <f t="shared" si="38"/>
        <v>003/ANNA-VG-21(đ4)68-82100-02-A</v>
      </c>
      <c r="B74" s="95">
        <v>44579</v>
      </c>
      <c r="C74" s="97">
        <f t="shared" ca="1" si="34"/>
        <v>-485</v>
      </c>
      <c r="D74" s="112" t="s">
        <v>1652</v>
      </c>
      <c r="E74" s="279" t="s">
        <v>1662</v>
      </c>
      <c r="F74" s="98" t="str">
        <f t="shared" si="35"/>
        <v>A</v>
      </c>
      <c r="G74" s="110">
        <f ca="1">SUMIF($A:E,$A74,K:K)</f>
        <v>27</v>
      </c>
      <c r="H74" s="112" t="s">
        <v>990</v>
      </c>
      <c r="I74" s="175">
        <v>27</v>
      </c>
      <c r="J74" s="115">
        <v>27</v>
      </c>
      <c r="K74" s="143">
        <f t="shared" si="40"/>
        <v>27</v>
      </c>
      <c r="L74" s="144">
        <f t="shared" si="26"/>
        <v>0</v>
      </c>
      <c r="M74" s="275">
        <f t="shared" ref="M74:M122" si="42">IF(OR(MID(E74,10,1)="0",MID(E74,10,1)="F"),I74,IF(OR(,MID(E74,10,1)="S",MID(E74,10,1)="L",MID(E74,10,1)="B",MID(E74,10,1)="X"),MID(E74,11,1)*I74,0))</f>
        <v>27</v>
      </c>
      <c r="N74" s="98">
        <v>2</v>
      </c>
      <c r="O74" s="93">
        <f t="shared" si="39"/>
        <v>100</v>
      </c>
      <c r="LP74" s="100">
        <v>4</v>
      </c>
      <c r="LR74" s="100">
        <v>4</v>
      </c>
      <c r="LT74" s="100">
        <v>3</v>
      </c>
      <c r="LW74" s="100">
        <v>4</v>
      </c>
      <c r="LX74" s="100">
        <v>4</v>
      </c>
      <c r="LY74" s="100">
        <v>2</v>
      </c>
      <c r="LZ74" s="100">
        <v>3</v>
      </c>
      <c r="MA74" s="100">
        <v>3</v>
      </c>
      <c r="ON74" s="100">
        <f t="shared" si="41"/>
        <v>0</v>
      </c>
    </row>
    <row r="75" spans="1:404" ht="23.25" customHeight="1">
      <c r="A75" s="101" t="str">
        <f t="shared" si="38"/>
        <v>002/VANDER_SR-2168-82000-02-A</v>
      </c>
      <c r="B75" s="95">
        <v>44311</v>
      </c>
      <c r="C75" s="97">
        <f t="shared" ca="1" si="34"/>
        <v>-753</v>
      </c>
      <c r="D75" s="96" t="s">
        <v>912</v>
      </c>
      <c r="E75" s="94" t="s">
        <v>914</v>
      </c>
      <c r="F75" s="98" t="str">
        <f t="shared" si="35"/>
        <v>A</v>
      </c>
      <c r="G75" s="110">
        <f ca="1">SUMIF($A:E,$A75,K:K)</f>
        <v>2</v>
      </c>
      <c r="H75" s="97" t="s">
        <v>916</v>
      </c>
      <c r="I75" s="98">
        <v>2</v>
      </c>
      <c r="J75" s="99">
        <v>2</v>
      </c>
      <c r="K75" s="143">
        <f t="shared" si="40"/>
        <v>2</v>
      </c>
      <c r="L75" s="144">
        <f t="shared" si="26"/>
        <v>0</v>
      </c>
      <c r="M75" s="275">
        <f t="shared" si="42"/>
        <v>2</v>
      </c>
      <c r="N75" s="98">
        <v>2</v>
      </c>
      <c r="O75" s="93">
        <f t="shared" si="39"/>
        <v>100</v>
      </c>
      <c r="CZ75" s="101">
        <v>1</v>
      </c>
      <c r="DA75" s="101">
        <v>1</v>
      </c>
      <c r="ON75" s="100">
        <f t="shared" si="41"/>
        <v>0</v>
      </c>
    </row>
    <row r="76" spans="1:404" ht="23.25" customHeight="1">
      <c r="A76" s="101" t="str">
        <f t="shared" si="38"/>
        <v>003/ANNA-VG-21(đ5)68-82000-02-A</v>
      </c>
      <c r="B76" s="95">
        <v>44600</v>
      </c>
      <c r="C76" s="97">
        <f t="shared" ca="1" si="34"/>
        <v>-464</v>
      </c>
      <c r="D76" s="112" t="s">
        <v>1664</v>
      </c>
      <c r="E76" s="279" t="s">
        <v>914</v>
      </c>
      <c r="F76" s="98" t="str">
        <f t="shared" si="35"/>
        <v>A</v>
      </c>
      <c r="G76" s="110">
        <f ca="1">SUMIF($A:E,$A76,K:K)</f>
        <v>27</v>
      </c>
      <c r="H76" s="112" t="s">
        <v>990</v>
      </c>
      <c r="I76" s="175">
        <v>18</v>
      </c>
      <c r="J76" s="115">
        <v>18</v>
      </c>
      <c r="K76" s="143">
        <f t="shared" si="40"/>
        <v>27</v>
      </c>
      <c r="L76" s="144">
        <f t="shared" ref="L76:L122" si="43">J76-K76</f>
        <v>-9</v>
      </c>
      <c r="M76" s="275">
        <f t="shared" si="42"/>
        <v>18</v>
      </c>
      <c r="N76" s="98" t="s">
        <v>1768</v>
      </c>
      <c r="O76" s="93">
        <f>K76/J76*100</f>
        <v>150</v>
      </c>
      <c r="NE76" s="100">
        <v>3</v>
      </c>
      <c r="NK76" s="100">
        <v>5</v>
      </c>
      <c r="NL76" s="100">
        <v>1</v>
      </c>
      <c r="NV76" s="100">
        <v>5</v>
      </c>
      <c r="NY76" s="100">
        <v>4</v>
      </c>
      <c r="ON76" s="100">
        <f t="shared" si="41"/>
        <v>9</v>
      </c>
    </row>
    <row r="77" spans="1:404" ht="23.25" customHeight="1">
      <c r="A77" s="101" t="str">
        <f t="shared" si="38"/>
        <v>002/VANDER_SR-2168-82000-02-05</v>
      </c>
      <c r="B77" s="95">
        <v>44314</v>
      </c>
      <c r="C77" s="97">
        <f t="shared" ca="1" si="34"/>
        <v>-750</v>
      </c>
      <c r="D77" s="96" t="s">
        <v>912</v>
      </c>
      <c r="E77" s="94" t="s">
        <v>915</v>
      </c>
      <c r="F77" s="98" t="str">
        <f t="shared" si="35"/>
        <v>05</v>
      </c>
      <c r="G77" s="110">
        <f ca="1">SUMIF($A:E,$A77,K:K)</f>
        <v>2</v>
      </c>
      <c r="H77" s="97" t="s">
        <v>518</v>
      </c>
      <c r="I77" s="98">
        <v>2</v>
      </c>
      <c r="J77" s="99">
        <v>2</v>
      </c>
      <c r="K77" s="143">
        <f t="shared" si="40"/>
        <v>2</v>
      </c>
      <c r="L77" s="144">
        <f t="shared" si="43"/>
        <v>0</v>
      </c>
      <c r="M77" s="275">
        <f t="shared" si="42"/>
        <v>2</v>
      </c>
      <c r="N77" s="98">
        <v>2</v>
      </c>
      <c r="O77" s="93">
        <f t="shared" si="39"/>
        <v>100</v>
      </c>
      <c r="DK77" s="101">
        <v>2</v>
      </c>
      <c r="ON77" s="100">
        <f t="shared" si="41"/>
        <v>0</v>
      </c>
    </row>
    <row r="78" spans="1:404" ht="23.25" customHeight="1">
      <c r="A78" s="101" t="str">
        <f t="shared" si="38"/>
        <v>011/MOJAY-2168-79900-S2-B</v>
      </c>
      <c r="B78" s="95">
        <v>44625</v>
      </c>
      <c r="C78" s="97">
        <f t="shared" ca="1" si="34"/>
        <v>-439</v>
      </c>
      <c r="D78" s="263" t="s">
        <v>1118</v>
      </c>
      <c r="E78" s="94" t="s">
        <v>1120</v>
      </c>
      <c r="F78" s="98" t="str">
        <f t="shared" si="35"/>
        <v>B</v>
      </c>
      <c r="G78" s="110">
        <f ca="1">SUMIF($A:E,$A78,K:K)</f>
        <v>38</v>
      </c>
      <c r="H78" s="97" t="s">
        <v>820</v>
      </c>
      <c r="I78" s="98">
        <v>32</v>
      </c>
      <c r="J78" s="99">
        <v>32</v>
      </c>
      <c r="K78" s="143">
        <f t="shared" si="40"/>
        <v>0</v>
      </c>
      <c r="L78" s="144">
        <f t="shared" si="43"/>
        <v>32</v>
      </c>
      <c r="M78" s="275">
        <f t="shared" si="42"/>
        <v>64</v>
      </c>
      <c r="N78" s="98"/>
      <c r="O78" s="93">
        <f t="shared" si="39"/>
        <v>0</v>
      </c>
      <c r="ON78" s="100">
        <f t="shared" si="41"/>
        <v>0</v>
      </c>
    </row>
    <row r="79" spans="1:404" ht="23.25" customHeight="1">
      <c r="A79" s="101" t="str">
        <f t="shared" si="38"/>
        <v>001/NEVE YARAK-VG-2168-79900-S2-B</v>
      </c>
      <c r="B79" s="218">
        <v>44661</v>
      </c>
      <c r="C79" s="97">
        <f t="shared" ca="1" si="34"/>
        <v>-403</v>
      </c>
      <c r="D79" s="112" t="s">
        <v>1705</v>
      </c>
      <c r="E79" s="123" t="s">
        <v>1120</v>
      </c>
      <c r="F79" s="98" t="str">
        <f t="shared" si="35"/>
        <v>B</v>
      </c>
      <c r="G79" s="110">
        <f ca="1">SUMIF($A:E,$A79,K:K)</f>
        <v>0</v>
      </c>
      <c r="H79" s="97" t="s">
        <v>927</v>
      </c>
      <c r="I79" s="175">
        <v>36</v>
      </c>
      <c r="J79" s="115">
        <v>36</v>
      </c>
      <c r="K79" s="143">
        <f t="shared" si="40"/>
        <v>0</v>
      </c>
      <c r="L79" s="144">
        <f t="shared" si="43"/>
        <v>36</v>
      </c>
      <c r="M79" s="275">
        <f t="shared" si="42"/>
        <v>72</v>
      </c>
      <c r="N79" s="98">
        <v>1</v>
      </c>
      <c r="O79" s="93">
        <f t="shared" si="39"/>
        <v>0</v>
      </c>
      <c r="ON79" s="100">
        <f t="shared" si="41"/>
        <v>0</v>
      </c>
    </row>
    <row r="80" spans="1:404" ht="23.25" customHeight="1">
      <c r="A80" s="101" t="str">
        <f t="shared" si="38"/>
        <v>011/MOJAY-2168-79900-S2-32</v>
      </c>
      <c r="B80" s="95">
        <v>44640</v>
      </c>
      <c r="C80" s="97">
        <f t="shared" ca="1" si="34"/>
        <v>-424</v>
      </c>
      <c r="D80" s="263" t="s">
        <v>1118</v>
      </c>
      <c r="E80" s="94" t="s">
        <v>1119</v>
      </c>
      <c r="F80" s="98" t="str">
        <f t="shared" si="35"/>
        <v>32</v>
      </c>
      <c r="G80" s="110">
        <f ca="1">SUMIF($A:E,$A80,K:K)</f>
        <v>0</v>
      </c>
      <c r="H80" s="97" t="s">
        <v>505</v>
      </c>
      <c r="I80" s="98">
        <v>16</v>
      </c>
      <c r="J80" s="99">
        <v>16</v>
      </c>
      <c r="K80" s="143">
        <f t="shared" si="40"/>
        <v>0</v>
      </c>
      <c r="L80" s="144">
        <f t="shared" si="43"/>
        <v>16</v>
      </c>
      <c r="M80" s="275">
        <f t="shared" si="42"/>
        <v>32</v>
      </c>
      <c r="N80" s="98"/>
      <c r="O80" s="93">
        <f t="shared" si="39"/>
        <v>0</v>
      </c>
      <c r="ON80" s="100">
        <f t="shared" si="41"/>
        <v>0</v>
      </c>
    </row>
    <row r="81" spans="1:404" ht="23.25" customHeight="1">
      <c r="A81" s="101" t="e">
        <f>D81&amp;#REF!</f>
        <v>#REF!</v>
      </c>
      <c r="B81" s="95">
        <v>44497</v>
      </c>
      <c r="C81" s="97">
        <f t="shared" ca="1" si="34"/>
        <v>-567</v>
      </c>
      <c r="D81" s="96" t="s">
        <v>1194</v>
      </c>
      <c r="E81" s="280" t="s">
        <v>400</v>
      </c>
      <c r="F81" s="98" t="str">
        <f t="shared" si="35"/>
        <v>A</v>
      </c>
      <c r="G81" s="110">
        <f ca="1">SUMIF($A:E,$A81,K:K)</f>
        <v>1754</v>
      </c>
      <c r="H81" s="97" t="s">
        <v>933</v>
      </c>
      <c r="I81" s="98">
        <v>50</v>
      </c>
      <c r="J81" s="99">
        <v>50</v>
      </c>
      <c r="K81" s="143">
        <f t="shared" si="40"/>
        <v>50</v>
      </c>
      <c r="L81" s="144">
        <f t="shared" si="43"/>
        <v>0</v>
      </c>
      <c r="M81" s="275">
        <f t="shared" si="42"/>
        <v>50</v>
      </c>
      <c r="N81" s="98" t="s">
        <v>1768</v>
      </c>
      <c r="O81" s="93">
        <f t="shared" si="39"/>
        <v>100</v>
      </c>
      <c r="IT81" s="100">
        <v>17</v>
      </c>
      <c r="IU81" s="100">
        <v>1</v>
      </c>
      <c r="IV81" s="100">
        <v>5</v>
      </c>
      <c r="IZ81" s="100">
        <v>3</v>
      </c>
      <c r="JB81" s="100">
        <v>9</v>
      </c>
      <c r="JC81" s="100">
        <v>11</v>
      </c>
      <c r="JG81" s="100">
        <v>4</v>
      </c>
      <c r="ON81" s="100">
        <f t="shared" si="41"/>
        <v>0</v>
      </c>
    </row>
    <row r="82" spans="1:404" ht="23.25" customHeight="1">
      <c r="A82" s="101" t="str">
        <f>D82&amp;E82</f>
        <v>177/KHBS-2168-79900-02-A</v>
      </c>
      <c r="B82" s="95">
        <v>44327</v>
      </c>
      <c r="C82" s="97">
        <f t="shared" ca="1" si="34"/>
        <v>-737</v>
      </c>
      <c r="D82" s="96" t="s">
        <v>974</v>
      </c>
      <c r="E82" s="269" t="s">
        <v>400</v>
      </c>
      <c r="F82" s="98" t="str">
        <f t="shared" si="35"/>
        <v>A</v>
      </c>
      <c r="G82" s="110">
        <f ca="1">SUMIF($A:E,$A82,K:K)</f>
        <v>1</v>
      </c>
      <c r="H82" s="97" t="s">
        <v>508</v>
      </c>
      <c r="I82" s="98">
        <v>1</v>
      </c>
      <c r="J82" s="99">
        <v>1</v>
      </c>
      <c r="K82" s="143">
        <f t="shared" si="40"/>
        <v>1</v>
      </c>
      <c r="L82" s="144">
        <f t="shared" si="43"/>
        <v>0</v>
      </c>
      <c r="M82" s="275">
        <f t="shared" si="42"/>
        <v>1</v>
      </c>
      <c r="N82" s="98">
        <v>3</v>
      </c>
      <c r="O82" s="93">
        <f t="shared" si="39"/>
        <v>100</v>
      </c>
      <c r="DU82" s="100">
        <v>1</v>
      </c>
      <c r="ON82" s="100">
        <f t="shared" si="41"/>
        <v>0</v>
      </c>
    </row>
    <row r="83" spans="1:404" ht="23.25" customHeight="1">
      <c r="A83" s="101" t="str">
        <f>D83&amp;E83</f>
        <v>054/EUROMARKET-2168-79900-02-A</v>
      </c>
      <c r="B83" s="95">
        <v>44454</v>
      </c>
      <c r="C83" s="97">
        <f t="shared" ca="1" si="34"/>
        <v>-610</v>
      </c>
      <c r="D83" s="112" t="s">
        <v>1426</v>
      </c>
      <c r="E83" s="123" t="s">
        <v>400</v>
      </c>
      <c r="F83" s="98" t="str">
        <f t="shared" si="35"/>
        <v>A</v>
      </c>
      <c r="G83" s="110">
        <f ca="1">SUMIF($A:E,$A83,K:K)</f>
        <v>42</v>
      </c>
      <c r="H83" s="97" t="s">
        <v>508</v>
      </c>
      <c r="I83" s="98">
        <v>42</v>
      </c>
      <c r="J83" s="115">
        <v>42</v>
      </c>
      <c r="K83" s="143">
        <f t="shared" si="40"/>
        <v>42</v>
      </c>
      <c r="L83" s="144">
        <f t="shared" si="43"/>
        <v>0</v>
      </c>
      <c r="M83" s="275">
        <f t="shared" si="42"/>
        <v>42</v>
      </c>
      <c r="N83" s="98">
        <v>5</v>
      </c>
      <c r="O83" s="93">
        <f t="shared" si="39"/>
        <v>100</v>
      </c>
      <c r="GX83" s="100">
        <v>7</v>
      </c>
      <c r="GY83" s="100">
        <v>4</v>
      </c>
      <c r="HC83" s="100">
        <v>10</v>
      </c>
      <c r="HD83" s="100">
        <v>8</v>
      </c>
      <c r="HF83" s="100">
        <v>5</v>
      </c>
      <c r="HI83" s="100">
        <v>3</v>
      </c>
      <c r="HK83" s="100">
        <v>5</v>
      </c>
      <c r="ON83" s="100">
        <f t="shared" si="41"/>
        <v>0</v>
      </c>
    </row>
    <row r="84" spans="1:404" ht="23.25" customHeight="1">
      <c r="A84" s="101" t="str">
        <f>D84&amp;E84</f>
        <v>056/EUROMARKET-2168-79900-02-A</v>
      </c>
      <c r="B84" s="95">
        <v>44454</v>
      </c>
      <c r="C84" s="97">
        <f t="shared" ca="1" si="34"/>
        <v>-610</v>
      </c>
      <c r="D84" s="112" t="s">
        <v>1517</v>
      </c>
      <c r="E84" s="123" t="s">
        <v>400</v>
      </c>
      <c r="F84" s="98" t="str">
        <f t="shared" si="35"/>
        <v>A</v>
      </c>
      <c r="G84" s="110">
        <f ca="1">SUMIF($A:E,$A84,K:K)</f>
        <v>110</v>
      </c>
      <c r="H84" s="97" t="s">
        <v>616</v>
      </c>
      <c r="I84" s="175">
        <v>110</v>
      </c>
      <c r="J84" s="115">
        <v>50</v>
      </c>
      <c r="K84" s="143">
        <f t="shared" si="40"/>
        <v>50</v>
      </c>
      <c r="L84" s="144">
        <f t="shared" si="43"/>
        <v>0</v>
      </c>
      <c r="M84" s="275">
        <f t="shared" si="42"/>
        <v>110</v>
      </c>
      <c r="N84" s="98">
        <v>1</v>
      </c>
      <c r="O84" s="93">
        <f t="shared" si="39"/>
        <v>100</v>
      </c>
      <c r="HD84" s="100">
        <v>5</v>
      </c>
      <c r="HF84" s="100">
        <v>5</v>
      </c>
      <c r="HG84" s="100">
        <v>8</v>
      </c>
      <c r="HJ84" s="100">
        <v>2</v>
      </c>
      <c r="HL84" s="100">
        <v>3</v>
      </c>
      <c r="HQ84" s="100">
        <v>4</v>
      </c>
      <c r="HR84" s="100">
        <v>7</v>
      </c>
      <c r="HY84" s="100">
        <v>11</v>
      </c>
      <c r="ID84" s="100">
        <v>3</v>
      </c>
      <c r="IK84" s="100">
        <v>2</v>
      </c>
      <c r="ON84" s="100">
        <f t="shared" si="41"/>
        <v>0</v>
      </c>
    </row>
    <row r="85" spans="1:404" ht="23.25" customHeight="1">
      <c r="A85" s="101" t="s">
        <v>1796</v>
      </c>
      <c r="B85" s="95">
        <v>44454</v>
      </c>
      <c r="C85" s="97">
        <f t="shared" ca="1" si="34"/>
        <v>-610</v>
      </c>
      <c r="D85" s="112" t="s">
        <v>1517</v>
      </c>
      <c r="E85" s="279" t="s">
        <v>400</v>
      </c>
      <c r="F85" s="98" t="s">
        <v>1775</v>
      </c>
      <c r="G85" s="110">
        <v>104</v>
      </c>
      <c r="H85" s="97" t="s">
        <v>616</v>
      </c>
      <c r="I85" s="175">
        <v>110</v>
      </c>
      <c r="J85" s="115">
        <v>4</v>
      </c>
      <c r="K85" s="143">
        <f t="shared" si="40"/>
        <v>4</v>
      </c>
      <c r="L85" s="144">
        <f t="shared" si="43"/>
        <v>0</v>
      </c>
      <c r="M85" s="275">
        <f t="shared" si="42"/>
        <v>110</v>
      </c>
      <c r="N85" s="98" t="s">
        <v>1776</v>
      </c>
      <c r="O85" s="93">
        <f t="shared" si="39"/>
        <v>100</v>
      </c>
      <c r="IM85" s="100">
        <v>4</v>
      </c>
      <c r="ON85" s="100">
        <f t="shared" si="41"/>
        <v>0</v>
      </c>
    </row>
    <row r="86" spans="1:404" ht="23.25" customHeight="1">
      <c r="A86" s="101" t="str">
        <f>D86&amp;E86</f>
        <v>056/EUROMARKET-2168-79900-02-A</v>
      </c>
      <c r="B86" s="95">
        <v>44454</v>
      </c>
      <c r="C86" s="97">
        <f t="shared" ca="1" si="34"/>
        <v>-610</v>
      </c>
      <c r="D86" s="112" t="s">
        <v>1517</v>
      </c>
      <c r="E86" s="123" t="s">
        <v>400</v>
      </c>
      <c r="F86" s="98" t="str">
        <f>MID(E86,13,2)</f>
        <v>A</v>
      </c>
      <c r="G86" s="110">
        <f ca="1">SUMIF($A:E,$A86,K:K)</f>
        <v>110</v>
      </c>
      <c r="H86" s="97" t="s">
        <v>616</v>
      </c>
      <c r="I86" s="175">
        <v>110</v>
      </c>
      <c r="J86" s="115">
        <v>56</v>
      </c>
      <c r="K86" s="143">
        <f t="shared" si="40"/>
        <v>56</v>
      </c>
      <c r="L86" s="144">
        <f t="shared" si="43"/>
        <v>0</v>
      </c>
      <c r="M86" s="275">
        <f t="shared" si="42"/>
        <v>110</v>
      </c>
      <c r="N86" s="98">
        <v>5</v>
      </c>
      <c r="O86" s="93">
        <f>K86/J86*100</f>
        <v>100</v>
      </c>
      <c r="HK86" s="100">
        <v>5</v>
      </c>
      <c r="HM86" s="100">
        <v>5</v>
      </c>
      <c r="HQ86" s="100">
        <v>9</v>
      </c>
      <c r="HR86" s="100">
        <v>6</v>
      </c>
      <c r="HU86" s="100">
        <v>4</v>
      </c>
      <c r="HW86" s="100">
        <v>9</v>
      </c>
      <c r="HX86" s="100">
        <v>6</v>
      </c>
      <c r="IE86" s="100">
        <v>12</v>
      </c>
      <c r="ON86" s="100">
        <f t="shared" si="41"/>
        <v>0</v>
      </c>
    </row>
    <row r="87" spans="1:404" ht="23.25" customHeight="1">
      <c r="A87" s="101" t="str">
        <f>D87&amp;E87</f>
        <v>025T/EUROMARKET-2168-79900-02-A</v>
      </c>
      <c r="B87" s="95">
        <v>44548</v>
      </c>
      <c r="C87" s="97">
        <f t="shared" ca="1" si="34"/>
        <v>-516</v>
      </c>
      <c r="D87" s="112" t="s">
        <v>1777</v>
      </c>
      <c r="E87" s="279" t="s">
        <v>400</v>
      </c>
      <c r="F87" s="98" t="str">
        <f>MID(E87,13,2)</f>
        <v>A</v>
      </c>
      <c r="G87" s="224">
        <f ca="1">SUMIF($A:E,$A87,K:K)</f>
        <v>160</v>
      </c>
      <c r="H87" s="97" t="s">
        <v>616</v>
      </c>
      <c r="I87" s="175">
        <v>160</v>
      </c>
      <c r="J87" s="115">
        <v>160</v>
      </c>
      <c r="K87" s="143">
        <f t="shared" si="40"/>
        <v>160</v>
      </c>
      <c r="L87" s="144">
        <f t="shared" ref="L87" si="44">J87-K87</f>
        <v>0</v>
      </c>
      <c r="M87" s="275">
        <f t="shared" si="42"/>
        <v>160</v>
      </c>
      <c r="N87" s="98" t="s">
        <v>1776</v>
      </c>
      <c r="O87" s="93">
        <f t="shared" ref="O87" si="45">K87/J87*100</f>
        <v>100</v>
      </c>
      <c r="IN87" s="100">
        <v>13</v>
      </c>
      <c r="JG87" s="100">
        <v>21</v>
      </c>
      <c r="JJ87" s="100">
        <v>20</v>
      </c>
      <c r="JN87" s="100">
        <v>5</v>
      </c>
      <c r="JQ87" s="100">
        <v>17</v>
      </c>
      <c r="JW87" s="100">
        <v>12</v>
      </c>
      <c r="KB87" s="100">
        <v>14</v>
      </c>
      <c r="KC87" s="100">
        <v>8</v>
      </c>
      <c r="KE87" s="100">
        <v>6</v>
      </c>
      <c r="KH87" s="100">
        <v>5</v>
      </c>
      <c r="KO87" s="100">
        <v>20</v>
      </c>
      <c r="KX87" s="100">
        <v>12</v>
      </c>
      <c r="LJ87" s="100">
        <v>7</v>
      </c>
      <c r="ON87" s="100">
        <f t="shared" si="41"/>
        <v>0</v>
      </c>
    </row>
    <row r="88" spans="1:404" ht="23.25" customHeight="1">
      <c r="A88" s="101" t="s">
        <v>2196</v>
      </c>
      <c r="B88" s="95">
        <v>44564</v>
      </c>
      <c r="C88" s="97">
        <v>42</v>
      </c>
      <c r="D88" s="112" t="s">
        <v>1778</v>
      </c>
      <c r="E88" s="279" t="s">
        <v>400</v>
      </c>
      <c r="F88" s="98" t="s">
        <v>1775</v>
      </c>
      <c r="G88" s="224">
        <v>0</v>
      </c>
      <c r="H88" s="97" t="s">
        <v>616</v>
      </c>
      <c r="I88" s="175">
        <v>100</v>
      </c>
      <c r="J88" s="115">
        <v>2</v>
      </c>
      <c r="K88" s="143">
        <f t="shared" si="40"/>
        <v>2</v>
      </c>
      <c r="L88" s="144">
        <f t="shared" ref="L88:L89" si="46">J88-K88</f>
        <v>0</v>
      </c>
      <c r="M88" s="275">
        <f t="shared" si="42"/>
        <v>100</v>
      </c>
      <c r="N88" s="98">
        <v>1</v>
      </c>
      <c r="O88" s="93">
        <f>K88/J88*100</f>
        <v>100</v>
      </c>
      <c r="LR88" s="100">
        <v>2</v>
      </c>
      <c r="ON88" s="100">
        <f t="shared" si="41"/>
        <v>0</v>
      </c>
    </row>
    <row r="89" spans="1:404" ht="23.25" customHeight="1">
      <c r="A89" s="101" t="str">
        <f t="shared" ref="A89:A96" si="47">D89&amp;E89</f>
        <v>026T/EUROMARKET-2168-79900-02-A</v>
      </c>
      <c r="B89" s="95">
        <v>44564</v>
      </c>
      <c r="C89" s="97">
        <f t="shared" ref="C89:C112" ca="1" si="48">B89-TODAY()</f>
        <v>-500</v>
      </c>
      <c r="D89" s="112" t="s">
        <v>1778</v>
      </c>
      <c r="E89" s="279" t="s">
        <v>400</v>
      </c>
      <c r="F89" s="98" t="str">
        <f t="shared" ref="F89:F96" si="49">MID(E89,13,2)</f>
        <v>A</v>
      </c>
      <c r="G89" s="224">
        <f ca="1">SUMIF($A:E,$A89,K:K)</f>
        <v>100</v>
      </c>
      <c r="H89" s="97" t="s">
        <v>616</v>
      </c>
      <c r="I89" s="175">
        <v>100</v>
      </c>
      <c r="J89" s="115">
        <v>98</v>
      </c>
      <c r="K89" s="143">
        <f t="shared" si="40"/>
        <v>98</v>
      </c>
      <c r="L89" s="144">
        <f t="shared" si="46"/>
        <v>0</v>
      </c>
      <c r="M89" s="275">
        <f t="shared" si="42"/>
        <v>100</v>
      </c>
      <c r="N89" s="98" t="s">
        <v>1776</v>
      </c>
      <c r="O89" s="93">
        <f>K89/J89*100</f>
        <v>100</v>
      </c>
      <c r="LJ89" s="100">
        <v>10</v>
      </c>
      <c r="LL89" s="100">
        <v>2</v>
      </c>
      <c r="LR89" s="100">
        <v>9</v>
      </c>
      <c r="LS89" s="100">
        <v>9</v>
      </c>
      <c r="LW89" s="100">
        <v>6</v>
      </c>
      <c r="LX89" s="100">
        <v>8</v>
      </c>
      <c r="LZ89" s="100">
        <v>1</v>
      </c>
      <c r="MB89" s="100">
        <v>6</v>
      </c>
      <c r="ME89" s="100">
        <v>5</v>
      </c>
      <c r="MG89" s="100">
        <v>7</v>
      </c>
      <c r="MK89" s="100">
        <v>12</v>
      </c>
      <c r="MO89" s="100">
        <v>5</v>
      </c>
      <c r="MP89" s="100">
        <v>10</v>
      </c>
      <c r="MS89" s="100">
        <v>1</v>
      </c>
      <c r="MT89" s="100">
        <v>6</v>
      </c>
      <c r="MU89" s="100">
        <v>1</v>
      </c>
      <c r="ON89" s="100">
        <f t="shared" si="41"/>
        <v>0</v>
      </c>
    </row>
    <row r="90" spans="1:404" ht="23.25" customHeight="1">
      <c r="A90" s="101" t="str">
        <f t="shared" si="47"/>
        <v xml:space="preserve"> 009T/EUROMARKET-2168-79900-01-B</v>
      </c>
      <c r="B90" s="95">
        <v>44469</v>
      </c>
      <c r="C90" s="97">
        <f t="shared" ca="1" si="48"/>
        <v>-595</v>
      </c>
      <c r="D90" s="112" t="s">
        <v>1540</v>
      </c>
      <c r="E90" s="123" t="s">
        <v>1542</v>
      </c>
      <c r="F90" s="98" t="str">
        <f t="shared" si="49"/>
        <v>B</v>
      </c>
      <c r="G90" s="110">
        <f ca="1">SUMIF($A:E,$A90,K:K)</f>
        <v>258</v>
      </c>
      <c r="H90" s="112" t="s">
        <v>1525</v>
      </c>
      <c r="I90" s="175">
        <v>258</v>
      </c>
      <c r="J90" s="115">
        <v>37</v>
      </c>
      <c r="K90" s="143">
        <f t="shared" si="40"/>
        <v>37</v>
      </c>
      <c r="L90" s="144">
        <f t="shared" si="43"/>
        <v>0</v>
      </c>
      <c r="M90" s="275">
        <f t="shared" si="42"/>
        <v>258</v>
      </c>
      <c r="N90" s="98">
        <v>5</v>
      </c>
      <c r="O90" s="93">
        <f t="shared" ref="O90:O104" si="50">K90/J90*100</f>
        <v>100</v>
      </c>
      <c r="HX90" s="100">
        <v>5</v>
      </c>
      <c r="IE90" s="100">
        <v>32</v>
      </c>
      <c r="ON90" s="100">
        <f t="shared" si="41"/>
        <v>0</v>
      </c>
    </row>
    <row r="91" spans="1:404" ht="23.25" customHeight="1">
      <c r="A91" s="101" t="str">
        <f t="shared" si="47"/>
        <v xml:space="preserve"> 009T/EUROMARKET-2168-79900-01-B</v>
      </c>
      <c r="B91" s="95">
        <v>44469</v>
      </c>
      <c r="C91" s="97">
        <f t="shared" ca="1" si="48"/>
        <v>-595</v>
      </c>
      <c r="D91" s="112" t="s">
        <v>1540</v>
      </c>
      <c r="E91" s="279" t="s">
        <v>1542</v>
      </c>
      <c r="F91" s="98" t="str">
        <f t="shared" si="49"/>
        <v>B</v>
      </c>
      <c r="G91" s="110">
        <f ca="1">SUMIF($A:E,$A91,K:K)</f>
        <v>258</v>
      </c>
      <c r="H91" s="112" t="s">
        <v>1525</v>
      </c>
      <c r="I91" s="175">
        <v>258</v>
      </c>
      <c r="J91" s="115">
        <v>93</v>
      </c>
      <c r="K91" s="143">
        <f t="shared" si="40"/>
        <v>93</v>
      </c>
      <c r="L91" s="144">
        <f t="shared" si="43"/>
        <v>0</v>
      </c>
      <c r="M91" s="275">
        <f t="shared" si="42"/>
        <v>258</v>
      </c>
      <c r="N91" s="98" t="s">
        <v>1768</v>
      </c>
      <c r="O91" s="93">
        <f t="shared" si="50"/>
        <v>100</v>
      </c>
      <c r="IH91" s="100">
        <v>5</v>
      </c>
      <c r="IM91" s="100">
        <v>24</v>
      </c>
      <c r="IN91" s="100">
        <v>8</v>
      </c>
      <c r="IT91" s="100">
        <v>19</v>
      </c>
      <c r="IV91" s="100">
        <v>8</v>
      </c>
      <c r="IZ91" s="100">
        <v>21</v>
      </c>
      <c r="JB91" s="100">
        <v>8</v>
      </c>
      <c r="ON91" s="100">
        <f t="shared" si="41"/>
        <v>0</v>
      </c>
    </row>
    <row r="92" spans="1:404" ht="23.25" customHeight="1">
      <c r="A92" s="101" t="str">
        <f t="shared" si="47"/>
        <v xml:space="preserve"> 009T/EUROMARKET-2168-79900-01-B</v>
      </c>
      <c r="B92" s="95">
        <v>44469</v>
      </c>
      <c r="C92" s="97">
        <f t="shared" ca="1" si="48"/>
        <v>-595</v>
      </c>
      <c r="D92" s="112" t="s">
        <v>1540</v>
      </c>
      <c r="E92" s="123" t="s">
        <v>1542</v>
      </c>
      <c r="F92" s="98" t="str">
        <f t="shared" si="49"/>
        <v>B</v>
      </c>
      <c r="G92" s="110">
        <f ca="1">SUMIF($A:E,$A92,K:K)</f>
        <v>258</v>
      </c>
      <c r="H92" s="112" t="s">
        <v>1525</v>
      </c>
      <c r="I92" s="175">
        <v>258</v>
      </c>
      <c r="J92" s="115">
        <v>70</v>
      </c>
      <c r="K92" s="143">
        <f t="shared" si="40"/>
        <v>70</v>
      </c>
      <c r="L92" s="144">
        <f t="shared" si="43"/>
        <v>0</v>
      </c>
      <c r="M92" s="275">
        <f t="shared" si="42"/>
        <v>258</v>
      </c>
      <c r="N92" s="98">
        <v>2</v>
      </c>
      <c r="O92" s="93">
        <f t="shared" si="50"/>
        <v>100</v>
      </c>
      <c r="IH92" s="100">
        <v>6</v>
      </c>
      <c r="IL92" s="100">
        <v>6</v>
      </c>
      <c r="IN92" s="100">
        <v>5</v>
      </c>
      <c r="IO92" s="100">
        <v>4</v>
      </c>
      <c r="IR92" s="100">
        <v>6</v>
      </c>
      <c r="IS92" s="100">
        <v>6</v>
      </c>
      <c r="IV92" s="100">
        <v>16</v>
      </c>
      <c r="IZ92" s="100">
        <v>1</v>
      </c>
      <c r="JB92" s="100">
        <v>12</v>
      </c>
      <c r="JC92" s="100">
        <v>8</v>
      </c>
      <c r="ON92" s="100">
        <f t="shared" si="41"/>
        <v>0</v>
      </c>
    </row>
    <row r="93" spans="1:404" ht="23.25" customHeight="1">
      <c r="A93" s="101" t="str">
        <f t="shared" si="47"/>
        <v xml:space="preserve"> 009T/EUROMARKET-2168-79900-01-B</v>
      </c>
      <c r="B93" s="95">
        <v>44469</v>
      </c>
      <c r="C93" s="97">
        <f t="shared" ca="1" si="48"/>
        <v>-595</v>
      </c>
      <c r="D93" s="112" t="s">
        <v>1540</v>
      </c>
      <c r="E93" s="123" t="s">
        <v>1542</v>
      </c>
      <c r="F93" s="98" t="str">
        <f t="shared" si="49"/>
        <v>B</v>
      </c>
      <c r="G93" s="110">
        <f ca="1">SUMIF($A:E,$A93,K:K)</f>
        <v>258</v>
      </c>
      <c r="H93" s="112" t="s">
        <v>1525</v>
      </c>
      <c r="I93" s="175">
        <v>258</v>
      </c>
      <c r="J93" s="115">
        <f>258-J90-J91-J92</f>
        <v>58</v>
      </c>
      <c r="K93" s="143">
        <f t="shared" si="40"/>
        <v>58</v>
      </c>
      <c r="L93" s="144">
        <f t="shared" si="43"/>
        <v>0</v>
      </c>
      <c r="M93" s="275">
        <f t="shared" si="42"/>
        <v>258</v>
      </c>
      <c r="N93" s="98">
        <v>1</v>
      </c>
      <c r="O93" s="93">
        <f t="shared" si="50"/>
        <v>100</v>
      </c>
      <c r="IH93" s="100">
        <v>1</v>
      </c>
      <c r="II93" s="100">
        <v>3</v>
      </c>
      <c r="IL93" s="100">
        <v>2</v>
      </c>
      <c r="IM93" s="100">
        <v>3</v>
      </c>
      <c r="IN93" s="100">
        <v>2</v>
      </c>
      <c r="IO93" s="100">
        <v>2</v>
      </c>
      <c r="IR93" s="100">
        <v>14</v>
      </c>
      <c r="IS93" s="100">
        <v>2</v>
      </c>
      <c r="IT93" s="100">
        <v>6</v>
      </c>
      <c r="IU93" s="100">
        <v>1</v>
      </c>
      <c r="IV93" s="100">
        <v>4</v>
      </c>
      <c r="IW93" s="100">
        <v>2</v>
      </c>
      <c r="IY93" s="100">
        <v>1</v>
      </c>
      <c r="JA93" s="100">
        <v>11</v>
      </c>
      <c r="JB93" s="100">
        <v>4</v>
      </c>
      <c r="ON93" s="100">
        <f t="shared" si="41"/>
        <v>0</v>
      </c>
    </row>
    <row r="94" spans="1:404" ht="23.25" customHeight="1">
      <c r="A94" s="101" t="str">
        <f t="shared" si="47"/>
        <v>051-VG_SR-21(EUROMARKET)68-79900-01-B</v>
      </c>
      <c r="B94" s="95">
        <v>44426</v>
      </c>
      <c r="C94" s="97">
        <f t="shared" ca="1" si="48"/>
        <v>-638</v>
      </c>
      <c r="D94" s="112" t="s">
        <v>1546</v>
      </c>
      <c r="E94" s="123" t="s">
        <v>1542</v>
      </c>
      <c r="F94" s="98" t="str">
        <f t="shared" si="49"/>
        <v>B</v>
      </c>
      <c r="G94" s="110">
        <f ca="1">SUMIF($A:E,$A94,K:K)</f>
        <v>5</v>
      </c>
      <c r="H94" s="112" t="s">
        <v>1551</v>
      </c>
      <c r="I94" s="98">
        <v>5</v>
      </c>
      <c r="J94" s="99">
        <v>5</v>
      </c>
      <c r="K94" s="143">
        <f t="shared" si="40"/>
        <v>5</v>
      </c>
      <c r="L94" s="144">
        <f t="shared" si="43"/>
        <v>0</v>
      </c>
      <c r="M94" s="275">
        <f t="shared" si="42"/>
        <v>5</v>
      </c>
      <c r="N94" s="98">
        <v>1</v>
      </c>
      <c r="O94" s="93">
        <f t="shared" si="50"/>
        <v>100</v>
      </c>
      <c r="HF94" s="100">
        <v>5</v>
      </c>
      <c r="ON94" s="100">
        <f t="shared" si="41"/>
        <v>0</v>
      </c>
    </row>
    <row r="95" spans="1:404" ht="23.25" customHeight="1">
      <c r="A95" s="101" t="str">
        <f t="shared" si="47"/>
        <v>001/EUROMARKET-VG_SR-2168-79900-01-B</v>
      </c>
      <c r="B95" s="95">
        <v>44425</v>
      </c>
      <c r="C95" s="97">
        <f t="shared" ca="1" si="48"/>
        <v>-639</v>
      </c>
      <c r="D95" s="112" t="s">
        <v>1552</v>
      </c>
      <c r="E95" s="123" t="s">
        <v>1542</v>
      </c>
      <c r="F95" s="98" t="str">
        <f t="shared" si="49"/>
        <v>B</v>
      </c>
      <c r="G95" s="110">
        <f ca="1">SUMIF($A:E,$A95,K:K)</f>
        <v>3</v>
      </c>
      <c r="H95" s="112" t="s">
        <v>1554</v>
      </c>
      <c r="I95" s="175">
        <v>3</v>
      </c>
      <c r="J95" s="115">
        <v>3</v>
      </c>
      <c r="K95" s="143">
        <f t="shared" si="40"/>
        <v>3</v>
      </c>
      <c r="L95" s="144">
        <f t="shared" si="43"/>
        <v>0</v>
      </c>
      <c r="M95" s="275">
        <f t="shared" si="42"/>
        <v>3</v>
      </c>
      <c r="N95" s="98">
        <v>1</v>
      </c>
      <c r="O95" s="93">
        <f t="shared" si="50"/>
        <v>100</v>
      </c>
      <c r="HF95" s="100">
        <v>3</v>
      </c>
      <c r="ON95" s="100">
        <f t="shared" si="41"/>
        <v>0</v>
      </c>
    </row>
    <row r="96" spans="1:404" ht="23.25" customHeight="1">
      <c r="A96" s="101" t="str">
        <f t="shared" si="47"/>
        <v>001A/EUROMARKET-VG_SR-2168-79900-01-B</v>
      </c>
      <c r="B96" s="217">
        <v>44437</v>
      </c>
      <c r="C96" s="97">
        <f t="shared" ca="1" si="48"/>
        <v>-627</v>
      </c>
      <c r="D96" s="112" t="s">
        <v>1695</v>
      </c>
      <c r="E96" s="123" t="s">
        <v>1542</v>
      </c>
      <c r="F96" s="98" t="str">
        <f t="shared" si="49"/>
        <v>B</v>
      </c>
      <c r="G96" s="110">
        <f ca="1">SUMIF($A:E,$A96,K:K)</f>
        <v>3</v>
      </c>
      <c r="H96" s="112" t="s">
        <v>1698</v>
      </c>
      <c r="I96" s="175">
        <v>3</v>
      </c>
      <c r="J96" s="115">
        <v>3</v>
      </c>
      <c r="K96" s="143">
        <f t="shared" si="40"/>
        <v>3</v>
      </c>
      <c r="L96" s="144">
        <f t="shared" si="43"/>
        <v>0</v>
      </c>
      <c r="M96" s="275">
        <f t="shared" si="42"/>
        <v>3</v>
      </c>
      <c r="N96" s="211">
        <v>5</v>
      </c>
      <c r="O96" s="93">
        <f t="shared" si="50"/>
        <v>100</v>
      </c>
      <c r="HM96" s="100">
        <v>3</v>
      </c>
      <c r="ON96" s="100">
        <f t="shared" si="41"/>
        <v>0</v>
      </c>
    </row>
    <row r="97" spans="1:404" ht="23.25" customHeight="1">
      <c r="A97" s="101" t="s">
        <v>1830</v>
      </c>
      <c r="B97" s="95">
        <v>44480</v>
      </c>
      <c r="C97" s="97">
        <f t="shared" ca="1" si="48"/>
        <v>-584</v>
      </c>
      <c r="D97" s="112" t="s">
        <v>1734</v>
      </c>
      <c r="E97" s="123" t="s">
        <v>1542</v>
      </c>
      <c r="F97" s="98" t="s">
        <v>561</v>
      </c>
      <c r="G97" s="110">
        <v>0</v>
      </c>
      <c r="H97" s="97" t="s">
        <v>1735</v>
      </c>
      <c r="I97" s="175">
        <v>101</v>
      </c>
      <c r="J97" s="115">
        <v>50</v>
      </c>
      <c r="K97" s="143">
        <f t="shared" si="40"/>
        <v>50</v>
      </c>
      <c r="L97" s="144">
        <f t="shared" si="43"/>
        <v>0</v>
      </c>
      <c r="M97" s="275">
        <f t="shared" si="42"/>
        <v>101</v>
      </c>
      <c r="N97" s="98">
        <v>3</v>
      </c>
      <c r="O97" s="93">
        <f t="shared" si="50"/>
        <v>100</v>
      </c>
      <c r="IZ97" s="100">
        <v>1</v>
      </c>
      <c r="JB97" s="100">
        <v>1</v>
      </c>
      <c r="JD97" s="100">
        <v>23</v>
      </c>
      <c r="JG97" s="100">
        <v>3</v>
      </c>
      <c r="JH97" s="100">
        <v>3</v>
      </c>
      <c r="JI97" s="100">
        <v>6</v>
      </c>
      <c r="JJ97" s="100">
        <v>3</v>
      </c>
      <c r="JK97" s="100">
        <v>3</v>
      </c>
      <c r="JN97" s="100">
        <v>7</v>
      </c>
      <c r="ON97" s="100">
        <f t="shared" si="41"/>
        <v>0</v>
      </c>
    </row>
    <row r="98" spans="1:404" ht="23.25" customHeight="1">
      <c r="A98" s="101" t="s">
        <v>1830</v>
      </c>
      <c r="B98" s="95">
        <v>44480</v>
      </c>
      <c r="C98" s="97">
        <f t="shared" ca="1" si="48"/>
        <v>-584</v>
      </c>
      <c r="D98" s="112" t="s">
        <v>1734</v>
      </c>
      <c r="E98" s="123" t="s">
        <v>1542</v>
      </c>
      <c r="F98" s="98" t="s">
        <v>561</v>
      </c>
      <c r="G98" s="110">
        <v>0</v>
      </c>
      <c r="H98" s="97" t="s">
        <v>1735</v>
      </c>
      <c r="I98" s="175">
        <v>101</v>
      </c>
      <c r="J98" s="115">
        <v>30</v>
      </c>
      <c r="K98" s="143">
        <f t="shared" si="40"/>
        <v>30</v>
      </c>
      <c r="L98" s="144">
        <f t="shared" si="43"/>
        <v>0</v>
      </c>
      <c r="M98" s="275">
        <f t="shared" si="42"/>
        <v>101</v>
      </c>
      <c r="N98" s="98">
        <v>1</v>
      </c>
      <c r="O98" s="93">
        <f t="shared" si="50"/>
        <v>100</v>
      </c>
      <c r="JB98" s="100">
        <v>4</v>
      </c>
      <c r="JC98" s="100">
        <v>2</v>
      </c>
      <c r="JD98" s="100">
        <v>2</v>
      </c>
      <c r="JF98" s="100">
        <v>1</v>
      </c>
      <c r="JG98" s="100">
        <v>9</v>
      </c>
      <c r="JI98" s="100">
        <v>3</v>
      </c>
      <c r="JJ98" s="100">
        <v>5</v>
      </c>
      <c r="JK98" s="100">
        <v>4</v>
      </c>
      <c r="ON98" s="100">
        <f t="shared" si="41"/>
        <v>0</v>
      </c>
    </row>
    <row r="99" spans="1:404" ht="23.25" customHeight="1">
      <c r="A99" s="101" t="str">
        <f>D99&amp;E99</f>
        <v xml:space="preserve">	013T/EUROMARKET-2168-79900-01-B</v>
      </c>
      <c r="B99" s="95">
        <v>44480</v>
      </c>
      <c r="C99" s="97">
        <f t="shared" ca="1" si="48"/>
        <v>-584</v>
      </c>
      <c r="D99" s="112" t="s">
        <v>1734</v>
      </c>
      <c r="E99" s="123" t="s">
        <v>1542</v>
      </c>
      <c r="F99" s="98" t="str">
        <f>MID(E99,13,2)</f>
        <v>B</v>
      </c>
      <c r="G99" s="110">
        <f ca="1">SUMIF($A:E,$A99,K:K)</f>
        <v>101</v>
      </c>
      <c r="H99" s="97" t="s">
        <v>1735</v>
      </c>
      <c r="I99" s="175">
        <v>101</v>
      </c>
      <c r="J99" s="115">
        <v>21</v>
      </c>
      <c r="K99" s="143">
        <f t="shared" si="40"/>
        <v>21</v>
      </c>
      <c r="L99" s="144">
        <f t="shared" ref="L99:L103" si="51">J99-K99</f>
        <v>0</v>
      </c>
      <c r="M99" s="275">
        <f t="shared" si="42"/>
        <v>101</v>
      </c>
      <c r="N99" s="98">
        <v>2</v>
      </c>
      <c r="O99" s="93">
        <f t="shared" si="50"/>
        <v>100</v>
      </c>
      <c r="JG99" s="100">
        <v>3</v>
      </c>
      <c r="JI99" s="100">
        <v>5</v>
      </c>
      <c r="JJ99" s="100">
        <v>3</v>
      </c>
      <c r="JK99" s="100">
        <v>3</v>
      </c>
      <c r="JM99" s="100">
        <v>7</v>
      </c>
      <c r="ON99" s="100">
        <f t="shared" si="41"/>
        <v>0</v>
      </c>
    </row>
    <row r="100" spans="1:404" ht="23.25" customHeight="1">
      <c r="A100" s="101" t="s">
        <v>1939</v>
      </c>
      <c r="B100" s="95">
        <v>44502</v>
      </c>
      <c r="C100" s="97">
        <f t="shared" ca="1" si="48"/>
        <v>-562</v>
      </c>
      <c r="D100" s="112" t="s">
        <v>1806</v>
      </c>
      <c r="E100" s="123" t="s">
        <v>1542</v>
      </c>
      <c r="F100" s="98" t="s">
        <v>561</v>
      </c>
      <c r="G100" s="110">
        <v>0</v>
      </c>
      <c r="H100" s="112" t="s">
        <v>1808</v>
      </c>
      <c r="I100" s="175">
        <v>152</v>
      </c>
      <c r="J100" s="115">
        <f>52+25</f>
        <v>77</v>
      </c>
      <c r="K100" s="143">
        <f t="shared" si="40"/>
        <v>77</v>
      </c>
      <c r="L100" s="144">
        <f t="shared" si="51"/>
        <v>0</v>
      </c>
      <c r="M100" s="275">
        <f t="shared" si="42"/>
        <v>152</v>
      </c>
      <c r="N100" s="98">
        <v>2</v>
      </c>
      <c r="O100" s="93">
        <f t="shared" si="50"/>
        <v>100</v>
      </c>
      <c r="JN100" s="100">
        <v>1</v>
      </c>
      <c r="JP100" s="100">
        <v>4</v>
      </c>
      <c r="JR100" s="100">
        <v>2</v>
      </c>
      <c r="JY100" s="100">
        <v>6</v>
      </c>
      <c r="KA100" s="100">
        <v>2</v>
      </c>
      <c r="KB100" s="100">
        <v>11</v>
      </c>
      <c r="KC100" s="100">
        <v>11</v>
      </c>
      <c r="KD100" s="100">
        <v>2</v>
      </c>
      <c r="KE100" s="100">
        <v>4</v>
      </c>
      <c r="KF100" s="100">
        <v>6</v>
      </c>
      <c r="KG100" s="100">
        <v>2</v>
      </c>
      <c r="KH100" s="100">
        <v>4</v>
      </c>
      <c r="KI100" s="100">
        <v>1</v>
      </c>
      <c r="KJ100" s="100">
        <v>5</v>
      </c>
      <c r="KN100" s="100">
        <v>3</v>
      </c>
      <c r="KP100" s="100">
        <v>6</v>
      </c>
      <c r="KR100" s="100">
        <v>2</v>
      </c>
      <c r="KU100" s="100">
        <v>5</v>
      </c>
      <c r="ON100" s="100">
        <f t="shared" si="41"/>
        <v>0</v>
      </c>
    </row>
    <row r="101" spans="1:404" ht="23.25" customHeight="1">
      <c r="A101" s="101" t="s">
        <v>1939</v>
      </c>
      <c r="B101" s="95">
        <v>44502</v>
      </c>
      <c r="C101" s="97">
        <f t="shared" ca="1" si="48"/>
        <v>-562</v>
      </c>
      <c r="D101" s="112" t="s">
        <v>1806</v>
      </c>
      <c r="E101" s="123" t="s">
        <v>1542</v>
      </c>
      <c r="F101" s="98" t="s">
        <v>561</v>
      </c>
      <c r="G101" s="110">
        <v>0</v>
      </c>
      <c r="H101" s="112" t="s">
        <v>1808</v>
      </c>
      <c r="I101" s="175">
        <v>152</v>
      </c>
      <c r="J101" s="115">
        <v>50</v>
      </c>
      <c r="K101" s="143">
        <f t="shared" si="40"/>
        <v>50</v>
      </c>
      <c r="L101" s="144">
        <f t="shared" si="51"/>
        <v>0</v>
      </c>
      <c r="M101" s="275">
        <f t="shared" si="42"/>
        <v>152</v>
      </c>
      <c r="N101" s="98">
        <v>1</v>
      </c>
      <c r="O101" s="93">
        <f t="shared" si="50"/>
        <v>100</v>
      </c>
      <c r="JK101" s="100">
        <v>1</v>
      </c>
      <c r="JO101" s="100">
        <v>3</v>
      </c>
      <c r="JR101" s="100">
        <v>5</v>
      </c>
      <c r="JU101" s="100">
        <v>9</v>
      </c>
      <c r="JV101" s="100">
        <v>3</v>
      </c>
      <c r="JY101" s="100">
        <v>7</v>
      </c>
      <c r="KA101" s="100">
        <v>7</v>
      </c>
      <c r="KB101" s="100">
        <v>1</v>
      </c>
      <c r="KD101" s="100">
        <v>9</v>
      </c>
      <c r="KF101" s="100">
        <v>5</v>
      </c>
      <c r="ON101" s="100">
        <f t="shared" si="41"/>
        <v>0</v>
      </c>
    </row>
    <row r="102" spans="1:404" ht="23.25" customHeight="1">
      <c r="A102" s="101" t="str">
        <f t="shared" ref="A102:A110" si="52">D102&amp;E102</f>
        <v>016T/EUROMARKET-2168-79900-01-B</v>
      </c>
      <c r="B102" s="95">
        <v>44502</v>
      </c>
      <c r="C102" s="97">
        <f t="shared" ca="1" si="48"/>
        <v>-562</v>
      </c>
      <c r="D102" s="112" t="s">
        <v>1806</v>
      </c>
      <c r="E102" s="123" t="s">
        <v>1542</v>
      </c>
      <c r="F102" s="98" t="str">
        <f t="shared" ref="F102:F119" si="53">MID(E102,13,2)</f>
        <v>B</v>
      </c>
      <c r="G102" s="110">
        <f ca="1">SUMIF($A:E,$A102,K:K)</f>
        <v>152</v>
      </c>
      <c r="H102" s="112" t="s">
        <v>1808</v>
      </c>
      <c r="I102" s="175">
        <v>152</v>
      </c>
      <c r="J102" s="115">
        <f>152-J100-J101</f>
        <v>25</v>
      </c>
      <c r="K102" s="143">
        <f t="shared" si="40"/>
        <v>25</v>
      </c>
      <c r="L102" s="144">
        <f t="shared" si="51"/>
        <v>0</v>
      </c>
      <c r="M102" s="275">
        <f t="shared" si="42"/>
        <v>152</v>
      </c>
      <c r="N102" s="98">
        <v>1</v>
      </c>
      <c r="O102" s="93">
        <f t="shared" si="50"/>
        <v>100</v>
      </c>
      <c r="KF102" s="100">
        <v>2</v>
      </c>
      <c r="KI102" s="100">
        <v>6</v>
      </c>
      <c r="KJ102" s="100">
        <v>3</v>
      </c>
      <c r="KN102" s="100">
        <v>2</v>
      </c>
      <c r="KO102" s="100">
        <v>11</v>
      </c>
      <c r="KP102" s="100">
        <v>1</v>
      </c>
      <c r="ON102" s="100">
        <f t="shared" si="41"/>
        <v>0</v>
      </c>
    </row>
    <row r="103" spans="1:404" ht="23.25" customHeight="1">
      <c r="A103" s="101" t="str">
        <f t="shared" si="52"/>
        <v>003/EUROMARKET-VG_SR-2168-79900-01-B</v>
      </c>
      <c r="B103" s="95">
        <v>44458</v>
      </c>
      <c r="C103" s="97">
        <f t="shared" ca="1" si="48"/>
        <v>-606</v>
      </c>
      <c r="D103" s="96" t="s">
        <v>1839</v>
      </c>
      <c r="E103" s="94" t="s">
        <v>1542</v>
      </c>
      <c r="F103" s="98" t="str">
        <f t="shared" si="53"/>
        <v>B</v>
      </c>
      <c r="G103" s="110">
        <f ca="1">SUMIF($A:E,$A103,K:K)</f>
        <v>1</v>
      </c>
      <c r="H103" s="97" t="s">
        <v>1841</v>
      </c>
      <c r="I103" s="98">
        <v>1</v>
      </c>
      <c r="J103" s="99">
        <v>1</v>
      </c>
      <c r="K103" s="143">
        <f t="shared" si="40"/>
        <v>1</v>
      </c>
      <c r="L103" s="144">
        <f t="shared" si="51"/>
        <v>0</v>
      </c>
      <c r="M103" s="275">
        <f t="shared" si="42"/>
        <v>1</v>
      </c>
      <c r="N103" s="98">
        <v>1</v>
      </c>
      <c r="O103" s="93">
        <f t="shared" si="50"/>
        <v>100</v>
      </c>
      <c r="IR103" s="100">
        <v>1</v>
      </c>
      <c r="ON103" s="100">
        <f t="shared" si="41"/>
        <v>0</v>
      </c>
    </row>
    <row r="104" spans="1:404" ht="23.25" customHeight="1">
      <c r="A104" s="101" t="str">
        <f t="shared" si="52"/>
        <v>019T/EUROMARKET-2168-79900-01-B</v>
      </c>
      <c r="B104" s="95">
        <v>44537</v>
      </c>
      <c r="C104" s="97">
        <f t="shared" ca="1" si="48"/>
        <v>-527</v>
      </c>
      <c r="D104" s="112" t="s">
        <v>1875</v>
      </c>
      <c r="E104" s="123" t="s">
        <v>1542</v>
      </c>
      <c r="F104" s="98" t="str">
        <f t="shared" si="53"/>
        <v>B</v>
      </c>
      <c r="G104" s="110">
        <f ca="1">SUMIF($A:E,$A104,K:K)</f>
        <v>50</v>
      </c>
      <c r="H104" s="112" t="s">
        <v>1808</v>
      </c>
      <c r="I104" s="175">
        <v>50</v>
      </c>
      <c r="J104" s="115">
        <v>50</v>
      </c>
      <c r="K104" s="143">
        <f t="shared" si="40"/>
        <v>50</v>
      </c>
      <c r="L104" s="144">
        <f t="shared" si="43"/>
        <v>0</v>
      </c>
      <c r="M104" s="275">
        <f t="shared" si="42"/>
        <v>50</v>
      </c>
      <c r="N104" s="98">
        <v>3</v>
      </c>
      <c r="O104" s="93">
        <f t="shared" si="50"/>
        <v>100</v>
      </c>
      <c r="JQ104" s="100">
        <v>4</v>
      </c>
      <c r="JU104" s="100">
        <v>6</v>
      </c>
      <c r="KB104" s="100">
        <v>12</v>
      </c>
      <c r="KE104" s="100">
        <v>4</v>
      </c>
      <c r="KG104" s="100">
        <v>2</v>
      </c>
      <c r="KI104" s="100">
        <v>2</v>
      </c>
      <c r="KJ104" s="100">
        <v>1</v>
      </c>
      <c r="KP104" s="100">
        <v>6</v>
      </c>
      <c r="KW104" s="100">
        <v>6</v>
      </c>
      <c r="KY104" s="100">
        <v>3</v>
      </c>
      <c r="KZ104" s="100">
        <v>3</v>
      </c>
      <c r="LC104" s="100">
        <v>1</v>
      </c>
      <c r="ON104" s="100">
        <f t="shared" si="41"/>
        <v>0</v>
      </c>
    </row>
    <row r="105" spans="1:404" ht="23.25" customHeight="1">
      <c r="A105" s="101" t="str">
        <f t="shared" si="52"/>
        <v>171/KHBS-2168-79900-01-A</v>
      </c>
      <c r="B105" s="95">
        <v>44325</v>
      </c>
      <c r="C105" s="97">
        <f t="shared" ca="1" si="48"/>
        <v>-739</v>
      </c>
      <c r="D105" s="96" t="s">
        <v>962</v>
      </c>
      <c r="E105" s="94" t="s">
        <v>401</v>
      </c>
      <c r="F105" s="98" t="str">
        <f t="shared" si="53"/>
        <v>A</v>
      </c>
      <c r="G105" s="110">
        <f ca="1">SUMIF($A:E,$A105,K:K)</f>
        <v>4</v>
      </c>
      <c r="H105" s="97" t="s">
        <v>508</v>
      </c>
      <c r="I105" s="98">
        <v>4</v>
      </c>
      <c r="J105" s="99">
        <v>4</v>
      </c>
      <c r="K105" s="143">
        <f t="shared" si="40"/>
        <v>4</v>
      </c>
      <c r="L105" s="144">
        <f t="shared" si="43"/>
        <v>0</v>
      </c>
      <c r="M105" s="275">
        <f t="shared" si="42"/>
        <v>4</v>
      </c>
      <c r="N105" s="98">
        <v>1</v>
      </c>
      <c r="O105" s="93">
        <f t="shared" ref="O105:O110" si="54">K105/J105*100</f>
        <v>100</v>
      </c>
      <c r="DP105" s="101">
        <v>4</v>
      </c>
      <c r="ON105" s="100">
        <f t="shared" si="41"/>
        <v>0</v>
      </c>
    </row>
    <row r="106" spans="1:404" ht="23.25" customHeight="1">
      <c r="A106" s="101" t="str">
        <f t="shared" si="52"/>
        <v>054/EUROMARKET-2168-79900-01-A</v>
      </c>
      <c r="B106" s="95">
        <v>44454</v>
      </c>
      <c r="C106" s="97">
        <f t="shared" ca="1" si="48"/>
        <v>-610</v>
      </c>
      <c r="D106" s="112" t="s">
        <v>1426</v>
      </c>
      <c r="E106" s="123" t="s">
        <v>401</v>
      </c>
      <c r="F106" s="98" t="str">
        <f t="shared" si="53"/>
        <v>A</v>
      </c>
      <c r="G106" s="110">
        <f ca="1">SUMIF($A:E,$A106,K:K)</f>
        <v>36</v>
      </c>
      <c r="H106" s="97" t="s">
        <v>508</v>
      </c>
      <c r="I106" s="98">
        <v>36</v>
      </c>
      <c r="J106" s="115">
        <v>36</v>
      </c>
      <c r="K106" s="143">
        <f t="shared" si="40"/>
        <v>36</v>
      </c>
      <c r="L106" s="144">
        <f t="shared" si="43"/>
        <v>0</v>
      </c>
      <c r="M106" s="275">
        <f t="shared" si="42"/>
        <v>36</v>
      </c>
      <c r="N106" s="98">
        <v>5</v>
      </c>
      <c r="O106" s="93">
        <f t="shared" si="54"/>
        <v>100</v>
      </c>
      <c r="GX106" s="100">
        <v>6</v>
      </c>
      <c r="GY106" s="100">
        <v>1</v>
      </c>
      <c r="HB106" s="100">
        <v>1</v>
      </c>
      <c r="HC106" s="100">
        <v>12</v>
      </c>
      <c r="HD106" s="100">
        <v>11</v>
      </c>
      <c r="HF106" s="100">
        <v>5</v>
      </c>
      <c r="ON106" s="100">
        <f t="shared" si="41"/>
        <v>0</v>
      </c>
    </row>
    <row r="107" spans="1:404" ht="23.25" customHeight="1">
      <c r="A107" s="101" t="str">
        <f t="shared" si="52"/>
        <v>056/EUROMARKET-2168-79900-01-A</v>
      </c>
      <c r="B107" s="95">
        <v>44454</v>
      </c>
      <c r="C107" s="97">
        <f t="shared" ca="1" si="48"/>
        <v>-610</v>
      </c>
      <c r="D107" s="112" t="s">
        <v>1517</v>
      </c>
      <c r="E107" s="123" t="s">
        <v>401</v>
      </c>
      <c r="F107" s="98" t="str">
        <f t="shared" si="53"/>
        <v>A</v>
      </c>
      <c r="G107" s="110">
        <f ca="1">SUMIF($A:E,$A107,K:K)</f>
        <v>84</v>
      </c>
      <c r="H107" s="97" t="s">
        <v>616</v>
      </c>
      <c r="I107" s="175">
        <v>84</v>
      </c>
      <c r="J107" s="115">
        <v>40</v>
      </c>
      <c r="K107" s="143">
        <f t="shared" si="40"/>
        <v>40</v>
      </c>
      <c r="L107" s="144">
        <f t="shared" si="43"/>
        <v>0</v>
      </c>
      <c r="M107" s="275">
        <f t="shared" si="42"/>
        <v>84</v>
      </c>
      <c r="N107" s="98">
        <v>1</v>
      </c>
      <c r="O107" s="93">
        <f t="shared" si="54"/>
        <v>100</v>
      </c>
      <c r="HD107" s="100">
        <v>5</v>
      </c>
      <c r="HF107" s="100">
        <v>5</v>
      </c>
      <c r="HJ107" s="100">
        <v>1</v>
      </c>
      <c r="HL107" s="100">
        <v>3</v>
      </c>
      <c r="HQ107" s="100">
        <v>4</v>
      </c>
      <c r="HR107" s="100">
        <v>7</v>
      </c>
      <c r="HT107" s="100">
        <v>2</v>
      </c>
      <c r="HY107" s="100">
        <v>3</v>
      </c>
      <c r="ID107" s="100">
        <v>6</v>
      </c>
      <c r="IF107" s="100">
        <v>4</v>
      </c>
      <c r="ON107" s="100">
        <f t="shared" si="41"/>
        <v>0</v>
      </c>
    </row>
    <row r="108" spans="1:404" ht="23.25" customHeight="1">
      <c r="A108" s="101" t="str">
        <f t="shared" si="52"/>
        <v>056/EUROMARKET-2168-79900-01-A</v>
      </c>
      <c r="B108" s="95">
        <v>44454</v>
      </c>
      <c r="C108" s="97">
        <f t="shared" ca="1" si="48"/>
        <v>-610</v>
      </c>
      <c r="D108" s="112" t="s">
        <v>1517</v>
      </c>
      <c r="E108" s="123" t="s">
        <v>401</v>
      </c>
      <c r="F108" s="98" t="str">
        <f t="shared" si="53"/>
        <v>A</v>
      </c>
      <c r="G108" s="110">
        <f ca="1">SUMIF($A:E,$A108,K:K)</f>
        <v>84</v>
      </c>
      <c r="H108" s="97" t="s">
        <v>616</v>
      </c>
      <c r="I108" s="175">
        <v>84</v>
      </c>
      <c r="J108" s="115">
        <f>84-J107</f>
        <v>44</v>
      </c>
      <c r="K108" s="143">
        <f t="shared" si="40"/>
        <v>44</v>
      </c>
      <c r="L108" s="144">
        <f t="shared" si="43"/>
        <v>0</v>
      </c>
      <c r="M108" s="275">
        <f t="shared" si="42"/>
        <v>84</v>
      </c>
      <c r="N108" s="98">
        <v>5</v>
      </c>
      <c r="O108" s="93">
        <f t="shared" si="54"/>
        <v>100</v>
      </c>
      <c r="HF108" s="100">
        <v>6</v>
      </c>
      <c r="HK108" s="100">
        <v>16</v>
      </c>
      <c r="HM108" s="100">
        <v>8</v>
      </c>
      <c r="HQ108" s="100">
        <v>11</v>
      </c>
      <c r="HR108" s="100">
        <v>3</v>
      </c>
      <c r="ON108" s="100">
        <f t="shared" si="41"/>
        <v>0</v>
      </c>
    </row>
    <row r="109" spans="1:404" ht="23.25" customHeight="1">
      <c r="A109" s="101" t="str">
        <f t="shared" si="52"/>
        <v>025T/EUROMARKET-2168-79900-01-A</v>
      </c>
      <c r="B109" s="95">
        <v>44548</v>
      </c>
      <c r="C109" s="97">
        <f t="shared" ca="1" si="48"/>
        <v>-516</v>
      </c>
      <c r="D109" s="112" t="s">
        <v>1777</v>
      </c>
      <c r="E109" s="279" t="s">
        <v>401</v>
      </c>
      <c r="F109" s="98" t="str">
        <f t="shared" si="53"/>
        <v>A</v>
      </c>
      <c r="G109" s="224">
        <f ca="1">SUMIF($A:E,$A109,K:K)</f>
        <v>80</v>
      </c>
      <c r="H109" s="97" t="s">
        <v>616</v>
      </c>
      <c r="I109" s="175">
        <v>80</v>
      </c>
      <c r="J109" s="115">
        <v>80</v>
      </c>
      <c r="K109" s="143">
        <f t="shared" si="40"/>
        <v>80</v>
      </c>
      <c r="L109" s="144">
        <f t="shared" si="43"/>
        <v>0</v>
      </c>
      <c r="M109" s="275">
        <f t="shared" si="42"/>
        <v>80</v>
      </c>
      <c r="N109" s="98">
        <v>1</v>
      </c>
      <c r="O109" s="93">
        <f t="shared" si="54"/>
        <v>100</v>
      </c>
      <c r="LI109" s="100">
        <v>2</v>
      </c>
      <c r="LJ109" s="100">
        <v>3</v>
      </c>
      <c r="LP109" s="100">
        <v>2</v>
      </c>
      <c r="LQ109" s="100">
        <v>5</v>
      </c>
      <c r="LR109" s="100">
        <v>3</v>
      </c>
      <c r="LT109" s="100">
        <v>2</v>
      </c>
      <c r="LU109" s="100">
        <v>4</v>
      </c>
      <c r="LW109" s="100">
        <v>1</v>
      </c>
      <c r="LX109" s="100">
        <v>8</v>
      </c>
      <c r="LY109" s="100">
        <v>11</v>
      </c>
      <c r="LZ109" s="100">
        <v>18</v>
      </c>
      <c r="MA109" s="100">
        <v>12</v>
      </c>
      <c r="MD109" s="100">
        <v>9</v>
      </c>
      <c r="ON109" s="100">
        <f t="shared" si="41"/>
        <v>0</v>
      </c>
    </row>
    <row r="110" spans="1:404" ht="23.25" customHeight="1">
      <c r="A110" s="101" t="str">
        <f t="shared" si="52"/>
        <v>026T/EUROMARKET-2168-79900-01-A</v>
      </c>
      <c r="B110" s="95">
        <v>44564</v>
      </c>
      <c r="C110" s="97">
        <f t="shared" ca="1" si="48"/>
        <v>-500</v>
      </c>
      <c r="D110" s="112" t="s">
        <v>1778</v>
      </c>
      <c r="E110" s="279" t="s">
        <v>401</v>
      </c>
      <c r="F110" s="98" t="str">
        <f t="shared" si="53"/>
        <v>A</v>
      </c>
      <c r="G110" s="224">
        <f ca="1">SUMIF($A:E,$A110,K:K)</f>
        <v>80</v>
      </c>
      <c r="H110" s="97" t="s">
        <v>616</v>
      </c>
      <c r="I110" s="175">
        <v>80</v>
      </c>
      <c r="J110" s="115">
        <v>80</v>
      </c>
      <c r="K110" s="143">
        <f t="shared" si="40"/>
        <v>80</v>
      </c>
      <c r="L110" s="144">
        <f t="shared" si="43"/>
        <v>0</v>
      </c>
      <c r="M110" s="275">
        <f t="shared" si="42"/>
        <v>80</v>
      </c>
      <c r="N110" s="98">
        <v>1</v>
      </c>
      <c r="O110" s="93">
        <f t="shared" si="54"/>
        <v>100</v>
      </c>
      <c r="MF110" s="100">
        <v>2</v>
      </c>
      <c r="MG110" s="100">
        <v>9</v>
      </c>
      <c r="MH110" s="100">
        <v>11</v>
      </c>
      <c r="MK110" s="100">
        <v>4</v>
      </c>
      <c r="ML110" s="100">
        <v>5</v>
      </c>
      <c r="MM110" s="100">
        <v>9</v>
      </c>
      <c r="MO110" s="100">
        <v>6</v>
      </c>
      <c r="MQ110" s="100">
        <v>14</v>
      </c>
      <c r="MS110" s="100">
        <v>20</v>
      </c>
      <c r="ON110" s="100">
        <f t="shared" si="41"/>
        <v>0</v>
      </c>
    </row>
    <row r="111" spans="1:404" ht="23.25" customHeight="1">
      <c r="A111" s="101" t="str">
        <f t="shared" ref="A111:A113" si="55">D111&amp;E111</f>
        <v>002/TORRICELLI-2168-79316-04-B2</v>
      </c>
      <c r="B111" s="95">
        <v>44384</v>
      </c>
      <c r="C111" s="97">
        <f t="shared" ca="1" si="48"/>
        <v>-680</v>
      </c>
      <c r="D111" s="145" t="s">
        <v>765</v>
      </c>
      <c r="E111" s="145" t="s">
        <v>384</v>
      </c>
      <c r="F111" s="98" t="str">
        <f t="shared" si="53"/>
        <v>B2</v>
      </c>
      <c r="G111" s="110">
        <f ca="1">SUMIF($A:E,$A111,K:K)</f>
        <v>12</v>
      </c>
      <c r="H111" s="97" t="s">
        <v>601</v>
      </c>
      <c r="I111" s="98">
        <v>12</v>
      </c>
      <c r="J111" s="97">
        <v>12</v>
      </c>
      <c r="K111" s="143">
        <f t="shared" si="40"/>
        <v>12</v>
      </c>
      <c r="L111" s="144">
        <f t="shared" si="43"/>
        <v>0</v>
      </c>
      <c r="M111" s="275">
        <f t="shared" si="42"/>
        <v>12</v>
      </c>
      <c r="N111" s="98">
        <v>2</v>
      </c>
      <c r="O111" s="93">
        <f t="shared" ref="O111:O149" si="56">K111/J111*100</f>
        <v>100</v>
      </c>
      <c r="DS111" s="100">
        <v>2</v>
      </c>
      <c r="DU111" s="100">
        <v>6</v>
      </c>
      <c r="EA111" s="100">
        <v>4</v>
      </c>
      <c r="ON111" s="100">
        <f t="shared" si="41"/>
        <v>0</v>
      </c>
    </row>
    <row r="112" spans="1:404" ht="23.25" customHeight="1">
      <c r="A112" s="101" t="str">
        <f t="shared" si="55"/>
        <v>004/EUROMARKET_SR-2168-75916-02-05</v>
      </c>
      <c r="B112" s="95">
        <v>44308</v>
      </c>
      <c r="C112" s="97">
        <f t="shared" ca="1" si="48"/>
        <v>-756</v>
      </c>
      <c r="D112" s="96" t="s">
        <v>859</v>
      </c>
      <c r="E112" s="94" t="s">
        <v>604</v>
      </c>
      <c r="F112" s="98" t="str">
        <f t="shared" si="53"/>
        <v>05</v>
      </c>
      <c r="G112" s="110">
        <f ca="1">SUMIF($A:E,$A112,K:K)</f>
        <v>2</v>
      </c>
      <c r="H112" s="97" t="s">
        <v>860</v>
      </c>
      <c r="I112" s="98">
        <v>2</v>
      </c>
      <c r="J112" s="99">
        <v>2</v>
      </c>
      <c r="K112" s="143">
        <f t="shared" si="40"/>
        <v>2</v>
      </c>
      <c r="L112" s="144">
        <f t="shared" si="43"/>
        <v>0</v>
      </c>
      <c r="M112" s="275">
        <f t="shared" si="42"/>
        <v>2</v>
      </c>
      <c r="N112" s="98">
        <v>3</v>
      </c>
      <c r="O112" s="93">
        <f t="shared" si="56"/>
        <v>100</v>
      </c>
      <c r="CZ112" s="101">
        <v>2</v>
      </c>
      <c r="ON112" s="100">
        <f t="shared" si="41"/>
        <v>0</v>
      </c>
    </row>
    <row r="113" spans="1:404" ht="23.25" customHeight="1">
      <c r="A113" s="101" t="str">
        <f t="shared" si="55"/>
        <v>004/EUROMARKET_SR-2168-75916-01-01</v>
      </c>
      <c r="B113" s="95">
        <v>44308</v>
      </c>
      <c r="C113" s="97">
        <f t="shared" ref="C113:C126" ca="1" si="57">B113-TODAY()</f>
        <v>-756</v>
      </c>
      <c r="D113" s="96" t="s">
        <v>859</v>
      </c>
      <c r="E113" s="94" t="s">
        <v>567</v>
      </c>
      <c r="F113" s="98" t="str">
        <f t="shared" si="53"/>
        <v>01</v>
      </c>
      <c r="G113" s="110">
        <f ca="1">SUMIF($A:E,$A113,K:K)</f>
        <v>2</v>
      </c>
      <c r="H113" s="97" t="s">
        <v>860</v>
      </c>
      <c r="I113" s="98">
        <v>2</v>
      </c>
      <c r="J113" s="99">
        <v>2</v>
      </c>
      <c r="K113" s="143">
        <f t="shared" si="40"/>
        <v>2</v>
      </c>
      <c r="L113" s="144">
        <f t="shared" si="43"/>
        <v>0</v>
      </c>
      <c r="M113" s="275">
        <f t="shared" si="42"/>
        <v>2</v>
      </c>
      <c r="N113" s="98">
        <v>3</v>
      </c>
      <c r="O113" s="93">
        <f t="shared" si="56"/>
        <v>100</v>
      </c>
      <c r="CZ113" s="101">
        <v>2</v>
      </c>
      <c r="ON113" s="100">
        <f t="shared" si="41"/>
        <v>0</v>
      </c>
    </row>
    <row r="114" spans="1:404" ht="23.25" customHeight="1">
      <c r="A114" s="101" t="str">
        <f>D114&amp;E115</f>
        <v>HÀNG TỒN68-75716-02-B</v>
      </c>
      <c r="B114" s="95">
        <v>44375</v>
      </c>
      <c r="C114" s="97">
        <f t="shared" ca="1" si="57"/>
        <v>-689</v>
      </c>
      <c r="D114" s="96" t="s">
        <v>614</v>
      </c>
      <c r="E114" s="94" t="s">
        <v>567</v>
      </c>
      <c r="F114" s="98" t="str">
        <f t="shared" si="53"/>
        <v>01</v>
      </c>
      <c r="G114" s="110">
        <f ca="1">SUMIF($A:E,$A114,K:K)</f>
        <v>2</v>
      </c>
      <c r="H114" s="97" t="s">
        <v>1183</v>
      </c>
      <c r="I114" s="98">
        <v>2</v>
      </c>
      <c r="J114" s="99">
        <v>2</v>
      </c>
      <c r="K114" s="143">
        <f t="shared" si="40"/>
        <v>2</v>
      </c>
      <c r="L114" s="144">
        <f t="shared" si="43"/>
        <v>0</v>
      </c>
      <c r="M114" s="275">
        <f t="shared" si="42"/>
        <v>2</v>
      </c>
      <c r="N114" s="98">
        <v>3</v>
      </c>
      <c r="O114" s="93">
        <f t="shared" si="56"/>
        <v>100</v>
      </c>
      <c r="FL114" s="100">
        <v>2</v>
      </c>
      <c r="ON114" s="100">
        <f t="shared" si="41"/>
        <v>0</v>
      </c>
    </row>
    <row r="115" spans="1:404" ht="23.25" customHeight="1">
      <c r="A115" s="101" t="str">
        <f t="shared" ref="A115:A132" si="58">D115&amp;E115</f>
        <v>014/VG_SR-21(GLOBUS)68-75716-02-B</v>
      </c>
      <c r="B115" s="95">
        <v>44294</v>
      </c>
      <c r="C115" s="97">
        <f t="shared" ca="1" si="57"/>
        <v>-770</v>
      </c>
      <c r="D115" s="96" t="s">
        <v>833</v>
      </c>
      <c r="E115" s="94" t="s">
        <v>150</v>
      </c>
      <c r="F115" s="98" t="str">
        <f t="shared" si="53"/>
        <v>B</v>
      </c>
      <c r="G115" s="110">
        <f ca="1">SUMIF($A:E,$A115,K:K)</f>
        <v>1</v>
      </c>
      <c r="H115" s="97" t="s">
        <v>827</v>
      </c>
      <c r="I115" s="98">
        <v>1</v>
      </c>
      <c r="J115" s="99">
        <v>1</v>
      </c>
      <c r="K115" s="143">
        <f t="shared" si="40"/>
        <v>1</v>
      </c>
      <c r="L115" s="144">
        <f t="shared" si="43"/>
        <v>0</v>
      </c>
      <c r="M115" s="275">
        <f t="shared" si="42"/>
        <v>1</v>
      </c>
      <c r="N115" s="98">
        <v>1</v>
      </c>
      <c r="O115" s="93">
        <f t="shared" si="56"/>
        <v>100</v>
      </c>
      <c r="CN115" s="101">
        <v>1</v>
      </c>
      <c r="ON115" s="100">
        <f t="shared" si="41"/>
        <v>0</v>
      </c>
    </row>
    <row r="116" spans="1:404" ht="23.25" customHeight="1">
      <c r="A116" s="101" t="str">
        <f t="shared" si="58"/>
        <v xml:space="preserve">	001/AL-FARES-VG-2168-75716-01-B</v>
      </c>
      <c r="B116" s="95">
        <v>44686</v>
      </c>
      <c r="C116" s="97">
        <f t="shared" ca="1" si="57"/>
        <v>-378</v>
      </c>
      <c r="D116" s="112" t="s">
        <v>1814</v>
      </c>
      <c r="E116" s="123" t="s">
        <v>493</v>
      </c>
      <c r="F116" s="98" t="str">
        <f t="shared" si="53"/>
        <v>B</v>
      </c>
      <c r="G116" s="110">
        <f ca="1">SUMIF($A:E,$A116,K:K)</f>
        <v>0</v>
      </c>
      <c r="H116" s="112" t="s">
        <v>1561</v>
      </c>
      <c r="I116" s="175">
        <v>24</v>
      </c>
      <c r="J116" s="115">
        <v>24</v>
      </c>
      <c r="K116" s="143">
        <f t="shared" si="40"/>
        <v>0</v>
      </c>
      <c r="L116" s="144">
        <f t="shared" si="43"/>
        <v>24</v>
      </c>
      <c r="M116" s="275">
        <f t="shared" si="42"/>
        <v>24</v>
      </c>
      <c r="N116" s="98">
        <v>4</v>
      </c>
      <c r="O116" s="93">
        <f t="shared" si="56"/>
        <v>0</v>
      </c>
      <c r="ON116" s="100">
        <f t="shared" si="41"/>
        <v>0</v>
      </c>
    </row>
    <row r="117" spans="1:404" ht="23.25" customHeight="1">
      <c r="A117" s="101" t="str">
        <f t="shared" si="58"/>
        <v>002/MES-2168-75616-02-B</v>
      </c>
      <c r="B117" s="95">
        <v>44513</v>
      </c>
      <c r="C117" s="97">
        <f t="shared" ca="1" si="57"/>
        <v>-551</v>
      </c>
      <c r="D117" s="96" t="s">
        <v>986</v>
      </c>
      <c r="E117" s="94" t="s">
        <v>987</v>
      </c>
      <c r="F117" s="98" t="str">
        <f t="shared" si="53"/>
        <v>B</v>
      </c>
      <c r="G117" s="110">
        <f ca="1">SUMIF($A:E,$A117,K:K)</f>
        <v>12</v>
      </c>
      <c r="H117" s="97" t="s">
        <v>508</v>
      </c>
      <c r="I117" s="98">
        <v>12</v>
      </c>
      <c r="J117" s="99">
        <v>12</v>
      </c>
      <c r="K117" s="143">
        <f t="shared" si="40"/>
        <v>12</v>
      </c>
      <c r="L117" s="144">
        <f t="shared" si="43"/>
        <v>0</v>
      </c>
      <c r="M117" s="275">
        <f t="shared" si="42"/>
        <v>12</v>
      </c>
      <c r="N117" s="98">
        <v>2</v>
      </c>
      <c r="O117" s="93">
        <f t="shared" si="56"/>
        <v>100</v>
      </c>
      <c r="KV117" s="100">
        <v>8</v>
      </c>
      <c r="KY117" s="100">
        <v>4</v>
      </c>
      <c r="ON117" s="100">
        <f t="shared" si="41"/>
        <v>0</v>
      </c>
    </row>
    <row r="118" spans="1:404" ht="23.25" customHeight="1">
      <c r="A118" s="101" t="str">
        <f t="shared" si="58"/>
        <v xml:space="preserve">	001/AL-FARES-VG-2168-75616-02-B</v>
      </c>
      <c r="B118" s="95">
        <v>44686</v>
      </c>
      <c r="C118" s="97">
        <f t="shared" ca="1" si="57"/>
        <v>-378</v>
      </c>
      <c r="D118" s="112" t="s">
        <v>1814</v>
      </c>
      <c r="E118" s="123" t="s">
        <v>987</v>
      </c>
      <c r="F118" s="98" t="str">
        <f t="shared" si="53"/>
        <v>B</v>
      </c>
      <c r="G118" s="110">
        <f ca="1">SUMIF($A:E,$A118,K:K)</f>
        <v>12</v>
      </c>
      <c r="H118" s="112" t="s">
        <v>1561</v>
      </c>
      <c r="I118" s="175">
        <v>96</v>
      </c>
      <c r="J118" s="115">
        <v>96</v>
      </c>
      <c r="K118" s="143">
        <f t="shared" si="40"/>
        <v>12</v>
      </c>
      <c r="L118" s="144">
        <f t="shared" si="43"/>
        <v>84</v>
      </c>
      <c r="M118" s="275">
        <f t="shared" si="42"/>
        <v>96</v>
      </c>
      <c r="N118" s="98">
        <v>1</v>
      </c>
      <c r="O118" s="93">
        <f t="shared" si="56"/>
        <v>12.5</v>
      </c>
      <c r="OK118" s="100">
        <v>4</v>
      </c>
      <c r="OM118" s="100">
        <v>2</v>
      </c>
      <c r="ON118" s="100">
        <f t="shared" si="41"/>
        <v>6</v>
      </c>
    </row>
    <row r="119" spans="1:404" ht="23.25" customHeight="1">
      <c r="A119" s="101" t="str">
        <f t="shared" si="58"/>
        <v>002/MES-2168-75616-01-B</v>
      </c>
      <c r="B119" s="95">
        <v>44513</v>
      </c>
      <c r="C119" s="97">
        <f t="shared" ca="1" si="57"/>
        <v>-551</v>
      </c>
      <c r="D119" s="96" t="s">
        <v>986</v>
      </c>
      <c r="E119" s="94" t="s">
        <v>713</v>
      </c>
      <c r="F119" s="98" t="str">
        <f t="shared" si="53"/>
        <v>B</v>
      </c>
      <c r="G119" s="110">
        <f ca="1">SUMIF($A:E,$A119,K:K)</f>
        <v>12</v>
      </c>
      <c r="H119" s="97" t="s">
        <v>508</v>
      </c>
      <c r="I119" s="98">
        <v>12</v>
      </c>
      <c r="J119" s="99">
        <v>12</v>
      </c>
      <c r="K119" s="143">
        <f t="shared" si="40"/>
        <v>12</v>
      </c>
      <c r="L119" s="144">
        <f t="shared" si="43"/>
        <v>0</v>
      </c>
      <c r="M119" s="275">
        <f t="shared" si="42"/>
        <v>12</v>
      </c>
      <c r="N119" s="98">
        <v>2</v>
      </c>
      <c r="O119" s="93">
        <f t="shared" si="56"/>
        <v>100</v>
      </c>
      <c r="KV119" s="100">
        <v>8</v>
      </c>
      <c r="KY119" s="100">
        <v>4</v>
      </c>
      <c r="ON119" s="100">
        <f t="shared" si="41"/>
        <v>0</v>
      </c>
    </row>
    <row r="120" spans="1:404" ht="23.25" customHeight="1">
      <c r="A120" s="101" t="str">
        <f t="shared" si="58"/>
        <v>001/MOBEL-DESIGN-2168-75500-S1-B</v>
      </c>
      <c r="B120" s="95">
        <v>44404</v>
      </c>
      <c r="C120" s="97">
        <f t="shared" ca="1" si="57"/>
        <v>-660</v>
      </c>
      <c r="D120" s="96" t="s">
        <v>929</v>
      </c>
      <c r="E120" s="94" t="s">
        <v>252</v>
      </c>
      <c r="F120" s="98">
        <v>54</v>
      </c>
      <c r="G120" s="110">
        <f ca="1">SUMIF($A:E,$A120,K:K)</f>
        <v>31</v>
      </c>
      <c r="H120" s="97" t="s">
        <v>820</v>
      </c>
      <c r="I120" s="98">
        <v>31</v>
      </c>
      <c r="J120" s="97">
        <v>31</v>
      </c>
      <c r="K120" s="143">
        <f t="shared" si="40"/>
        <v>31</v>
      </c>
      <c r="L120" s="144">
        <f t="shared" si="43"/>
        <v>0</v>
      </c>
      <c r="M120" s="275">
        <f t="shared" si="42"/>
        <v>31</v>
      </c>
      <c r="N120" s="98">
        <v>2</v>
      </c>
      <c r="O120" s="93">
        <f t="shared" si="56"/>
        <v>100</v>
      </c>
      <c r="EA120" s="100">
        <v>2</v>
      </c>
      <c r="ED120" s="100">
        <v>4</v>
      </c>
      <c r="EF120" s="100">
        <v>2</v>
      </c>
      <c r="EG120" s="100">
        <v>2</v>
      </c>
      <c r="EI120" s="100">
        <v>3</v>
      </c>
      <c r="EJ120" s="100">
        <v>2</v>
      </c>
      <c r="EK120" s="100">
        <v>2</v>
      </c>
      <c r="EN120" s="100">
        <v>4</v>
      </c>
      <c r="EO120" s="100">
        <v>3</v>
      </c>
      <c r="EP120" s="100">
        <v>1</v>
      </c>
      <c r="ER120" s="100">
        <v>2</v>
      </c>
      <c r="EU120" s="100">
        <v>1</v>
      </c>
      <c r="EX120" s="100">
        <v>2</v>
      </c>
      <c r="FE120" s="100">
        <v>1</v>
      </c>
      <c r="ON120" s="100">
        <f t="shared" si="41"/>
        <v>0</v>
      </c>
    </row>
    <row r="121" spans="1:404" ht="23.25" customHeight="1">
      <c r="A121" s="101" t="str">
        <f t="shared" si="58"/>
        <v>002/ANNA-2168-75500-S1-B</v>
      </c>
      <c r="B121" s="95">
        <v>44433</v>
      </c>
      <c r="C121" s="97">
        <f t="shared" ca="1" si="57"/>
        <v>-631</v>
      </c>
      <c r="D121" s="96" t="s">
        <v>991</v>
      </c>
      <c r="E121" s="94" t="s">
        <v>252</v>
      </c>
      <c r="F121" s="98" t="str">
        <f t="shared" ref="F121:F128" si="59">MID(E121,13,2)</f>
        <v>B</v>
      </c>
      <c r="G121" s="110">
        <f ca="1">SUMIF($A:E,$A121,K:K)</f>
        <v>144</v>
      </c>
      <c r="H121" s="97" t="s">
        <v>990</v>
      </c>
      <c r="I121" s="98">
        <v>144</v>
      </c>
      <c r="J121" s="97">
        <v>144</v>
      </c>
      <c r="K121" s="143">
        <f t="shared" si="40"/>
        <v>144</v>
      </c>
      <c r="L121" s="144">
        <f t="shared" si="43"/>
        <v>0</v>
      </c>
      <c r="M121" s="275">
        <f t="shared" si="42"/>
        <v>144</v>
      </c>
      <c r="N121" s="98">
        <v>2</v>
      </c>
      <c r="O121" s="93">
        <f t="shared" si="56"/>
        <v>100</v>
      </c>
      <c r="FL121" s="100">
        <v>5</v>
      </c>
      <c r="FM121" s="100">
        <v>5</v>
      </c>
      <c r="FO121" s="100">
        <v>5</v>
      </c>
      <c r="FP121" s="100">
        <v>5</v>
      </c>
      <c r="FQ121" s="100">
        <v>6</v>
      </c>
      <c r="FT121" s="100">
        <v>12</v>
      </c>
      <c r="FV121" s="100">
        <v>18</v>
      </c>
      <c r="FX121" s="100">
        <v>4</v>
      </c>
      <c r="GA121" s="100">
        <v>7</v>
      </c>
      <c r="GB121" s="100">
        <v>6</v>
      </c>
      <c r="GC121" s="100">
        <v>16</v>
      </c>
      <c r="GD121" s="100">
        <v>6</v>
      </c>
      <c r="GE121" s="100">
        <v>4</v>
      </c>
      <c r="GG121" s="100">
        <v>5</v>
      </c>
      <c r="GH121" s="100">
        <v>1</v>
      </c>
      <c r="GI121" s="100">
        <v>11</v>
      </c>
      <c r="GK121" s="100">
        <v>9</v>
      </c>
      <c r="GQ121" s="100">
        <v>5</v>
      </c>
      <c r="GR121" s="100">
        <v>11</v>
      </c>
      <c r="GV121" s="100">
        <v>2</v>
      </c>
      <c r="GY121" s="100">
        <v>1</v>
      </c>
      <c r="ON121" s="100">
        <f t="shared" si="41"/>
        <v>0</v>
      </c>
    </row>
    <row r="122" spans="1:404" ht="23.25" customHeight="1">
      <c r="A122" s="101" t="str">
        <f t="shared" si="58"/>
        <v>001/FLEUR BE-2168-75500-S1-B</v>
      </c>
      <c r="B122" s="95">
        <v>44501</v>
      </c>
      <c r="C122" s="97">
        <f t="shared" ca="1" si="57"/>
        <v>-563</v>
      </c>
      <c r="D122" s="96" t="s">
        <v>1088</v>
      </c>
      <c r="E122" s="94" t="s">
        <v>252</v>
      </c>
      <c r="F122" s="98" t="str">
        <f t="shared" si="59"/>
        <v>B</v>
      </c>
      <c r="G122" s="110">
        <f ca="1">SUMIF($A:E,$A122,K:K)</f>
        <v>186</v>
      </c>
      <c r="H122" s="97" t="s">
        <v>1086</v>
      </c>
      <c r="I122" s="98">
        <v>186</v>
      </c>
      <c r="J122" s="97">
        <v>186</v>
      </c>
      <c r="K122" s="143">
        <f t="shared" si="40"/>
        <v>186</v>
      </c>
      <c r="L122" s="144">
        <f t="shared" si="43"/>
        <v>0</v>
      </c>
      <c r="M122" s="275">
        <f t="shared" si="42"/>
        <v>186</v>
      </c>
      <c r="N122" s="98">
        <v>2</v>
      </c>
      <c r="O122" s="93">
        <f t="shared" si="56"/>
        <v>100</v>
      </c>
      <c r="JM122" s="100">
        <v>6</v>
      </c>
      <c r="JN122" s="100">
        <v>11</v>
      </c>
      <c r="JP122" s="100">
        <v>11</v>
      </c>
      <c r="JR122" s="100">
        <v>11</v>
      </c>
      <c r="JU122" s="100">
        <v>5</v>
      </c>
      <c r="JV122" s="100">
        <v>12</v>
      </c>
      <c r="JW122" s="100">
        <v>4</v>
      </c>
      <c r="JX122" s="100">
        <v>10</v>
      </c>
      <c r="JY122" s="100">
        <v>14</v>
      </c>
      <c r="KA122" s="100">
        <v>21</v>
      </c>
      <c r="KB122" s="100">
        <v>6</v>
      </c>
      <c r="KC122" s="100">
        <v>6</v>
      </c>
      <c r="KD122" s="100">
        <v>11</v>
      </c>
      <c r="KE122" s="100">
        <v>12</v>
      </c>
      <c r="KF122" s="100">
        <v>6</v>
      </c>
      <c r="KG122" s="100">
        <v>16</v>
      </c>
      <c r="KH122" s="100">
        <v>6</v>
      </c>
      <c r="KI122" s="100">
        <v>18</v>
      </c>
      <c r="ON122" s="100">
        <f t="shared" si="41"/>
        <v>0</v>
      </c>
    </row>
    <row r="123" spans="1:404" ht="23.25" customHeight="1">
      <c r="A123" s="101" t="str">
        <f t="shared" si="58"/>
        <v>001/MOBEL-DESIGN-2168-75400-S1-B</v>
      </c>
      <c r="B123" s="95">
        <v>44404</v>
      </c>
      <c r="C123" s="97">
        <f t="shared" ca="1" si="57"/>
        <v>-660</v>
      </c>
      <c r="D123" s="96" t="s">
        <v>929</v>
      </c>
      <c r="E123" s="94" t="s">
        <v>554</v>
      </c>
      <c r="F123" s="98" t="str">
        <f t="shared" si="59"/>
        <v>B</v>
      </c>
      <c r="G123" s="110">
        <f ca="1">SUMIF($A:E,$A123,K:K)</f>
        <v>18</v>
      </c>
      <c r="H123" s="97" t="s">
        <v>820</v>
      </c>
      <c r="I123" s="98">
        <v>18</v>
      </c>
      <c r="J123" s="97">
        <v>18</v>
      </c>
      <c r="K123" s="143">
        <f t="shared" si="40"/>
        <v>18</v>
      </c>
      <c r="L123" s="144">
        <f t="shared" ref="L123:L165" si="60">J123-K123</f>
        <v>0</v>
      </c>
      <c r="M123" s="275">
        <f t="shared" ref="M123:M166" si="61">IF(OR(MID(E123,10,1)="0",MID(E123,10,1)="F"),I123,IF(OR(,MID(E123,10,1)="S",MID(E123,10,1)="L",MID(E123,10,1)="B",MID(E123,10,1)="X"),MID(E123,11,1)*I123,0))</f>
        <v>18</v>
      </c>
      <c r="N123" s="98">
        <v>2</v>
      </c>
      <c r="O123" s="93">
        <f t="shared" si="56"/>
        <v>100</v>
      </c>
      <c r="FJ123" s="100">
        <v>1</v>
      </c>
      <c r="FK123" s="100">
        <v>5</v>
      </c>
      <c r="FL123" s="100">
        <v>12</v>
      </c>
      <c r="ON123" s="100">
        <f t="shared" si="41"/>
        <v>0</v>
      </c>
    </row>
    <row r="124" spans="1:404" ht="24" customHeight="1">
      <c r="A124" s="101" t="str">
        <f t="shared" si="58"/>
        <v>002/ANNA-2168-75400-S1-B</v>
      </c>
      <c r="B124" s="95">
        <v>44433</v>
      </c>
      <c r="C124" s="97">
        <f t="shared" ca="1" si="57"/>
        <v>-631</v>
      </c>
      <c r="D124" s="96" t="s">
        <v>991</v>
      </c>
      <c r="E124" s="94" t="s">
        <v>554</v>
      </c>
      <c r="F124" s="98" t="str">
        <f t="shared" si="59"/>
        <v>B</v>
      </c>
      <c r="G124" s="110">
        <f ca="1">SUMIF($A:E,$A124,K:K)</f>
        <v>72</v>
      </c>
      <c r="H124" s="97" t="s">
        <v>990</v>
      </c>
      <c r="I124" s="98">
        <v>72</v>
      </c>
      <c r="J124" s="97">
        <v>72</v>
      </c>
      <c r="K124" s="143">
        <f t="shared" si="40"/>
        <v>72</v>
      </c>
      <c r="L124" s="144">
        <f t="shared" si="60"/>
        <v>0</v>
      </c>
      <c r="M124" s="275">
        <f t="shared" si="61"/>
        <v>72</v>
      </c>
      <c r="N124" s="98">
        <v>2</v>
      </c>
      <c r="O124" s="93">
        <f t="shared" si="56"/>
        <v>100</v>
      </c>
      <c r="FO124" s="100">
        <v>4</v>
      </c>
      <c r="FP124" s="100">
        <v>7</v>
      </c>
      <c r="FQ124" s="100">
        <v>10</v>
      </c>
      <c r="FT124" s="100">
        <v>5</v>
      </c>
      <c r="FV124" s="100">
        <v>6</v>
      </c>
      <c r="FW124" s="100">
        <v>10</v>
      </c>
      <c r="FX124" s="100">
        <v>5</v>
      </c>
      <c r="GA124" s="100">
        <v>5</v>
      </c>
      <c r="GB124" s="100">
        <v>2</v>
      </c>
      <c r="GC124" s="100">
        <v>15</v>
      </c>
      <c r="GD124" s="100">
        <v>3</v>
      </c>
      <c r="ON124" s="100">
        <f t="shared" si="41"/>
        <v>0</v>
      </c>
    </row>
    <row r="125" spans="1:404" ht="23.25" customHeight="1">
      <c r="A125" s="101" t="str">
        <f t="shared" si="58"/>
        <v>001/HANKKIJA-2168-75400-S1-B</v>
      </c>
      <c r="B125" s="95">
        <v>44478</v>
      </c>
      <c r="C125" s="97">
        <f t="shared" ca="1" si="57"/>
        <v>-586</v>
      </c>
      <c r="D125" s="112" t="s">
        <v>1041</v>
      </c>
      <c r="E125" s="123" t="s">
        <v>554</v>
      </c>
      <c r="F125" s="98" t="str">
        <f t="shared" si="59"/>
        <v>B</v>
      </c>
      <c r="G125" s="110">
        <f ca="1">SUMIF($A:E,$A125,K:K)</f>
        <v>90</v>
      </c>
      <c r="H125" s="97" t="s">
        <v>601</v>
      </c>
      <c r="I125" s="98">
        <v>90</v>
      </c>
      <c r="J125" s="97">
        <v>90</v>
      </c>
      <c r="K125" s="143">
        <f t="shared" si="40"/>
        <v>90</v>
      </c>
      <c r="L125" s="144">
        <f t="shared" si="60"/>
        <v>0</v>
      </c>
      <c r="M125" s="275">
        <f t="shared" si="61"/>
        <v>90</v>
      </c>
      <c r="N125" s="98">
        <v>2</v>
      </c>
      <c r="O125" s="93">
        <f t="shared" si="56"/>
        <v>100</v>
      </c>
      <c r="HG125" s="100">
        <v>2</v>
      </c>
      <c r="HJ125" s="100">
        <v>5</v>
      </c>
      <c r="HK125" s="100">
        <v>10</v>
      </c>
      <c r="HS125" s="100">
        <v>5</v>
      </c>
      <c r="HT125" s="100">
        <v>15</v>
      </c>
      <c r="HW125" s="100">
        <v>5</v>
      </c>
      <c r="HX125" s="100">
        <v>5</v>
      </c>
      <c r="HY125" s="100">
        <v>10</v>
      </c>
      <c r="IB125" s="100">
        <v>10</v>
      </c>
      <c r="ID125" s="100">
        <v>15</v>
      </c>
      <c r="IF125" s="100">
        <v>6</v>
      </c>
      <c r="IG125" s="100">
        <v>1</v>
      </c>
      <c r="IH125" s="100">
        <v>1</v>
      </c>
      <c r="ON125" s="100">
        <f t="shared" si="41"/>
        <v>0</v>
      </c>
    </row>
    <row r="126" spans="1:404" ht="23.25" customHeight="1">
      <c r="A126" s="101" t="str">
        <f t="shared" si="58"/>
        <v>001/FLEUR BE-2168-75400-S1-B</v>
      </c>
      <c r="B126" s="95">
        <v>44501</v>
      </c>
      <c r="C126" s="97">
        <f t="shared" ca="1" si="57"/>
        <v>-563</v>
      </c>
      <c r="D126" s="96" t="s">
        <v>1088</v>
      </c>
      <c r="E126" s="94" t="s">
        <v>554</v>
      </c>
      <c r="F126" s="98" t="str">
        <f t="shared" si="59"/>
        <v>B</v>
      </c>
      <c r="G126" s="110">
        <f ca="1">SUMIF($A:E,$A126,K:K)</f>
        <v>162</v>
      </c>
      <c r="H126" s="97" t="s">
        <v>1086</v>
      </c>
      <c r="I126" s="98">
        <v>162</v>
      </c>
      <c r="J126" s="97">
        <v>162</v>
      </c>
      <c r="K126" s="143">
        <f t="shared" si="40"/>
        <v>162</v>
      </c>
      <c r="L126" s="144">
        <f t="shared" si="60"/>
        <v>0</v>
      </c>
      <c r="M126" s="275">
        <f t="shared" si="61"/>
        <v>162</v>
      </c>
      <c r="N126" s="98">
        <v>2</v>
      </c>
      <c r="O126" s="93">
        <f t="shared" si="56"/>
        <v>100</v>
      </c>
      <c r="JA126" s="100">
        <v>3</v>
      </c>
      <c r="JB126" s="100">
        <v>5</v>
      </c>
      <c r="JG126" s="100">
        <v>10</v>
      </c>
      <c r="JH126" s="100">
        <v>15</v>
      </c>
      <c r="JJ126" s="100">
        <v>15</v>
      </c>
      <c r="JN126" s="100">
        <v>13</v>
      </c>
      <c r="JP126" s="100">
        <v>8</v>
      </c>
      <c r="JR126" s="100">
        <v>14</v>
      </c>
      <c r="JU126" s="100">
        <v>5</v>
      </c>
      <c r="JV126" s="100">
        <v>8</v>
      </c>
      <c r="JW126" s="100">
        <v>5</v>
      </c>
      <c r="JY126" s="100">
        <v>9</v>
      </c>
      <c r="KA126" s="100">
        <v>6</v>
      </c>
      <c r="KB126" s="100">
        <v>4</v>
      </c>
      <c r="KC126" s="100">
        <v>6</v>
      </c>
      <c r="KD126" s="100">
        <v>5</v>
      </c>
      <c r="KE126" s="100">
        <v>3</v>
      </c>
      <c r="KF126" s="100">
        <v>4</v>
      </c>
      <c r="KG126" s="100">
        <v>10</v>
      </c>
      <c r="KH126" s="100">
        <v>6</v>
      </c>
      <c r="KI126" s="100">
        <v>8</v>
      </c>
      <c r="ON126" s="100">
        <f t="shared" si="41"/>
        <v>0</v>
      </c>
    </row>
    <row r="127" spans="1:404" ht="23.25" customHeight="1">
      <c r="A127" s="101" t="str">
        <f t="shared" si="58"/>
        <v>068/KHBS-2168-75300-S1-B2</v>
      </c>
      <c r="B127" s="95">
        <v>44252</v>
      </c>
      <c r="C127" s="97">
        <f t="shared" ref="C127:C136" ca="1" si="62">B127-TODAY()</f>
        <v>-812</v>
      </c>
      <c r="D127" s="96" t="s">
        <v>734</v>
      </c>
      <c r="E127" s="94" t="s">
        <v>374</v>
      </c>
      <c r="F127" s="98" t="str">
        <f t="shared" si="59"/>
        <v>B2</v>
      </c>
      <c r="G127" s="110">
        <f ca="1">SUMIF($A:E,$A127,K:K)</f>
        <v>2</v>
      </c>
      <c r="H127" s="97" t="s">
        <v>508</v>
      </c>
      <c r="I127" s="98">
        <v>2</v>
      </c>
      <c r="J127" s="99">
        <v>2</v>
      </c>
      <c r="K127" s="143">
        <f t="shared" si="40"/>
        <v>2</v>
      </c>
      <c r="L127" s="144">
        <f t="shared" si="60"/>
        <v>0</v>
      </c>
      <c r="M127" s="275">
        <f t="shared" si="61"/>
        <v>2</v>
      </c>
      <c r="N127" s="98">
        <v>2</v>
      </c>
      <c r="O127" s="93">
        <f t="shared" si="56"/>
        <v>100</v>
      </c>
      <c r="BC127" s="121">
        <v>2</v>
      </c>
      <c r="ON127" s="100">
        <f t="shared" si="41"/>
        <v>0</v>
      </c>
    </row>
    <row r="128" spans="1:404" ht="23.25" customHeight="1">
      <c r="A128" s="101" t="str">
        <f t="shared" si="58"/>
        <v>002/TORRICELLI-2168-75300-S1-B2</v>
      </c>
      <c r="B128" s="95">
        <v>44384</v>
      </c>
      <c r="C128" s="97">
        <f t="shared" ca="1" si="62"/>
        <v>-680</v>
      </c>
      <c r="D128" s="145" t="s">
        <v>765</v>
      </c>
      <c r="E128" s="145" t="s">
        <v>374</v>
      </c>
      <c r="F128" s="98" t="str">
        <f t="shared" si="59"/>
        <v>B2</v>
      </c>
      <c r="G128" s="110">
        <f ca="1">SUMIF($A:E,$A128,K:K)</f>
        <v>31</v>
      </c>
      <c r="H128" s="97" t="s">
        <v>601</v>
      </c>
      <c r="I128" s="98">
        <v>31</v>
      </c>
      <c r="J128" s="97">
        <v>31</v>
      </c>
      <c r="K128" s="143">
        <f t="shared" si="40"/>
        <v>31</v>
      </c>
      <c r="L128" s="144">
        <f t="shared" si="60"/>
        <v>0</v>
      </c>
      <c r="M128" s="275">
        <f t="shared" si="61"/>
        <v>31</v>
      </c>
      <c r="N128" s="98">
        <v>5</v>
      </c>
      <c r="O128" s="93">
        <f t="shared" si="56"/>
        <v>100</v>
      </c>
      <c r="DA128" s="101">
        <v>1</v>
      </c>
      <c r="DB128" s="101">
        <v>3</v>
      </c>
      <c r="DE128" s="101">
        <v>4</v>
      </c>
      <c r="DF128" s="101">
        <v>2</v>
      </c>
      <c r="DK128" s="101">
        <v>2</v>
      </c>
      <c r="DL128" s="101">
        <v>4</v>
      </c>
      <c r="DM128" s="101">
        <v>2</v>
      </c>
      <c r="DO128" s="101">
        <v>4</v>
      </c>
      <c r="DR128" s="101">
        <v>4</v>
      </c>
      <c r="DS128" s="100">
        <v>2</v>
      </c>
      <c r="DU128" s="100">
        <v>3</v>
      </c>
      <c r="ON128" s="100">
        <f t="shared" si="41"/>
        <v>0</v>
      </c>
    </row>
    <row r="129" spans="1:404" ht="23.25" customHeight="1">
      <c r="A129" s="101" t="str">
        <f t="shared" si="58"/>
        <v>001/MOBEL-DESIGN-2168-75300-S1-B</v>
      </c>
      <c r="B129" s="95">
        <v>44404</v>
      </c>
      <c r="C129" s="97">
        <f t="shared" ca="1" si="62"/>
        <v>-660</v>
      </c>
      <c r="D129" s="96" t="s">
        <v>929</v>
      </c>
      <c r="E129" s="94" t="s">
        <v>529</v>
      </c>
      <c r="F129" s="98" t="str">
        <f>MID(E129,13,2)</f>
        <v>B</v>
      </c>
      <c r="G129" s="110">
        <f ca="1">SUMIF($A:E,$A129,K:K)</f>
        <v>31</v>
      </c>
      <c r="H129" s="97" t="s">
        <v>820</v>
      </c>
      <c r="I129" s="98">
        <v>31</v>
      </c>
      <c r="J129" s="97">
        <v>31</v>
      </c>
      <c r="K129" s="143">
        <f t="shared" si="40"/>
        <v>31</v>
      </c>
      <c r="L129" s="144">
        <f t="shared" si="60"/>
        <v>0</v>
      </c>
      <c r="M129" s="275">
        <f t="shared" si="61"/>
        <v>31</v>
      </c>
      <c r="N129" s="98">
        <v>5</v>
      </c>
      <c r="O129" s="93">
        <f t="shared" si="56"/>
        <v>100</v>
      </c>
      <c r="DY129" s="100">
        <v>1</v>
      </c>
      <c r="EC129" s="100">
        <v>4</v>
      </c>
      <c r="ED129" s="100">
        <v>2</v>
      </c>
      <c r="EF129" s="100">
        <v>4</v>
      </c>
      <c r="EG129" s="100">
        <v>4</v>
      </c>
      <c r="EH129" s="100">
        <v>2</v>
      </c>
      <c r="EI129" s="100">
        <v>3</v>
      </c>
      <c r="EJ129" s="100">
        <v>2</v>
      </c>
      <c r="EK129" s="100">
        <v>2</v>
      </c>
      <c r="EM129" s="100">
        <v>4</v>
      </c>
      <c r="EN129" s="100">
        <v>2</v>
      </c>
      <c r="EO129" s="100">
        <v>1</v>
      </c>
      <c r="ON129" s="100">
        <f t="shared" si="41"/>
        <v>0</v>
      </c>
    </row>
    <row r="130" spans="1:404" ht="23.25" customHeight="1">
      <c r="A130" s="101" t="str">
        <f t="shared" si="58"/>
        <v>018/VG_SR-21(TJX)68-75300-S1-B</v>
      </c>
      <c r="B130" s="95">
        <v>44294</v>
      </c>
      <c r="C130" s="97">
        <f t="shared" ca="1" si="62"/>
        <v>-770</v>
      </c>
      <c r="D130" s="96" t="s">
        <v>831</v>
      </c>
      <c r="E130" s="94" t="s">
        <v>529</v>
      </c>
      <c r="F130" s="98" t="str">
        <f>MID(E130,13,2)</f>
        <v>B</v>
      </c>
      <c r="G130" s="110">
        <f ca="1">SUMIF($A:E,$A130,K:K)</f>
        <v>1</v>
      </c>
      <c r="H130" s="97" t="s">
        <v>827</v>
      </c>
      <c r="I130" s="98">
        <v>1</v>
      </c>
      <c r="J130" s="99">
        <v>1</v>
      </c>
      <c r="K130" s="143">
        <f t="shared" si="40"/>
        <v>1</v>
      </c>
      <c r="L130" s="144">
        <f t="shared" si="60"/>
        <v>0</v>
      </c>
      <c r="M130" s="275">
        <f t="shared" si="61"/>
        <v>1</v>
      </c>
      <c r="N130" s="98">
        <v>1</v>
      </c>
      <c r="O130" s="93">
        <f t="shared" si="56"/>
        <v>100</v>
      </c>
      <c r="CK130" s="101">
        <v>1</v>
      </c>
      <c r="ON130" s="100">
        <f t="shared" si="41"/>
        <v>0</v>
      </c>
    </row>
    <row r="131" spans="1:404" ht="23.25" customHeight="1">
      <c r="A131" s="101" t="str">
        <f t="shared" si="58"/>
        <v>001T/HOMEGOODS-2168-75300-S1-B</v>
      </c>
      <c r="B131" s="95">
        <v>44408</v>
      </c>
      <c r="C131" s="97">
        <f t="shared" ca="1" si="62"/>
        <v>-656</v>
      </c>
      <c r="D131" s="96" t="s">
        <v>1090</v>
      </c>
      <c r="E131" s="94" t="s">
        <v>529</v>
      </c>
      <c r="F131" s="98" t="str">
        <f>MID(E131,13,2)</f>
        <v>B</v>
      </c>
      <c r="G131" s="110">
        <f ca="1">SUMIF($A:E,$A131,K:K)</f>
        <v>310</v>
      </c>
      <c r="H131" s="97" t="s">
        <v>616</v>
      </c>
      <c r="I131" s="98">
        <v>310</v>
      </c>
      <c r="J131" s="97">
        <v>310</v>
      </c>
      <c r="K131" s="143">
        <f t="shared" ref="K131:K194" si="63">SUM(P131:BBC131)</f>
        <v>310</v>
      </c>
      <c r="L131" s="144">
        <f t="shared" si="60"/>
        <v>0</v>
      </c>
      <c r="M131" s="275">
        <f t="shared" si="61"/>
        <v>310</v>
      </c>
      <c r="N131" s="98">
        <v>3</v>
      </c>
      <c r="O131" s="93">
        <f t="shared" si="56"/>
        <v>100</v>
      </c>
      <c r="FS131" s="100">
        <v>15</v>
      </c>
      <c r="FT131" s="100">
        <v>7</v>
      </c>
      <c r="FU131" s="100">
        <v>5</v>
      </c>
      <c r="FV131" s="100">
        <v>20</v>
      </c>
      <c r="FW131" s="100">
        <v>8</v>
      </c>
      <c r="FX131" s="100">
        <v>13</v>
      </c>
      <c r="FZ131" s="100">
        <v>12</v>
      </c>
      <c r="GA131" s="100">
        <v>9</v>
      </c>
      <c r="GC131" s="100">
        <v>20</v>
      </c>
      <c r="GG131" s="100">
        <v>27</v>
      </c>
      <c r="GH131" s="100">
        <v>31</v>
      </c>
      <c r="GI131" s="100">
        <v>6</v>
      </c>
      <c r="GL131" s="100">
        <v>55</v>
      </c>
      <c r="GN131" s="100">
        <v>20</v>
      </c>
      <c r="GO131" s="100">
        <v>20</v>
      </c>
      <c r="GQ131" s="100">
        <v>16</v>
      </c>
      <c r="GR131" s="100">
        <v>1</v>
      </c>
      <c r="GS131" s="100">
        <v>18</v>
      </c>
      <c r="GU131" s="100">
        <v>7</v>
      </c>
      <c r="ON131" s="100">
        <f t="shared" si="41"/>
        <v>0</v>
      </c>
    </row>
    <row r="132" spans="1:404" ht="23.25" customHeight="1">
      <c r="A132" s="101" t="str">
        <f t="shared" si="58"/>
        <v>003/HOMEGOODS-2168-75300-S1-B</v>
      </c>
      <c r="B132" s="95">
        <v>44476</v>
      </c>
      <c r="C132" s="97">
        <f t="shared" ca="1" si="62"/>
        <v>-588</v>
      </c>
      <c r="D132" s="96" t="s">
        <v>1274</v>
      </c>
      <c r="E132" s="94" t="s">
        <v>529</v>
      </c>
      <c r="F132" s="98" t="str">
        <f>MID(E132,13,2)</f>
        <v>B</v>
      </c>
      <c r="G132" s="110">
        <f ca="1">SUMIF($A:E,$A132,K:K)</f>
        <v>620</v>
      </c>
      <c r="H132" s="97" t="s">
        <v>933</v>
      </c>
      <c r="I132" s="98">
        <v>620</v>
      </c>
      <c r="J132" s="99">
        <v>320</v>
      </c>
      <c r="K132" s="143">
        <f t="shared" si="63"/>
        <v>320</v>
      </c>
      <c r="L132" s="144">
        <f t="shared" si="60"/>
        <v>0</v>
      </c>
      <c r="M132" s="275">
        <f t="shared" si="61"/>
        <v>620</v>
      </c>
      <c r="N132" s="98">
        <v>3</v>
      </c>
      <c r="O132" s="93">
        <f t="shared" si="56"/>
        <v>100</v>
      </c>
      <c r="GU132" s="100">
        <v>39</v>
      </c>
      <c r="GV132" s="100">
        <v>20</v>
      </c>
      <c r="GW132" s="100">
        <v>31</v>
      </c>
      <c r="GX132" s="100">
        <v>13</v>
      </c>
      <c r="GY132" s="100">
        <v>19</v>
      </c>
      <c r="HC132" s="100">
        <v>39</v>
      </c>
      <c r="HD132" s="100">
        <v>3</v>
      </c>
      <c r="HG132" s="100">
        <v>10</v>
      </c>
      <c r="HI132" s="100">
        <v>1</v>
      </c>
      <c r="HJ132" s="100">
        <v>11</v>
      </c>
      <c r="HK132" s="100">
        <v>1</v>
      </c>
      <c r="HM132" s="100">
        <v>12</v>
      </c>
      <c r="HN132" s="100">
        <v>10</v>
      </c>
      <c r="HP132" s="100">
        <v>2</v>
      </c>
      <c r="HQ132" s="100">
        <v>11</v>
      </c>
      <c r="HS132" s="100">
        <v>1</v>
      </c>
      <c r="HT132" s="100">
        <v>11</v>
      </c>
      <c r="HU132" s="100">
        <v>14</v>
      </c>
      <c r="HW132" s="100">
        <v>21</v>
      </c>
      <c r="HX132" s="100">
        <v>27</v>
      </c>
      <c r="HY132" s="100">
        <v>10</v>
      </c>
      <c r="IE132" s="100">
        <v>4</v>
      </c>
      <c r="IF132" s="100">
        <v>10</v>
      </c>
      <c r="ON132" s="100">
        <f t="shared" ref="ON132:ON195" si="64">SUM(NS132:OM132)</f>
        <v>0</v>
      </c>
    </row>
    <row r="133" spans="1:404" ht="23.25" customHeight="1">
      <c r="A133" s="101" t="s">
        <v>1858</v>
      </c>
      <c r="B133" s="95">
        <v>44476</v>
      </c>
      <c r="C133" s="97">
        <f t="shared" ca="1" si="62"/>
        <v>-588</v>
      </c>
      <c r="D133" s="96" t="s">
        <v>1274</v>
      </c>
      <c r="E133" s="94" t="s">
        <v>529</v>
      </c>
      <c r="F133" s="98" t="s">
        <v>561</v>
      </c>
      <c r="G133" s="110">
        <v>376</v>
      </c>
      <c r="H133" s="97" t="s">
        <v>933</v>
      </c>
      <c r="I133" s="98">
        <v>620</v>
      </c>
      <c r="J133" s="99">
        <v>166</v>
      </c>
      <c r="K133" s="143">
        <f t="shared" si="63"/>
        <v>166</v>
      </c>
      <c r="L133" s="144">
        <f t="shared" si="60"/>
        <v>0</v>
      </c>
      <c r="M133" s="275">
        <f t="shared" si="61"/>
        <v>620</v>
      </c>
      <c r="N133" s="98">
        <v>6</v>
      </c>
      <c r="O133" s="93">
        <f t="shared" si="56"/>
        <v>100</v>
      </c>
      <c r="IR133" s="100">
        <v>15</v>
      </c>
      <c r="JA133" s="100">
        <v>19</v>
      </c>
      <c r="JB133" s="100">
        <v>52</v>
      </c>
      <c r="JC133" s="100">
        <v>14</v>
      </c>
      <c r="JD133" s="100">
        <v>18</v>
      </c>
      <c r="JF133" s="100">
        <v>32</v>
      </c>
      <c r="JG133" s="100">
        <v>16</v>
      </c>
      <c r="ON133" s="100">
        <f t="shared" si="64"/>
        <v>0</v>
      </c>
    </row>
    <row r="134" spans="1:404" ht="23.25" customHeight="1">
      <c r="A134" s="101" t="str">
        <f>D134&amp;E134</f>
        <v>003/HOMEGOODS-2168-75300-S1-B</v>
      </c>
      <c r="B134" s="95">
        <v>44476</v>
      </c>
      <c r="C134" s="97">
        <f t="shared" ca="1" si="62"/>
        <v>-588</v>
      </c>
      <c r="D134" s="96" t="s">
        <v>1274</v>
      </c>
      <c r="E134" s="94" t="s">
        <v>529</v>
      </c>
      <c r="F134" s="98" t="str">
        <f>MID(E134,13,2)</f>
        <v>B</v>
      </c>
      <c r="G134" s="110">
        <f ca="1">SUMIF($A:E,$A134,K:K)</f>
        <v>620</v>
      </c>
      <c r="H134" s="97" t="s">
        <v>933</v>
      </c>
      <c r="I134" s="98">
        <v>620</v>
      </c>
      <c r="J134" s="99">
        <f>620-J132-J133</f>
        <v>134</v>
      </c>
      <c r="K134" s="143">
        <f t="shared" si="63"/>
        <v>134</v>
      </c>
      <c r="L134" s="144">
        <f t="shared" si="60"/>
        <v>0</v>
      </c>
      <c r="M134" s="275">
        <f t="shared" si="61"/>
        <v>620</v>
      </c>
      <c r="N134" s="98">
        <v>3</v>
      </c>
      <c r="O134" s="93">
        <f t="shared" si="56"/>
        <v>100</v>
      </c>
      <c r="IF134" s="100">
        <v>3</v>
      </c>
      <c r="IH134" s="100">
        <v>22</v>
      </c>
      <c r="IL134" s="100">
        <v>12</v>
      </c>
      <c r="IM134" s="100">
        <v>11</v>
      </c>
      <c r="IP134" s="100">
        <v>8</v>
      </c>
      <c r="IR134" s="100">
        <v>23</v>
      </c>
      <c r="IT134" s="100">
        <v>13</v>
      </c>
      <c r="IW134" s="100">
        <v>12</v>
      </c>
      <c r="IY134" s="100">
        <v>22</v>
      </c>
      <c r="IZ134" s="100">
        <v>2</v>
      </c>
      <c r="JB134" s="100">
        <v>6</v>
      </c>
      <c r="ON134" s="100">
        <f t="shared" si="64"/>
        <v>0</v>
      </c>
    </row>
    <row r="135" spans="1:404" ht="23.25" customHeight="1">
      <c r="A135" s="101" t="s">
        <v>2370</v>
      </c>
      <c r="B135" s="95">
        <v>44594</v>
      </c>
      <c r="C135" s="97">
        <f t="shared" ca="1" si="62"/>
        <v>-470</v>
      </c>
      <c r="D135" s="112" t="s">
        <v>1295</v>
      </c>
      <c r="E135" s="123" t="s">
        <v>529</v>
      </c>
      <c r="F135" s="98" t="s">
        <v>561</v>
      </c>
      <c r="G135" s="110">
        <v>0</v>
      </c>
      <c r="H135" s="97" t="s">
        <v>508</v>
      </c>
      <c r="I135" s="175">
        <v>682</v>
      </c>
      <c r="J135" s="115">
        <v>23</v>
      </c>
      <c r="K135" s="143">
        <f t="shared" si="63"/>
        <v>23</v>
      </c>
      <c r="L135" s="144">
        <f t="shared" ref="L135" si="65">J135-K135</f>
        <v>0</v>
      </c>
      <c r="M135" s="275">
        <f t="shared" si="61"/>
        <v>682</v>
      </c>
      <c r="N135" s="98">
        <v>6</v>
      </c>
      <c r="O135" s="93">
        <f t="shared" si="56"/>
        <v>100</v>
      </c>
      <c r="NI135" s="100">
        <v>23</v>
      </c>
      <c r="ON135" s="100">
        <f t="shared" si="64"/>
        <v>0</v>
      </c>
    </row>
    <row r="136" spans="1:404" ht="23.25" customHeight="1">
      <c r="A136" s="101" t="str">
        <f>D136&amp;E136</f>
        <v>007/HOMEGOODS-2168-75300-S1-B</v>
      </c>
      <c r="B136" s="95">
        <v>44594</v>
      </c>
      <c r="C136" s="97">
        <f t="shared" ca="1" si="62"/>
        <v>-470</v>
      </c>
      <c r="D136" s="112" t="s">
        <v>1295</v>
      </c>
      <c r="E136" s="123" t="s">
        <v>529</v>
      </c>
      <c r="F136" s="98" t="str">
        <f>MID(E136,13,2)</f>
        <v>B</v>
      </c>
      <c r="G136" s="110">
        <f ca="1">SUMIF($A:E,$A136,K:K)</f>
        <v>739</v>
      </c>
      <c r="H136" s="97" t="s">
        <v>508</v>
      </c>
      <c r="I136" s="175">
        <v>682</v>
      </c>
      <c r="J136" s="115">
        <f>682-J135</f>
        <v>659</v>
      </c>
      <c r="K136" s="143">
        <f t="shared" si="63"/>
        <v>716</v>
      </c>
      <c r="L136" s="144">
        <f t="shared" si="60"/>
        <v>-57</v>
      </c>
      <c r="M136" s="275">
        <f t="shared" si="61"/>
        <v>682</v>
      </c>
      <c r="N136" s="98">
        <v>4</v>
      </c>
      <c r="O136" s="93">
        <f t="shared" si="56"/>
        <v>108.649468892261</v>
      </c>
      <c r="MT136" s="100">
        <v>39</v>
      </c>
      <c r="MW136" s="100">
        <v>43</v>
      </c>
      <c r="MX136" s="100">
        <v>21</v>
      </c>
      <c r="MY136" s="100">
        <v>34</v>
      </c>
      <c r="MZ136" s="100">
        <v>39</v>
      </c>
      <c r="NA136" s="100">
        <v>11</v>
      </c>
      <c r="ND136" s="100">
        <v>3</v>
      </c>
      <c r="NE136" s="100">
        <v>92</v>
      </c>
      <c r="NF136" s="100">
        <v>52</v>
      </c>
      <c r="NG136" s="100">
        <v>48</v>
      </c>
      <c r="NI136" s="100">
        <v>48</v>
      </c>
      <c r="NK136" s="100">
        <v>93</v>
      </c>
      <c r="NL136" s="100">
        <v>22</v>
      </c>
      <c r="NM136" s="100">
        <v>57</v>
      </c>
      <c r="NS136" s="100">
        <v>57</v>
      </c>
      <c r="ON136" s="100">
        <f t="shared" si="64"/>
        <v>57</v>
      </c>
    </row>
    <row r="137" spans="1:404" ht="23.25" customHeight="1">
      <c r="A137" s="101" t="str">
        <f>D137&amp;E137</f>
        <v>001/TK MAXX-USA-2168-75300-S1-B</v>
      </c>
      <c r="B137" s="95">
        <v>44602</v>
      </c>
      <c r="C137" s="97">
        <f ca="1">B137-TODAY()</f>
        <v>-462</v>
      </c>
      <c r="D137" s="112" t="s">
        <v>1363</v>
      </c>
      <c r="E137" s="123" t="s">
        <v>529</v>
      </c>
      <c r="F137" s="98" t="str">
        <f>MID(E137,13,2)</f>
        <v>B</v>
      </c>
      <c r="G137" s="110">
        <f ca="1">SUMIF($A:E,$A137,K:K)</f>
        <v>124</v>
      </c>
      <c r="H137" s="97" t="s">
        <v>508</v>
      </c>
      <c r="I137" s="175">
        <v>62</v>
      </c>
      <c r="J137" s="115">
        <v>62</v>
      </c>
      <c r="K137" s="143">
        <f t="shared" si="63"/>
        <v>124</v>
      </c>
      <c r="L137" s="144">
        <f t="shared" si="60"/>
        <v>-62</v>
      </c>
      <c r="M137" s="275">
        <f t="shared" si="61"/>
        <v>62</v>
      </c>
      <c r="N137" s="98">
        <v>4</v>
      </c>
      <c r="O137" s="93">
        <f t="shared" si="56"/>
        <v>200</v>
      </c>
      <c r="NS137" s="100">
        <v>36</v>
      </c>
      <c r="NU137" s="100">
        <v>19</v>
      </c>
      <c r="NV137" s="100">
        <v>7</v>
      </c>
      <c r="ON137" s="100">
        <f t="shared" si="64"/>
        <v>62</v>
      </c>
    </row>
    <row r="138" spans="1:404" ht="23.25" customHeight="1">
      <c r="A138" s="97" t="str">
        <f>D138&amp;E138</f>
        <v>002/TORRICELLI-2168-75200-S1-B2</v>
      </c>
      <c r="B138" s="95">
        <v>44384</v>
      </c>
      <c r="C138" s="97">
        <f ca="1">B138-TODAY()</f>
        <v>-680</v>
      </c>
      <c r="D138" s="145" t="s">
        <v>765</v>
      </c>
      <c r="E138" s="145" t="s">
        <v>373</v>
      </c>
      <c r="F138" s="98" t="str">
        <f>MID(E138,13,2)</f>
        <v>B2</v>
      </c>
      <c r="G138" s="110">
        <f ca="1">SUMIF($A:E,$A138,K:K)</f>
        <v>18</v>
      </c>
      <c r="H138" s="97" t="s">
        <v>601</v>
      </c>
      <c r="I138" s="98">
        <v>18</v>
      </c>
      <c r="J138" s="97">
        <v>18</v>
      </c>
      <c r="K138" s="143">
        <f t="shared" si="63"/>
        <v>18</v>
      </c>
      <c r="L138" s="144">
        <f t="shared" si="60"/>
        <v>0</v>
      </c>
      <c r="M138" s="275">
        <f t="shared" si="61"/>
        <v>18</v>
      </c>
      <c r="N138" s="98">
        <v>1</v>
      </c>
      <c r="O138" s="93">
        <f t="shared" si="56"/>
        <v>100</v>
      </c>
      <c r="CZ138" s="101">
        <v>1</v>
      </c>
      <c r="DE138" s="101">
        <v>2</v>
      </c>
      <c r="DF138" s="101">
        <v>3</v>
      </c>
      <c r="DL138" s="101">
        <v>4</v>
      </c>
      <c r="DM138" s="101">
        <v>5</v>
      </c>
      <c r="EF138" s="100">
        <v>3</v>
      </c>
      <c r="ON138" s="100">
        <f t="shared" si="64"/>
        <v>0</v>
      </c>
    </row>
    <row r="139" spans="1:404" ht="23.25" customHeight="1">
      <c r="A139" s="97" t="str">
        <f>D139&amp;E139</f>
        <v>018/VG_SR-21(TJX)68-75200-S1-B</v>
      </c>
      <c r="B139" s="95">
        <v>44294</v>
      </c>
      <c r="C139" s="97">
        <f ca="1">B139-TODAY()</f>
        <v>-770</v>
      </c>
      <c r="D139" s="96" t="s">
        <v>831</v>
      </c>
      <c r="E139" s="94" t="s">
        <v>319</v>
      </c>
      <c r="F139" s="98" t="str">
        <f>MID(E139,13,2)</f>
        <v>B</v>
      </c>
      <c r="G139" s="110">
        <f ca="1">SUMIF($A:E,$A139,K:K)</f>
        <v>1</v>
      </c>
      <c r="H139" s="97" t="s">
        <v>827</v>
      </c>
      <c r="I139" s="98">
        <v>1</v>
      </c>
      <c r="J139" s="99">
        <v>1</v>
      </c>
      <c r="K139" s="143">
        <f t="shared" si="63"/>
        <v>1</v>
      </c>
      <c r="L139" s="144">
        <f t="shared" si="60"/>
        <v>0</v>
      </c>
      <c r="M139" s="275">
        <f t="shared" si="61"/>
        <v>1</v>
      </c>
      <c r="N139" s="98">
        <v>1</v>
      </c>
      <c r="O139" s="93">
        <f t="shared" si="56"/>
        <v>100</v>
      </c>
      <c r="CM139" s="101">
        <v>1</v>
      </c>
      <c r="ON139" s="100">
        <f t="shared" si="64"/>
        <v>0</v>
      </c>
    </row>
    <row r="140" spans="1:404" ht="23.25" customHeight="1">
      <c r="A140" s="97" t="str">
        <f>D140&amp;E140</f>
        <v>001/MOBEL-DESIGN-2168-75200-S1-B</v>
      </c>
      <c r="B140" s="95">
        <v>44404</v>
      </c>
      <c r="C140" s="97">
        <f ca="1">B140-TODAY()</f>
        <v>-660</v>
      </c>
      <c r="D140" s="96" t="s">
        <v>929</v>
      </c>
      <c r="E140" s="94" t="s">
        <v>319</v>
      </c>
      <c r="F140" s="98" t="str">
        <f>MID(E140,13,2)</f>
        <v>B</v>
      </c>
      <c r="G140" s="110">
        <f ca="1">SUMIF($A:E,$A140,K:K)</f>
        <v>18</v>
      </c>
      <c r="H140" s="97" t="s">
        <v>820</v>
      </c>
      <c r="I140" s="98">
        <v>18</v>
      </c>
      <c r="J140" s="97">
        <v>18</v>
      </c>
      <c r="K140" s="143">
        <f t="shared" si="63"/>
        <v>18</v>
      </c>
      <c r="L140" s="144">
        <f t="shared" si="60"/>
        <v>0</v>
      </c>
      <c r="M140" s="275">
        <f t="shared" si="61"/>
        <v>18</v>
      </c>
      <c r="N140" s="98">
        <v>1</v>
      </c>
      <c r="O140" s="93">
        <f t="shared" si="56"/>
        <v>100</v>
      </c>
      <c r="EI140" s="100">
        <v>5</v>
      </c>
      <c r="EM140" s="100">
        <v>4</v>
      </c>
      <c r="EP140" s="100">
        <v>4</v>
      </c>
      <c r="ER140" s="100">
        <v>2</v>
      </c>
      <c r="EV140" s="100">
        <v>2</v>
      </c>
      <c r="FD140" s="100">
        <v>1</v>
      </c>
      <c r="ON140" s="100">
        <f t="shared" si="64"/>
        <v>0</v>
      </c>
    </row>
    <row r="141" spans="1:404" ht="23.25" customHeight="1">
      <c r="A141" s="97" t="s">
        <v>1798</v>
      </c>
      <c r="B141" s="95">
        <v>44450</v>
      </c>
      <c r="C141" s="97">
        <v>2</v>
      </c>
      <c r="D141" s="96" t="s">
        <v>1268</v>
      </c>
      <c r="E141" s="280" t="s">
        <v>319</v>
      </c>
      <c r="F141" s="98" t="s">
        <v>561</v>
      </c>
      <c r="G141" s="110">
        <v>414</v>
      </c>
      <c r="H141" s="97" t="s">
        <v>933</v>
      </c>
      <c r="I141" s="98">
        <v>414</v>
      </c>
      <c r="J141" s="97">
        <v>43</v>
      </c>
      <c r="K141" s="143">
        <f t="shared" si="63"/>
        <v>43</v>
      </c>
      <c r="L141" s="144">
        <f t="shared" si="60"/>
        <v>0</v>
      </c>
      <c r="M141" s="275">
        <f t="shared" si="61"/>
        <v>414</v>
      </c>
      <c r="N141" s="98" t="s">
        <v>1776</v>
      </c>
      <c r="O141" s="93">
        <f t="shared" si="56"/>
        <v>100</v>
      </c>
      <c r="IH141" s="100">
        <v>8</v>
      </c>
      <c r="II141" s="100">
        <v>35</v>
      </c>
      <c r="ON141" s="100">
        <f t="shared" si="64"/>
        <v>0</v>
      </c>
    </row>
    <row r="142" spans="1:404" ht="23.25" customHeight="1">
      <c r="A142" s="97" t="str">
        <f>D142&amp;E142</f>
        <v>002/HOMEGOODS-2168-75200-S1-B</v>
      </c>
      <c r="B142" s="95">
        <v>44450</v>
      </c>
      <c r="C142" s="97">
        <f t="shared" ref="C142:C170" ca="1" si="66">B142-TODAY()</f>
        <v>-614</v>
      </c>
      <c r="D142" s="96" t="s">
        <v>1268</v>
      </c>
      <c r="E142" s="94" t="s">
        <v>319</v>
      </c>
      <c r="F142" s="98" t="str">
        <f t="shared" ref="F142:F170" si="67">MID(E142,13,2)</f>
        <v>B</v>
      </c>
      <c r="G142" s="110">
        <f ca="1">SUMIF($A:E,$A142,K:K)</f>
        <v>414</v>
      </c>
      <c r="H142" s="97" t="s">
        <v>933</v>
      </c>
      <c r="I142" s="98">
        <v>414</v>
      </c>
      <c r="J142" s="97">
        <v>371</v>
      </c>
      <c r="K142" s="143">
        <f t="shared" si="63"/>
        <v>371</v>
      </c>
      <c r="L142" s="144">
        <f t="shared" si="60"/>
        <v>0</v>
      </c>
      <c r="M142" s="275">
        <f t="shared" si="61"/>
        <v>414</v>
      </c>
      <c r="N142" s="98">
        <v>5</v>
      </c>
      <c r="O142" s="93">
        <f t="shared" si="56"/>
        <v>100</v>
      </c>
      <c r="GK142" s="100">
        <v>5</v>
      </c>
      <c r="GL142" s="100">
        <v>8</v>
      </c>
      <c r="GN142" s="100">
        <v>7</v>
      </c>
      <c r="GO142" s="100">
        <v>7</v>
      </c>
      <c r="GP142" s="100">
        <v>6</v>
      </c>
      <c r="GR142" s="100">
        <v>14</v>
      </c>
      <c r="GS142" s="100">
        <v>9</v>
      </c>
      <c r="GV142" s="100">
        <v>6</v>
      </c>
      <c r="GW142" s="100">
        <v>17</v>
      </c>
      <c r="GX142" s="100">
        <v>24</v>
      </c>
      <c r="GY142" s="100">
        <v>15</v>
      </c>
      <c r="HB142" s="100">
        <v>9</v>
      </c>
      <c r="HC142" s="100">
        <v>20</v>
      </c>
      <c r="HE142" s="100">
        <v>30</v>
      </c>
      <c r="HF142" s="100">
        <v>19</v>
      </c>
      <c r="HG142" s="100">
        <v>10</v>
      </c>
      <c r="HI142" s="100">
        <v>2</v>
      </c>
      <c r="HJ142" s="100">
        <v>15</v>
      </c>
      <c r="HK142" s="100">
        <v>9</v>
      </c>
      <c r="HL142" s="100">
        <v>12</v>
      </c>
      <c r="HM142" s="100">
        <v>11</v>
      </c>
      <c r="HP142" s="100">
        <v>23</v>
      </c>
      <c r="HQ142" s="100">
        <v>7</v>
      </c>
      <c r="HR142" s="100">
        <v>9</v>
      </c>
      <c r="HS142" s="100">
        <v>7</v>
      </c>
      <c r="HT142" s="100">
        <v>14</v>
      </c>
      <c r="HU142" s="100">
        <v>9</v>
      </c>
      <c r="HW142" s="100">
        <v>17</v>
      </c>
      <c r="HX142" s="100">
        <v>18</v>
      </c>
      <c r="IE142" s="100">
        <v>12</v>
      </c>
      <c r="ON142" s="100">
        <f t="shared" si="64"/>
        <v>0</v>
      </c>
    </row>
    <row r="143" spans="1:404" ht="23.25" customHeight="1">
      <c r="A143" s="97" t="str">
        <f>D143&amp;E143</f>
        <v>007/HOMEGOODS-2168-75200-S1-B</v>
      </c>
      <c r="B143" s="95">
        <v>44594</v>
      </c>
      <c r="C143" s="97">
        <f t="shared" ca="1" si="66"/>
        <v>-470</v>
      </c>
      <c r="D143" s="112" t="s">
        <v>1295</v>
      </c>
      <c r="E143" s="123" t="s">
        <v>319</v>
      </c>
      <c r="F143" s="98" t="str">
        <f t="shared" si="67"/>
        <v>B</v>
      </c>
      <c r="G143" s="110">
        <f ca="1">SUMIF($A:E,$A143,K:K)</f>
        <v>630</v>
      </c>
      <c r="H143" s="97" t="s">
        <v>508</v>
      </c>
      <c r="I143" s="175">
        <v>630</v>
      </c>
      <c r="J143" s="115">
        <v>630</v>
      </c>
      <c r="K143" s="143">
        <f t="shared" si="63"/>
        <v>630</v>
      </c>
      <c r="L143" s="144">
        <f t="shared" si="60"/>
        <v>0</v>
      </c>
      <c r="M143" s="275">
        <f t="shared" si="61"/>
        <v>630</v>
      </c>
      <c r="N143" s="98">
        <v>3</v>
      </c>
      <c r="O143" s="93">
        <f t="shared" si="56"/>
        <v>100</v>
      </c>
      <c r="LS143" s="100">
        <v>23</v>
      </c>
      <c r="LT143" s="100">
        <v>20</v>
      </c>
      <c r="LU143" s="100">
        <v>27</v>
      </c>
      <c r="LW143" s="100">
        <v>11</v>
      </c>
      <c r="LX143" s="100">
        <v>45</v>
      </c>
      <c r="LY143" s="100">
        <v>27</v>
      </c>
      <c r="LZ143" s="100">
        <v>26</v>
      </c>
      <c r="MA143" s="100">
        <v>27</v>
      </c>
      <c r="MB143" s="100">
        <v>30</v>
      </c>
      <c r="MD143" s="100">
        <v>27</v>
      </c>
      <c r="ME143" s="100">
        <v>25</v>
      </c>
      <c r="MF143" s="100">
        <v>27</v>
      </c>
      <c r="MG143" s="100">
        <v>28</v>
      </c>
      <c r="MH143" s="100">
        <v>16</v>
      </c>
      <c r="MK143" s="100">
        <v>31</v>
      </c>
      <c r="ML143" s="100">
        <v>19</v>
      </c>
      <c r="MM143" s="100">
        <v>17</v>
      </c>
      <c r="MN143" s="100">
        <v>30</v>
      </c>
      <c r="MO143" s="100">
        <v>23</v>
      </c>
      <c r="MP143" s="100">
        <v>33</v>
      </c>
      <c r="MQ143" s="100">
        <v>25</v>
      </c>
      <c r="MR143" s="100">
        <v>24</v>
      </c>
      <c r="MS143" s="100">
        <v>29</v>
      </c>
      <c r="MT143" s="100">
        <v>16</v>
      </c>
      <c r="MU143" s="100">
        <v>24</v>
      </c>
      <c r="ON143" s="100">
        <f t="shared" si="64"/>
        <v>0</v>
      </c>
    </row>
    <row r="144" spans="1:404" ht="23.25" customHeight="1">
      <c r="A144" s="97" t="str">
        <f>D144&amp;E144</f>
        <v>001/TK MAXX-USA-2168-75200-S1-B</v>
      </c>
      <c r="B144" s="95">
        <v>44607</v>
      </c>
      <c r="C144" s="97">
        <f t="shared" ca="1" si="66"/>
        <v>-457</v>
      </c>
      <c r="D144" s="112" t="s">
        <v>1363</v>
      </c>
      <c r="E144" s="123" t="s">
        <v>319</v>
      </c>
      <c r="F144" s="98" t="str">
        <f t="shared" si="67"/>
        <v>B</v>
      </c>
      <c r="G144" s="110">
        <f ca="1">SUMIF($A:E,$A144,K:K)</f>
        <v>144</v>
      </c>
      <c r="H144" s="97" t="s">
        <v>508</v>
      </c>
      <c r="I144" s="175">
        <v>72</v>
      </c>
      <c r="J144" s="115">
        <v>72</v>
      </c>
      <c r="K144" s="143">
        <f t="shared" si="63"/>
        <v>144</v>
      </c>
      <c r="L144" s="144">
        <f t="shared" si="60"/>
        <v>-72</v>
      </c>
      <c r="M144" s="275">
        <f t="shared" si="61"/>
        <v>72</v>
      </c>
      <c r="N144" s="98">
        <v>3</v>
      </c>
      <c r="O144" s="93">
        <f t="shared" si="56"/>
        <v>200</v>
      </c>
      <c r="OD144" s="100">
        <v>7</v>
      </c>
      <c r="OF144" s="100">
        <v>31</v>
      </c>
      <c r="OG144" s="100">
        <v>33</v>
      </c>
      <c r="OK144" s="100">
        <v>1</v>
      </c>
      <c r="ON144" s="100">
        <f t="shared" si="64"/>
        <v>72</v>
      </c>
    </row>
    <row r="145" spans="1:404" ht="23.25" customHeight="1">
      <c r="A145" s="97" t="str">
        <f>D145&amp;E145</f>
        <v>005/HOMEGOODS-2168-75200-S1-B</v>
      </c>
      <c r="B145" s="95">
        <v>44536</v>
      </c>
      <c r="C145" s="97">
        <f t="shared" ca="1" si="66"/>
        <v>-528</v>
      </c>
      <c r="D145" s="112" t="s">
        <v>1432</v>
      </c>
      <c r="E145" s="123" t="s">
        <v>319</v>
      </c>
      <c r="F145" s="98" t="str">
        <f t="shared" si="67"/>
        <v>B</v>
      </c>
      <c r="G145" s="110">
        <f ca="1">SUMIF($A:E,$A145,K:K)</f>
        <v>810</v>
      </c>
      <c r="H145" s="97" t="s">
        <v>616</v>
      </c>
      <c r="I145" s="175">
        <v>810</v>
      </c>
      <c r="J145" s="115">
        <v>810</v>
      </c>
      <c r="K145" s="143">
        <f t="shared" si="63"/>
        <v>810</v>
      </c>
      <c r="L145" s="144">
        <f t="shared" si="60"/>
        <v>0</v>
      </c>
      <c r="M145" s="275">
        <f t="shared" si="61"/>
        <v>810</v>
      </c>
      <c r="N145" s="98">
        <v>3</v>
      </c>
      <c r="O145" s="93">
        <f t="shared" si="56"/>
        <v>100</v>
      </c>
      <c r="JA145" s="100">
        <v>7</v>
      </c>
      <c r="JD145" s="100">
        <v>12</v>
      </c>
      <c r="JF145" s="100">
        <v>12</v>
      </c>
      <c r="JG145" s="100">
        <v>12</v>
      </c>
      <c r="JH145" s="100">
        <v>5</v>
      </c>
      <c r="JJ145" s="100">
        <v>7</v>
      </c>
      <c r="JM145" s="100">
        <v>14</v>
      </c>
      <c r="JN145" s="100">
        <v>5</v>
      </c>
      <c r="JO145" s="100">
        <v>10</v>
      </c>
      <c r="JT145" s="100">
        <v>31</v>
      </c>
      <c r="JX145" s="100">
        <v>10</v>
      </c>
      <c r="KA145" s="100">
        <v>2</v>
      </c>
      <c r="KB145" s="100">
        <v>28</v>
      </c>
      <c r="KF145" s="100">
        <v>61</v>
      </c>
      <c r="KH145" s="100">
        <v>21</v>
      </c>
      <c r="KJ145" s="100">
        <v>15</v>
      </c>
      <c r="KN145" s="100">
        <v>7</v>
      </c>
      <c r="KP145" s="100">
        <v>9</v>
      </c>
      <c r="KQ145" s="100">
        <v>5</v>
      </c>
      <c r="KV145" s="100">
        <v>14</v>
      </c>
      <c r="KW145" s="100">
        <v>30</v>
      </c>
      <c r="KY145" s="100">
        <v>30</v>
      </c>
      <c r="KZ145" s="100">
        <v>33</v>
      </c>
      <c r="LB145" s="100">
        <v>20</v>
      </c>
      <c r="LC145" s="100">
        <v>8</v>
      </c>
      <c r="LD145" s="100">
        <v>1</v>
      </c>
      <c r="LE145" s="100">
        <v>16</v>
      </c>
      <c r="LF145" s="100">
        <v>9</v>
      </c>
      <c r="LG145" s="100">
        <v>32</v>
      </c>
      <c r="LI145" s="100">
        <v>50</v>
      </c>
      <c r="LJ145" s="100">
        <v>47</v>
      </c>
      <c r="LK145" s="100">
        <v>1</v>
      </c>
      <c r="LL145" s="100">
        <v>21</v>
      </c>
      <c r="LN145" s="100">
        <v>93</v>
      </c>
      <c r="LP145" s="100">
        <v>42</v>
      </c>
      <c r="LQ145" s="100">
        <v>90</v>
      </c>
      <c r="ON145" s="100">
        <f t="shared" si="64"/>
        <v>0</v>
      </c>
    </row>
    <row r="146" spans="1:404" ht="23.25" customHeight="1">
      <c r="A146" s="97" t="str">
        <f>D146&amp;E146</f>
        <v>253/KHBS-21( 002/HOMEGOODS-21)68-75200-S1-B</v>
      </c>
      <c r="B146" s="95">
        <v>44449</v>
      </c>
      <c r="C146" s="97">
        <f t="shared" ca="1" si="66"/>
        <v>-615</v>
      </c>
      <c r="D146" s="111" t="s">
        <v>1823</v>
      </c>
      <c r="E146" s="283" t="s">
        <v>319</v>
      </c>
      <c r="F146" s="98" t="str">
        <f t="shared" si="67"/>
        <v>B</v>
      </c>
      <c r="G146" s="110">
        <f ca="1">SUMIF($A:E,$A146,K:K)</f>
        <v>2</v>
      </c>
      <c r="H146" s="97" t="s">
        <v>616</v>
      </c>
      <c r="I146" s="98">
        <v>2</v>
      </c>
      <c r="J146" s="99">
        <v>2</v>
      </c>
      <c r="K146" s="143">
        <f t="shared" si="63"/>
        <v>2</v>
      </c>
      <c r="L146" s="144">
        <f t="shared" si="60"/>
        <v>0</v>
      </c>
      <c r="M146" s="275">
        <f t="shared" si="61"/>
        <v>2</v>
      </c>
      <c r="N146" s="98" t="s">
        <v>1768</v>
      </c>
      <c r="O146" s="93">
        <f t="shared" si="56"/>
        <v>100</v>
      </c>
      <c r="IG146" s="100">
        <v>1</v>
      </c>
      <c r="II146" s="100">
        <v>1</v>
      </c>
      <c r="ON146" s="100">
        <f t="shared" si="64"/>
        <v>0</v>
      </c>
    </row>
    <row r="147" spans="1:404" ht="23.25" customHeight="1">
      <c r="A147" s="101" t="str">
        <f>D147&amp;F147</f>
        <v>017/KHBS-21B2</v>
      </c>
      <c r="B147" s="95">
        <v>44211</v>
      </c>
      <c r="C147" s="97">
        <f t="shared" ca="1" si="66"/>
        <v>-853</v>
      </c>
      <c r="D147" s="96" t="s">
        <v>657</v>
      </c>
      <c r="E147" s="94" t="s">
        <v>383</v>
      </c>
      <c r="F147" s="98" t="str">
        <f t="shared" si="67"/>
        <v>B2</v>
      </c>
      <c r="G147" s="110">
        <f ca="1">SUMIF($A:E,$A147,K:K)</f>
        <v>2</v>
      </c>
      <c r="H147" s="97" t="s">
        <v>508</v>
      </c>
      <c r="I147" s="98">
        <v>2</v>
      </c>
      <c r="J147" s="99">
        <v>2</v>
      </c>
      <c r="K147" s="143">
        <f t="shared" si="63"/>
        <v>2</v>
      </c>
      <c r="L147" s="144">
        <f t="shared" si="60"/>
        <v>0</v>
      </c>
      <c r="M147" s="275">
        <f t="shared" si="61"/>
        <v>2</v>
      </c>
      <c r="N147" s="98">
        <v>1</v>
      </c>
      <c r="O147" s="93">
        <f t="shared" si="56"/>
        <v>100</v>
      </c>
      <c r="AA147" s="101">
        <v>2</v>
      </c>
      <c r="ON147" s="100">
        <f t="shared" si="64"/>
        <v>0</v>
      </c>
    </row>
    <row r="148" spans="1:404" ht="23.25" customHeight="1">
      <c r="A148" s="101" t="str">
        <f>D148&amp;E148</f>
        <v>002/TORRICELLI-2168-75100-S1-B2</v>
      </c>
      <c r="B148" s="95">
        <v>44384</v>
      </c>
      <c r="C148" s="97">
        <f t="shared" ca="1" si="66"/>
        <v>-680</v>
      </c>
      <c r="D148" s="145" t="s">
        <v>765</v>
      </c>
      <c r="E148" s="145" t="s">
        <v>383</v>
      </c>
      <c r="F148" s="98" t="str">
        <f t="shared" si="67"/>
        <v>B2</v>
      </c>
      <c r="G148" s="110">
        <f ca="1">SUMIF($A:E,$A148,K:K)</f>
        <v>20</v>
      </c>
      <c r="H148" s="97" t="s">
        <v>601</v>
      </c>
      <c r="I148" s="98">
        <v>20</v>
      </c>
      <c r="J148" s="97">
        <v>20</v>
      </c>
      <c r="K148" s="143">
        <f t="shared" si="63"/>
        <v>20</v>
      </c>
      <c r="L148" s="144">
        <f t="shared" si="60"/>
        <v>0</v>
      </c>
      <c r="M148" s="275">
        <f t="shared" si="61"/>
        <v>20</v>
      </c>
      <c r="N148" s="98">
        <v>1</v>
      </c>
      <c r="O148" s="93">
        <f t="shared" si="56"/>
        <v>100</v>
      </c>
      <c r="CZ148" s="101">
        <v>2</v>
      </c>
      <c r="DE148" s="101">
        <v>4</v>
      </c>
      <c r="DF148" s="101">
        <v>4</v>
      </c>
      <c r="DL148" s="101">
        <v>4</v>
      </c>
      <c r="DM148" s="101">
        <v>4</v>
      </c>
      <c r="DP148" s="101">
        <v>1</v>
      </c>
      <c r="DT148" s="100">
        <v>1</v>
      </c>
      <c r="ON148" s="100">
        <f t="shared" si="64"/>
        <v>0</v>
      </c>
    </row>
    <row r="149" spans="1:404" ht="23.25" customHeight="1">
      <c r="A149" s="101" t="str">
        <f>D149&amp;E149</f>
        <v>018/VG_SR-21(TJX)68-75100-S1-B</v>
      </c>
      <c r="B149" s="95">
        <v>44294</v>
      </c>
      <c r="C149" s="97">
        <f t="shared" ca="1" si="66"/>
        <v>-770</v>
      </c>
      <c r="D149" s="96" t="s">
        <v>831</v>
      </c>
      <c r="E149" s="94" t="s">
        <v>318</v>
      </c>
      <c r="F149" s="98" t="str">
        <f t="shared" si="67"/>
        <v>B</v>
      </c>
      <c r="G149" s="110">
        <f ca="1">SUMIF($A:E,$A149,K:K)</f>
        <v>1</v>
      </c>
      <c r="H149" s="97" t="s">
        <v>827</v>
      </c>
      <c r="I149" s="98">
        <v>1</v>
      </c>
      <c r="J149" s="99">
        <v>1</v>
      </c>
      <c r="K149" s="143">
        <f t="shared" si="63"/>
        <v>1</v>
      </c>
      <c r="L149" s="144">
        <f t="shared" si="60"/>
        <v>0</v>
      </c>
      <c r="M149" s="275">
        <f t="shared" si="61"/>
        <v>1</v>
      </c>
      <c r="N149" s="98">
        <v>1</v>
      </c>
      <c r="O149" s="93">
        <f t="shared" si="56"/>
        <v>100</v>
      </c>
      <c r="CM149" s="101">
        <v>1</v>
      </c>
      <c r="ON149" s="100">
        <f t="shared" si="64"/>
        <v>0</v>
      </c>
    </row>
    <row r="150" spans="1:404" ht="23.25" customHeight="1">
      <c r="A150" s="101" t="str">
        <f>D150&amp;E150</f>
        <v>002/ANNA-2168-75100-S1-B</v>
      </c>
      <c r="B150" s="95">
        <v>44433</v>
      </c>
      <c r="C150" s="97">
        <f t="shared" ca="1" si="66"/>
        <v>-631</v>
      </c>
      <c r="D150" s="96" t="s">
        <v>991</v>
      </c>
      <c r="E150" s="94" t="s">
        <v>318</v>
      </c>
      <c r="F150" s="98" t="str">
        <f t="shared" si="67"/>
        <v>B</v>
      </c>
      <c r="G150" s="110">
        <f ca="1">SUMIF($A:E,$A150,K:K)</f>
        <v>48</v>
      </c>
      <c r="H150" s="97" t="s">
        <v>990</v>
      </c>
      <c r="I150" s="98">
        <v>48</v>
      </c>
      <c r="J150" s="97">
        <v>48</v>
      </c>
      <c r="K150" s="143">
        <f t="shared" si="63"/>
        <v>48</v>
      </c>
      <c r="L150" s="144">
        <f t="shared" si="60"/>
        <v>0</v>
      </c>
      <c r="M150" s="275">
        <f t="shared" si="61"/>
        <v>48</v>
      </c>
      <c r="N150" s="98">
        <v>1</v>
      </c>
      <c r="O150" s="93">
        <f t="shared" ref="O150:O155" si="68">K150/J150*100</f>
        <v>100</v>
      </c>
      <c r="FF150" s="100">
        <v>7</v>
      </c>
      <c r="FI150" s="100">
        <v>12</v>
      </c>
      <c r="FK150" s="100">
        <v>22</v>
      </c>
      <c r="FR150" s="100">
        <v>7</v>
      </c>
      <c r="ON150" s="100">
        <f t="shared" si="64"/>
        <v>0</v>
      </c>
    </row>
    <row r="151" spans="1:404" ht="23.25" customHeight="1">
      <c r="A151" s="101" t="str">
        <f>D151&amp;E151</f>
        <v>001T/HOMEGOODS-2168-75100-S1-B</v>
      </c>
      <c r="B151" s="95">
        <v>44408</v>
      </c>
      <c r="C151" s="97">
        <f t="shared" ca="1" si="66"/>
        <v>-656</v>
      </c>
      <c r="D151" s="96" t="s">
        <v>1090</v>
      </c>
      <c r="E151" s="94" t="s">
        <v>318</v>
      </c>
      <c r="F151" s="98" t="str">
        <f t="shared" si="67"/>
        <v>B</v>
      </c>
      <c r="G151" s="110">
        <f ca="1">SUMIF($A:E,$A151,K:K)</f>
        <v>560</v>
      </c>
      <c r="H151" s="97" t="s">
        <v>616</v>
      </c>
      <c r="I151" s="98">
        <v>560</v>
      </c>
      <c r="J151" s="97">
        <v>560</v>
      </c>
      <c r="K151" s="143">
        <f t="shared" si="63"/>
        <v>560</v>
      </c>
      <c r="L151" s="144">
        <f t="shared" si="60"/>
        <v>0</v>
      </c>
      <c r="M151" s="275">
        <f t="shared" si="61"/>
        <v>560</v>
      </c>
      <c r="N151" s="98">
        <v>1</v>
      </c>
      <c r="O151" s="93">
        <f t="shared" si="68"/>
        <v>100</v>
      </c>
      <c r="FK151" s="100">
        <v>19</v>
      </c>
      <c r="FM151" s="100">
        <v>12</v>
      </c>
      <c r="FO151" s="100">
        <v>47</v>
      </c>
      <c r="FP151" s="100">
        <v>1</v>
      </c>
      <c r="FQ151" s="100">
        <v>23</v>
      </c>
      <c r="FR151" s="100">
        <v>11</v>
      </c>
      <c r="FT151" s="100">
        <v>7</v>
      </c>
      <c r="FU151" s="100">
        <v>40</v>
      </c>
      <c r="FV151" s="100">
        <v>31</v>
      </c>
      <c r="FW151" s="100">
        <v>26</v>
      </c>
      <c r="FX151" s="100">
        <v>10</v>
      </c>
      <c r="FZ151" s="100">
        <v>21</v>
      </c>
      <c r="GA151" s="100">
        <v>10</v>
      </c>
      <c r="GB151" s="100">
        <v>28</v>
      </c>
      <c r="GD151" s="100">
        <v>8</v>
      </c>
      <c r="GE151" s="100">
        <v>27</v>
      </c>
      <c r="GG151" s="100">
        <v>26</v>
      </c>
      <c r="GH151" s="100">
        <v>32</v>
      </c>
      <c r="GI151" s="100">
        <v>12</v>
      </c>
      <c r="GJ151" s="100">
        <v>46</v>
      </c>
      <c r="GK151" s="100">
        <v>15</v>
      </c>
      <c r="GL151" s="100">
        <v>9</v>
      </c>
      <c r="GN151" s="100">
        <v>22</v>
      </c>
      <c r="GO151" s="100">
        <v>10</v>
      </c>
      <c r="GQ151" s="100">
        <v>25</v>
      </c>
      <c r="GR151" s="100">
        <v>15</v>
      </c>
      <c r="GS151" s="100">
        <v>23</v>
      </c>
      <c r="GV151" s="100">
        <v>4</v>
      </c>
      <c r="ON151" s="100">
        <f t="shared" si="64"/>
        <v>0</v>
      </c>
    </row>
    <row r="152" spans="1:404" ht="23.25" customHeight="1">
      <c r="A152" s="122" t="e">
        <f>D152&amp;#REF!</f>
        <v>#REF!</v>
      </c>
      <c r="B152" s="95">
        <v>44384</v>
      </c>
      <c r="C152" s="97">
        <f t="shared" ca="1" si="66"/>
        <v>-680</v>
      </c>
      <c r="D152" s="96" t="s">
        <v>1206</v>
      </c>
      <c r="E152" s="94" t="s">
        <v>318</v>
      </c>
      <c r="F152" s="98" t="str">
        <f t="shared" si="67"/>
        <v>B</v>
      </c>
      <c r="G152" s="110">
        <f ca="1">SUMIF($A:E,$A152,K:K)</f>
        <v>1754</v>
      </c>
      <c r="H152" s="97" t="s">
        <v>616</v>
      </c>
      <c r="I152" s="98">
        <v>2</v>
      </c>
      <c r="J152" s="97">
        <v>2</v>
      </c>
      <c r="K152" s="143">
        <f t="shared" si="63"/>
        <v>2</v>
      </c>
      <c r="L152" s="144">
        <f t="shared" si="60"/>
        <v>0</v>
      </c>
      <c r="M152" s="275">
        <f t="shared" si="61"/>
        <v>2</v>
      </c>
      <c r="N152" s="98">
        <v>1</v>
      </c>
      <c r="O152" s="93">
        <f t="shared" si="68"/>
        <v>100</v>
      </c>
      <c r="FT152" s="100">
        <v>2</v>
      </c>
      <c r="ON152" s="100">
        <f t="shared" si="64"/>
        <v>0</v>
      </c>
    </row>
    <row r="153" spans="1:404" ht="23.25" customHeight="1">
      <c r="A153" s="101" t="str">
        <f t="shared" ref="A153:A158" si="69">D153&amp;E153</f>
        <v>001/TK MAXX-USA-2168-75100-S1-B</v>
      </c>
      <c r="B153" s="95">
        <v>44608</v>
      </c>
      <c r="C153" s="97">
        <f t="shared" ca="1" si="66"/>
        <v>-456</v>
      </c>
      <c r="D153" s="112" t="s">
        <v>1363</v>
      </c>
      <c r="E153" s="123" t="s">
        <v>318</v>
      </c>
      <c r="F153" s="98" t="str">
        <f t="shared" si="67"/>
        <v>B</v>
      </c>
      <c r="G153" s="110">
        <f ca="1">SUMIF($A:E,$A153,K:K)</f>
        <v>320</v>
      </c>
      <c r="H153" s="97" t="s">
        <v>508</v>
      </c>
      <c r="I153" s="175">
        <v>160</v>
      </c>
      <c r="J153" s="115">
        <v>160</v>
      </c>
      <c r="K153" s="143">
        <f t="shared" si="63"/>
        <v>320</v>
      </c>
      <c r="L153" s="144">
        <f t="shared" si="60"/>
        <v>-160</v>
      </c>
      <c r="M153" s="275">
        <f t="shared" si="61"/>
        <v>160</v>
      </c>
      <c r="N153" s="98">
        <v>1</v>
      </c>
      <c r="O153" s="93">
        <f t="shared" si="68"/>
        <v>200</v>
      </c>
      <c r="OA153" s="100">
        <v>37</v>
      </c>
      <c r="OB153" s="100">
        <v>38</v>
      </c>
      <c r="OC153" s="100">
        <v>57</v>
      </c>
      <c r="OD153" s="100">
        <v>28</v>
      </c>
      <c r="ON153" s="100">
        <f t="shared" si="64"/>
        <v>160</v>
      </c>
    </row>
    <row r="154" spans="1:404" ht="23.25" customHeight="1">
      <c r="A154" s="101" t="str">
        <f t="shared" si="69"/>
        <v>005/HOMEGOODS-2168-75100-S1-B</v>
      </c>
      <c r="B154" s="95">
        <v>44531</v>
      </c>
      <c r="C154" s="97">
        <f t="shared" ca="1" si="66"/>
        <v>-533</v>
      </c>
      <c r="D154" s="112" t="s">
        <v>1432</v>
      </c>
      <c r="E154" s="123" t="s">
        <v>318</v>
      </c>
      <c r="F154" s="98" t="str">
        <f t="shared" si="67"/>
        <v>B</v>
      </c>
      <c r="G154" s="110">
        <f ca="1">SUMIF($A:E,$A154,K:K)</f>
        <v>600</v>
      </c>
      <c r="H154" s="97" t="s">
        <v>616</v>
      </c>
      <c r="I154" s="175">
        <v>600</v>
      </c>
      <c r="J154" s="115">
        <v>600</v>
      </c>
      <c r="K154" s="143">
        <f t="shared" si="63"/>
        <v>600</v>
      </c>
      <c r="L154" s="144">
        <f t="shared" si="60"/>
        <v>0</v>
      </c>
      <c r="M154" s="275">
        <f t="shared" si="61"/>
        <v>600</v>
      </c>
      <c r="N154" s="98">
        <v>1</v>
      </c>
      <c r="O154" s="93">
        <f t="shared" si="68"/>
        <v>100</v>
      </c>
      <c r="JD154" s="100">
        <v>11</v>
      </c>
      <c r="JH154" s="100">
        <v>12</v>
      </c>
      <c r="JI154" s="100">
        <v>12</v>
      </c>
      <c r="JJ154" s="100">
        <v>21</v>
      </c>
      <c r="JK154" s="100">
        <v>23</v>
      </c>
      <c r="JM154" s="100">
        <v>34</v>
      </c>
      <c r="JN154" s="100">
        <v>29</v>
      </c>
      <c r="JP154" s="100">
        <v>13</v>
      </c>
      <c r="JQ154" s="100">
        <v>29</v>
      </c>
      <c r="JR154" s="100">
        <v>11</v>
      </c>
      <c r="JT154" s="100">
        <v>22</v>
      </c>
      <c r="JU154" s="100">
        <v>15</v>
      </c>
      <c r="JV154" s="100">
        <v>18</v>
      </c>
      <c r="JW154" s="100">
        <v>8</v>
      </c>
      <c r="JX154" s="100">
        <v>20</v>
      </c>
      <c r="JY154" s="100">
        <v>25</v>
      </c>
      <c r="KA154" s="100">
        <v>28</v>
      </c>
      <c r="KB154" s="100">
        <v>10</v>
      </c>
      <c r="KC154" s="100">
        <v>23</v>
      </c>
      <c r="KD154" s="100">
        <v>44</v>
      </c>
      <c r="KE154" s="100">
        <v>31</v>
      </c>
      <c r="KF154" s="100">
        <v>53</v>
      </c>
      <c r="KH154" s="100">
        <v>15</v>
      </c>
      <c r="KI154" s="100">
        <v>18</v>
      </c>
      <c r="KJ154" s="100">
        <v>2</v>
      </c>
      <c r="KO154" s="100">
        <v>21</v>
      </c>
      <c r="KP154" s="100">
        <v>45</v>
      </c>
      <c r="KR154" s="100">
        <v>5</v>
      </c>
      <c r="KS154" s="100">
        <v>2</v>
      </c>
      <c r="ON154" s="100">
        <f t="shared" si="64"/>
        <v>0</v>
      </c>
    </row>
    <row r="155" spans="1:404" ht="23.25" customHeight="1">
      <c r="A155" s="101" t="str">
        <f t="shared" si="69"/>
        <v>006A/HOMEGOODS-2168-75100-S1-B</v>
      </c>
      <c r="B155" s="95">
        <v>44555</v>
      </c>
      <c r="C155" s="97">
        <f t="shared" ca="1" si="66"/>
        <v>-509</v>
      </c>
      <c r="D155" s="112" t="s">
        <v>2282</v>
      </c>
      <c r="E155" s="123" t="s">
        <v>318</v>
      </c>
      <c r="F155" s="98" t="str">
        <f t="shared" si="67"/>
        <v>B</v>
      </c>
      <c r="G155" s="110">
        <f ca="1">SUMIF($A:E,$A155,K:K)</f>
        <v>400</v>
      </c>
      <c r="H155" s="97" t="s">
        <v>616</v>
      </c>
      <c r="I155" s="175">
        <v>400</v>
      </c>
      <c r="J155" s="115">
        <v>400</v>
      </c>
      <c r="K155" s="143">
        <f t="shared" si="63"/>
        <v>400</v>
      </c>
      <c r="L155" s="144">
        <f t="shared" si="60"/>
        <v>0</v>
      </c>
      <c r="M155" s="275">
        <f t="shared" si="61"/>
        <v>400</v>
      </c>
      <c r="N155" s="98">
        <v>1</v>
      </c>
      <c r="O155" s="93">
        <f t="shared" si="68"/>
        <v>100</v>
      </c>
      <c r="KS155" s="100">
        <v>17</v>
      </c>
      <c r="KV155" s="100">
        <v>21</v>
      </c>
      <c r="KW155" s="100">
        <v>18</v>
      </c>
      <c r="KX155" s="100">
        <v>17</v>
      </c>
      <c r="KY155" s="100">
        <v>16</v>
      </c>
      <c r="KZ155" s="100">
        <v>15</v>
      </c>
      <c r="LC155" s="100">
        <v>20</v>
      </c>
      <c r="LD155" s="100">
        <v>10</v>
      </c>
      <c r="LE155" s="100">
        <v>17</v>
      </c>
      <c r="LG155" s="100">
        <v>17</v>
      </c>
      <c r="LI155" s="100">
        <v>24</v>
      </c>
      <c r="LJ155" s="100">
        <v>9</v>
      </c>
      <c r="LK155" s="100">
        <v>10</v>
      </c>
      <c r="LM155" s="100">
        <v>23</v>
      </c>
      <c r="LN155" s="100">
        <v>3</v>
      </c>
      <c r="LP155" s="100">
        <v>13</v>
      </c>
      <c r="LQ155" s="100">
        <v>35</v>
      </c>
      <c r="LR155" s="100">
        <v>10</v>
      </c>
      <c r="LS155" s="100">
        <v>51</v>
      </c>
      <c r="LT155" s="100">
        <v>19</v>
      </c>
      <c r="LU155" s="100">
        <v>28</v>
      </c>
      <c r="LX155" s="100">
        <v>7</v>
      </c>
      <c r="ON155" s="100">
        <f t="shared" si="64"/>
        <v>0</v>
      </c>
    </row>
    <row r="156" spans="1:404" ht="23.25" customHeight="1">
      <c r="A156" s="101" t="str">
        <f t="shared" si="69"/>
        <v>038/VG_SR-21( TJX)68-75100-S1-05</v>
      </c>
      <c r="B156" s="95">
        <v>44390</v>
      </c>
      <c r="C156" s="97">
        <f t="shared" ca="1" si="66"/>
        <v>-674</v>
      </c>
      <c r="D156" s="112" t="s">
        <v>1297</v>
      </c>
      <c r="E156" s="123" t="s">
        <v>1298</v>
      </c>
      <c r="F156" s="98" t="str">
        <f t="shared" si="67"/>
        <v>05</v>
      </c>
      <c r="G156" s="110">
        <f ca="1">SUMIF($A:E,$A156,K:K)</f>
        <v>2</v>
      </c>
      <c r="H156" s="97" t="s">
        <v>508</v>
      </c>
      <c r="I156" s="98">
        <v>2</v>
      </c>
      <c r="J156" s="99">
        <v>2</v>
      </c>
      <c r="K156" s="143">
        <f t="shared" si="63"/>
        <v>2</v>
      </c>
      <c r="L156" s="144">
        <f t="shared" si="60"/>
        <v>0</v>
      </c>
      <c r="M156" s="275">
        <f t="shared" si="61"/>
        <v>2</v>
      </c>
      <c r="N156" s="211">
        <v>1</v>
      </c>
      <c r="O156" s="93">
        <f t="shared" ref="O156:O158" si="70">K156/J156*100</f>
        <v>100</v>
      </c>
      <c r="GB156" s="100">
        <v>2</v>
      </c>
      <c r="ON156" s="100">
        <f t="shared" si="64"/>
        <v>0</v>
      </c>
    </row>
    <row r="157" spans="1:404" ht="23.25" customHeight="1">
      <c r="A157" s="101" t="str">
        <f t="shared" si="69"/>
        <v>002/VANDER_SR-2168-75000-S2-A</v>
      </c>
      <c r="B157" s="95">
        <v>44311</v>
      </c>
      <c r="C157" s="97">
        <f t="shared" ca="1" si="66"/>
        <v>-753</v>
      </c>
      <c r="D157" s="96" t="s">
        <v>912</v>
      </c>
      <c r="E157" s="94" t="s">
        <v>917</v>
      </c>
      <c r="F157" s="98" t="str">
        <f t="shared" si="67"/>
        <v>A</v>
      </c>
      <c r="G157" s="110">
        <f ca="1">SUMIF($A:E,$A157,K:K)</f>
        <v>2</v>
      </c>
      <c r="H157" s="97" t="s">
        <v>916</v>
      </c>
      <c r="I157" s="98">
        <v>2</v>
      </c>
      <c r="J157" s="99">
        <v>2</v>
      </c>
      <c r="K157" s="143">
        <f t="shared" si="63"/>
        <v>2</v>
      </c>
      <c r="L157" s="144">
        <f t="shared" si="60"/>
        <v>0</v>
      </c>
      <c r="M157" s="275">
        <f t="shared" si="61"/>
        <v>4</v>
      </c>
      <c r="N157" s="98">
        <v>1</v>
      </c>
      <c r="O157" s="93">
        <f t="shared" si="70"/>
        <v>100</v>
      </c>
      <c r="DE157" s="101">
        <v>2</v>
      </c>
      <c r="ON157" s="100">
        <f t="shared" si="64"/>
        <v>0</v>
      </c>
    </row>
    <row r="158" spans="1:404" ht="23.25" customHeight="1">
      <c r="A158" s="101" t="str">
        <f t="shared" si="69"/>
        <v>002/VANDER_SR-2168-75000-S2-05</v>
      </c>
      <c r="B158" s="95">
        <v>44314</v>
      </c>
      <c r="C158" s="97">
        <f t="shared" ca="1" si="66"/>
        <v>-750</v>
      </c>
      <c r="D158" s="96" t="s">
        <v>912</v>
      </c>
      <c r="E158" s="94" t="s">
        <v>578</v>
      </c>
      <c r="F158" s="98" t="str">
        <f t="shared" si="67"/>
        <v>05</v>
      </c>
      <c r="G158" s="110">
        <f ca="1">SUMIF($A:E,$A158,K:K)</f>
        <v>2</v>
      </c>
      <c r="H158" s="97" t="s">
        <v>518</v>
      </c>
      <c r="I158" s="98">
        <v>2</v>
      </c>
      <c r="J158" s="99">
        <v>2</v>
      </c>
      <c r="K158" s="143">
        <f t="shared" si="63"/>
        <v>2</v>
      </c>
      <c r="L158" s="144">
        <f t="shared" si="60"/>
        <v>0</v>
      </c>
      <c r="M158" s="275">
        <f t="shared" si="61"/>
        <v>4</v>
      </c>
      <c r="N158" s="98">
        <v>1</v>
      </c>
      <c r="O158" s="93">
        <f t="shared" si="70"/>
        <v>100</v>
      </c>
      <c r="DE158" s="101">
        <v>1</v>
      </c>
      <c r="DF158" s="101">
        <v>1</v>
      </c>
      <c r="ON158" s="100">
        <f t="shared" si="64"/>
        <v>0</v>
      </c>
    </row>
    <row r="159" spans="1:404" ht="23.25" customHeight="1">
      <c r="A159" s="101" t="str">
        <f>D159&amp;F159</f>
        <v>003_SR-21(OBI)01</v>
      </c>
      <c r="B159" s="95">
        <v>44242</v>
      </c>
      <c r="C159" s="97">
        <f t="shared" ca="1" si="66"/>
        <v>-822</v>
      </c>
      <c r="D159" s="96" t="s">
        <v>658</v>
      </c>
      <c r="E159" s="253" t="s">
        <v>263</v>
      </c>
      <c r="F159" s="98" t="str">
        <f t="shared" si="67"/>
        <v>01</v>
      </c>
      <c r="G159" s="110">
        <f ca="1">SUMIF($A:E,$A159,K:K)</f>
        <v>6</v>
      </c>
      <c r="H159" s="97" t="s">
        <v>569</v>
      </c>
      <c r="I159" s="98">
        <v>2</v>
      </c>
      <c r="J159" s="99">
        <v>2</v>
      </c>
      <c r="K159" s="143">
        <f t="shared" si="63"/>
        <v>2</v>
      </c>
      <c r="L159" s="144">
        <f t="shared" si="60"/>
        <v>0</v>
      </c>
      <c r="M159" s="275">
        <f t="shared" si="61"/>
        <v>2</v>
      </c>
      <c r="N159" s="98">
        <v>5</v>
      </c>
      <c r="O159" s="93">
        <f t="shared" ref="O159:O171" si="71">K159/J159*100</f>
        <v>100</v>
      </c>
      <c r="AQ159" s="101">
        <v>2</v>
      </c>
      <c r="ON159" s="100">
        <f t="shared" si="64"/>
        <v>0</v>
      </c>
    </row>
    <row r="160" spans="1:404" ht="23.25" customHeight="1">
      <c r="A160" s="101" t="str">
        <f t="shared" ref="A160:A166" si="72">D160&amp;E160</f>
        <v>005/COCOON-21 (đợt 1)68-75000-01-01</v>
      </c>
      <c r="B160" s="95">
        <v>44424</v>
      </c>
      <c r="C160" s="97">
        <f t="shared" ca="1" si="66"/>
        <v>-640</v>
      </c>
      <c r="D160" s="97" t="s">
        <v>1071</v>
      </c>
      <c r="E160" s="97" t="s">
        <v>263</v>
      </c>
      <c r="F160" s="98" t="str">
        <f t="shared" si="67"/>
        <v>01</v>
      </c>
      <c r="G160" s="110">
        <f ca="1">SUMIF($A:E,$A160,K:K)</f>
        <v>8</v>
      </c>
      <c r="H160" s="97" t="s">
        <v>721</v>
      </c>
      <c r="I160" s="98">
        <v>8</v>
      </c>
      <c r="J160" s="97">
        <v>8</v>
      </c>
      <c r="K160" s="143">
        <f t="shared" si="63"/>
        <v>8</v>
      </c>
      <c r="L160" s="144">
        <f t="shared" si="60"/>
        <v>0</v>
      </c>
      <c r="M160" s="275">
        <f t="shared" si="61"/>
        <v>8</v>
      </c>
      <c r="N160" s="98">
        <v>3</v>
      </c>
      <c r="O160" s="93">
        <f t="shared" si="71"/>
        <v>100</v>
      </c>
      <c r="GP160" s="100">
        <v>2</v>
      </c>
      <c r="GQ160" s="100">
        <v>2</v>
      </c>
      <c r="GR160" s="100">
        <v>2</v>
      </c>
      <c r="GS160" s="100">
        <v>2</v>
      </c>
      <c r="ON160" s="100">
        <f t="shared" si="64"/>
        <v>0</v>
      </c>
    </row>
    <row r="161" spans="1:404" ht="23.25" customHeight="1">
      <c r="A161" s="101" t="str">
        <f t="shared" si="72"/>
        <v>002/VANDER_SR-2168-74900-S2-A</v>
      </c>
      <c r="B161" s="95">
        <v>44312</v>
      </c>
      <c r="C161" s="97">
        <f t="shared" ca="1" si="66"/>
        <v>-752</v>
      </c>
      <c r="D161" s="96" t="s">
        <v>912</v>
      </c>
      <c r="E161" s="94" t="s">
        <v>712</v>
      </c>
      <c r="F161" s="98" t="str">
        <f t="shared" si="67"/>
        <v>A</v>
      </c>
      <c r="G161" s="110">
        <f ca="1">SUMIF($A:E,$A161,K:K)</f>
        <v>2</v>
      </c>
      <c r="H161" s="97" t="s">
        <v>916</v>
      </c>
      <c r="I161" s="98">
        <v>2</v>
      </c>
      <c r="J161" s="99">
        <v>2</v>
      </c>
      <c r="K161" s="143">
        <f t="shared" si="63"/>
        <v>2</v>
      </c>
      <c r="L161" s="144">
        <f t="shared" si="60"/>
        <v>0</v>
      </c>
      <c r="M161" s="275">
        <f t="shared" si="61"/>
        <v>4</v>
      </c>
      <c r="N161" s="98">
        <v>5</v>
      </c>
      <c r="O161" s="93">
        <f t="shared" si="71"/>
        <v>100</v>
      </c>
      <c r="DG161" s="101">
        <v>2</v>
      </c>
      <c r="ON161" s="100">
        <f t="shared" si="64"/>
        <v>0</v>
      </c>
    </row>
    <row r="162" spans="1:404" ht="23.25" customHeight="1">
      <c r="A162" s="101" t="str">
        <f t="shared" si="72"/>
        <v>002/VANDER_SR-2168-74900-S2-05</v>
      </c>
      <c r="B162" s="95">
        <v>44314</v>
      </c>
      <c r="C162" s="97">
        <f t="shared" ca="1" si="66"/>
        <v>-750</v>
      </c>
      <c r="D162" s="96" t="s">
        <v>912</v>
      </c>
      <c r="E162" s="94" t="s">
        <v>913</v>
      </c>
      <c r="F162" s="98" t="str">
        <f t="shared" si="67"/>
        <v>05</v>
      </c>
      <c r="G162" s="110">
        <f ca="1">SUMIF($A:E,$A162,K:K)</f>
        <v>2</v>
      </c>
      <c r="H162" s="97" t="s">
        <v>518</v>
      </c>
      <c r="I162" s="98">
        <v>2</v>
      </c>
      <c r="J162" s="99">
        <v>2</v>
      </c>
      <c r="K162" s="143">
        <f t="shared" si="63"/>
        <v>2</v>
      </c>
      <c r="L162" s="144">
        <f t="shared" si="60"/>
        <v>0</v>
      </c>
      <c r="M162" s="275">
        <f t="shared" si="61"/>
        <v>4</v>
      </c>
      <c r="N162" s="98">
        <v>5</v>
      </c>
      <c r="O162" s="93">
        <f t="shared" si="71"/>
        <v>100</v>
      </c>
      <c r="DE162" s="101">
        <v>2</v>
      </c>
      <c r="ON162" s="100">
        <f t="shared" si="64"/>
        <v>0</v>
      </c>
    </row>
    <row r="163" spans="1:404" ht="23.25" customHeight="1">
      <c r="A163" s="101" t="str">
        <f t="shared" si="72"/>
        <v>003/ANNA-VG-21(đ6)68-74900-01-A</v>
      </c>
      <c r="B163" s="95">
        <v>44605</v>
      </c>
      <c r="C163" s="97">
        <f t="shared" ca="1" si="66"/>
        <v>-459</v>
      </c>
      <c r="D163" s="112" t="s">
        <v>1668</v>
      </c>
      <c r="E163" s="279" t="s">
        <v>1670</v>
      </c>
      <c r="F163" s="98" t="str">
        <f t="shared" si="67"/>
        <v>A</v>
      </c>
      <c r="G163" s="110">
        <f ca="1">SUMIF($A:E,$A163,K:K)</f>
        <v>36</v>
      </c>
      <c r="H163" s="112" t="s">
        <v>990</v>
      </c>
      <c r="I163" s="175">
        <v>36</v>
      </c>
      <c r="J163" s="115">
        <v>36</v>
      </c>
      <c r="K163" s="143">
        <f t="shared" si="63"/>
        <v>36</v>
      </c>
      <c r="L163" s="144">
        <f t="shared" si="60"/>
        <v>0</v>
      </c>
      <c r="M163" s="275">
        <f t="shared" si="61"/>
        <v>36</v>
      </c>
      <c r="N163" s="98" t="s">
        <v>1776</v>
      </c>
      <c r="O163" s="93">
        <f t="shared" si="71"/>
        <v>100</v>
      </c>
      <c r="MQ163" s="100">
        <v>2</v>
      </c>
      <c r="MR163" s="100">
        <v>2</v>
      </c>
      <c r="MS163" s="100">
        <v>2</v>
      </c>
      <c r="MT163" s="100">
        <v>2</v>
      </c>
      <c r="MU163" s="100">
        <v>2</v>
      </c>
      <c r="MX163" s="100">
        <v>2</v>
      </c>
      <c r="MY163" s="100">
        <v>4</v>
      </c>
      <c r="NA163" s="100">
        <v>2</v>
      </c>
      <c r="ND163" s="100">
        <v>2</v>
      </c>
      <c r="NG163" s="100">
        <v>4</v>
      </c>
      <c r="NI163" s="100">
        <v>2</v>
      </c>
      <c r="NK163" s="100">
        <v>2</v>
      </c>
      <c r="NL163" s="100">
        <v>6</v>
      </c>
      <c r="NM163" s="100">
        <v>2</v>
      </c>
      <c r="ON163" s="100">
        <f t="shared" si="64"/>
        <v>0</v>
      </c>
    </row>
    <row r="164" spans="1:404" ht="23.25" customHeight="1">
      <c r="A164" s="101" t="str">
        <f t="shared" si="72"/>
        <v>006/CANADIAN-2168-74900-01-05</v>
      </c>
      <c r="B164" s="95">
        <v>44435</v>
      </c>
      <c r="C164" s="97">
        <f t="shared" ca="1" si="66"/>
        <v>-629</v>
      </c>
      <c r="D164" s="96" t="s">
        <v>934</v>
      </c>
      <c r="E164" s="94" t="s">
        <v>262</v>
      </c>
      <c r="F164" s="98" t="str">
        <f t="shared" si="67"/>
        <v>05</v>
      </c>
      <c r="G164" s="110">
        <f ca="1">SUMIF($A:E,$A164,K:K)</f>
        <v>12</v>
      </c>
      <c r="H164" s="97" t="s">
        <v>505</v>
      </c>
      <c r="I164" s="98">
        <v>12</v>
      </c>
      <c r="J164" s="97">
        <v>12</v>
      </c>
      <c r="K164" s="143">
        <f t="shared" si="63"/>
        <v>12</v>
      </c>
      <c r="L164" s="144">
        <f t="shared" si="60"/>
        <v>0</v>
      </c>
      <c r="M164" s="275">
        <f t="shared" si="61"/>
        <v>12</v>
      </c>
      <c r="N164" s="98">
        <v>3</v>
      </c>
      <c r="O164" s="93">
        <f t="shared" si="71"/>
        <v>100</v>
      </c>
      <c r="HM164" s="100">
        <v>3</v>
      </c>
      <c r="HP164" s="100">
        <v>3</v>
      </c>
      <c r="HQ164" s="100">
        <v>3</v>
      </c>
      <c r="HR164" s="100">
        <v>3</v>
      </c>
      <c r="ON164" s="100">
        <f t="shared" si="64"/>
        <v>0</v>
      </c>
    </row>
    <row r="165" spans="1:404" ht="23.25" customHeight="1">
      <c r="A165" s="101" t="str">
        <f t="shared" si="72"/>
        <v>005/CANADIAN-2168-74900-01-05</v>
      </c>
      <c r="B165" s="95">
        <v>44435</v>
      </c>
      <c r="C165" s="97">
        <f t="shared" ca="1" si="66"/>
        <v>-629</v>
      </c>
      <c r="D165" s="96" t="s">
        <v>936</v>
      </c>
      <c r="E165" s="94" t="s">
        <v>262</v>
      </c>
      <c r="F165" s="98" t="str">
        <f t="shared" si="67"/>
        <v>05</v>
      </c>
      <c r="G165" s="110">
        <f ca="1">SUMIF($A:E,$A165,K:K)</f>
        <v>12</v>
      </c>
      <c r="H165" s="97" t="s">
        <v>505</v>
      </c>
      <c r="I165" s="98">
        <v>12</v>
      </c>
      <c r="J165" s="97">
        <v>12</v>
      </c>
      <c r="K165" s="143">
        <f t="shared" si="63"/>
        <v>12</v>
      </c>
      <c r="L165" s="144">
        <f t="shared" si="60"/>
        <v>0</v>
      </c>
      <c r="M165" s="275">
        <f t="shared" si="61"/>
        <v>12</v>
      </c>
      <c r="N165" s="98">
        <v>3</v>
      </c>
      <c r="O165" s="93">
        <f t="shared" si="71"/>
        <v>100</v>
      </c>
      <c r="HR165" s="100">
        <v>3</v>
      </c>
      <c r="HS165" s="100">
        <v>3</v>
      </c>
      <c r="HT165" s="100">
        <v>1</v>
      </c>
      <c r="HU165" s="100">
        <v>5</v>
      </c>
      <c r="ON165" s="100">
        <f t="shared" si="64"/>
        <v>0</v>
      </c>
    </row>
    <row r="166" spans="1:404" ht="23.25" customHeight="1">
      <c r="A166" s="101" t="str">
        <f t="shared" si="72"/>
        <v>012/CANADIAN-2168-74900-01-05</v>
      </c>
      <c r="B166" s="95">
        <v>44464</v>
      </c>
      <c r="C166" s="97">
        <f t="shared" ca="1" si="66"/>
        <v>-600</v>
      </c>
      <c r="D166" s="96" t="s">
        <v>999</v>
      </c>
      <c r="E166" s="94" t="s">
        <v>262</v>
      </c>
      <c r="F166" s="98" t="str">
        <f t="shared" si="67"/>
        <v>05</v>
      </c>
      <c r="G166" s="110">
        <f ca="1">SUMIF($A:E,$A166,K:K)</f>
        <v>12</v>
      </c>
      <c r="H166" s="97" t="s">
        <v>505</v>
      </c>
      <c r="I166" s="98">
        <v>12</v>
      </c>
      <c r="J166" s="97">
        <v>12</v>
      </c>
      <c r="K166" s="143">
        <f t="shared" si="63"/>
        <v>12</v>
      </c>
      <c r="L166" s="144">
        <f t="shared" ref="L166:L189" si="73">J166-K166</f>
        <v>0</v>
      </c>
      <c r="M166" s="275">
        <f t="shared" si="61"/>
        <v>12</v>
      </c>
      <c r="N166" s="98">
        <v>3</v>
      </c>
      <c r="O166" s="93">
        <f t="shared" si="71"/>
        <v>100</v>
      </c>
      <c r="HW166" s="100">
        <v>3</v>
      </c>
      <c r="HY166" s="100">
        <v>3</v>
      </c>
      <c r="IF166" s="100">
        <v>3</v>
      </c>
      <c r="IH166" s="100">
        <v>2</v>
      </c>
      <c r="IV166" s="100">
        <v>1</v>
      </c>
      <c r="ON166" s="100">
        <f t="shared" si="64"/>
        <v>0</v>
      </c>
    </row>
    <row r="167" spans="1:404" ht="23.25" customHeight="1">
      <c r="A167" s="101" t="str">
        <f>D167&amp;F167</f>
        <v>003_SR-21(OBI)01</v>
      </c>
      <c r="B167" s="95">
        <v>44242</v>
      </c>
      <c r="C167" s="97">
        <f t="shared" ca="1" si="66"/>
        <v>-822</v>
      </c>
      <c r="D167" s="96" t="s">
        <v>658</v>
      </c>
      <c r="E167" s="253" t="s">
        <v>261</v>
      </c>
      <c r="F167" s="98" t="str">
        <f t="shared" si="67"/>
        <v>01</v>
      </c>
      <c r="G167" s="110">
        <f ca="1">SUMIF($A:E,$A167,K:K)</f>
        <v>6</v>
      </c>
      <c r="H167" s="97" t="s">
        <v>716</v>
      </c>
      <c r="I167" s="98">
        <v>2</v>
      </c>
      <c r="J167" s="99">
        <v>2</v>
      </c>
      <c r="K167" s="143">
        <f t="shared" si="63"/>
        <v>2</v>
      </c>
      <c r="L167" s="144">
        <f t="shared" si="73"/>
        <v>0</v>
      </c>
      <c r="M167" s="275">
        <f t="shared" ref="M167:M190" si="74">IF(OR(MID(E167,10,1)="0",MID(E167,10,1)="F"),I167,IF(OR(,MID(E167,10,1)="S",MID(E167,10,1)="L",MID(E167,10,1)="B",MID(E167,10,1)="X"),MID(E167,11,1)*I167,0))</f>
        <v>2</v>
      </c>
      <c r="N167" s="98">
        <v>5</v>
      </c>
      <c r="O167" s="93">
        <f t="shared" si="71"/>
        <v>100</v>
      </c>
      <c r="AQ167" s="101">
        <v>2</v>
      </c>
      <c r="ON167" s="100">
        <f t="shared" si="64"/>
        <v>0</v>
      </c>
    </row>
    <row r="168" spans="1:404" ht="23.25" customHeight="1">
      <c r="A168" s="101" t="str">
        <f t="shared" ref="A168:A172" si="75">D168&amp;E168</f>
        <v>005/CANADIAN-2168-74900-01-01</v>
      </c>
      <c r="B168" s="95">
        <v>44435</v>
      </c>
      <c r="C168" s="97">
        <f t="shared" ca="1" si="66"/>
        <v>-629</v>
      </c>
      <c r="D168" s="96" t="s">
        <v>936</v>
      </c>
      <c r="E168" s="94" t="s">
        <v>261</v>
      </c>
      <c r="F168" s="98" t="str">
        <f t="shared" si="67"/>
        <v>01</v>
      </c>
      <c r="G168" s="110">
        <f ca="1">SUMIF($A:E,$A168,K:K)</f>
        <v>12</v>
      </c>
      <c r="H168" s="97" t="s">
        <v>505</v>
      </c>
      <c r="I168" s="98">
        <v>12</v>
      </c>
      <c r="J168" s="97">
        <v>12</v>
      </c>
      <c r="K168" s="143">
        <f t="shared" si="63"/>
        <v>12</v>
      </c>
      <c r="L168" s="144">
        <f t="shared" si="73"/>
        <v>0</v>
      </c>
      <c r="M168" s="275">
        <f t="shared" si="74"/>
        <v>12</v>
      </c>
      <c r="N168" s="98">
        <v>3</v>
      </c>
      <c r="O168" s="93">
        <f t="shared" si="71"/>
        <v>100</v>
      </c>
      <c r="HD168" s="100">
        <v>3</v>
      </c>
      <c r="HE168" s="100">
        <v>2</v>
      </c>
      <c r="HF168" s="100">
        <v>4</v>
      </c>
      <c r="HG168" s="100">
        <v>1</v>
      </c>
      <c r="HI168" s="100">
        <v>2</v>
      </c>
      <c r="ON168" s="100">
        <f t="shared" si="64"/>
        <v>0</v>
      </c>
    </row>
    <row r="169" spans="1:404" ht="23.25" customHeight="1">
      <c r="A169" s="101" t="str">
        <f t="shared" si="75"/>
        <v>014/CANADIAN-2168-74900-01-01</v>
      </c>
      <c r="B169" s="95">
        <v>44468</v>
      </c>
      <c r="C169" s="97">
        <f t="shared" ca="1" si="66"/>
        <v>-596</v>
      </c>
      <c r="D169" s="96" t="s">
        <v>998</v>
      </c>
      <c r="E169" s="94" t="s">
        <v>261</v>
      </c>
      <c r="F169" s="98" t="str">
        <f t="shared" si="67"/>
        <v>01</v>
      </c>
      <c r="G169" s="110">
        <f ca="1">SUMIF($A:E,$A169,K:K)</f>
        <v>12</v>
      </c>
      <c r="H169" s="97" t="s">
        <v>505</v>
      </c>
      <c r="I169" s="98">
        <v>12</v>
      </c>
      <c r="J169" s="99">
        <v>12</v>
      </c>
      <c r="K169" s="143">
        <f t="shared" si="63"/>
        <v>12</v>
      </c>
      <c r="L169" s="144">
        <f t="shared" si="73"/>
        <v>0</v>
      </c>
      <c r="M169" s="275">
        <f t="shared" si="74"/>
        <v>12</v>
      </c>
      <c r="N169" s="98">
        <v>3</v>
      </c>
      <c r="O169" s="93">
        <f t="shared" si="71"/>
        <v>100</v>
      </c>
      <c r="HI169" s="100">
        <v>1</v>
      </c>
      <c r="HJ169" s="100">
        <v>4</v>
      </c>
      <c r="HK169" s="100">
        <v>3</v>
      </c>
      <c r="HL169" s="100">
        <v>3</v>
      </c>
      <c r="HN169" s="100">
        <v>1</v>
      </c>
      <c r="ON169" s="100">
        <f t="shared" si="64"/>
        <v>0</v>
      </c>
    </row>
    <row r="170" spans="1:404" ht="23.25" customHeight="1">
      <c r="A170" s="101" t="str">
        <f t="shared" si="75"/>
        <v>016/CANADIAN-2168-74900-01-01</v>
      </c>
      <c r="B170" s="95">
        <v>44510</v>
      </c>
      <c r="C170" s="97">
        <f t="shared" ca="1" si="66"/>
        <v>-554</v>
      </c>
      <c r="D170" s="96" t="s">
        <v>1024</v>
      </c>
      <c r="E170" s="280" t="s">
        <v>261</v>
      </c>
      <c r="F170" s="98" t="str">
        <f t="shared" si="67"/>
        <v>01</v>
      </c>
      <c r="G170" s="110">
        <f ca="1">SUMIF($A:E,$A170,K:K)</f>
        <v>12</v>
      </c>
      <c r="H170" s="97" t="s">
        <v>576</v>
      </c>
      <c r="I170" s="98">
        <v>12</v>
      </c>
      <c r="J170" s="97">
        <v>12</v>
      </c>
      <c r="K170" s="143">
        <f t="shared" si="63"/>
        <v>12</v>
      </c>
      <c r="L170" s="144">
        <f t="shared" si="73"/>
        <v>0</v>
      </c>
      <c r="M170" s="275">
        <f t="shared" si="74"/>
        <v>12</v>
      </c>
      <c r="N170" s="98">
        <v>2</v>
      </c>
      <c r="O170" s="93">
        <f t="shared" si="71"/>
        <v>100</v>
      </c>
      <c r="KJ170" s="100">
        <v>1</v>
      </c>
      <c r="KO170" s="100">
        <v>5</v>
      </c>
      <c r="KP170" s="100">
        <v>4</v>
      </c>
      <c r="KQ170" s="100">
        <v>2</v>
      </c>
      <c r="ON170" s="100">
        <f t="shared" si="64"/>
        <v>0</v>
      </c>
    </row>
    <row r="171" spans="1:404" ht="23.25" customHeight="1">
      <c r="A171" s="101" t="str">
        <f t="shared" si="75"/>
        <v>005/COCOON-21 (đợt 1)68-74900-01-01</v>
      </c>
      <c r="B171" s="95">
        <v>44424</v>
      </c>
      <c r="C171" s="97">
        <f t="shared" ref="C171:C185" ca="1" si="76">B171-TODAY()</f>
        <v>-640</v>
      </c>
      <c r="D171" s="96" t="s">
        <v>1071</v>
      </c>
      <c r="E171" s="94" t="s">
        <v>261</v>
      </c>
      <c r="F171" s="98" t="str">
        <f t="shared" ref="F171:F181" si="77">MID(E171,13,2)</f>
        <v>01</v>
      </c>
      <c r="G171" s="110">
        <f ca="1">SUMIF($A:E,$A171,K:K)</f>
        <v>12</v>
      </c>
      <c r="H171" s="97" t="s">
        <v>721</v>
      </c>
      <c r="I171" s="98">
        <v>12</v>
      </c>
      <c r="J171" s="97">
        <v>12</v>
      </c>
      <c r="K171" s="143">
        <f t="shared" si="63"/>
        <v>12</v>
      </c>
      <c r="L171" s="144">
        <f t="shared" si="73"/>
        <v>0</v>
      </c>
      <c r="M171" s="275">
        <f t="shared" si="74"/>
        <v>12</v>
      </c>
      <c r="N171" s="98">
        <v>3</v>
      </c>
      <c r="O171" s="93">
        <f t="shared" si="71"/>
        <v>100</v>
      </c>
      <c r="GY171" s="100">
        <v>3</v>
      </c>
      <c r="GZ171" s="100">
        <v>3</v>
      </c>
      <c r="HB171" s="100">
        <v>3</v>
      </c>
      <c r="HC171" s="100">
        <v>3</v>
      </c>
      <c r="ON171" s="100">
        <f t="shared" si="64"/>
        <v>0</v>
      </c>
    </row>
    <row r="172" spans="1:404" ht="23.25" customHeight="1">
      <c r="A172" s="101" t="str">
        <f t="shared" si="75"/>
        <v>001/COMERZIA-2168-74600-S2-01</v>
      </c>
      <c r="B172" s="95">
        <v>44396</v>
      </c>
      <c r="C172" s="97">
        <f t="shared" ca="1" si="76"/>
        <v>-668</v>
      </c>
      <c r="D172" s="145" t="s">
        <v>722</v>
      </c>
      <c r="E172" s="253" t="s">
        <v>573</v>
      </c>
      <c r="F172" s="98" t="str">
        <f t="shared" si="77"/>
        <v>01</v>
      </c>
      <c r="G172" s="110">
        <f ca="1">SUMIF($A:E,$A172,K:K)</f>
        <v>24</v>
      </c>
      <c r="H172" s="97" t="s">
        <v>505</v>
      </c>
      <c r="I172" s="196">
        <v>24</v>
      </c>
      <c r="J172" s="146">
        <v>24</v>
      </c>
      <c r="K172" s="143">
        <f t="shared" si="63"/>
        <v>24</v>
      </c>
      <c r="L172" s="144">
        <f t="shared" si="73"/>
        <v>0</v>
      </c>
      <c r="M172" s="275">
        <f t="shared" si="74"/>
        <v>48</v>
      </c>
      <c r="N172" s="98">
        <v>2</v>
      </c>
      <c r="O172" s="93">
        <f t="shared" ref="O172:O185" si="78">K172/J172*100</f>
        <v>100</v>
      </c>
      <c r="DK172" s="101">
        <v>1</v>
      </c>
      <c r="DL172" s="101">
        <v>3</v>
      </c>
      <c r="DM172" s="101">
        <v>2</v>
      </c>
      <c r="DN172" s="101">
        <v>2</v>
      </c>
      <c r="DO172" s="101">
        <v>2</v>
      </c>
      <c r="DP172" s="101">
        <v>2</v>
      </c>
      <c r="DR172" s="101">
        <v>2</v>
      </c>
      <c r="DS172" s="100">
        <v>2</v>
      </c>
      <c r="DT172" s="100">
        <v>2</v>
      </c>
      <c r="DV172" s="100">
        <v>3</v>
      </c>
      <c r="DY172" s="100">
        <v>3</v>
      </c>
      <c r="ON172" s="100">
        <f t="shared" si="64"/>
        <v>0</v>
      </c>
    </row>
    <row r="173" spans="1:404" ht="23.25" customHeight="1">
      <c r="A173" s="101" t="e">
        <f>D173&amp;#REF!</f>
        <v>#REF!</v>
      </c>
      <c r="B173" s="95">
        <v>44576</v>
      </c>
      <c r="C173" s="97">
        <f t="shared" ca="1" si="76"/>
        <v>-488</v>
      </c>
      <c r="D173" s="96" t="s">
        <v>1178</v>
      </c>
      <c r="E173" s="94" t="s">
        <v>573</v>
      </c>
      <c r="F173" s="98" t="str">
        <f t="shared" si="77"/>
        <v>01</v>
      </c>
      <c r="G173" s="110">
        <f ca="1">SUMIF($A:E,$A173,K:K)</f>
        <v>1754</v>
      </c>
      <c r="H173" s="97" t="s">
        <v>505</v>
      </c>
      <c r="I173" s="98">
        <v>18</v>
      </c>
      <c r="J173" s="99">
        <v>18</v>
      </c>
      <c r="K173" s="143">
        <f t="shared" si="63"/>
        <v>18</v>
      </c>
      <c r="L173" s="144">
        <f t="shared" si="73"/>
        <v>0</v>
      </c>
      <c r="M173" s="275">
        <f t="shared" si="74"/>
        <v>36</v>
      </c>
      <c r="N173" s="98">
        <v>2</v>
      </c>
      <c r="O173" s="93">
        <f t="shared" si="78"/>
        <v>100</v>
      </c>
      <c r="MT173" s="100">
        <v>2</v>
      </c>
      <c r="MX173" s="100">
        <v>2</v>
      </c>
      <c r="MY173" s="100">
        <v>2</v>
      </c>
      <c r="MZ173" s="100">
        <v>1</v>
      </c>
      <c r="ND173" s="100">
        <v>4</v>
      </c>
      <c r="NE173" s="100">
        <v>7</v>
      </c>
      <c r="ON173" s="100">
        <f t="shared" si="64"/>
        <v>0</v>
      </c>
    </row>
    <row r="174" spans="1:404" ht="23.25" customHeight="1">
      <c r="A174" s="101" t="str">
        <f t="shared" ref="A174:A188" si="79">D174&amp;E174</f>
        <v>003/ANNA-VG-21(đ5)68-74600-01-A</v>
      </c>
      <c r="B174" s="95">
        <v>44600</v>
      </c>
      <c r="C174" s="97">
        <f t="shared" ca="1" si="76"/>
        <v>-464</v>
      </c>
      <c r="D174" s="112" t="s">
        <v>1664</v>
      </c>
      <c r="E174" s="279" t="s">
        <v>1666</v>
      </c>
      <c r="F174" s="98" t="str">
        <f t="shared" si="77"/>
        <v>A</v>
      </c>
      <c r="G174" s="110">
        <f ca="1">SUMIF($A:E,$A174,K:K)</f>
        <v>39</v>
      </c>
      <c r="H174" s="112" t="s">
        <v>990</v>
      </c>
      <c r="I174" s="175">
        <v>28</v>
      </c>
      <c r="J174" s="115">
        <v>28</v>
      </c>
      <c r="K174" s="143">
        <f t="shared" si="63"/>
        <v>39</v>
      </c>
      <c r="L174" s="144">
        <f t="shared" si="73"/>
        <v>-11</v>
      </c>
      <c r="M174" s="275">
        <f t="shared" si="74"/>
        <v>28</v>
      </c>
      <c r="N174" s="98">
        <v>1</v>
      </c>
      <c r="O174" s="93">
        <f>K174/J174*100</f>
        <v>139.28571428571428</v>
      </c>
      <c r="NA174" s="100">
        <v>2</v>
      </c>
      <c r="NE174" s="100">
        <v>5</v>
      </c>
      <c r="NF174" s="100">
        <v>2</v>
      </c>
      <c r="NL174" s="100">
        <v>3</v>
      </c>
      <c r="NM174" s="100">
        <v>5</v>
      </c>
      <c r="NT174" s="100">
        <v>5</v>
      </c>
      <c r="NV174" s="100">
        <v>6</v>
      </c>
      <c r="ON174" s="100">
        <f t="shared" si="64"/>
        <v>11</v>
      </c>
    </row>
    <row r="175" spans="1:404" ht="23.25" customHeight="1">
      <c r="A175" s="101" t="str">
        <f t="shared" si="79"/>
        <v>003/KHBS-2168-74600-01-01</v>
      </c>
      <c r="B175" s="95">
        <v>44204</v>
      </c>
      <c r="C175" s="97">
        <f t="shared" ca="1" si="76"/>
        <v>-860</v>
      </c>
      <c r="D175" s="96" t="s">
        <v>652</v>
      </c>
      <c r="E175" s="94" t="s">
        <v>463</v>
      </c>
      <c r="F175" s="98" t="str">
        <f t="shared" si="77"/>
        <v>01</v>
      </c>
      <c r="G175" s="110">
        <f ca="1">SUMIF($A:E,$A175,K:K)</f>
        <v>6</v>
      </c>
      <c r="H175" s="97" t="s">
        <v>505</v>
      </c>
      <c r="I175" s="98">
        <v>6</v>
      </c>
      <c r="J175" s="99">
        <v>6</v>
      </c>
      <c r="K175" s="143">
        <f t="shared" si="63"/>
        <v>6</v>
      </c>
      <c r="L175" s="144">
        <f t="shared" si="73"/>
        <v>0</v>
      </c>
      <c r="M175" s="275">
        <f t="shared" si="74"/>
        <v>6</v>
      </c>
      <c r="N175" s="98">
        <v>1</v>
      </c>
      <c r="O175" s="93">
        <f t="shared" si="78"/>
        <v>100</v>
      </c>
      <c r="U175" s="101">
        <v>4</v>
      </c>
      <c r="V175" s="101">
        <v>1</v>
      </c>
      <c r="X175" s="101">
        <v>1</v>
      </c>
      <c r="ON175" s="100">
        <f t="shared" si="64"/>
        <v>0</v>
      </c>
    </row>
    <row r="176" spans="1:404" ht="23.25" customHeight="1">
      <c r="A176" s="101" t="str">
        <f t="shared" si="79"/>
        <v>003/ANNA-VG-21(đ1)68-73600-01-A</v>
      </c>
      <c r="B176" s="95">
        <v>44545</v>
      </c>
      <c r="C176" s="97">
        <f t="shared" ca="1" si="76"/>
        <v>-519</v>
      </c>
      <c r="D176" s="112" t="s">
        <v>1622</v>
      </c>
      <c r="E176" s="279" t="s">
        <v>284</v>
      </c>
      <c r="F176" s="98" t="str">
        <f t="shared" si="77"/>
        <v>A</v>
      </c>
      <c r="G176" s="110">
        <f ca="1">SUMIF($A:E,$A176,K:K)</f>
        <v>24</v>
      </c>
      <c r="H176" s="112" t="s">
        <v>1681</v>
      </c>
      <c r="I176" s="175">
        <v>24</v>
      </c>
      <c r="J176" s="115">
        <v>24</v>
      </c>
      <c r="K176" s="143">
        <f t="shared" si="63"/>
        <v>24</v>
      </c>
      <c r="L176" s="144">
        <f t="shared" si="73"/>
        <v>0</v>
      </c>
      <c r="M176" s="275">
        <f t="shared" si="74"/>
        <v>24</v>
      </c>
      <c r="N176" s="98" t="s">
        <v>1776</v>
      </c>
      <c r="O176" s="93">
        <f t="shared" si="78"/>
        <v>100</v>
      </c>
      <c r="LJ176" s="100">
        <v>8</v>
      </c>
      <c r="LK176" s="100">
        <v>2</v>
      </c>
      <c r="LN176" s="100">
        <v>4</v>
      </c>
      <c r="LP176" s="100">
        <v>4</v>
      </c>
      <c r="LS176" s="100">
        <v>4</v>
      </c>
      <c r="LT176" s="100">
        <v>2</v>
      </c>
      <c r="ON176" s="100">
        <f t="shared" si="64"/>
        <v>0</v>
      </c>
    </row>
    <row r="177" spans="1:404" ht="23.25" customHeight="1">
      <c r="A177" s="101" t="str">
        <f t="shared" si="79"/>
        <v>006A/CANADIAN-2168-73600-01-05</v>
      </c>
      <c r="B177" s="95">
        <v>44435</v>
      </c>
      <c r="C177" s="97">
        <f t="shared" ca="1" si="76"/>
        <v>-629</v>
      </c>
      <c r="D177" s="96" t="s">
        <v>975</v>
      </c>
      <c r="E177" s="94" t="s">
        <v>260</v>
      </c>
      <c r="F177" s="98" t="str">
        <f t="shared" si="77"/>
        <v>05</v>
      </c>
      <c r="G177" s="110">
        <f ca="1">SUMIF($A:E,$A177,K:K)</f>
        <v>12</v>
      </c>
      <c r="H177" s="97" t="s">
        <v>505</v>
      </c>
      <c r="I177" s="98">
        <v>12</v>
      </c>
      <c r="J177" s="97">
        <v>12</v>
      </c>
      <c r="K177" s="143">
        <f t="shared" si="63"/>
        <v>12</v>
      </c>
      <c r="L177" s="144">
        <f t="shared" si="73"/>
        <v>0</v>
      </c>
      <c r="M177" s="275">
        <f t="shared" si="74"/>
        <v>12</v>
      </c>
      <c r="N177" s="98">
        <v>3</v>
      </c>
      <c r="O177" s="93">
        <f t="shared" si="78"/>
        <v>100</v>
      </c>
      <c r="HL177" s="100">
        <v>2</v>
      </c>
      <c r="HM177" s="100">
        <v>6</v>
      </c>
      <c r="HN177" s="100">
        <v>1</v>
      </c>
      <c r="HP177" s="100">
        <v>3</v>
      </c>
      <c r="ON177" s="100">
        <f t="shared" si="64"/>
        <v>0</v>
      </c>
    </row>
    <row r="178" spans="1:404" ht="23.25" customHeight="1">
      <c r="A178" s="101" t="str">
        <f t="shared" si="79"/>
        <v>005/CANADIAN-2168-73600-01-05</v>
      </c>
      <c r="B178" s="95">
        <v>44435</v>
      </c>
      <c r="C178" s="97">
        <f t="shared" ca="1" si="76"/>
        <v>-629</v>
      </c>
      <c r="D178" s="96" t="s">
        <v>936</v>
      </c>
      <c r="E178" s="94" t="s">
        <v>260</v>
      </c>
      <c r="F178" s="98" t="str">
        <f t="shared" si="77"/>
        <v>05</v>
      </c>
      <c r="G178" s="110">
        <f ca="1">SUMIF($A:E,$A178,K:K)</f>
        <v>12</v>
      </c>
      <c r="H178" s="97" t="s">
        <v>505</v>
      </c>
      <c r="I178" s="98">
        <v>12</v>
      </c>
      <c r="J178" s="97">
        <v>12</v>
      </c>
      <c r="K178" s="143">
        <f t="shared" si="63"/>
        <v>12</v>
      </c>
      <c r="L178" s="144">
        <f t="shared" si="73"/>
        <v>0</v>
      </c>
      <c r="M178" s="275">
        <f t="shared" si="74"/>
        <v>12</v>
      </c>
      <c r="N178" s="98">
        <v>3</v>
      </c>
      <c r="O178" s="93">
        <f t="shared" si="78"/>
        <v>100</v>
      </c>
      <c r="HD178" s="100">
        <v>2</v>
      </c>
      <c r="HE178" s="100">
        <v>3</v>
      </c>
      <c r="HG178" s="100">
        <v>2</v>
      </c>
      <c r="HK178" s="100">
        <v>5</v>
      </c>
      <c r="ON178" s="100">
        <f t="shared" si="64"/>
        <v>0</v>
      </c>
    </row>
    <row r="179" spans="1:404" ht="23.25" customHeight="1">
      <c r="A179" s="101" t="str">
        <f t="shared" si="79"/>
        <v>012/CANADIAN-2168-73600-01-05</v>
      </c>
      <c r="B179" s="95">
        <v>44464</v>
      </c>
      <c r="C179" s="97">
        <f t="shared" ca="1" si="76"/>
        <v>-600</v>
      </c>
      <c r="D179" s="96" t="s">
        <v>999</v>
      </c>
      <c r="E179" s="94" t="s">
        <v>260</v>
      </c>
      <c r="F179" s="98" t="str">
        <f t="shared" si="77"/>
        <v>05</v>
      </c>
      <c r="G179" s="110">
        <f ca="1">SUMIF($A:E,$A179,K:K)</f>
        <v>12</v>
      </c>
      <c r="H179" s="97" t="s">
        <v>505</v>
      </c>
      <c r="I179" s="98">
        <v>12</v>
      </c>
      <c r="J179" s="97">
        <v>12</v>
      </c>
      <c r="K179" s="143">
        <f t="shared" si="63"/>
        <v>12</v>
      </c>
      <c r="L179" s="144">
        <f t="shared" si="73"/>
        <v>0</v>
      </c>
      <c r="M179" s="275">
        <f t="shared" si="74"/>
        <v>12</v>
      </c>
      <c r="N179" s="98">
        <v>3</v>
      </c>
      <c r="O179" s="93">
        <f t="shared" si="78"/>
        <v>100</v>
      </c>
      <c r="GZ179" s="100">
        <v>5</v>
      </c>
      <c r="HC179" s="100">
        <v>5</v>
      </c>
      <c r="HD179" s="100">
        <v>2</v>
      </c>
      <c r="ON179" s="100">
        <f t="shared" si="64"/>
        <v>0</v>
      </c>
    </row>
    <row r="180" spans="1:404" ht="23.25" customHeight="1">
      <c r="A180" s="101" t="str">
        <f t="shared" si="79"/>
        <v>016/CANADIAN-2168-73600-01-05</v>
      </c>
      <c r="B180" s="95">
        <v>44510</v>
      </c>
      <c r="C180" s="97">
        <f t="shared" ca="1" si="76"/>
        <v>-554</v>
      </c>
      <c r="D180" s="96" t="s">
        <v>1024</v>
      </c>
      <c r="E180" s="280" t="s">
        <v>260</v>
      </c>
      <c r="F180" s="98" t="str">
        <f t="shared" si="77"/>
        <v>05</v>
      </c>
      <c r="G180" s="110">
        <f ca="1">SUMIF($A:E,$A180,K:K)</f>
        <v>12</v>
      </c>
      <c r="H180" s="97" t="s">
        <v>576</v>
      </c>
      <c r="I180" s="98">
        <v>12</v>
      </c>
      <c r="J180" s="97">
        <v>12</v>
      </c>
      <c r="K180" s="143">
        <f t="shared" si="63"/>
        <v>12</v>
      </c>
      <c r="L180" s="144">
        <f t="shared" si="73"/>
        <v>0</v>
      </c>
      <c r="M180" s="275">
        <f t="shared" si="74"/>
        <v>12</v>
      </c>
      <c r="N180" s="98" t="s">
        <v>1768</v>
      </c>
      <c r="O180" s="93">
        <f t="shared" si="78"/>
        <v>100</v>
      </c>
      <c r="KF180" s="100">
        <v>2</v>
      </c>
      <c r="KH180" s="100">
        <v>2</v>
      </c>
      <c r="KN180" s="100">
        <v>2</v>
      </c>
      <c r="KO180" s="100">
        <v>2</v>
      </c>
      <c r="KP180" s="100">
        <v>4</v>
      </c>
      <c r="ON180" s="100">
        <f t="shared" si="64"/>
        <v>0</v>
      </c>
    </row>
    <row r="181" spans="1:404" ht="23.25" customHeight="1">
      <c r="A181" s="101" t="str">
        <f t="shared" si="79"/>
        <v>004/COCOON-2168-73600-01-01</v>
      </c>
      <c r="B181" s="95">
        <v>44386</v>
      </c>
      <c r="C181" s="97">
        <f t="shared" ca="1" si="76"/>
        <v>-678</v>
      </c>
      <c r="D181" s="145" t="s">
        <v>780</v>
      </c>
      <c r="E181" s="253" t="s">
        <v>259</v>
      </c>
      <c r="F181" s="98" t="str">
        <f t="shared" si="77"/>
        <v>01</v>
      </c>
      <c r="G181" s="110">
        <f ca="1">SUMIF($A:E,$A181,K:K)</f>
        <v>12</v>
      </c>
      <c r="H181" s="97" t="s">
        <v>784</v>
      </c>
      <c r="I181" s="196">
        <v>12</v>
      </c>
      <c r="J181" s="146">
        <v>12</v>
      </c>
      <c r="K181" s="143">
        <f t="shared" si="63"/>
        <v>12</v>
      </c>
      <c r="L181" s="144">
        <f t="shared" si="73"/>
        <v>0</v>
      </c>
      <c r="M181" s="275">
        <f t="shared" si="74"/>
        <v>12</v>
      </c>
      <c r="N181" s="98">
        <v>3</v>
      </c>
      <c r="O181" s="93">
        <f t="shared" si="78"/>
        <v>100</v>
      </c>
      <c r="DU181" s="100">
        <v>6</v>
      </c>
      <c r="DV181" s="100">
        <v>5</v>
      </c>
      <c r="DY181" s="100">
        <v>1</v>
      </c>
      <c r="ON181" s="100">
        <f t="shared" si="64"/>
        <v>0</v>
      </c>
    </row>
    <row r="182" spans="1:404" ht="23.25" customHeight="1">
      <c r="A182" s="101" t="str">
        <f t="shared" si="79"/>
        <v>001/MOBEL-DESIGN-2168-73600-01-01</v>
      </c>
      <c r="B182" s="95">
        <v>44404</v>
      </c>
      <c r="C182" s="97">
        <f t="shared" ca="1" si="76"/>
        <v>-660</v>
      </c>
      <c r="D182" s="96" t="s">
        <v>929</v>
      </c>
      <c r="E182" s="94" t="s">
        <v>259</v>
      </c>
      <c r="F182" s="98">
        <v>54</v>
      </c>
      <c r="G182" s="110">
        <f ca="1">SUMIF($A:E,$A182,K:K)</f>
        <v>24</v>
      </c>
      <c r="H182" s="97" t="s">
        <v>973</v>
      </c>
      <c r="I182" s="98">
        <v>24</v>
      </c>
      <c r="J182" s="97">
        <v>24</v>
      </c>
      <c r="K182" s="143">
        <f t="shared" si="63"/>
        <v>24</v>
      </c>
      <c r="L182" s="144">
        <f t="shared" si="73"/>
        <v>0</v>
      </c>
      <c r="M182" s="275">
        <f t="shared" si="74"/>
        <v>24</v>
      </c>
      <c r="N182" s="98">
        <v>3</v>
      </c>
      <c r="O182" s="93">
        <f t="shared" si="78"/>
        <v>100</v>
      </c>
      <c r="DZ182" s="100">
        <v>10</v>
      </c>
      <c r="EA182" s="100">
        <v>5</v>
      </c>
      <c r="EC182" s="100">
        <v>5</v>
      </c>
      <c r="ED182" s="100">
        <v>4</v>
      </c>
      <c r="ON182" s="100">
        <f t="shared" si="64"/>
        <v>0</v>
      </c>
    </row>
    <row r="183" spans="1:404" ht="23.25" customHeight="1">
      <c r="A183" s="101" t="str">
        <f t="shared" si="79"/>
        <v>005/COCOON-21 (đợt 1)68-73600-01-01</v>
      </c>
      <c r="B183" s="95">
        <v>44424</v>
      </c>
      <c r="C183" s="97">
        <f t="shared" ca="1" si="76"/>
        <v>-640</v>
      </c>
      <c r="D183" s="96" t="s">
        <v>1071</v>
      </c>
      <c r="E183" s="94" t="s">
        <v>259</v>
      </c>
      <c r="F183" s="98" t="str">
        <f t="shared" ref="F183:F188" si="80">MID(E183,13,2)</f>
        <v>01</v>
      </c>
      <c r="G183" s="110">
        <f ca="1">SUMIF($A:E,$A183,K:K)</f>
        <v>12</v>
      </c>
      <c r="H183" s="97" t="s">
        <v>721</v>
      </c>
      <c r="I183" s="98">
        <v>12</v>
      </c>
      <c r="J183" s="97">
        <v>12</v>
      </c>
      <c r="K183" s="143">
        <f t="shared" si="63"/>
        <v>12</v>
      </c>
      <c r="L183" s="144">
        <f t="shared" si="73"/>
        <v>0</v>
      </c>
      <c r="M183" s="275">
        <f t="shared" si="74"/>
        <v>12</v>
      </c>
      <c r="N183" s="98">
        <v>3</v>
      </c>
      <c r="O183" s="93">
        <f t="shared" si="78"/>
        <v>100</v>
      </c>
      <c r="GS183" s="100">
        <v>3</v>
      </c>
      <c r="GU183" s="100">
        <v>1</v>
      </c>
      <c r="GV183" s="100">
        <v>6</v>
      </c>
      <c r="GX183" s="100">
        <v>2</v>
      </c>
      <c r="ON183" s="100">
        <f t="shared" si="64"/>
        <v>0</v>
      </c>
    </row>
    <row r="184" spans="1:404" ht="23.25" customHeight="1">
      <c r="A184" s="101" t="str">
        <f t="shared" si="79"/>
        <v>001/FLEUR BE-2168-73300-S2-01</v>
      </c>
      <c r="B184" s="95">
        <v>44508</v>
      </c>
      <c r="C184" s="97">
        <f t="shared" ca="1" si="76"/>
        <v>-556</v>
      </c>
      <c r="D184" s="96" t="s">
        <v>1088</v>
      </c>
      <c r="E184" s="280" t="s">
        <v>603</v>
      </c>
      <c r="F184" s="98" t="str">
        <f t="shared" si="80"/>
        <v>01</v>
      </c>
      <c r="G184" s="110">
        <f ca="1">SUMIF($A:E,$A184,K:K)</f>
        <v>42</v>
      </c>
      <c r="H184" s="97" t="s">
        <v>1086</v>
      </c>
      <c r="I184" s="98">
        <v>42</v>
      </c>
      <c r="J184" s="97">
        <v>42</v>
      </c>
      <c r="K184" s="143">
        <f t="shared" si="63"/>
        <v>42</v>
      </c>
      <c r="L184" s="144">
        <f t="shared" si="73"/>
        <v>0</v>
      </c>
      <c r="M184" s="275">
        <f t="shared" si="74"/>
        <v>84</v>
      </c>
      <c r="N184" s="98" t="s">
        <v>1768</v>
      </c>
      <c r="O184" s="93">
        <f t="shared" si="78"/>
        <v>100</v>
      </c>
      <c r="JV184" s="100">
        <v>1</v>
      </c>
      <c r="JW184" s="100">
        <v>1</v>
      </c>
      <c r="JX184" s="100">
        <v>4</v>
      </c>
      <c r="JY184" s="100">
        <v>2</v>
      </c>
      <c r="KA184" s="100">
        <v>7</v>
      </c>
      <c r="KB184" s="100">
        <v>2</v>
      </c>
      <c r="KC184" s="100">
        <v>3</v>
      </c>
      <c r="KD184" s="100">
        <v>2</v>
      </c>
      <c r="KE184" s="100">
        <v>2</v>
      </c>
      <c r="KF184" s="100">
        <v>2</v>
      </c>
      <c r="KG184" s="100">
        <v>2</v>
      </c>
      <c r="KH184" s="100">
        <v>2</v>
      </c>
      <c r="KI184" s="100">
        <v>2</v>
      </c>
      <c r="KJ184" s="100">
        <v>2</v>
      </c>
      <c r="KN184" s="100">
        <v>6</v>
      </c>
      <c r="KO184" s="100">
        <v>2</v>
      </c>
      <c r="ON184" s="100">
        <f t="shared" si="64"/>
        <v>0</v>
      </c>
    </row>
    <row r="185" spans="1:404" ht="23.25" customHeight="1">
      <c r="A185" s="101" t="str">
        <f t="shared" si="79"/>
        <v>144/KHBS-2168-73200-S2-05</v>
      </c>
      <c r="B185" s="95">
        <v>44292</v>
      </c>
      <c r="C185" s="97">
        <f t="shared" ca="1" si="76"/>
        <v>-772</v>
      </c>
      <c r="D185" s="96" t="s">
        <v>830</v>
      </c>
      <c r="E185" s="94" t="s">
        <v>317</v>
      </c>
      <c r="F185" s="98" t="str">
        <f t="shared" si="80"/>
        <v>05</v>
      </c>
      <c r="G185" s="110">
        <f ca="1">SUMIF($A:E,$A185,K:K)</f>
        <v>1</v>
      </c>
      <c r="H185" s="97" t="s">
        <v>513</v>
      </c>
      <c r="I185" s="98">
        <v>1</v>
      </c>
      <c r="J185" s="99">
        <v>1</v>
      </c>
      <c r="K185" s="143">
        <f t="shared" si="63"/>
        <v>1</v>
      </c>
      <c r="L185" s="144">
        <f t="shared" si="73"/>
        <v>0</v>
      </c>
      <c r="M185" s="275">
        <f t="shared" si="74"/>
        <v>2</v>
      </c>
      <c r="N185" s="98">
        <v>3</v>
      </c>
      <c r="O185" s="93">
        <f t="shared" si="78"/>
        <v>100</v>
      </c>
      <c r="CJ185" s="101">
        <v>1</v>
      </c>
      <c r="ON185" s="100">
        <f t="shared" si="64"/>
        <v>0</v>
      </c>
    </row>
    <row r="186" spans="1:404" ht="23.25" customHeight="1">
      <c r="A186" s="101" t="str">
        <f t="shared" si="79"/>
        <v>009/VG_SR-21(WESTELM)68-73200-02-01</v>
      </c>
      <c r="B186" s="95">
        <v>44286</v>
      </c>
      <c r="C186" s="97">
        <f t="shared" ref="C186:C188" ca="1" si="81">B186-TODAY()</f>
        <v>-778</v>
      </c>
      <c r="D186" s="96" t="s">
        <v>818</v>
      </c>
      <c r="E186" s="94" t="s">
        <v>315</v>
      </c>
      <c r="F186" s="98" t="str">
        <f t="shared" si="80"/>
        <v>01</v>
      </c>
      <c r="G186" s="110">
        <f ca="1">SUMIF($A:E,$A186,K:K)</f>
        <v>1</v>
      </c>
      <c r="H186" s="97" t="s">
        <v>518</v>
      </c>
      <c r="I186" s="98">
        <v>1</v>
      </c>
      <c r="J186" s="97">
        <v>1</v>
      </c>
      <c r="K186" s="143">
        <f t="shared" si="63"/>
        <v>1</v>
      </c>
      <c r="L186" s="144">
        <f t="shared" si="73"/>
        <v>0</v>
      </c>
      <c r="M186" s="275">
        <f t="shared" si="74"/>
        <v>1</v>
      </c>
      <c r="N186" s="98">
        <v>5</v>
      </c>
      <c r="O186" s="93">
        <f t="shared" ref="O186:O194" si="82">K186/J186*100</f>
        <v>100</v>
      </c>
      <c r="CC186" s="101">
        <v>1</v>
      </c>
      <c r="ON186" s="100">
        <f t="shared" si="64"/>
        <v>0</v>
      </c>
    </row>
    <row r="187" spans="1:404" ht="23.25" customHeight="1">
      <c r="A187" s="101" t="str">
        <f t="shared" si="79"/>
        <v>101/KHBS-2168-73200-01-01</v>
      </c>
      <c r="B187" s="95">
        <v>44273</v>
      </c>
      <c r="C187" s="97">
        <f t="shared" ca="1" si="81"/>
        <v>-791</v>
      </c>
      <c r="D187" s="96" t="s">
        <v>800</v>
      </c>
      <c r="E187" s="94" t="s">
        <v>242</v>
      </c>
      <c r="F187" s="98" t="str">
        <f t="shared" si="80"/>
        <v>01</v>
      </c>
      <c r="G187" s="110">
        <f ca="1">SUMIF($A:E,$A187,K:K)</f>
        <v>2</v>
      </c>
      <c r="H187" s="97" t="s">
        <v>505</v>
      </c>
      <c r="I187" s="98">
        <v>2</v>
      </c>
      <c r="J187" s="99">
        <v>2</v>
      </c>
      <c r="K187" s="143">
        <f t="shared" si="63"/>
        <v>2</v>
      </c>
      <c r="L187" s="144">
        <f t="shared" si="73"/>
        <v>0</v>
      </c>
      <c r="M187" s="275">
        <f t="shared" si="74"/>
        <v>2</v>
      </c>
      <c r="N187" s="98">
        <v>3</v>
      </c>
      <c r="O187" s="93">
        <f t="shared" si="82"/>
        <v>100</v>
      </c>
      <c r="BS187" s="101">
        <v>1</v>
      </c>
      <c r="BU187" s="101">
        <v>1</v>
      </c>
      <c r="ON187" s="100">
        <f t="shared" si="64"/>
        <v>0</v>
      </c>
    </row>
    <row r="188" spans="1:404" ht="23.25" customHeight="1">
      <c r="A188" s="101" t="str">
        <f t="shared" si="79"/>
        <v>163/KHBS-2168-73200-01-01</v>
      </c>
      <c r="B188" s="95">
        <v>44313</v>
      </c>
      <c r="C188" s="97">
        <f t="shared" ca="1" si="81"/>
        <v>-751</v>
      </c>
      <c r="D188" s="96" t="s">
        <v>924</v>
      </c>
      <c r="E188" s="94" t="s">
        <v>242</v>
      </c>
      <c r="F188" s="98" t="str">
        <f t="shared" si="80"/>
        <v>01</v>
      </c>
      <c r="G188" s="110">
        <f ca="1">SUMIF($A:E,$A188,K:K)</f>
        <v>2</v>
      </c>
      <c r="H188" s="97" t="s">
        <v>505</v>
      </c>
      <c r="I188" s="98">
        <v>2</v>
      </c>
      <c r="J188" s="99">
        <v>2</v>
      </c>
      <c r="K188" s="143">
        <f t="shared" si="63"/>
        <v>2</v>
      </c>
      <c r="L188" s="144">
        <f t="shared" si="73"/>
        <v>0</v>
      </c>
      <c r="M188" s="275">
        <f t="shared" si="74"/>
        <v>2</v>
      </c>
      <c r="N188" s="98">
        <v>1</v>
      </c>
      <c r="O188" s="93">
        <f t="shared" si="82"/>
        <v>100</v>
      </c>
      <c r="DB188" s="101">
        <v>2</v>
      </c>
      <c r="ON188" s="100">
        <f t="shared" si="64"/>
        <v>0</v>
      </c>
    </row>
    <row r="189" spans="1:404" ht="23.25" customHeight="1">
      <c r="A189" s="101" t="str">
        <f t="shared" ref="A189:A201" si="83">D189&amp;E189</f>
        <v>001/FLEUR BE-2168-73100-S2-01</v>
      </c>
      <c r="B189" s="95">
        <v>44508</v>
      </c>
      <c r="C189" s="97">
        <f t="shared" ref="C189:C201" ca="1" si="84">B189-TODAY()</f>
        <v>-556</v>
      </c>
      <c r="D189" s="96" t="s">
        <v>1088</v>
      </c>
      <c r="E189" s="280" t="s">
        <v>243</v>
      </c>
      <c r="F189" s="98" t="str">
        <f t="shared" ref="F189:F208" si="85">MID(E189,13,2)</f>
        <v>01</v>
      </c>
      <c r="G189" s="110">
        <f ca="1">SUMIF($A:E,$A189,K:K)</f>
        <v>42</v>
      </c>
      <c r="H189" s="97" t="s">
        <v>1086</v>
      </c>
      <c r="I189" s="98">
        <v>42</v>
      </c>
      <c r="J189" s="97">
        <v>42</v>
      </c>
      <c r="K189" s="143">
        <f t="shared" si="63"/>
        <v>42</v>
      </c>
      <c r="L189" s="144">
        <f t="shared" si="73"/>
        <v>0</v>
      </c>
      <c r="M189" s="275">
        <f t="shared" si="74"/>
        <v>84</v>
      </c>
      <c r="N189" s="98" t="s">
        <v>1768</v>
      </c>
      <c r="O189" s="93">
        <f t="shared" si="82"/>
        <v>100</v>
      </c>
      <c r="JV189" s="100">
        <v>1</v>
      </c>
      <c r="JW189" s="100">
        <v>3</v>
      </c>
      <c r="JY189" s="100">
        <v>4</v>
      </c>
      <c r="KA189" s="100">
        <v>7</v>
      </c>
      <c r="KB189" s="100">
        <v>1</v>
      </c>
      <c r="KC189" s="100">
        <v>4</v>
      </c>
      <c r="KD189" s="100">
        <v>2</v>
      </c>
      <c r="KE189" s="100">
        <v>1</v>
      </c>
      <c r="KF189" s="100">
        <v>1</v>
      </c>
      <c r="KG189" s="100">
        <v>3</v>
      </c>
      <c r="KH189" s="100">
        <v>1</v>
      </c>
      <c r="KI189" s="100">
        <v>6</v>
      </c>
      <c r="KJ189" s="100">
        <v>4</v>
      </c>
      <c r="KN189" s="100">
        <v>4</v>
      </c>
      <c r="ON189" s="100">
        <f t="shared" si="64"/>
        <v>0</v>
      </c>
    </row>
    <row r="190" spans="1:404" ht="23.25" customHeight="1">
      <c r="A190" s="101" t="str">
        <f t="shared" si="83"/>
        <v>101/KHBS-2168-73100-01-01</v>
      </c>
      <c r="B190" s="95">
        <v>44273</v>
      </c>
      <c r="C190" s="97">
        <f t="shared" ca="1" si="84"/>
        <v>-791</v>
      </c>
      <c r="D190" s="96" t="s">
        <v>800</v>
      </c>
      <c r="E190" s="94" t="s">
        <v>562</v>
      </c>
      <c r="F190" s="98" t="str">
        <f t="shared" si="85"/>
        <v>01</v>
      </c>
      <c r="G190" s="110">
        <f ca="1">SUMIF($A:E,$A190,K:K)</f>
        <v>1</v>
      </c>
      <c r="H190" s="97" t="s">
        <v>505</v>
      </c>
      <c r="I190" s="98">
        <v>1</v>
      </c>
      <c r="J190" s="99">
        <v>1</v>
      </c>
      <c r="K190" s="143">
        <f t="shared" si="63"/>
        <v>1</v>
      </c>
      <c r="L190" s="144">
        <f t="shared" ref="L190:L232" si="86">J190-K190</f>
        <v>0</v>
      </c>
      <c r="M190" s="275">
        <f t="shared" si="74"/>
        <v>1</v>
      </c>
      <c r="N190" s="98">
        <v>3</v>
      </c>
      <c r="O190" s="93">
        <f t="shared" si="82"/>
        <v>100</v>
      </c>
      <c r="BS190" s="101">
        <v>1</v>
      </c>
      <c r="ON190" s="100">
        <f t="shared" si="64"/>
        <v>0</v>
      </c>
    </row>
    <row r="191" spans="1:404" ht="23.25" customHeight="1">
      <c r="A191" s="101" t="str">
        <f t="shared" si="83"/>
        <v>001/HAWTHORE-2168-73000-X1-05</v>
      </c>
      <c r="B191" s="95">
        <v>44375</v>
      </c>
      <c r="C191" s="97">
        <f t="shared" ca="1" si="84"/>
        <v>-689</v>
      </c>
      <c r="D191" s="96" t="s">
        <v>737</v>
      </c>
      <c r="E191" s="123" t="s">
        <v>739</v>
      </c>
      <c r="F191" s="98" t="str">
        <f t="shared" si="85"/>
        <v>05</v>
      </c>
      <c r="G191" s="110">
        <f ca="1">SUMIF($A:E,$A191,K:K)</f>
        <v>21</v>
      </c>
      <c r="H191" s="97" t="s">
        <v>505</v>
      </c>
      <c r="I191" s="175">
        <v>21</v>
      </c>
      <c r="J191" s="115">
        <v>21</v>
      </c>
      <c r="K191" s="143">
        <f t="shared" si="63"/>
        <v>21</v>
      </c>
      <c r="L191" s="144">
        <f t="shared" si="86"/>
        <v>0</v>
      </c>
      <c r="M191" s="275">
        <f t="shared" ref="M191:M233" si="87">IF(OR(MID(E191,10,1)="0",MID(E191,10,1)="F"),I191,IF(OR(,MID(E191,10,1)="S",MID(E191,10,1)="L",MID(E191,10,1)="B",MID(E191,10,1)="X"),MID(E191,11,1)*I191,0))</f>
        <v>21</v>
      </c>
      <c r="N191" s="98">
        <v>3</v>
      </c>
      <c r="O191" s="93">
        <f t="shared" si="82"/>
        <v>100</v>
      </c>
      <c r="ER191" s="100">
        <v>2</v>
      </c>
      <c r="ET191" s="100">
        <v>1</v>
      </c>
      <c r="EU191" s="100">
        <v>1</v>
      </c>
      <c r="EV191" s="100">
        <v>1</v>
      </c>
      <c r="EW191" s="100">
        <v>1</v>
      </c>
      <c r="FA191" s="100">
        <v>1</v>
      </c>
      <c r="FB191" s="100">
        <v>3</v>
      </c>
      <c r="FC191" s="100">
        <v>1</v>
      </c>
      <c r="FD191" s="100">
        <v>1</v>
      </c>
      <c r="FE191" s="100">
        <v>1</v>
      </c>
      <c r="FF191" s="100">
        <v>1</v>
      </c>
      <c r="FI191" s="100">
        <v>2</v>
      </c>
      <c r="FJ191" s="100">
        <v>1</v>
      </c>
      <c r="FK191" s="100">
        <v>1</v>
      </c>
      <c r="FL191" s="100">
        <v>1</v>
      </c>
      <c r="FQ191" s="100">
        <v>2</v>
      </c>
      <c r="ON191" s="100">
        <f t="shared" si="64"/>
        <v>0</v>
      </c>
    </row>
    <row r="192" spans="1:404" ht="23.25" customHeight="1">
      <c r="A192" s="101" t="str">
        <f t="shared" si="83"/>
        <v>004/COCOON-2168-73000-X1-01</v>
      </c>
      <c r="B192" s="95">
        <v>44386</v>
      </c>
      <c r="C192" s="97">
        <f t="shared" ca="1" si="84"/>
        <v>-678</v>
      </c>
      <c r="D192" s="145" t="s">
        <v>780</v>
      </c>
      <c r="E192" s="253" t="s">
        <v>391</v>
      </c>
      <c r="F192" s="98" t="str">
        <f t="shared" si="85"/>
        <v>01</v>
      </c>
      <c r="G192" s="110">
        <f ca="1">SUMIF($A:E,$A192,K:K)</f>
        <v>6</v>
      </c>
      <c r="H192" s="97" t="s">
        <v>784</v>
      </c>
      <c r="I192" s="196">
        <v>6</v>
      </c>
      <c r="J192" s="146">
        <v>6</v>
      </c>
      <c r="K192" s="143">
        <f t="shared" si="63"/>
        <v>6</v>
      </c>
      <c r="L192" s="144">
        <f t="shared" si="86"/>
        <v>0</v>
      </c>
      <c r="M192" s="275">
        <f t="shared" si="87"/>
        <v>6</v>
      </c>
      <c r="N192" s="98">
        <v>3</v>
      </c>
      <c r="O192" s="93">
        <f t="shared" si="82"/>
        <v>100</v>
      </c>
      <c r="FS192" s="100">
        <v>3</v>
      </c>
      <c r="FU192" s="100">
        <v>2</v>
      </c>
      <c r="FV192" s="100">
        <v>1</v>
      </c>
      <c r="ON192" s="100">
        <f t="shared" si="64"/>
        <v>0</v>
      </c>
    </row>
    <row r="193" spans="1:404" ht="23.25" customHeight="1">
      <c r="A193" s="101" t="str">
        <f t="shared" si="83"/>
        <v>005/YAMATEI-21( Đợt 1)68-73000-S4-06</v>
      </c>
      <c r="B193" s="95">
        <v>44437</v>
      </c>
      <c r="C193" s="97">
        <f t="shared" ca="1" si="84"/>
        <v>-627</v>
      </c>
      <c r="D193" s="96" t="s">
        <v>1210</v>
      </c>
      <c r="E193" s="94" t="s">
        <v>600</v>
      </c>
      <c r="F193" s="98" t="str">
        <f t="shared" si="85"/>
        <v>06</v>
      </c>
      <c r="G193" s="110">
        <f ca="1">SUMIF($A:E,$A193,K:K)</f>
        <v>6</v>
      </c>
      <c r="H193" s="97" t="s">
        <v>1754</v>
      </c>
      <c r="I193" s="98">
        <v>6</v>
      </c>
      <c r="J193" s="97">
        <v>6</v>
      </c>
      <c r="K193" s="143">
        <f t="shared" si="63"/>
        <v>6</v>
      </c>
      <c r="L193" s="144">
        <f t="shared" si="86"/>
        <v>0</v>
      </c>
      <c r="M193" s="275">
        <f t="shared" si="87"/>
        <v>24</v>
      </c>
      <c r="N193" s="98">
        <v>3</v>
      </c>
      <c r="O193" s="93">
        <f t="shared" si="82"/>
        <v>100</v>
      </c>
      <c r="GW193" s="100">
        <v>1</v>
      </c>
      <c r="GX193" s="100">
        <v>1</v>
      </c>
      <c r="GY193" s="100">
        <v>1</v>
      </c>
      <c r="GZ193" s="100">
        <v>1</v>
      </c>
      <c r="HB193" s="100">
        <v>1</v>
      </c>
      <c r="HC193" s="100">
        <v>1</v>
      </c>
      <c r="ON193" s="100">
        <f t="shared" si="64"/>
        <v>0</v>
      </c>
    </row>
    <row r="194" spans="1:404" ht="23.25" customHeight="1">
      <c r="A194" s="101" t="str">
        <f t="shared" si="83"/>
        <v>001/MOJAY-2168-73000-S4-05</v>
      </c>
      <c r="B194" s="95">
        <v>44318</v>
      </c>
      <c r="C194" s="97">
        <f t="shared" ca="1" si="84"/>
        <v>-746</v>
      </c>
      <c r="D194" s="145" t="s">
        <v>742</v>
      </c>
      <c r="E194" s="253" t="s">
        <v>565</v>
      </c>
      <c r="F194" s="98" t="str">
        <f t="shared" si="85"/>
        <v>05</v>
      </c>
      <c r="G194" s="110">
        <f ca="1">SUMIF($A:E,$A194,K:K)</f>
        <v>3</v>
      </c>
      <c r="H194" s="97" t="s">
        <v>584</v>
      </c>
      <c r="I194" s="196">
        <v>3</v>
      </c>
      <c r="J194" s="146">
        <v>3</v>
      </c>
      <c r="K194" s="143">
        <f t="shared" si="63"/>
        <v>3</v>
      </c>
      <c r="L194" s="144">
        <f t="shared" si="86"/>
        <v>0</v>
      </c>
      <c r="M194" s="275">
        <f t="shared" si="87"/>
        <v>12</v>
      </c>
      <c r="N194" s="98">
        <v>3</v>
      </c>
      <c r="O194" s="93">
        <f t="shared" si="82"/>
        <v>100</v>
      </c>
      <c r="CU194" s="101">
        <v>1</v>
      </c>
      <c r="CW194" s="101">
        <v>1</v>
      </c>
      <c r="CX194" s="101">
        <v>1</v>
      </c>
      <c r="ON194" s="100">
        <f t="shared" si="64"/>
        <v>0</v>
      </c>
    </row>
    <row r="195" spans="1:404" ht="23.25" customHeight="1">
      <c r="A195" s="101" t="str">
        <f t="shared" si="83"/>
        <v>002/MOJAY-2168-73000-S4-05</v>
      </c>
      <c r="B195" s="95">
        <v>44347</v>
      </c>
      <c r="C195" s="97">
        <f t="shared" ca="1" si="84"/>
        <v>-717</v>
      </c>
      <c r="D195" s="145" t="s">
        <v>735</v>
      </c>
      <c r="E195" s="253" t="s">
        <v>565</v>
      </c>
      <c r="F195" s="98" t="str">
        <f t="shared" si="85"/>
        <v>05</v>
      </c>
      <c r="G195" s="110">
        <f ca="1">SUMIF($A:E,$A195,K:K)</f>
        <v>3</v>
      </c>
      <c r="H195" s="97" t="s">
        <v>584</v>
      </c>
      <c r="I195" s="196">
        <v>3</v>
      </c>
      <c r="J195" s="146">
        <v>3</v>
      </c>
      <c r="K195" s="143">
        <f t="shared" ref="K195:K258" si="88">SUM(P195:BBC195)</f>
        <v>3</v>
      </c>
      <c r="L195" s="144">
        <f t="shared" si="86"/>
        <v>0</v>
      </c>
      <c r="M195" s="275">
        <f t="shared" si="87"/>
        <v>12</v>
      </c>
      <c r="N195" s="98">
        <v>3</v>
      </c>
      <c r="O195" s="93">
        <f t="shared" ref="O195:O218" si="89">K195/J195*100</f>
        <v>100</v>
      </c>
      <c r="CZ195" s="101">
        <v>1</v>
      </c>
      <c r="DA195" s="101">
        <v>1</v>
      </c>
      <c r="DB195" s="101">
        <v>1</v>
      </c>
      <c r="ON195" s="100">
        <f t="shared" si="64"/>
        <v>0</v>
      </c>
    </row>
    <row r="196" spans="1:404" ht="23.25" customHeight="1">
      <c r="A196" s="101" t="str">
        <f t="shared" si="83"/>
        <v>003/MOJAY-2168-73000-S4-05</v>
      </c>
      <c r="B196" s="95">
        <v>44347</v>
      </c>
      <c r="C196" s="97">
        <f t="shared" ca="1" si="84"/>
        <v>-717</v>
      </c>
      <c r="D196" s="145" t="s">
        <v>748</v>
      </c>
      <c r="E196" s="97" t="s">
        <v>565</v>
      </c>
      <c r="F196" s="98" t="str">
        <f t="shared" si="85"/>
        <v>05</v>
      </c>
      <c r="G196" s="110">
        <f ca="1">SUMIF($A:E,$A196,K:K)</f>
        <v>3</v>
      </c>
      <c r="H196" s="97" t="s">
        <v>584</v>
      </c>
      <c r="I196" s="196">
        <v>3</v>
      </c>
      <c r="J196" s="146">
        <v>3</v>
      </c>
      <c r="K196" s="143">
        <f t="shared" si="88"/>
        <v>3</v>
      </c>
      <c r="L196" s="144">
        <f t="shared" si="86"/>
        <v>0</v>
      </c>
      <c r="M196" s="275">
        <f t="shared" si="87"/>
        <v>12</v>
      </c>
      <c r="N196" s="98">
        <v>3</v>
      </c>
      <c r="O196" s="93">
        <f t="shared" si="89"/>
        <v>100</v>
      </c>
      <c r="EL196" s="100">
        <v>1</v>
      </c>
      <c r="EM196" s="100">
        <v>1</v>
      </c>
      <c r="EN196" s="100">
        <v>1</v>
      </c>
      <c r="ON196" s="100">
        <f t="shared" ref="ON196:ON259" si="90">SUM(NS196:OM196)</f>
        <v>0</v>
      </c>
    </row>
    <row r="197" spans="1:404" ht="23.25" customHeight="1">
      <c r="A197" s="101" t="str">
        <f t="shared" si="83"/>
        <v>010/MOJAY-2168-73000-S4-05</v>
      </c>
      <c r="B197" s="95">
        <v>44491</v>
      </c>
      <c r="C197" s="97">
        <f t="shared" ca="1" si="84"/>
        <v>-573</v>
      </c>
      <c r="D197" s="96" t="s">
        <v>1121</v>
      </c>
      <c r="E197" s="94" t="s">
        <v>565</v>
      </c>
      <c r="F197" s="98" t="str">
        <f t="shared" si="85"/>
        <v>05</v>
      </c>
      <c r="G197" s="110">
        <f ca="1">SUMIF($A:E,$A197,K:K)</f>
        <v>6</v>
      </c>
      <c r="H197" s="97" t="s">
        <v>505</v>
      </c>
      <c r="I197" s="98">
        <v>6</v>
      </c>
      <c r="J197" s="99">
        <v>6</v>
      </c>
      <c r="K197" s="143">
        <f t="shared" si="88"/>
        <v>6</v>
      </c>
      <c r="L197" s="144">
        <f t="shared" si="86"/>
        <v>0</v>
      </c>
      <c r="M197" s="275">
        <f t="shared" si="87"/>
        <v>24</v>
      </c>
      <c r="N197" s="98">
        <v>3</v>
      </c>
      <c r="O197" s="93">
        <f t="shared" si="89"/>
        <v>100</v>
      </c>
      <c r="HM197" s="100">
        <v>1</v>
      </c>
      <c r="HN197" s="100">
        <v>1</v>
      </c>
      <c r="HQ197" s="100">
        <v>1</v>
      </c>
      <c r="HR197" s="100">
        <v>1</v>
      </c>
      <c r="HS197" s="100">
        <v>1</v>
      </c>
      <c r="HT197" s="100">
        <v>1</v>
      </c>
      <c r="ON197" s="100">
        <f t="shared" si="90"/>
        <v>0</v>
      </c>
    </row>
    <row r="198" spans="1:404" ht="23.25" customHeight="1">
      <c r="A198" s="101" t="str">
        <f t="shared" si="83"/>
        <v>008/MOJAY-2168-73000-S4-05</v>
      </c>
      <c r="B198" s="95">
        <v>44432</v>
      </c>
      <c r="C198" s="97">
        <f t="shared" ca="1" si="84"/>
        <v>-632</v>
      </c>
      <c r="D198" s="96" t="s">
        <v>1122</v>
      </c>
      <c r="E198" s="94" t="s">
        <v>565</v>
      </c>
      <c r="F198" s="98" t="str">
        <f t="shared" si="85"/>
        <v>05</v>
      </c>
      <c r="G198" s="110">
        <f ca="1">SUMIF($A:E,$A198,K:K)</f>
        <v>3</v>
      </c>
      <c r="H198" s="97" t="s">
        <v>505</v>
      </c>
      <c r="I198" s="98">
        <v>3</v>
      </c>
      <c r="J198" s="97">
        <v>3</v>
      </c>
      <c r="K198" s="143">
        <f t="shared" si="88"/>
        <v>3</v>
      </c>
      <c r="L198" s="144">
        <f t="shared" si="86"/>
        <v>0</v>
      </c>
      <c r="M198" s="275">
        <f t="shared" si="87"/>
        <v>12</v>
      </c>
      <c r="N198" s="98">
        <v>3</v>
      </c>
      <c r="O198" s="93">
        <f t="shared" si="89"/>
        <v>100</v>
      </c>
      <c r="HE198" s="100">
        <v>2</v>
      </c>
      <c r="HF198" s="100">
        <v>1</v>
      </c>
      <c r="ON198" s="100">
        <f t="shared" si="90"/>
        <v>0</v>
      </c>
    </row>
    <row r="199" spans="1:404" ht="23.25" customHeight="1">
      <c r="A199" s="101" t="str">
        <f t="shared" si="83"/>
        <v>001/MOJAY-2168-73000-S4-01</v>
      </c>
      <c r="B199" s="95">
        <v>44318</v>
      </c>
      <c r="C199" s="97">
        <f t="shared" ca="1" si="84"/>
        <v>-746</v>
      </c>
      <c r="D199" s="145" t="s">
        <v>742</v>
      </c>
      <c r="E199" s="253" t="s">
        <v>359</v>
      </c>
      <c r="F199" s="98" t="str">
        <f t="shared" si="85"/>
        <v>01</v>
      </c>
      <c r="G199" s="110">
        <f ca="1">SUMIF($A:E,$A199,K:K)</f>
        <v>3</v>
      </c>
      <c r="H199" s="97" t="s">
        <v>584</v>
      </c>
      <c r="I199" s="196">
        <v>3</v>
      </c>
      <c r="J199" s="146">
        <v>3</v>
      </c>
      <c r="K199" s="143">
        <f t="shared" si="88"/>
        <v>3</v>
      </c>
      <c r="L199" s="144">
        <f t="shared" si="86"/>
        <v>0</v>
      </c>
      <c r="M199" s="275">
        <f t="shared" si="87"/>
        <v>12</v>
      </c>
      <c r="N199" s="98">
        <v>3</v>
      </c>
      <c r="O199" s="93">
        <f t="shared" si="89"/>
        <v>100</v>
      </c>
      <c r="DE199" s="101">
        <v>1</v>
      </c>
      <c r="DF199" s="101">
        <v>1</v>
      </c>
      <c r="DG199" s="101">
        <v>1</v>
      </c>
      <c r="ON199" s="100">
        <f t="shared" si="90"/>
        <v>0</v>
      </c>
    </row>
    <row r="200" spans="1:404" ht="23.25" customHeight="1">
      <c r="A200" s="101" t="str">
        <f t="shared" si="83"/>
        <v>002/MOJAY-2168-73000-S4-01</v>
      </c>
      <c r="B200" s="95">
        <v>44347</v>
      </c>
      <c r="C200" s="97">
        <f t="shared" ca="1" si="84"/>
        <v>-717</v>
      </c>
      <c r="D200" s="145" t="s">
        <v>735</v>
      </c>
      <c r="E200" s="253" t="s">
        <v>359</v>
      </c>
      <c r="F200" s="98" t="str">
        <f t="shared" si="85"/>
        <v>01</v>
      </c>
      <c r="G200" s="110">
        <f ca="1">SUMIF($A:E,$A200,K:K)</f>
        <v>3</v>
      </c>
      <c r="H200" s="97" t="s">
        <v>584</v>
      </c>
      <c r="I200" s="196">
        <v>3</v>
      </c>
      <c r="J200" s="146">
        <v>3</v>
      </c>
      <c r="K200" s="143">
        <f t="shared" si="88"/>
        <v>3</v>
      </c>
      <c r="L200" s="144">
        <f t="shared" si="86"/>
        <v>0</v>
      </c>
      <c r="M200" s="275">
        <f t="shared" si="87"/>
        <v>12</v>
      </c>
      <c r="N200" s="98">
        <v>3</v>
      </c>
      <c r="O200" s="93">
        <f t="shared" si="89"/>
        <v>100</v>
      </c>
      <c r="DK200" s="101">
        <v>1</v>
      </c>
      <c r="DL200" s="101">
        <v>1</v>
      </c>
      <c r="DM200" s="101">
        <v>1</v>
      </c>
      <c r="ON200" s="100">
        <f t="shared" si="90"/>
        <v>0</v>
      </c>
    </row>
    <row r="201" spans="1:404" ht="23.25" customHeight="1">
      <c r="A201" s="101" t="str">
        <f t="shared" si="83"/>
        <v>003/MOJAY-2168-73000-S4-01</v>
      </c>
      <c r="B201" s="95">
        <v>44347</v>
      </c>
      <c r="C201" s="97">
        <f t="shared" ca="1" si="84"/>
        <v>-717</v>
      </c>
      <c r="D201" s="145" t="s">
        <v>748</v>
      </c>
      <c r="E201" s="253" t="s">
        <v>359</v>
      </c>
      <c r="F201" s="98" t="str">
        <f t="shared" si="85"/>
        <v>01</v>
      </c>
      <c r="G201" s="110">
        <f ca="1">SUMIF($A:E,$A201,K:K)</f>
        <v>3</v>
      </c>
      <c r="H201" s="97" t="s">
        <v>584</v>
      </c>
      <c r="I201" s="196">
        <v>3</v>
      </c>
      <c r="J201" s="146">
        <v>3</v>
      </c>
      <c r="K201" s="143">
        <f t="shared" si="88"/>
        <v>3</v>
      </c>
      <c r="L201" s="144">
        <f t="shared" si="86"/>
        <v>0</v>
      </c>
      <c r="M201" s="275">
        <f t="shared" si="87"/>
        <v>12</v>
      </c>
      <c r="N201" s="98">
        <v>3</v>
      </c>
      <c r="O201" s="93">
        <f t="shared" si="89"/>
        <v>100</v>
      </c>
      <c r="EI201" s="100">
        <v>1</v>
      </c>
      <c r="EJ201" s="100">
        <v>1</v>
      </c>
      <c r="EK201" s="100">
        <v>1</v>
      </c>
      <c r="ON201" s="100">
        <f t="shared" si="90"/>
        <v>0</v>
      </c>
    </row>
    <row r="202" spans="1:404" ht="23.25" customHeight="1">
      <c r="A202" s="101" t="str">
        <f t="shared" ref="A202:A224" si="91">D202&amp;E202</f>
        <v>001/HERSTERA-2168-73000-S4-01</v>
      </c>
      <c r="B202" s="95">
        <v>44339</v>
      </c>
      <c r="C202" s="97">
        <f t="shared" ref="C202:C225" ca="1" si="92">B202-TODAY()</f>
        <v>-725</v>
      </c>
      <c r="D202" s="96" t="s">
        <v>776</v>
      </c>
      <c r="E202" s="94" t="s">
        <v>359</v>
      </c>
      <c r="F202" s="98" t="str">
        <f t="shared" si="85"/>
        <v>01</v>
      </c>
      <c r="G202" s="110">
        <f ca="1">SUMIF($A:E,$A202,K:K)</f>
        <v>15</v>
      </c>
      <c r="H202" s="97" t="s">
        <v>505</v>
      </c>
      <c r="I202" s="98">
        <v>15</v>
      </c>
      <c r="J202" s="99">
        <v>15</v>
      </c>
      <c r="K202" s="143">
        <f t="shared" si="88"/>
        <v>15</v>
      </c>
      <c r="L202" s="144">
        <f t="shared" si="86"/>
        <v>0</v>
      </c>
      <c r="M202" s="275">
        <f t="shared" si="87"/>
        <v>60</v>
      </c>
      <c r="N202" s="98">
        <v>3</v>
      </c>
      <c r="O202" s="93">
        <f t="shared" si="89"/>
        <v>100</v>
      </c>
      <c r="DO202" s="101">
        <v>2</v>
      </c>
      <c r="DP202" s="101">
        <v>1</v>
      </c>
      <c r="DR202" s="101">
        <v>1</v>
      </c>
      <c r="DS202" s="100">
        <v>1</v>
      </c>
      <c r="DT202" s="100">
        <v>1</v>
      </c>
      <c r="DU202" s="100">
        <v>1</v>
      </c>
      <c r="DV202" s="100">
        <v>1</v>
      </c>
      <c r="DW202" s="100">
        <v>1</v>
      </c>
      <c r="DZ202" s="100">
        <v>2</v>
      </c>
      <c r="EA202" s="100">
        <v>1</v>
      </c>
      <c r="EC202" s="100">
        <v>1</v>
      </c>
      <c r="EG202" s="100">
        <v>1</v>
      </c>
      <c r="EH202" s="100">
        <v>1</v>
      </c>
      <c r="JF202" s="250"/>
      <c r="JG202" s="250"/>
      <c r="ON202" s="100">
        <f t="shared" si="90"/>
        <v>0</v>
      </c>
    </row>
    <row r="203" spans="1:404" ht="23.25" customHeight="1">
      <c r="A203" s="101" t="str">
        <f t="shared" si="91"/>
        <v>010/MOJAY-2168-73000-S4-01</v>
      </c>
      <c r="B203" s="95">
        <v>44491</v>
      </c>
      <c r="C203" s="97">
        <f t="shared" ca="1" si="92"/>
        <v>-573</v>
      </c>
      <c r="D203" s="96" t="s">
        <v>1121</v>
      </c>
      <c r="E203" s="94" t="s">
        <v>359</v>
      </c>
      <c r="F203" s="98" t="str">
        <f t="shared" si="85"/>
        <v>01</v>
      </c>
      <c r="G203" s="110">
        <f ca="1">SUMIF($A:E,$A203,K:K)</f>
        <v>6</v>
      </c>
      <c r="H203" s="97" t="s">
        <v>505</v>
      </c>
      <c r="I203" s="98">
        <v>6</v>
      </c>
      <c r="J203" s="99">
        <v>6</v>
      </c>
      <c r="K203" s="143">
        <f t="shared" si="88"/>
        <v>6</v>
      </c>
      <c r="L203" s="144">
        <f t="shared" si="86"/>
        <v>0</v>
      </c>
      <c r="M203" s="275">
        <f t="shared" si="87"/>
        <v>24</v>
      </c>
      <c r="N203" s="98">
        <v>3</v>
      </c>
      <c r="O203" s="93">
        <f t="shared" si="89"/>
        <v>100</v>
      </c>
      <c r="IW203" s="100">
        <v>1</v>
      </c>
      <c r="IY203" s="100">
        <v>1</v>
      </c>
      <c r="IZ203" s="100">
        <v>1</v>
      </c>
      <c r="JB203" s="100">
        <v>3</v>
      </c>
      <c r="JF203" s="250"/>
      <c r="JG203" s="250"/>
      <c r="ON203" s="100">
        <f t="shared" si="90"/>
        <v>0</v>
      </c>
    </row>
    <row r="204" spans="1:404" ht="23.25" customHeight="1">
      <c r="A204" s="101" t="str">
        <f t="shared" si="91"/>
        <v>008/MOJAY-2168-73000-S4-01</v>
      </c>
      <c r="B204" s="95">
        <v>44432</v>
      </c>
      <c r="C204" s="97">
        <f t="shared" ca="1" si="92"/>
        <v>-632</v>
      </c>
      <c r="D204" s="96" t="s">
        <v>1122</v>
      </c>
      <c r="E204" s="94" t="s">
        <v>359</v>
      </c>
      <c r="F204" s="98" t="str">
        <f t="shared" si="85"/>
        <v>01</v>
      </c>
      <c r="G204" s="110">
        <f ca="1">SUMIF($A:E,$A204,K:K)</f>
        <v>6</v>
      </c>
      <c r="H204" s="97" t="s">
        <v>505</v>
      </c>
      <c r="I204" s="98">
        <v>6</v>
      </c>
      <c r="J204" s="97">
        <v>6</v>
      </c>
      <c r="K204" s="143">
        <f t="shared" si="88"/>
        <v>6</v>
      </c>
      <c r="L204" s="144">
        <f t="shared" si="86"/>
        <v>0</v>
      </c>
      <c r="M204" s="275">
        <f t="shared" si="87"/>
        <v>24</v>
      </c>
      <c r="N204" s="98">
        <v>3</v>
      </c>
      <c r="O204" s="93">
        <f t="shared" si="89"/>
        <v>100</v>
      </c>
      <c r="FJ204" s="100">
        <v>1</v>
      </c>
      <c r="FK204" s="100">
        <v>1</v>
      </c>
      <c r="FL204" s="100">
        <v>1</v>
      </c>
      <c r="FM204" s="100">
        <v>1</v>
      </c>
      <c r="FO204" s="100">
        <v>1</v>
      </c>
      <c r="FQ204" s="100">
        <v>1</v>
      </c>
      <c r="ON204" s="100">
        <f t="shared" si="90"/>
        <v>0</v>
      </c>
    </row>
    <row r="205" spans="1:404" ht="23.25" customHeight="1">
      <c r="A205" s="101" t="str">
        <f t="shared" si="91"/>
        <v>005/YAMATEI-21( Đợt 1)68-73000-L3-01</v>
      </c>
      <c r="B205" s="95">
        <v>44437</v>
      </c>
      <c r="C205" s="97">
        <f t="shared" ca="1" si="92"/>
        <v>-627</v>
      </c>
      <c r="D205" s="96" t="s">
        <v>1210</v>
      </c>
      <c r="E205" s="94" t="s">
        <v>575</v>
      </c>
      <c r="F205" s="98" t="str">
        <f t="shared" si="85"/>
        <v>01</v>
      </c>
      <c r="G205" s="110">
        <f ca="1">SUMIF($A:E,$A205,K:K)</f>
        <v>6</v>
      </c>
      <c r="H205" s="97" t="s">
        <v>1756</v>
      </c>
      <c r="I205" s="98">
        <v>6</v>
      </c>
      <c r="J205" s="97">
        <v>6</v>
      </c>
      <c r="K205" s="143">
        <f t="shared" si="88"/>
        <v>6</v>
      </c>
      <c r="L205" s="144">
        <f t="shared" si="86"/>
        <v>0</v>
      </c>
      <c r="M205" s="275">
        <f t="shared" si="87"/>
        <v>18</v>
      </c>
      <c r="N205" s="98">
        <v>3</v>
      </c>
      <c r="O205" s="93">
        <f t="shared" si="89"/>
        <v>100</v>
      </c>
      <c r="GP205" s="100">
        <v>1</v>
      </c>
      <c r="GQ205" s="100">
        <v>1</v>
      </c>
      <c r="GR205" s="100">
        <v>1</v>
      </c>
      <c r="GS205" s="100">
        <v>1</v>
      </c>
      <c r="GU205" s="100">
        <v>1</v>
      </c>
      <c r="GV205" s="100">
        <v>1</v>
      </c>
      <c r="ON205" s="100">
        <f t="shared" si="90"/>
        <v>0</v>
      </c>
    </row>
    <row r="206" spans="1:404" ht="23.25" customHeight="1">
      <c r="A206" s="232" t="str">
        <f t="shared" si="91"/>
        <v>001/YAMATEI-2168-73000-L2-01</v>
      </c>
      <c r="B206" s="168">
        <v>44416</v>
      </c>
      <c r="C206" s="167">
        <f t="shared" ca="1" si="92"/>
        <v>-648</v>
      </c>
      <c r="D206" s="169" t="s">
        <v>759</v>
      </c>
      <c r="E206" s="170" t="s">
        <v>763</v>
      </c>
      <c r="F206" s="171" t="str">
        <f t="shared" si="85"/>
        <v>01</v>
      </c>
      <c r="G206" s="172">
        <f ca="1">SUMIF($A:E,$A206,K:K)</f>
        <v>9</v>
      </c>
      <c r="H206" s="167" t="s">
        <v>1749</v>
      </c>
      <c r="I206" s="201">
        <v>9</v>
      </c>
      <c r="J206" s="202">
        <v>9</v>
      </c>
      <c r="K206" s="173">
        <f t="shared" si="88"/>
        <v>9</v>
      </c>
      <c r="L206" s="174">
        <f t="shared" si="86"/>
        <v>0</v>
      </c>
      <c r="M206" s="275">
        <f t="shared" si="87"/>
        <v>18</v>
      </c>
      <c r="N206" s="171">
        <v>3</v>
      </c>
      <c r="O206" s="93">
        <f t="shared" si="89"/>
        <v>100</v>
      </c>
      <c r="FV206" s="100">
        <v>1</v>
      </c>
      <c r="FX206" s="100">
        <v>1</v>
      </c>
      <c r="FZ206" s="100">
        <v>1</v>
      </c>
      <c r="GA206" s="100">
        <v>1</v>
      </c>
      <c r="GB206" s="100">
        <v>1</v>
      </c>
      <c r="GC206" s="100">
        <v>1</v>
      </c>
      <c r="GD206" s="100">
        <v>1</v>
      </c>
      <c r="GG206" s="100">
        <v>2</v>
      </c>
      <c r="ON206" s="100">
        <f t="shared" si="90"/>
        <v>0</v>
      </c>
    </row>
    <row r="207" spans="1:404" ht="23.25" customHeight="1">
      <c r="A207" s="101" t="str">
        <f t="shared" si="91"/>
        <v>001/YAMATEI-2168-73000-B3-06</v>
      </c>
      <c r="B207" s="95">
        <v>44416</v>
      </c>
      <c r="C207" s="97">
        <f t="shared" ca="1" si="92"/>
        <v>-648</v>
      </c>
      <c r="D207" s="145" t="s">
        <v>759</v>
      </c>
      <c r="E207" s="253" t="s">
        <v>1107</v>
      </c>
      <c r="F207" s="171" t="str">
        <f t="shared" si="85"/>
        <v>06</v>
      </c>
      <c r="G207" s="172">
        <f ca="1">SUMIF($A:E,$A207,K:K)</f>
        <v>6</v>
      </c>
      <c r="H207" s="167" t="s">
        <v>1752</v>
      </c>
      <c r="I207" s="196">
        <v>6</v>
      </c>
      <c r="J207" s="146">
        <v>6</v>
      </c>
      <c r="K207" s="143">
        <f t="shared" si="88"/>
        <v>6</v>
      </c>
      <c r="L207" s="144">
        <f t="shared" si="86"/>
        <v>0</v>
      </c>
      <c r="M207" s="275">
        <f t="shared" si="87"/>
        <v>18</v>
      </c>
      <c r="N207" s="98">
        <v>3</v>
      </c>
      <c r="O207" s="93">
        <f t="shared" si="89"/>
        <v>100</v>
      </c>
      <c r="FX207" s="100">
        <v>1</v>
      </c>
      <c r="FZ207" s="100">
        <v>1</v>
      </c>
      <c r="GC207" s="100">
        <v>1</v>
      </c>
      <c r="GI207" s="100">
        <v>1</v>
      </c>
      <c r="GJ207" s="100">
        <v>1</v>
      </c>
      <c r="GK207" s="100">
        <v>1</v>
      </c>
      <c r="ON207" s="100">
        <f t="shared" si="90"/>
        <v>0</v>
      </c>
    </row>
    <row r="208" spans="1:404" ht="23.25" customHeight="1">
      <c r="A208" s="101" t="str">
        <f t="shared" si="91"/>
        <v>005/YAMATEI-21( Đợt 2)68-73000-B2-06</v>
      </c>
      <c r="B208" s="95">
        <v>44496</v>
      </c>
      <c r="C208" s="97">
        <f t="shared" ca="1" si="92"/>
        <v>-568</v>
      </c>
      <c r="D208" s="96" t="s">
        <v>1211</v>
      </c>
      <c r="E208" s="94" t="s">
        <v>599</v>
      </c>
      <c r="F208" s="98" t="str">
        <f t="shared" si="85"/>
        <v>06</v>
      </c>
      <c r="G208" s="110">
        <f ca="1">SUMIF($A:E,$A208,K:K)</f>
        <v>8</v>
      </c>
      <c r="H208" s="97" t="s">
        <v>1177</v>
      </c>
      <c r="I208" s="98">
        <v>8</v>
      </c>
      <c r="J208" s="97">
        <v>8</v>
      </c>
      <c r="K208" s="143">
        <f t="shared" si="88"/>
        <v>8</v>
      </c>
      <c r="L208" s="144">
        <f t="shared" ref="L208" si="93">J208-K208</f>
        <v>0</v>
      </c>
      <c r="M208" s="275">
        <f t="shared" si="87"/>
        <v>16</v>
      </c>
      <c r="N208" s="98">
        <v>3</v>
      </c>
      <c r="O208" s="93">
        <f t="shared" si="89"/>
        <v>100</v>
      </c>
      <c r="IP208" s="100">
        <v>2</v>
      </c>
      <c r="IU208" s="100">
        <v>3</v>
      </c>
      <c r="IY208" s="100">
        <v>3</v>
      </c>
      <c r="ON208" s="100">
        <f t="shared" si="90"/>
        <v>0</v>
      </c>
    </row>
    <row r="209" spans="1:404" ht="23.25" customHeight="1">
      <c r="A209" s="101" t="str">
        <f t="shared" si="91"/>
        <v>005/YAMATEI-21( Đợt 1)68-73000-B2-01</v>
      </c>
      <c r="B209" s="95">
        <v>44437</v>
      </c>
      <c r="C209" s="97">
        <f t="shared" ca="1" si="92"/>
        <v>-627</v>
      </c>
      <c r="D209" s="96" t="s">
        <v>1210</v>
      </c>
      <c r="E209" s="94" t="s">
        <v>219</v>
      </c>
      <c r="F209" s="98" t="str">
        <f t="shared" ref="F209:F214" si="94">MID(E209,13,2)</f>
        <v>01</v>
      </c>
      <c r="G209" s="110">
        <f ca="1">SUMIF($A:E,$A209,K:K)</f>
        <v>36</v>
      </c>
      <c r="H209" s="97" t="s">
        <v>1177</v>
      </c>
      <c r="I209" s="98">
        <v>36</v>
      </c>
      <c r="J209" s="97">
        <v>36</v>
      </c>
      <c r="K209" s="143">
        <f t="shared" si="88"/>
        <v>36</v>
      </c>
      <c r="L209" s="144">
        <f t="shared" si="86"/>
        <v>0</v>
      </c>
      <c r="M209" s="275">
        <f t="shared" si="87"/>
        <v>72</v>
      </c>
      <c r="N209" s="98">
        <v>3</v>
      </c>
      <c r="O209" s="93">
        <f t="shared" si="89"/>
        <v>100</v>
      </c>
      <c r="GQ209" s="100">
        <v>1</v>
      </c>
      <c r="GR209" s="100">
        <v>1</v>
      </c>
      <c r="GS209" s="100">
        <v>1</v>
      </c>
      <c r="GU209" s="100">
        <v>1</v>
      </c>
      <c r="GV209" s="100">
        <v>1</v>
      </c>
      <c r="GW209" s="100">
        <v>1</v>
      </c>
      <c r="GX209" s="100">
        <v>1</v>
      </c>
      <c r="GY209" s="100">
        <v>1</v>
      </c>
      <c r="GZ209" s="100">
        <v>1</v>
      </c>
      <c r="HB209" s="100">
        <v>1</v>
      </c>
      <c r="HD209" s="100">
        <v>1</v>
      </c>
      <c r="HE209" s="100">
        <v>1</v>
      </c>
      <c r="HF209" s="100">
        <v>1</v>
      </c>
      <c r="HG209" s="100">
        <v>2</v>
      </c>
      <c r="HI209" s="100">
        <v>2</v>
      </c>
      <c r="HJ209" s="100">
        <v>1</v>
      </c>
      <c r="HK209" s="100">
        <v>1</v>
      </c>
      <c r="HM209" s="100">
        <v>1</v>
      </c>
      <c r="HN209" s="100">
        <v>1</v>
      </c>
      <c r="HP209" s="100">
        <v>1</v>
      </c>
      <c r="HR209" s="100">
        <v>1</v>
      </c>
      <c r="HS209" s="100">
        <v>1</v>
      </c>
      <c r="HT209" s="100">
        <v>3</v>
      </c>
      <c r="HW209" s="100">
        <v>4</v>
      </c>
      <c r="HX209" s="100">
        <v>3</v>
      </c>
      <c r="IB209" s="100">
        <v>2</v>
      </c>
      <c r="ON209" s="100">
        <f t="shared" si="90"/>
        <v>0</v>
      </c>
    </row>
    <row r="210" spans="1:404" ht="23.25" customHeight="1">
      <c r="A210" s="101" t="str">
        <f t="shared" si="91"/>
        <v>005/YAMATEI-21( Đợt 2)68-73000-B2-01</v>
      </c>
      <c r="B210" s="95">
        <v>44496</v>
      </c>
      <c r="C210" s="97">
        <f t="shared" ca="1" si="92"/>
        <v>-568</v>
      </c>
      <c r="D210" s="96" t="s">
        <v>1211</v>
      </c>
      <c r="E210" s="94" t="s">
        <v>219</v>
      </c>
      <c r="F210" s="98" t="str">
        <f t="shared" si="94"/>
        <v>01</v>
      </c>
      <c r="G210" s="110">
        <f ca="1">SUMIF($A:E,$A210,K:K)</f>
        <v>20</v>
      </c>
      <c r="H210" s="97" t="s">
        <v>1177</v>
      </c>
      <c r="I210" s="98">
        <v>20</v>
      </c>
      <c r="J210" s="97">
        <v>20</v>
      </c>
      <c r="K210" s="143">
        <f t="shared" si="88"/>
        <v>20</v>
      </c>
      <c r="L210" s="144">
        <f t="shared" si="86"/>
        <v>0</v>
      </c>
      <c r="M210" s="275">
        <f t="shared" si="87"/>
        <v>40</v>
      </c>
      <c r="N210" s="98">
        <v>3</v>
      </c>
      <c r="O210" s="93">
        <f t="shared" si="89"/>
        <v>100</v>
      </c>
      <c r="HY210" s="100">
        <v>1</v>
      </c>
      <c r="ID210" s="100">
        <v>3</v>
      </c>
      <c r="IE210" s="100">
        <v>2</v>
      </c>
      <c r="IF210" s="100">
        <v>1</v>
      </c>
      <c r="IG210" s="100">
        <v>4</v>
      </c>
      <c r="IH210" s="100">
        <v>2</v>
      </c>
      <c r="IN210" s="100">
        <v>2</v>
      </c>
      <c r="IP210" s="100">
        <v>2</v>
      </c>
      <c r="JA210" s="100">
        <v>3</v>
      </c>
      <c r="ON210" s="100">
        <f t="shared" si="90"/>
        <v>0</v>
      </c>
    </row>
    <row r="211" spans="1:404" ht="23.25" customHeight="1">
      <c r="A211" s="101" t="str">
        <f t="shared" si="91"/>
        <v>163/KHBS-2168-73000-04-01</v>
      </c>
      <c r="B211" s="95">
        <v>44313</v>
      </c>
      <c r="C211" s="97">
        <f t="shared" ca="1" si="92"/>
        <v>-751</v>
      </c>
      <c r="D211" s="96" t="s">
        <v>924</v>
      </c>
      <c r="E211" s="94" t="s">
        <v>519</v>
      </c>
      <c r="F211" s="98" t="str">
        <f t="shared" si="94"/>
        <v>01</v>
      </c>
      <c r="G211" s="110">
        <f ca="1">SUMIF($A:E,$A211,K:K)</f>
        <v>1</v>
      </c>
      <c r="H211" s="97" t="s">
        <v>505</v>
      </c>
      <c r="I211" s="98">
        <v>1</v>
      </c>
      <c r="J211" s="99">
        <v>1</v>
      </c>
      <c r="K211" s="143">
        <f t="shared" si="88"/>
        <v>1</v>
      </c>
      <c r="L211" s="144">
        <f t="shared" si="86"/>
        <v>0</v>
      </c>
      <c r="M211" s="275">
        <f t="shared" si="87"/>
        <v>1</v>
      </c>
      <c r="N211" s="98">
        <v>3</v>
      </c>
      <c r="O211" s="93">
        <f t="shared" si="89"/>
        <v>100</v>
      </c>
      <c r="DF211" s="101">
        <v>1</v>
      </c>
      <c r="ON211" s="100">
        <f t="shared" si="90"/>
        <v>0</v>
      </c>
    </row>
    <row r="212" spans="1:404" ht="23.25" customHeight="1">
      <c r="A212" s="101" t="str">
        <f t="shared" si="91"/>
        <v>001/YAMATEI-2168-73000-04-01</v>
      </c>
      <c r="B212" s="95">
        <v>44416</v>
      </c>
      <c r="C212" s="97">
        <f t="shared" ca="1" si="92"/>
        <v>-648</v>
      </c>
      <c r="D212" s="145" t="s">
        <v>759</v>
      </c>
      <c r="E212" s="97" t="s">
        <v>519</v>
      </c>
      <c r="F212" s="98" t="str">
        <f t="shared" si="94"/>
        <v>01</v>
      </c>
      <c r="G212" s="110">
        <f ca="1">SUMIF($A:E,$A212,K:K)</f>
        <v>30</v>
      </c>
      <c r="H212" s="167" t="s">
        <v>1750</v>
      </c>
      <c r="I212" s="196">
        <v>30</v>
      </c>
      <c r="J212" s="146">
        <v>30</v>
      </c>
      <c r="K212" s="143">
        <f t="shared" si="88"/>
        <v>30</v>
      </c>
      <c r="L212" s="144">
        <f t="shared" si="86"/>
        <v>0</v>
      </c>
      <c r="M212" s="275">
        <f t="shared" si="87"/>
        <v>30</v>
      </c>
      <c r="N212" s="98">
        <v>3</v>
      </c>
      <c r="O212" s="93">
        <f t="shared" si="89"/>
        <v>100</v>
      </c>
      <c r="EI212" s="100">
        <v>1</v>
      </c>
      <c r="EJ212" s="100">
        <v>1</v>
      </c>
      <c r="EK212" s="100">
        <v>1</v>
      </c>
      <c r="EL212" s="100">
        <v>1</v>
      </c>
      <c r="EN212" s="100">
        <v>2</v>
      </c>
      <c r="EP212" s="100">
        <v>2</v>
      </c>
      <c r="EQ212" s="100">
        <v>2</v>
      </c>
      <c r="ER212" s="100">
        <v>2</v>
      </c>
      <c r="ET212" s="100">
        <v>2</v>
      </c>
      <c r="EU212" s="100">
        <v>2</v>
      </c>
      <c r="EV212" s="100">
        <v>2</v>
      </c>
      <c r="EW212" s="100">
        <v>1</v>
      </c>
      <c r="EX212" s="100">
        <v>5</v>
      </c>
      <c r="FA212" s="100">
        <v>1</v>
      </c>
      <c r="FB212" s="100">
        <v>2</v>
      </c>
      <c r="FC212" s="100">
        <v>2</v>
      </c>
      <c r="FD212" s="100">
        <v>1</v>
      </c>
      <c r="ON212" s="100">
        <f t="shared" si="90"/>
        <v>0</v>
      </c>
    </row>
    <row r="213" spans="1:404" ht="23.25" customHeight="1">
      <c r="A213" s="232" t="str">
        <f t="shared" si="91"/>
        <v>001/YAMATEI-2168-73000-03-01</v>
      </c>
      <c r="B213" s="168">
        <v>44416</v>
      </c>
      <c r="C213" s="167">
        <f t="shared" ca="1" si="92"/>
        <v>-648</v>
      </c>
      <c r="D213" s="169" t="s">
        <v>759</v>
      </c>
      <c r="E213" s="170" t="s">
        <v>446</v>
      </c>
      <c r="F213" s="171" t="str">
        <f t="shared" si="94"/>
        <v>01</v>
      </c>
      <c r="G213" s="172">
        <f ca="1">SUMIF($A:E,$A213,K:K)</f>
        <v>16</v>
      </c>
      <c r="H213" s="167" t="s">
        <v>1750</v>
      </c>
      <c r="I213" s="201">
        <v>16</v>
      </c>
      <c r="J213" s="202">
        <v>16</v>
      </c>
      <c r="K213" s="173">
        <f t="shared" si="88"/>
        <v>16</v>
      </c>
      <c r="L213" s="174">
        <f t="shared" si="86"/>
        <v>0</v>
      </c>
      <c r="M213" s="275">
        <f t="shared" si="87"/>
        <v>16</v>
      </c>
      <c r="N213" s="171">
        <v>3</v>
      </c>
      <c r="O213" s="93">
        <f t="shared" si="89"/>
        <v>100</v>
      </c>
      <c r="EI213" s="100">
        <v>1</v>
      </c>
      <c r="EJ213" s="100">
        <v>1</v>
      </c>
      <c r="EK213" s="100">
        <v>1</v>
      </c>
      <c r="EL213" s="100">
        <v>1</v>
      </c>
      <c r="EN213" s="100">
        <v>1</v>
      </c>
      <c r="EP213" s="100">
        <v>1</v>
      </c>
      <c r="EQ213" s="100">
        <v>1</v>
      </c>
      <c r="ER213" s="100">
        <v>1</v>
      </c>
      <c r="ET213" s="100">
        <v>1</v>
      </c>
      <c r="EU213" s="100">
        <v>1</v>
      </c>
      <c r="EV213" s="100">
        <v>1</v>
      </c>
      <c r="EW213" s="100">
        <v>1</v>
      </c>
      <c r="EX213" s="100">
        <v>1</v>
      </c>
      <c r="FA213" s="100">
        <v>1</v>
      </c>
      <c r="FB213" s="100">
        <v>1</v>
      </c>
      <c r="FC213" s="100">
        <v>1</v>
      </c>
      <c r="ON213" s="100">
        <f t="shared" si="90"/>
        <v>0</v>
      </c>
    </row>
    <row r="214" spans="1:404" ht="23.25" customHeight="1">
      <c r="A214" s="101" t="str">
        <f t="shared" si="91"/>
        <v>101/KHBS-2168-73000-02-01</v>
      </c>
      <c r="B214" s="95">
        <v>44273</v>
      </c>
      <c r="C214" s="97">
        <f t="shared" ca="1" si="92"/>
        <v>-791</v>
      </c>
      <c r="D214" s="96" t="s">
        <v>800</v>
      </c>
      <c r="E214" s="94" t="s">
        <v>574</v>
      </c>
      <c r="F214" s="98" t="str">
        <f t="shared" si="94"/>
        <v>01</v>
      </c>
      <c r="G214" s="110">
        <f ca="1">SUMIF($A:E,$A214,K:K)</f>
        <v>1</v>
      </c>
      <c r="H214" s="97" t="s">
        <v>505</v>
      </c>
      <c r="I214" s="98">
        <v>1</v>
      </c>
      <c r="J214" s="99">
        <v>1</v>
      </c>
      <c r="K214" s="143">
        <f t="shared" si="88"/>
        <v>1</v>
      </c>
      <c r="L214" s="144">
        <f t="shared" si="86"/>
        <v>0</v>
      </c>
      <c r="M214" s="275">
        <f t="shared" si="87"/>
        <v>1</v>
      </c>
      <c r="N214" s="98">
        <v>3</v>
      </c>
      <c r="O214" s="93">
        <f t="shared" si="89"/>
        <v>100</v>
      </c>
      <c r="BS214" s="101">
        <v>1</v>
      </c>
      <c r="ON214" s="100">
        <f t="shared" si="90"/>
        <v>0</v>
      </c>
    </row>
    <row r="215" spans="1:404" ht="23.25" customHeight="1">
      <c r="A215" s="101" t="str">
        <f t="shared" si="91"/>
        <v>001/HAWTHORE-2168-73000-02-01</v>
      </c>
      <c r="B215" s="95">
        <v>44375</v>
      </c>
      <c r="C215" s="97">
        <f t="shared" ca="1" si="92"/>
        <v>-689</v>
      </c>
      <c r="D215" s="96" t="s">
        <v>737</v>
      </c>
      <c r="E215" s="123" t="s">
        <v>574</v>
      </c>
      <c r="F215" s="98">
        <v>54</v>
      </c>
      <c r="G215" s="110">
        <f ca="1">SUMIF($A:E,$A215,K:K)</f>
        <v>6</v>
      </c>
      <c r="H215" s="97" t="s">
        <v>1751</v>
      </c>
      <c r="I215" s="175">
        <v>6</v>
      </c>
      <c r="J215" s="115">
        <v>6</v>
      </c>
      <c r="K215" s="143">
        <f t="shared" si="88"/>
        <v>6</v>
      </c>
      <c r="L215" s="144">
        <f t="shared" si="86"/>
        <v>0</v>
      </c>
      <c r="M215" s="275">
        <f t="shared" si="87"/>
        <v>6</v>
      </c>
      <c r="N215" s="98">
        <v>3</v>
      </c>
      <c r="O215" s="93">
        <f t="shared" si="89"/>
        <v>100</v>
      </c>
      <c r="EI215" s="100">
        <v>1</v>
      </c>
      <c r="EJ215" s="100">
        <v>1</v>
      </c>
      <c r="EK215" s="100">
        <v>1</v>
      </c>
      <c r="EL215" s="100">
        <v>1</v>
      </c>
      <c r="EN215" s="100">
        <v>1</v>
      </c>
      <c r="EP215" s="100">
        <v>1</v>
      </c>
      <c r="ON215" s="100">
        <f t="shared" si="90"/>
        <v>0</v>
      </c>
    </row>
    <row r="216" spans="1:404" ht="23.25" customHeight="1">
      <c r="A216" s="101" t="str">
        <f t="shared" si="91"/>
        <v>005/YAMATEI-21( Đợt 2)68-73000-02-01</v>
      </c>
      <c r="B216" s="95">
        <v>44496</v>
      </c>
      <c r="C216" s="97">
        <f t="shared" ca="1" si="92"/>
        <v>-568</v>
      </c>
      <c r="D216" s="96" t="s">
        <v>1211</v>
      </c>
      <c r="E216" s="94" t="s">
        <v>574</v>
      </c>
      <c r="F216" s="98" t="str">
        <f t="shared" ref="F216:F233" si="95">MID(E216,13,2)</f>
        <v>01</v>
      </c>
      <c r="G216" s="110">
        <f ca="1">SUMIF($A:E,$A216,K:K)</f>
        <v>3</v>
      </c>
      <c r="H216" s="97" t="s">
        <v>1755</v>
      </c>
      <c r="I216" s="98">
        <v>3</v>
      </c>
      <c r="J216" s="97">
        <v>3</v>
      </c>
      <c r="K216" s="143">
        <f t="shared" si="88"/>
        <v>3</v>
      </c>
      <c r="L216" s="144">
        <f t="shared" si="86"/>
        <v>0</v>
      </c>
      <c r="M216" s="275">
        <f t="shared" si="87"/>
        <v>3</v>
      </c>
      <c r="N216" s="98">
        <v>3</v>
      </c>
      <c r="O216" s="93">
        <f t="shared" si="89"/>
        <v>100</v>
      </c>
      <c r="HG216" s="100">
        <v>1</v>
      </c>
      <c r="HI216" s="100">
        <v>2</v>
      </c>
      <c r="ON216" s="100">
        <f t="shared" si="90"/>
        <v>0</v>
      </c>
    </row>
    <row r="217" spans="1:404" ht="23.25" customHeight="1">
      <c r="A217" s="101" t="str">
        <f t="shared" si="91"/>
        <v>001/MOJAY-2168-72900-S4-05</v>
      </c>
      <c r="B217" s="95">
        <v>44318</v>
      </c>
      <c r="C217" s="97">
        <f t="shared" ca="1" si="92"/>
        <v>-746</v>
      </c>
      <c r="D217" s="145" t="s">
        <v>742</v>
      </c>
      <c r="E217" s="253" t="s">
        <v>564</v>
      </c>
      <c r="F217" s="98" t="str">
        <f t="shared" si="95"/>
        <v>05</v>
      </c>
      <c r="G217" s="110">
        <f ca="1">SUMIF($A:E,$A217,K:K)</f>
        <v>4</v>
      </c>
      <c r="H217" s="97" t="s">
        <v>512</v>
      </c>
      <c r="I217" s="196">
        <v>4</v>
      </c>
      <c r="J217" s="146">
        <v>4</v>
      </c>
      <c r="K217" s="143">
        <f t="shared" si="88"/>
        <v>4</v>
      </c>
      <c r="L217" s="144">
        <f t="shared" si="86"/>
        <v>0</v>
      </c>
      <c r="M217" s="275">
        <f t="shared" si="87"/>
        <v>16</v>
      </c>
      <c r="N217" s="98">
        <v>1</v>
      </c>
      <c r="O217" s="93">
        <f t="shared" si="89"/>
        <v>100</v>
      </c>
      <c r="CM217" s="101">
        <v>2</v>
      </c>
      <c r="CN217" s="101">
        <v>2</v>
      </c>
      <c r="ON217" s="100">
        <f t="shared" si="90"/>
        <v>0</v>
      </c>
    </row>
    <row r="218" spans="1:404" ht="23.25" customHeight="1">
      <c r="A218" s="101" t="str">
        <f t="shared" si="91"/>
        <v>002/MOJAY-2168-72900-S4-05</v>
      </c>
      <c r="B218" s="95">
        <v>44347</v>
      </c>
      <c r="C218" s="97">
        <f t="shared" ca="1" si="92"/>
        <v>-717</v>
      </c>
      <c r="D218" s="145" t="s">
        <v>735</v>
      </c>
      <c r="E218" s="253" t="s">
        <v>564</v>
      </c>
      <c r="F218" s="98" t="str">
        <f t="shared" si="95"/>
        <v>05</v>
      </c>
      <c r="G218" s="110">
        <f ca="1">SUMIF($A:E,$A218,K:K)</f>
        <v>4</v>
      </c>
      <c r="H218" s="97" t="s">
        <v>584</v>
      </c>
      <c r="I218" s="196">
        <v>4</v>
      </c>
      <c r="J218" s="146">
        <v>4</v>
      </c>
      <c r="K218" s="143">
        <f t="shared" si="88"/>
        <v>4</v>
      </c>
      <c r="L218" s="144">
        <f t="shared" si="86"/>
        <v>0</v>
      </c>
      <c r="M218" s="275">
        <f t="shared" si="87"/>
        <v>16</v>
      </c>
      <c r="N218" s="98">
        <v>1</v>
      </c>
      <c r="O218" s="93">
        <f t="shared" si="89"/>
        <v>100</v>
      </c>
      <c r="DE218" s="101">
        <v>1</v>
      </c>
      <c r="DF218" s="101">
        <v>1</v>
      </c>
      <c r="DG218" s="101">
        <v>1</v>
      </c>
      <c r="DL218" s="101">
        <v>1</v>
      </c>
      <c r="ON218" s="100">
        <f t="shared" si="90"/>
        <v>0</v>
      </c>
    </row>
    <row r="219" spans="1:404" ht="23.25" customHeight="1">
      <c r="A219" s="101" t="str">
        <f t="shared" si="91"/>
        <v>003/MOJAY-2168-72900-S4-05</v>
      </c>
      <c r="B219" s="95">
        <v>44347</v>
      </c>
      <c r="C219" s="97">
        <f t="shared" ca="1" si="92"/>
        <v>-717</v>
      </c>
      <c r="D219" s="145" t="s">
        <v>748</v>
      </c>
      <c r="E219" s="253" t="s">
        <v>564</v>
      </c>
      <c r="F219" s="98" t="str">
        <f t="shared" si="95"/>
        <v>05</v>
      </c>
      <c r="G219" s="110">
        <f ca="1">SUMIF($A:E,$A219,K:K)</f>
        <v>4</v>
      </c>
      <c r="H219" s="97" t="s">
        <v>584</v>
      </c>
      <c r="I219" s="196">
        <v>4</v>
      </c>
      <c r="J219" s="146">
        <v>4</v>
      </c>
      <c r="K219" s="143">
        <f t="shared" si="88"/>
        <v>4</v>
      </c>
      <c r="L219" s="144">
        <f t="shared" si="86"/>
        <v>0</v>
      </c>
      <c r="M219" s="275">
        <f t="shared" si="87"/>
        <v>16</v>
      </c>
      <c r="N219" s="98">
        <v>1</v>
      </c>
      <c r="O219" s="93">
        <f t="shared" ref="O219:O237" si="96">K219/J219*100</f>
        <v>100</v>
      </c>
      <c r="DS219" s="100">
        <v>1</v>
      </c>
      <c r="DU219" s="100">
        <v>2</v>
      </c>
      <c r="DW219" s="100">
        <v>1</v>
      </c>
      <c r="ON219" s="100">
        <f t="shared" si="90"/>
        <v>0</v>
      </c>
    </row>
    <row r="220" spans="1:404" ht="23.25" customHeight="1">
      <c r="A220" s="101" t="str">
        <f t="shared" si="91"/>
        <v>001/MOJAY-2168-72900-S4-01</v>
      </c>
      <c r="B220" s="95">
        <v>44318</v>
      </c>
      <c r="C220" s="97">
        <f t="shared" ca="1" si="92"/>
        <v>-746</v>
      </c>
      <c r="D220" s="145" t="s">
        <v>742</v>
      </c>
      <c r="E220" s="253" t="s">
        <v>517</v>
      </c>
      <c r="F220" s="98" t="str">
        <f t="shared" si="95"/>
        <v>01</v>
      </c>
      <c r="G220" s="110">
        <f ca="1">SUMIF($A:E,$A220,K:K)</f>
        <v>4</v>
      </c>
      <c r="H220" s="97" t="s">
        <v>512</v>
      </c>
      <c r="I220" s="196">
        <v>4</v>
      </c>
      <c r="J220" s="146">
        <v>4</v>
      </c>
      <c r="K220" s="143">
        <f t="shared" si="88"/>
        <v>4</v>
      </c>
      <c r="L220" s="144">
        <f t="shared" si="86"/>
        <v>0</v>
      </c>
      <c r="M220" s="275">
        <f t="shared" si="87"/>
        <v>16</v>
      </c>
      <c r="N220" s="98">
        <v>1</v>
      </c>
      <c r="O220" s="93">
        <f t="shared" si="96"/>
        <v>100</v>
      </c>
      <c r="CH220" s="101">
        <v>1</v>
      </c>
      <c r="CJ220" s="101">
        <v>2</v>
      </c>
      <c r="CQ220" s="101">
        <v>1</v>
      </c>
      <c r="ON220" s="100">
        <f t="shared" si="90"/>
        <v>0</v>
      </c>
    </row>
    <row r="221" spans="1:404" ht="23.25" customHeight="1">
      <c r="A221" s="101" t="str">
        <f t="shared" si="91"/>
        <v>002/MOJAY-2168-72900-S4-01</v>
      </c>
      <c r="B221" s="95">
        <v>44347</v>
      </c>
      <c r="C221" s="97">
        <f t="shared" ca="1" si="92"/>
        <v>-717</v>
      </c>
      <c r="D221" s="145" t="s">
        <v>735</v>
      </c>
      <c r="E221" s="253" t="s">
        <v>517</v>
      </c>
      <c r="F221" s="98" t="str">
        <f t="shared" si="95"/>
        <v>01</v>
      </c>
      <c r="G221" s="110">
        <f ca="1">SUMIF($A:E,$A221,K:K)</f>
        <v>4</v>
      </c>
      <c r="H221" s="97" t="s">
        <v>584</v>
      </c>
      <c r="I221" s="196">
        <v>4</v>
      </c>
      <c r="J221" s="146">
        <v>4</v>
      </c>
      <c r="K221" s="143">
        <f t="shared" si="88"/>
        <v>4</v>
      </c>
      <c r="L221" s="144">
        <f t="shared" si="86"/>
        <v>0</v>
      </c>
      <c r="M221" s="275">
        <f t="shared" si="87"/>
        <v>16</v>
      </c>
      <c r="N221" s="98">
        <v>1</v>
      </c>
      <c r="O221" s="93">
        <f t="shared" si="96"/>
        <v>100</v>
      </c>
      <c r="CZ221" s="101">
        <v>2</v>
      </c>
      <c r="DE221" s="101">
        <v>2</v>
      </c>
      <c r="ON221" s="100">
        <f t="shared" si="90"/>
        <v>0</v>
      </c>
    </row>
    <row r="222" spans="1:404" ht="23.25" customHeight="1">
      <c r="A222" s="101" t="str">
        <f t="shared" si="91"/>
        <v>003/MOJAY-2168-72900-S4-01</v>
      </c>
      <c r="B222" s="95">
        <v>44347</v>
      </c>
      <c r="C222" s="97">
        <f t="shared" ca="1" si="92"/>
        <v>-717</v>
      </c>
      <c r="D222" s="145" t="s">
        <v>748</v>
      </c>
      <c r="E222" s="253" t="s">
        <v>517</v>
      </c>
      <c r="F222" s="98" t="str">
        <f t="shared" si="95"/>
        <v>01</v>
      </c>
      <c r="G222" s="110">
        <f ca="1">SUMIF($A:E,$A222,K:K)</f>
        <v>4</v>
      </c>
      <c r="H222" s="97" t="s">
        <v>584</v>
      </c>
      <c r="I222" s="196">
        <v>4</v>
      </c>
      <c r="J222" s="146">
        <v>4</v>
      </c>
      <c r="K222" s="143">
        <f t="shared" si="88"/>
        <v>4</v>
      </c>
      <c r="L222" s="144">
        <f t="shared" si="86"/>
        <v>0</v>
      </c>
      <c r="M222" s="275">
        <f t="shared" si="87"/>
        <v>16</v>
      </c>
      <c r="N222" s="98">
        <v>1</v>
      </c>
      <c r="O222" s="93">
        <f t="shared" si="96"/>
        <v>100</v>
      </c>
      <c r="DN222" s="101">
        <v>1</v>
      </c>
      <c r="DO222" s="101">
        <v>1</v>
      </c>
      <c r="DP222" s="101">
        <v>1</v>
      </c>
      <c r="DS222" s="100">
        <v>1</v>
      </c>
      <c r="ON222" s="100">
        <f t="shared" si="90"/>
        <v>0</v>
      </c>
    </row>
    <row r="223" spans="1:404" ht="23.25" customHeight="1">
      <c r="A223" s="101" t="str">
        <f t="shared" si="91"/>
        <v>003/COMERZIA-2168-72900-B2-01</v>
      </c>
      <c r="B223" s="95">
        <v>44468</v>
      </c>
      <c r="C223" s="97">
        <f t="shared" ca="1" si="92"/>
        <v>-596</v>
      </c>
      <c r="D223" s="112" t="s">
        <v>1064</v>
      </c>
      <c r="E223" s="123" t="s">
        <v>492</v>
      </c>
      <c r="F223" s="98" t="str">
        <f t="shared" si="95"/>
        <v>01</v>
      </c>
      <c r="G223" s="110">
        <f ca="1">SUMIF($A:E,$A223,K:K)</f>
        <v>10</v>
      </c>
      <c r="H223" s="97" t="s">
        <v>616</v>
      </c>
      <c r="I223" s="175">
        <v>10</v>
      </c>
      <c r="J223" s="115">
        <v>10</v>
      </c>
      <c r="K223" s="143">
        <f t="shared" si="88"/>
        <v>10</v>
      </c>
      <c r="L223" s="144">
        <f t="shared" si="86"/>
        <v>0</v>
      </c>
      <c r="M223" s="275">
        <f t="shared" si="87"/>
        <v>20</v>
      </c>
      <c r="N223" s="98">
        <v>3</v>
      </c>
      <c r="O223" s="93">
        <f t="shared" si="96"/>
        <v>100</v>
      </c>
      <c r="IP223" s="100">
        <v>4</v>
      </c>
      <c r="IT223" s="100">
        <v>6</v>
      </c>
      <c r="ON223" s="100">
        <f t="shared" si="90"/>
        <v>0</v>
      </c>
    </row>
    <row r="224" spans="1:404" ht="23.25" customHeight="1">
      <c r="A224" s="101" t="str">
        <f t="shared" si="91"/>
        <v>004/COMERZIA-2168-72900-B2-01</v>
      </c>
      <c r="B224" s="95">
        <v>44518</v>
      </c>
      <c r="C224" s="97">
        <f t="shared" ca="1" si="92"/>
        <v>-546</v>
      </c>
      <c r="D224" s="112" t="s">
        <v>1067</v>
      </c>
      <c r="E224" s="279" t="s">
        <v>492</v>
      </c>
      <c r="F224" s="98" t="str">
        <f t="shared" si="95"/>
        <v>01</v>
      </c>
      <c r="G224" s="110">
        <f ca="1">SUMIF($A:E,$A224,K:K)</f>
        <v>10</v>
      </c>
      <c r="H224" s="97" t="s">
        <v>505</v>
      </c>
      <c r="I224" s="175">
        <v>10</v>
      </c>
      <c r="J224" s="115">
        <v>10</v>
      </c>
      <c r="K224" s="143">
        <f t="shared" si="88"/>
        <v>10</v>
      </c>
      <c r="L224" s="144">
        <f t="shared" si="86"/>
        <v>0</v>
      </c>
      <c r="M224" s="275">
        <f t="shared" si="87"/>
        <v>20</v>
      </c>
      <c r="N224" s="98" t="s">
        <v>1768</v>
      </c>
      <c r="O224" s="93">
        <f t="shared" si="96"/>
        <v>100</v>
      </c>
      <c r="JW224" s="100">
        <v>1</v>
      </c>
      <c r="JX224" s="100">
        <v>2</v>
      </c>
      <c r="KA224" s="100">
        <v>1</v>
      </c>
      <c r="KB224" s="100">
        <v>2</v>
      </c>
      <c r="KC224" s="100">
        <v>1</v>
      </c>
      <c r="KD224" s="100">
        <v>1</v>
      </c>
      <c r="KE224" s="100">
        <v>1</v>
      </c>
      <c r="KF224" s="100">
        <v>1</v>
      </c>
      <c r="ON224" s="100">
        <f t="shared" si="90"/>
        <v>0</v>
      </c>
    </row>
    <row r="225" spans="1:404" ht="23.25" customHeight="1">
      <c r="A225" s="101" t="str">
        <f>D225&amp;E226</f>
        <v>008/COMERZIA-2168-72900-04-01</v>
      </c>
      <c r="B225" s="95">
        <v>44576</v>
      </c>
      <c r="C225" s="97">
        <f t="shared" ca="1" si="92"/>
        <v>-488</v>
      </c>
      <c r="D225" s="96" t="s">
        <v>1187</v>
      </c>
      <c r="E225" s="280" t="s">
        <v>492</v>
      </c>
      <c r="F225" s="98" t="str">
        <f t="shared" si="95"/>
        <v>01</v>
      </c>
      <c r="G225" s="110">
        <f ca="1">SUMIF($A:E,$A225,K:K)</f>
        <v>6</v>
      </c>
      <c r="H225" s="97" t="s">
        <v>505</v>
      </c>
      <c r="I225" s="98">
        <v>6</v>
      </c>
      <c r="J225" s="99">
        <v>6</v>
      </c>
      <c r="K225" s="143">
        <f t="shared" si="88"/>
        <v>6</v>
      </c>
      <c r="L225" s="144">
        <f>J225-K225</f>
        <v>0</v>
      </c>
      <c r="M225" s="275">
        <f t="shared" si="87"/>
        <v>12</v>
      </c>
      <c r="N225" s="98" t="s">
        <v>1768</v>
      </c>
      <c r="O225" s="93">
        <f t="shared" si="96"/>
        <v>100</v>
      </c>
      <c r="MN225" s="100">
        <v>1</v>
      </c>
      <c r="MO225" s="100">
        <v>1</v>
      </c>
      <c r="MP225" s="100">
        <v>1</v>
      </c>
      <c r="MQ225" s="100">
        <v>1</v>
      </c>
      <c r="MR225" s="100">
        <v>1</v>
      </c>
      <c r="MS225" s="100">
        <v>1</v>
      </c>
      <c r="ON225" s="100">
        <f t="shared" si="90"/>
        <v>0</v>
      </c>
    </row>
    <row r="226" spans="1:404" ht="23.25" customHeight="1">
      <c r="A226" s="101" t="str">
        <f t="shared" ref="A226:A236" si="97">D226&amp;E226</f>
        <v>001/COCOON-2168-72900-04-01</v>
      </c>
      <c r="B226" s="95">
        <v>44324</v>
      </c>
      <c r="C226" s="97">
        <f t="shared" ref="C226:C242" ca="1" si="98">B226-TODAY()</f>
        <v>-740</v>
      </c>
      <c r="D226" s="145" t="s">
        <v>717</v>
      </c>
      <c r="E226" s="253" t="s">
        <v>720</v>
      </c>
      <c r="F226" s="98" t="str">
        <f t="shared" si="95"/>
        <v>01</v>
      </c>
      <c r="G226" s="110">
        <f ca="1">SUMIF($A:E,$A226,K:K)</f>
        <v>12</v>
      </c>
      <c r="H226" s="97" t="s">
        <v>721</v>
      </c>
      <c r="I226" s="196">
        <v>12</v>
      </c>
      <c r="J226" s="146">
        <v>12</v>
      </c>
      <c r="K226" s="143">
        <f t="shared" si="88"/>
        <v>12</v>
      </c>
      <c r="L226" s="144">
        <f t="shared" si="86"/>
        <v>0</v>
      </c>
      <c r="M226" s="275">
        <f t="shared" si="87"/>
        <v>12</v>
      </c>
      <c r="N226" s="98">
        <v>1</v>
      </c>
      <c r="O226" s="93">
        <f t="shared" si="96"/>
        <v>100</v>
      </c>
      <c r="CI226" s="101">
        <v>1</v>
      </c>
      <c r="CR226" s="101">
        <v>1</v>
      </c>
      <c r="CS226" s="101">
        <v>1</v>
      </c>
      <c r="CT226" s="101">
        <v>1</v>
      </c>
      <c r="CW226" s="101">
        <v>2</v>
      </c>
      <c r="CZ226" s="101">
        <v>4</v>
      </c>
      <c r="DB226" s="101">
        <v>1</v>
      </c>
      <c r="DD226" s="101">
        <v>1</v>
      </c>
      <c r="ON226" s="100">
        <f t="shared" si="90"/>
        <v>0</v>
      </c>
    </row>
    <row r="227" spans="1:404" ht="23.25" customHeight="1">
      <c r="A227" s="101" t="str">
        <f t="shared" si="97"/>
        <v>004/COCOON-2168-72900-04-01</v>
      </c>
      <c r="B227" s="95">
        <v>44386</v>
      </c>
      <c r="C227" s="97">
        <f t="shared" ca="1" si="98"/>
        <v>-678</v>
      </c>
      <c r="D227" s="145" t="s">
        <v>780</v>
      </c>
      <c r="E227" s="253" t="s">
        <v>720</v>
      </c>
      <c r="F227" s="98" t="str">
        <f t="shared" si="95"/>
        <v>01</v>
      </c>
      <c r="G227" s="110">
        <f ca="1">SUMIF($A:E,$A227,K:K)</f>
        <v>12</v>
      </c>
      <c r="H227" s="97" t="s">
        <v>784</v>
      </c>
      <c r="I227" s="196">
        <v>12</v>
      </c>
      <c r="J227" s="146">
        <v>12</v>
      </c>
      <c r="K227" s="143">
        <f t="shared" si="88"/>
        <v>12</v>
      </c>
      <c r="L227" s="144">
        <f t="shared" si="86"/>
        <v>0</v>
      </c>
      <c r="M227" s="275">
        <f t="shared" si="87"/>
        <v>12</v>
      </c>
      <c r="N227" s="98">
        <v>2</v>
      </c>
      <c r="O227" s="93">
        <f t="shared" si="96"/>
        <v>100</v>
      </c>
      <c r="FO227" s="100">
        <v>1</v>
      </c>
      <c r="FP227" s="100">
        <v>5</v>
      </c>
      <c r="FQ227" s="100">
        <v>2</v>
      </c>
      <c r="FR227" s="100">
        <v>2</v>
      </c>
      <c r="FT227" s="100">
        <v>2</v>
      </c>
      <c r="ON227" s="100">
        <f t="shared" si="90"/>
        <v>0</v>
      </c>
    </row>
    <row r="228" spans="1:404" ht="23.25" customHeight="1">
      <c r="A228" s="101" t="str">
        <f t="shared" si="97"/>
        <v>001/COCOON-2168-72900-03-01</v>
      </c>
      <c r="B228" s="95">
        <v>44324</v>
      </c>
      <c r="C228" s="97">
        <f t="shared" ca="1" si="98"/>
        <v>-740</v>
      </c>
      <c r="D228" s="145" t="s">
        <v>717</v>
      </c>
      <c r="E228" s="253" t="s">
        <v>719</v>
      </c>
      <c r="F228" s="98" t="str">
        <f t="shared" si="95"/>
        <v>01</v>
      </c>
      <c r="G228" s="110">
        <f ca="1">SUMIF($A:E,$A228,K:K)</f>
        <v>6</v>
      </c>
      <c r="H228" s="97" t="s">
        <v>721</v>
      </c>
      <c r="I228" s="196">
        <v>6</v>
      </c>
      <c r="J228" s="146">
        <v>6</v>
      </c>
      <c r="K228" s="143">
        <f t="shared" si="88"/>
        <v>6</v>
      </c>
      <c r="L228" s="144">
        <f t="shared" si="86"/>
        <v>0</v>
      </c>
      <c r="M228" s="275">
        <f t="shared" si="87"/>
        <v>6</v>
      </c>
      <c r="N228" s="98">
        <v>1</v>
      </c>
      <c r="O228" s="93">
        <f t="shared" si="96"/>
        <v>100</v>
      </c>
      <c r="CI228" s="101">
        <v>1</v>
      </c>
      <c r="CR228" s="101">
        <v>1</v>
      </c>
      <c r="CS228" s="101">
        <v>1</v>
      </c>
      <c r="CT228" s="101">
        <v>1</v>
      </c>
      <c r="CW228" s="101">
        <v>2</v>
      </c>
      <c r="ON228" s="100">
        <f t="shared" si="90"/>
        <v>0</v>
      </c>
    </row>
    <row r="229" spans="1:404" ht="23.25" customHeight="1">
      <c r="A229" s="101" t="str">
        <f t="shared" si="97"/>
        <v>003/ANNA-VG-21(đ1)68-72800-S4-A</v>
      </c>
      <c r="B229" s="95">
        <v>44545</v>
      </c>
      <c r="C229" s="97">
        <f t="shared" ca="1" si="98"/>
        <v>-519</v>
      </c>
      <c r="D229" s="112" t="s">
        <v>1622</v>
      </c>
      <c r="E229" s="279" t="s">
        <v>380</v>
      </c>
      <c r="F229" s="98" t="str">
        <f t="shared" si="95"/>
        <v>A</v>
      </c>
      <c r="G229" s="110">
        <f ca="1">SUMIF($A:E,$A229,K:K)</f>
        <v>8</v>
      </c>
      <c r="H229" s="112" t="s">
        <v>990</v>
      </c>
      <c r="I229" s="175">
        <v>8</v>
      </c>
      <c r="J229" s="115">
        <v>8</v>
      </c>
      <c r="K229" s="143">
        <f t="shared" si="88"/>
        <v>8</v>
      </c>
      <c r="L229" s="144">
        <f t="shared" si="86"/>
        <v>0</v>
      </c>
      <c r="M229" s="275">
        <f t="shared" si="87"/>
        <v>32</v>
      </c>
      <c r="N229" s="98" t="s">
        <v>1768</v>
      </c>
      <c r="O229" s="93">
        <f t="shared" si="96"/>
        <v>100</v>
      </c>
      <c r="KW229" s="100">
        <v>2</v>
      </c>
      <c r="KX229" s="100">
        <v>2</v>
      </c>
      <c r="KY229" s="100">
        <v>2</v>
      </c>
      <c r="LB229" s="100">
        <v>2</v>
      </c>
      <c r="ON229" s="100">
        <f t="shared" si="90"/>
        <v>0</v>
      </c>
    </row>
    <row r="230" spans="1:404" ht="23.25" customHeight="1">
      <c r="A230" s="232" t="str">
        <f t="shared" si="97"/>
        <v>005/YAMATEI-21( Đợt 1)68-72800-S4-06</v>
      </c>
      <c r="B230" s="95">
        <v>44437</v>
      </c>
      <c r="C230" s="97">
        <f t="shared" ca="1" si="98"/>
        <v>-627</v>
      </c>
      <c r="D230" s="96" t="s">
        <v>1210</v>
      </c>
      <c r="E230" s="268" t="s">
        <v>598</v>
      </c>
      <c r="F230" s="171" t="str">
        <f t="shared" si="95"/>
        <v>06</v>
      </c>
      <c r="G230" s="110">
        <f ca="1">SUMIF($A:E,$A230,K:K)</f>
        <v>2</v>
      </c>
      <c r="H230" s="97" t="s">
        <v>1754</v>
      </c>
      <c r="I230" s="171">
        <v>2</v>
      </c>
      <c r="J230" s="167">
        <v>2</v>
      </c>
      <c r="K230" s="173">
        <f t="shared" si="88"/>
        <v>2</v>
      </c>
      <c r="L230" s="174">
        <f t="shared" si="86"/>
        <v>0</v>
      </c>
      <c r="M230" s="275">
        <f t="shared" si="87"/>
        <v>8</v>
      </c>
      <c r="N230" s="171">
        <v>3</v>
      </c>
      <c r="O230" s="93">
        <f t="shared" si="96"/>
        <v>100</v>
      </c>
      <c r="HW230" s="100">
        <v>2</v>
      </c>
      <c r="ON230" s="100">
        <f t="shared" si="90"/>
        <v>0</v>
      </c>
    </row>
    <row r="231" spans="1:404" ht="23.25" customHeight="1">
      <c r="A231" s="101" t="str">
        <f t="shared" si="97"/>
        <v>001/BUNNINGS-2168-72800-S4-05</v>
      </c>
      <c r="B231" s="95">
        <v>44407</v>
      </c>
      <c r="C231" s="97">
        <f t="shared" ca="1" si="98"/>
        <v>-657</v>
      </c>
      <c r="D231" s="96" t="s">
        <v>977</v>
      </c>
      <c r="E231" s="94" t="s">
        <v>485</v>
      </c>
      <c r="F231" s="98" t="str">
        <f t="shared" si="95"/>
        <v>05</v>
      </c>
      <c r="G231" s="110">
        <f ca="1">SUMIF($A:E,$A231,K:K)</f>
        <v>76</v>
      </c>
      <c r="H231" s="97" t="s">
        <v>505</v>
      </c>
      <c r="I231" s="98">
        <v>76</v>
      </c>
      <c r="J231" s="99">
        <v>76</v>
      </c>
      <c r="K231" s="143">
        <f t="shared" si="88"/>
        <v>76</v>
      </c>
      <c r="L231" s="144">
        <f t="shared" si="86"/>
        <v>0</v>
      </c>
      <c r="M231" s="275">
        <f t="shared" si="87"/>
        <v>304</v>
      </c>
      <c r="N231" s="98">
        <v>5</v>
      </c>
      <c r="O231" s="93">
        <f t="shared" si="96"/>
        <v>100</v>
      </c>
      <c r="EO231" s="100">
        <v>2</v>
      </c>
      <c r="EP231" s="100">
        <v>2</v>
      </c>
      <c r="EQ231" s="100">
        <v>2</v>
      </c>
      <c r="ER231" s="100">
        <v>2</v>
      </c>
      <c r="ET231" s="100">
        <v>2</v>
      </c>
      <c r="EU231" s="100">
        <v>3</v>
      </c>
      <c r="EV231" s="100">
        <v>3</v>
      </c>
      <c r="EW231" s="100">
        <v>3</v>
      </c>
      <c r="EX231" s="100">
        <v>6</v>
      </c>
      <c r="FA231" s="100">
        <v>2</v>
      </c>
      <c r="FB231" s="100">
        <v>2</v>
      </c>
      <c r="FC231" s="100">
        <v>5</v>
      </c>
      <c r="FE231" s="100">
        <v>4</v>
      </c>
      <c r="FH231" s="100">
        <v>5</v>
      </c>
      <c r="FI231" s="100">
        <v>6</v>
      </c>
      <c r="FJ231" s="100">
        <v>2</v>
      </c>
      <c r="FK231" s="100">
        <v>4</v>
      </c>
      <c r="FL231" s="100">
        <v>5</v>
      </c>
      <c r="FO231" s="100">
        <v>5</v>
      </c>
      <c r="FP231" s="100">
        <v>5</v>
      </c>
      <c r="FS231" s="100">
        <v>6</v>
      </c>
      <c r="ON231" s="100">
        <f t="shared" si="90"/>
        <v>0</v>
      </c>
    </row>
    <row r="232" spans="1:404" ht="23.25" customHeight="1">
      <c r="A232" s="101" t="str">
        <f t="shared" si="97"/>
        <v>001/BUNNINGS-2168-72800-S4-01</v>
      </c>
      <c r="B232" s="95">
        <v>44407</v>
      </c>
      <c r="C232" s="97">
        <f t="shared" ca="1" si="98"/>
        <v>-657</v>
      </c>
      <c r="D232" s="96" t="s">
        <v>977</v>
      </c>
      <c r="E232" s="94" t="s">
        <v>283</v>
      </c>
      <c r="F232" s="98" t="str">
        <f t="shared" si="95"/>
        <v>01</v>
      </c>
      <c r="G232" s="110">
        <f ca="1">SUMIF($A:E,$A232,K:K)</f>
        <v>76</v>
      </c>
      <c r="H232" s="97" t="s">
        <v>505</v>
      </c>
      <c r="I232" s="98">
        <v>76</v>
      </c>
      <c r="J232" s="99">
        <v>76</v>
      </c>
      <c r="K232" s="143">
        <f t="shared" si="88"/>
        <v>76</v>
      </c>
      <c r="L232" s="144">
        <f t="shared" si="86"/>
        <v>0</v>
      </c>
      <c r="M232" s="275">
        <f t="shared" si="87"/>
        <v>304</v>
      </c>
      <c r="N232" s="98">
        <v>3</v>
      </c>
      <c r="O232" s="93">
        <f t="shared" si="96"/>
        <v>100</v>
      </c>
      <c r="DZ232" s="100">
        <v>1</v>
      </c>
      <c r="EC232" s="100">
        <v>1</v>
      </c>
      <c r="ED232" s="100">
        <v>2</v>
      </c>
      <c r="EF232" s="100">
        <v>2</v>
      </c>
      <c r="EG232" s="100">
        <v>2</v>
      </c>
      <c r="EH232" s="100">
        <v>2</v>
      </c>
      <c r="EI232" s="100">
        <v>2</v>
      </c>
      <c r="EK232" s="100">
        <v>4</v>
      </c>
      <c r="EL232" s="100">
        <v>2</v>
      </c>
      <c r="EM232" s="100">
        <v>4</v>
      </c>
      <c r="EN232" s="100">
        <v>1</v>
      </c>
      <c r="EO232" s="100">
        <v>1</v>
      </c>
      <c r="EP232" s="100">
        <v>2</v>
      </c>
      <c r="EQ232" s="100">
        <v>2</v>
      </c>
      <c r="ER232" s="100">
        <v>1</v>
      </c>
      <c r="ET232" s="100">
        <v>2</v>
      </c>
      <c r="EU232" s="100">
        <v>2</v>
      </c>
      <c r="EV232" s="100">
        <v>3</v>
      </c>
      <c r="EW232" s="100">
        <v>2</v>
      </c>
      <c r="EX232" s="100">
        <v>4</v>
      </c>
      <c r="FA232" s="100">
        <v>2</v>
      </c>
      <c r="FB232" s="100">
        <v>2</v>
      </c>
      <c r="FC232" s="100">
        <v>2</v>
      </c>
      <c r="FD232" s="100">
        <v>2</v>
      </c>
      <c r="FE232" s="100">
        <v>2</v>
      </c>
      <c r="FF232" s="100">
        <v>1</v>
      </c>
      <c r="FI232" s="100">
        <v>5</v>
      </c>
      <c r="FJ232" s="100">
        <v>2</v>
      </c>
      <c r="FK232" s="100">
        <v>2</v>
      </c>
      <c r="FL232" s="100">
        <v>2</v>
      </c>
      <c r="FM232" s="100">
        <v>2</v>
      </c>
      <c r="FO232" s="100">
        <v>2</v>
      </c>
      <c r="FP232" s="100">
        <v>2</v>
      </c>
      <c r="FQ232" s="100">
        <v>1</v>
      </c>
      <c r="FR232" s="100">
        <v>2</v>
      </c>
      <c r="FS232" s="100">
        <v>3</v>
      </c>
      <c r="ON232" s="100">
        <f t="shared" si="90"/>
        <v>0</v>
      </c>
    </row>
    <row r="233" spans="1:404" ht="23.25" customHeight="1">
      <c r="A233" s="232" t="str">
        <f t="shared" si="97"/>
        <v>005/YAMATEI-21( Đợt 1)68-72800-S4-01</v>
      </c>
      <c r="B233" s="95">
        <v>44437</v>
      </c>
      <c r="C233" s="97">
        <f t="shared" ca="1" si="98"/>
        <v>-627</v>
      </c>
      <c r="D233" s="96" t="s">
        <v>1210</v>
      </c>
      <c r="E233" s="268" t="s">
        <v>283</v>
      </c>
      <c r="F233" s="171" t="str">
        <f t="shared" si="95"/>
        <v>01</v>
      </c>
      <c r="G233" s="110">
        <f ca="1">SUMIF($A:E,$A233,K:K)</f>
        <v>2</v>
      </c>
      <c r="H233" s="97" t="s">
        <v>1754</v>
      </c>
      <c r="I233" s="171">
        <v>2</v>
      </c>
      <c r="J233" s="167">
        <v>2</v>
      </c>
      <c r="K233" s="173">
        <f t="shared" si="88"/>
        <v>2</v>
      </c>
      <c r="L233" s="174">
        <f t="shared" ref="L233:L286" si="99">J233-K233</f>
        <v>0</v>
      </c>
      <c r="M233" s="275">
        <f t="shared" si="87"/>
        <v>8</v>
      </c>
      <c r="N233" s="171">
        <v>3</v>
      </c>
      <c r="O233" s="93">
        <f t="shared" si="96"/>
        <v>100</v>
      </c>
      <c r="IB233" s="100">
        <v>2</v>
      </c>
      <c r="ON233" s="100">
        <f t="shared" si="90"/>
        <v>0</v>
      </c>
    </row>
    <row r="234" spans="1:404" ht="23.25" customHeight="1">
      <c r="A234" s="101" t="str">
        <f t="shared" si="97"/>
        <v>001/YAMATEI-2168-72800-L3-06</v>
      </c>
      <c r="B234" s="95">
        <v>44416</v>
      </c>
      <c r="C234" s="97">
        <f t="shared" ca="1" si="98"/>
        <v>-648</v>
      </c>
      <c r="D234" s="145" t="s">
        <v>759</v>
      </c>
      <c r="E234" s="253" t="s">
        <v>640</v>
      </c>
      <c r="F234" s="98" t="str">
        <f t="shared" ref="F234:F257" si="100">MID(E234,13,2)</f>
        <v>06</v>
      </c>
      <c r="G234" s="110">
        <f ca="1">SUMIF($A:E,$A234,K:K)</f>
        <v>9</v>
      </c>
      <c r="H234" s="167" t="s">
        <v>1749</v>
      </c>
      <c r="I234" s="196">
        <v>9</v>
      </c>
      <c r="J234" s="146">
        <v>9</v>
      </c>
      <c r="K234" s="143">
        <f t="shared" si="88"/>
        <v>9</v>
      </c>
      <c r="L234" s="144">
        <f t="shared" si="99"/>
        <v>0</v>
      </c>
      <c r="M234" s="275">
        <f t="shared" ref="M234:M288" si="101">IF(OR(MID(E234,10,1)="0",MID(E234,10,1)="F"),I234,IF(OR(,MID(E234,10,1)="S",MID(E234,10,1)="L",MID(E234,10,1)="B",MID(E234,10,1)="X"),MID(E234,11,1)*I234,0))</f>
        <v>27</v>
      </c>
      <c r="N234" s="98">
        <v>3</v>
      </c>
      <c r="O234" s="93">
        <f t="shared" si="96"/>
        <v>100</v>
      </c>
      <c r="GI234" s="100">
        <v>2</v>
      </c>
      <c r="GJ234" s="100">
        <v>1</v>
      </c>
      <c r="GK234" s="100">
        <v>1</v>
      </c>
      <c r="GN234" s="100">
        <v>5</v>
      </c>
      <c r="ON234" s="100">
        <f t="shared" si="90"/>
        <v>0</v>
      </c>
    </row>
    <row r="235" spans="1:404" ht="23.25" customHeight="1">
      <c r="A235" s="101" t="str">
        <f t="shared" si="97"/>
        <v>003/COMERZIA-2168-72800-L3-01</v>
      </c>
      <c r="B235" s="95">
        <v>44454</v>
      </c>
      <c r="C235" s="97">
        <f t="shared" ca="1" si="98"/>
        <v>-610</v>
      </c>
      <c r="D235" s="112" t="s">
        <v>1064</v>
      </c>
      <c r="E235" s="123" t="s">
        <v>1066</v>
      </c>
      <c r="F235" s="98" t="str">
        <f t="shared" si="100"/>
        <v>01</v>
      </c>
      <c r="G235" s="110">
        <f ca="1">SUMIF($A:E,$A235,K:K)</f>
        <v>6</v>
      </c>
      <c r="H235" s="97" t="s">
        <v>616</v>
      </c>
      <c r="I235" s="175">
        <v>6</v>
      </c>
      <c r="J235" s="115">
        <v>6</v>
      </c>
      <c r="K235" s="143">
        <f t="shared" si="88"/>
        <v>6</v>
      </c>
      <c r="L235" s="144">
        <f t="shared" si="99"/>
        <v>0</v>
      </c>
      <c r="M235" s="275">
        <f t="shared" si="101"/>
        <v>18</v>
      </c>
      <c r="N235" s="98">
        <v>3</v>
      </c>
      <c r="O235" s="93">
        <f t="shared" si="96"/>
        <v>100</v>
      </c>
      <c r="IN235" s="100">
        <v>2</v>
      </c>
      <c r="IP235" s="100">
        <v>4</v>
      </c>
      <c r="ON235" s="100">
        <f t="shared" si="90"/>
        <v>0</v>
      </c>
    </row>
    <row r="236" spans="1:404" ht="23.25" customHeight="1">
      <c r="A236" s="101" t="str">
        <f t="shared" si="97"/>
        <v>004/COMERZIA-2168-72800-L3-01</v>
      </c>
      <c r="B236" s="95">
        <v>44518</v>
      </c>
      <c r="C236" s="97">
        <f t="shared" ca="1" si="98"/>
        <v>-546</v>
      </c>
      <c r="D236" s="112" t="s">
        <v>1067</v>
      </c>
      <c r="E236" s="279" t="s">
        <v>1066</v>
      </c>
      <c r="F236" s="98" t="str">
        <f t="shared" si="100"/>
        <v>01</v>
      </c>
      <c r="G236" s="110">
        <f ca="1">SUMIF($A:E,$A236,K:K)</f>
        <v>4</v>
      </c>
      <c r="H236" s="97" t="s">
        <v>505</v>
      </c>
      <c r="I236" s="175">
        <v>4</v>
      </c>
      <c r="J236" s="115">
        <v>4</v>
      </c>
      <c r="K236" s="143">
        <f t="shared" si="88"/>
        <v>4</v>
      </c>
      <c r="L236" s="144">
        <f t="shared" si="99"/>
        <v>0</v>
      </c>
      <c r="M236" s="275">
        <f t="shared" si="101"/>
        <v>12</v>
      </c>
      <c r="N236" s="98" t="s">
        <v>1768</v>
      </c>
      <c r="O236" s="93">
        <f t="shared" si="96"/>
        <v>100</v>
      </c>
      <c r="KP236" s="100">
        <v>2</v>
      </c>
      <c r="KQ236" s="100">
        <v>2</v>
      </c>
      <c r="ON236" s="100">
        <f t="shared" si="90"/>
        <v>0</v>
      </c>
    </row>
    <row r="237" spans="1:404" ht="23.25" customHeight="1">
      <c r="A237" s="101" t="str">
        <f>D237&amp;E238</f>
        <v>008/COMERZIA-2168-72800-L2-01</v>
      </c>
      <c r="B237" s="95">
        <v>44576</v>
      </c>
      <c r="C237" s="97">
        <f t="shared" ca="1" si="98"/>
        <v>-488</v>
      </c>
      <c r="D237" s="96" t="s">
        <v>1187</v>
      </c>
      <c r="E237" s="280" t="s">
        <v>1066</v>
      </c>
      <c r="F237" s="98" t="str">
        <f t="shared" si="100"/>
        <v>01</v>
      </c>
      <c r="G237" s="110">
        <f ca="1">SUMIF($A:E,$A237,K:K)</f>
        <v>4</v>
      </c>
      <c r="H237" s="97" t="s">
        <v>505</v>
      </c>
      <c r="I237" s="98">
        <v>4</v>
      </c>
      <c r="J237" s="99">
        <v>4</v>
      </c>
      <c r="K237" s="143">
        <f t="shared" si="88"/>
        <v>4</v>
      </c>
      <c r="L237" s="144">
        <f t="shared" si="99"/>
        <v>0</v>
      </c>
      <c r="M237" s="275">
        <f t="shared" si="101"/>
        <v>12</v>
      </c>
      <c r="N237" s="98" t="s">
        <v>1768</v>
      </c>
      <c r="O237" s="93">
        <f t="shared" si="96"/>
        <v>100</v>
      </c>
      <c r="LZ237" s="100">
        <v>4</v>
      </c>
      <c r="ON237" s="100">
        <f t="shared" si="90"/>
        <v>0</v>
      </c>
    </row>
    <row r="238" spans="1:404" ht="23.25" customHeight="1">
      <c r="A238" s="101" t="str">
        <f t="shared" ref="A238:A258" si="102">D238&amp;E238</f>
        <v>001/YAMATEI-2168-72800-L2-01</v>
      </c>
      <c r="B238" s="95">
        <v>44416</v>
      </c>
      <c r="C238" s="97">
        <f t="shared" ca="1" si="98"/>
        <v>-648</v>
      </c>
      <c r="D238" s="145" t="s">
        <v>759</v>
      </c>
      <c r="E238" s="253" t="s">
        <v>762</v>
      </c>
      <c r="F238" s="98" t="str">
        <f t="shared" si="100"/>
        <v>01</v>
      </c>
      <c r="G238" s="110">
        <f ca="1">SUMIF($A:E,$A238,K:K)</f>
        <v>9</v>
      </c>
      <c r="H238" s="97" t="s">
        <v>1749</v>
      </c>
      <c r="I238" s="196">
        <v>9</v>
      </c>
      <c r="J238" s="146">
        <v>9</v>
      </c>
      <c r="K238" s="143">
        <f t="shared" si="88"/>
        <v>9</v>
      </c>
      <c r="L238" s="144">
        <f t="shared" si="99"/>
        <v>0</v>
      </c>
      <c r="M238" s="275">
        <f t="shared" si="101"/>
        <v>18</v>
      </c>
      <c r="N238" s="98">
        <v>3</v>
      </c>
      <c r="O238" s="93">
        <v>3</v>
      </c>
      <c r="FV238" s="100">
        <v>1</v>
      </c>
      <c r="FW238" s="100">
        <v>3</v>
      </c>
      <c r="FX238" s="100">
        <v>2</v>
      </c>
      <c r="FZ238" s="100">
        <v>3</v>
      </c>
      <c r="ON238" s="100">
        <f t="shared" si="90"/>
        <v>0</v>
      </c>
    </row>
    <row r="239" spans="1:404" ht="23.25" customHeight="1">
      <c r="A239" s="101" t="str">
        <f t="shared" si="102"/>
        <v xml:space="preserve">	001/AL-FARES-VG-2168-72800-B3-A</v>
      </c>
      <c r="B239" s="95">
        <v>44686</v>
      </c>
      <c r="C239" s="97">
        <f t="shared" ca="1" si="98"/>
        <v>-378</v>
      </c>
      <c r="D239" s="112" t="s">
        <v>1814</v>
      </c>
      <c r="E239" s="279" t="s">
        <v>442</v>
      </c>
      <c r="F239" s="98" t="str">
        <f t="shared" si="100"/>
        <v>A</v>
      </c>
      <c r="G239" s="110">
        <f ca="1">SUMIF($A:E,$A239,K:K)</f>
        <v>0</v>
      </c>
      <c r="H239" s="112" t="s">
        <v>1561</v>
      </c>
      <c r="I239" s="175">
        <v>18</v>
      </c>
      <c r="J239" s="115">
        <v>18</v>
      </c>
      <c r="K239" s="143">
        <f t="shared" si="88"/>
        <v>0</v>
      </c>
      <c r="L239" s="144">
        <f t="shared" si="99"/>
        <v>18</v>
      </c>
      <c r="M239" s="275">
        <f t="shared" si="101"/>
        <v>54</v>
      </c>
      <c r="N239" s="98"/>
      <c r="O239" s="93">
        <f>K239/J239*100</f>
        <v>0</v>
      </c>
      <c r="ON239" s="100">
        <f t="shared" si="90"/>
        <v>0</v>
      </c>
    </row>
    <row r="240" spans="1:404" ht="23.25" customHeight="1">
      <c r="A240" s="101" t="str">
        <f t="shared" si="102"/>
        <v>003/ANNA-VG-21(đ1)68-72800-B2-A</v>
      </c>
      <c r="B240" s="95">
        <v>44545</v>
      </c>
      <c r="C240" s="97">
        <f t="shared" ca="1" si="98"/>
        <v>-519</v>
      </c>
      <c r="D240" s="112" t="s">
        <v>1622</v>
      </c>
      <c r="E240" s="279" t="s">
        <v>443</v>
      </c>
      <c r="F240" s="98" t="str">
        <f t="shared" si="100"/>
        <v>A</v>
      </c>
      <c r="G240" s="110">
        <f ca="1">SUMIF($A:E,$A240,K:K)</f>
        <v>32</v>
      </c>
      <c r="H240" s="112" t="s">
        <v>990</v>
      </c>
      <c r="I240" s="175">
        <v>32</v>
      </c>
      <c r="J240" s="115">
        <v>32</v>
      </c>
      <c r="K240" s="143">
        <f t="shared" si="88"/>
        <v>32</v>
      </c>
      <c r="L240" s="144">
        <f t="shared" si="99"/>
        <v>0</v>
      </c>
      <c r="M240" s="275">
        <f t="shared" si="101"/>
        <v>64</v>
      </c>
      <c r="N240" s="98" t="s">
        <v>1768</v>
      </c>
      <c r="O240" s="93">
        <f t="shared" ref="O240:O258" si="103">K240/J240*100</f>
        <v>100</v>
      </c>
      <c r="LB240" s="100">
        <v>2</v>
      </c>
      <c r="LC240" s="100">
        <v>1</v>
      </c>
      <c r="LD240" s="100">
        <v>2</v>
      </c>
      <c r="LE240" s="100">
        <v>3</v>
      </c>
      <c r="LF240" s="100">
        <v>2</v>
      </c>
      <c r="LG240" s="100">
        <v>2</v>
      </c>
      <c r="LI240" s="100">
        <v>2</v>
      </c>
      <c r="LJ240" s="100">
        <v>2</v>
      </c>
      <c r="LK240" s="100">
        <v>2</v>
      </c>
      <c r="LL240" s="100">
        <v>4</v>
      </c>
      <c r="LM240" s="100">
        <v>4</v>
      </c>
      <c r="LQ240" s="100">
        <v>2</v>
      </c>
      <c r="LR240" s="100">
        <v>4</v>
      </c>
      <c r="ON240" s="100">
        <f t="shared" si="90"/>
        <v>0</v>
      </c>
    </row>
    <row r="241" spans="1:404" ht="23.25" customHeight="1">
      <c r="A241" s="101" t="str">
        <f t="shared" si="102"/>
        <v>005/YAMATEI-21( Đợt 2)68-72800-B2-06</v>
      </c>
      <c r="B241" s="95">
        <v>44496</v>
      </c>
      <c r="C241" s="97">
        <f t="shared" ca="1" si="98"/>
        <v>-568</v>
      </c>
      <c r="D241" s="96" t="s">
        <v>1211</v>
      </c>
      <c r="E241" s="94" t="s">
        <v>597</v>
      </c>
      <c r="F241" s="98" t="str">
        <f t="shared" si="100"/>
        <v>06</v>
      </c>
      <c r="G241" s="110">
        <f ca="1">SUMIF($A:E,$A241,K:K)</f>
        <v>16</v>
      </c>
      <c r="H241" s="97" t="s">
        <v>1177</v>
      </c>
      <c r="I241" s="98">
        <v>16</v>
      </c>
      <c r="J241" s="97">
        <v>16</v>
      </c>
      <c r="K241" s="143">
        <f t="shared" si="88"/>
        <v>16</v>
      </c>
      <c r="L241" s="144">
        <f t="shared" si="99"/>
        <v>0</v>
      </c>
      <c r="M241" s="275">
        <f t="shared" si="101"/>
        <v>32</v>
      </c>
      <c r="N241" s="98">
        <v>3</v>
      </c>
      <c r="O241" s="93">
        <f t="shared" si="103"/>
        <v>100</v>
      </c>
      <c r="IL241" s="100">
        <v>6</v>
      </c>
      <c r="IN241" s="100">
        <v>2</v>
      </c>
      <c r="IP241" s="100">
        <v>2</v>
      </c>
      <c r="IT241" s="100">
        <v>2</v>
      </c>
      <c r="IU241" s="100">
        <v>2</v>
      </c>
      <c r="JB241" s="100">
        <v>2</v>
      </c>
      <c r="ON241" s="100">
        <f t="shared" si="90"/>
        <v>0</v>
      </c>
    </row>
    <row r="242" spans="1:404" ht="23.25" customHeight="1">
      <c r="A242" s="101" t="str">
        <f t="shared" si="102"/>
        <v>001/YAMATEI-2168-72800-B2-01</v>
      </c>
      <c r="B242" s="95">
        <v>44416</v>
      </c>
      <c r="C242" s="97">
        <f t="shared" ca="1" si="98"/>
        <v>-648</v>
      </c>
      <c r="D242" s="145" t="s">
        <v>759</v>
      </c>
      <c r="E242" s="253" t="s">
        <v>447</v>
      </c>
      <c r="F242" s="98" t="str">
        <f t="shared" si="100"/>
        <v>01</v>
      </c>
      <c r="G242" s="110">
        <f ca="1">SUMIF($A:E,$A242,K:K)</f>
        <v>24</v>
      </c>
      <c r="H242" s="97" t="s">
        <v>505</v>
      </c>
      <c r="I242" s="196">
        <v>24</v>
      </c>
      <c r="J242" s="146">
        <v>24</v>
      </c>
      <c r="K242" s="143">
        <f t="shared" si="88"/>
        <v>24</v>
      </c>
      <c r="L242" s="144">
        <f t="shared" si="99"/>
        <v>0</v>
      </c>
      <c r="M242" s="275">
        <f t="shared" si="101"/>
        <v>48</v>
      </c>
      <c r="N242" s="98">
        <v>3</v>
      </c>
      <c r="O242" s="93">
        <f t="shared" si="103"/>
        <v>100</v>
      </c>
      <c r="FU242" s="100">
        <v>4</v>
      </c>
      <c r="FV242" s="100">
        <v>4</v>
      </c>
      <c r="FW242" s="100">
        <v>4</v>
      </c>
      <c r="FX242" s="100">
        <v>2</v>
      </c>
      <c r="FZ242" s="100">
        <v>4</v>
      </c>
      <c r="GA242" s="100">
        <v>2</v>
      </c>
      <c r="GB242" s="100">
        <v>4</v>
      </c>
      <c r="ON242" s="100">
        <f t="shared" si="90"/>
        <v>0</v>
      </c>
    </row>
    <row r="243" spans="1:404" ht="23.25" customHeight="1">
      <c r="A243" s="101" t="str">
        <f t="shared" si="102"/>
        <v>005/YAMATEI-21( Đợt 2)68-72800-B2-01</v>
      </c>
      <c r="B243" s="95">
        <v>44496</v>
      </c>
      <c r="C243" s="97">
        <f t="shared" ref="C243:C258" ca="1" si="104">B243-TODAY()</f>
        <v>-568</v>
      </c>
      <c r="D243" s="96" t="s">
        <v>1211</v>
      </c>
      <c r="E243" s="94" t="s">
        <v>447</v>
      </c>
      <c r="F243" s="98" t="str">
        <f t="shared" si="100"/>
        <v>01</v>
      </c>
      <c r="G243" s="110">
        <f ca="1">SUMIF($A:E,$A243,K:K)</f>
        <v>16</v>
      </c>
      <c r="H243" s="97" t="s">
        <v>1177</v>
      </c>
      <c r="I243" s="98">
        <v>16</v>
      </c>
      <c r="J243" s="97">
        <v>16</v>
      </c>
      <c r="K243" s="143">
        <f t="shared" si="88"/>
        <v>16</v>
      </c>
      <c r="L243" s="144">
        <f t="shared" si="99"/>
        <v>0</v>
      </c>
      <c r="M243" s="275">
        <f t="shared" si="101"/>
        <v>32</v>
      </c>
      <c r="N243" s="98">
        <v>3</v>
      </c>
      <c r="O243" s="93">
        <f t="shared" si="103"/>
        <v>100</v>
      </c>
      <c r="IF243" s="100">
        <v>1</v>
      </c>
      <c r="IH243" s="100">
        <v>7</v>
      </c>
      <c r="IK243" s="100">
        <v>2</v>
      </c>
      <c r="IL243" s="100">
        <v>6</v>
      </c>
      <c r="ON243" s="100">
        <f t="shared" si="90"/>
        <v>0</v>
      </c>
    </row>
    <row r="244" spans="1:404" ht="23.25" customHeight="1">
      <c r="A244" s="101" t="str">
        <f t="shared" si="102"/>
        <v>007/YAMATEI-2168-72800-B2-01</v>
      </c>
      <c r="B244" s="95">
        <v>44641</v>
      </c>
      <c r="C244" s="97">
        <f t="shared" ca="1" si="104"/>
        <v>-423</v>
      </c>
      <c r="D244" s="112" t="s">
        <v>1569</v>
      </c>
      <c r="E244" s="279" t="s">
        <v>447</v>
      </c>
      <c r="F244" s="98" t="str">
        <f t="shared" si="100"/>
        <v>01</v>
      </c>
      <c r="G244" s="110">
        <f ca="1">SUMIF($A:E,$A244,K:K)</f>
        <v>0</v>
      </c>
      <c r="H244" s="97" t="s">
        <v>1757</v>
      </c>
      <c r="I244" s="175">
        <v>16</v>
      </c>
      <c r="J244" s="115">
        <v>16</v>
      </c>
      <c r="K244" s="143">
        <f t="shared" si="88"/>
        <v>0</v>
      </c>
      <c r="L244" s="144">
        <f t="shared" si="99"/>
        <v>16</v>
      </c>
      <c r="M244" s="275">
        <f t="shared" si="101"/>
        <v>32</v>
      </c>
      <c r="N244" s="98"/>
      <c r="O244" s="93">
        <f>K244/J244*100</f>
        <v>0</v>
      </c>
      <c r="ON244" s="100">
        <f t="shared" si="90"/>
        <v>0</v>
      </c>
    </row>
    <row r="245" spans="1:404" ht="23.25" customHeight="1">
      <c r="A245" s="101" t="str">
        <f t="shared" si="102"/>
        <v>003/ANNA-VG-21(đ1)68-72800-B2-01</v>
      </c>
      <c r="B245" s="95">
        <v>44545</v>
      </c>
      <c r="C245" s="97">
        <f t="shared" ca="1" si="104"/>
        <v>-519</v>
      </c>
      <c r="D245" s="112" t="s">
        <v>1622</v>
      </c>
      <c r="E245" s="279" t="s">
        <v>447</v>
      </c>
      <c r="F245" s="98" t="str">
        <f t="shared" si="100"/>
        <v>01</v>
      </c>
      <c r="G245" s="110">
        <f ca="1">SUMIF($A:E,$A245,K:K)</f>
        <v>16</v>
      </c>
      <c r="H245" s="112" t="s">
        <v>990</v>
      </c>
      <c r="I245" s="175">
        <v>16</v>
      </c>
      <c r="J245" s="115">
        <v>16</v>
      </c>
      <c r="K245" s="143">
        <f t="shared" si="88"/>
        <v>16</v>
      </c>
      <c r="L245" s="144">
        <f t="shared" si="99"/>
        <v>0</v>
      </c>
      <c r="M245" s="275">
        <f t="shared" si="101"/>
        <v>32</v>
      </c>
      <c r="N245" s="98" t="s">
        <v>1768</v>
      </c>
      <c r="O245" s="93">
        <f t="shared" si="103"/>
        <v>100</v>
      </c>
      <c r="LR245" s="100">
        <v>8</v>
      </c>
      <c r="LS245" s="100">
        <v>4</v>
      </c>
      <c r="LT245" s="100">
        <v>4</v>
      </c>
      <c r="ON245" s="100">
        <f t="shared" si="90"/>
        <v>0</v>
      </c>
    </row>
    <row r="246" spans="1:404" ht="23.25" customHeight="1">
      <c r="A246" s="101" t="str">
        <f t="shared" si="102"/>
        <v>051/POTTERYPOT-2168-72800-04-A</v>
      </c>
      <c r="B246" s="95" t="s">
        <v>838</v>
      </c>
      <c r="C246" s="97">
        <f t="shared" ca="1" si="104"/>
        <v>-660</v>
      </c>
      <c r="D246" s="145" t="s">
        <v>837</v>
      </c>
      <c r="E246" s="253" t="s">
        <v>231</v>
      </c>
      <c r="F246" s="98" t="str">
        <f t="shared" si="100"/>
        <v>A</v>
      </c>
      <c r="G246" s="110">
        <f ca="1">SUMIF($A:E,$A246,K:K)</f>
        <v>68</v>
      </c>
      <c r="H246" s="97" t="s">
        <v>840</v>
      </c>
      <c r="I246" s="196">
        <v>68</v>
      </c>
      <c r="J246" s="146">
        <v>68</v>
      </c>
      <c r="K246" s="143">
        <f t="shared" si="88"/>
        <v>68</v>
      </c>
      <c r="L246" s="144">
        <f t="shared" si="99"/>
        <v>0</v>
      </c>
      <c r="M246" s="275">
        <f t="shared" si="101"/>
        <v>68</v>
      </c>
      <c r="N246" s="98">
        <v>5</v>
      </c>
      <c r="O246" s="93">
        <f t="shared" si="103"/>
        <v>100</v>
      </c>
      <c r="DW246" s="100">
        <v>2</v>
      </c>
      <c r="DY246" s="100">
        <v>6</v>
      </c>
      <c r="DZ246" s="100">
        <v>3</v>
      </c>
      <c r="EA246" s="100">
        <v>3</v>
      </c>
      <c r="EC246" s="100">
        <v>3</v>
      </c>
      <c r="ED246" s="100">
        <v>3</v>
      </c>
      <c r="EF246" s="100">
        <v>3</v>
      </c>
      <c r="EG246" s="100">
        <v>2</v>
      </c>
      <c r="EH246" s="100">
        <v>6</v>
      </c>
      <c r="EI246" s="100">
        <v>8</v>
      </c>
      <c r="EJ246" s="100">
        <v>10</v>
      </c>
      <c r="EK246" s="100">
        <v>10</v>
      </c>
      <c r="EL246" s="100">
        <v>7</v>
      </c>
      <c r="EM246" s="100">
        <v>2</v>
      </c>
      <c r="ON246" s="100">
        <f t="shared" si="90"/>
        <v>0</v>
      </c>
    </row>
    <row r="247" spans="1:404" ht="23.25" customHeight="1">
      <c r="A247" s="101" t="str">
        <f t="shared" si="102"/>
        <v>004/POTTERYPOT-2168-72800-04-A</v>
      </c>
      <c r="B247" s="95">
        <v>44391</v>
      </c>
      <c r="C247" s="97">
        <f t="shared" ca="1" si="104"/>
        <v>-673</v>
      </c>
      <c r="D247" s="96" t="s">
        <v>775</v>
      </c>
      <c r="E247" s="94" t="s">
        <v>231</v>
      </c>
      <c r="F247" s="98" t="str">
        <f t="shared" si="100"/>
        <v>A</v>
      </c>
      <c r="G247" s="110">
        <f ca="1">SUMIF($A:E,$A247,K:K)</f>
        <v>46</v>
      </c>
      <c r="H247" s="97" t="s">
        <v>601</v>
      </c>
      <c r="I247" s="98">
        <v>46</v>
      </c>
      <c r="J247" s="97">
        <v>46</v>
      </c>
      <c r="K247" s="143">
        <f t="shared" si="88"/>
        <v>46</v>
      </c>
      <c r="L247" s="144">
        <f t="shared" si="99"/>
        <v>0</v>
      </c>
      <c r="M247" s="275">
        <f t="shared" si="101"/>
        <v>46</v>
      </c>
      <c r="N247" s="98">
        <v>3</v>
      </c>
      <c r="O247" s="93">
        <f t="shared" si="103"/>
        <v>100</v>
      </c>
      <c r="CX247" s="101">
        <v>2</v>
      </c>
      <c r="CZ247" s="101">
        <v>6</v>
      </c>
      <c r="DA247" s="101">
        <v>2</v>
      </c>
      <c r="DB247" s="101">
        <v>2</v>
      </c>
      <c r="DD247" s="101">
        <v>2</v>
      </c>
      <c r="DE247" s="101">
        <v>2</v>
      </c>
      <c r="DF247" s="101">
        <v>2</v>
      </c>
      <c r="DG247" s="101">
        <v>4</v>
      </c>
      <c r="DK247" s="101">
        <v>3</v>
      </c>
      <c r="DL247" s="101">
        <v>2</v>
      </c>
      <c r="DM247" s="101">
        <v>4</v>
      </c>
      <c r="DN247" s="101">
        <v>4</v>
      </c>
      <c r="DO247" s="101">
        <v>4</v>
      </c>
      <c r="DP247" s="101">
        <v>4</v>
      </c>
      <c r="DR247" s="101">
        <v>3</v>
      </c>
      <c r="ON247" s="100">
        <f t="shared" si="90"/>
        <v>0</v>
      </c>
    </row>
    <row r="248" spans="1:404" ht="23.25" customHeight="1">
      <c r="A248" s="101" t="str">
        <f t="shared" si="102"/>
        <v>143/KHBS-2168-72800-04-A</v>
      </c>
      <c r="B248" s="95">
        <v>44294</v>
      </c>
      <c r="C248" s="97">
        <f t="shared" ca="1" si="104"/>
        <v>-770</v>
      </c>
      <c r="D248" s="96" t="s">
        <v>825</v>
      </c>
      <c r="E248" s="94" t="s">
        <v>231</v>
      </c>
      <c r="F248" s="98" t="str">
        <f t="shared" si="100"/>
        <v>A</v>
      </c>
      <c r="G248" s="110">
        <f ca="1">SUMIF($A:E,$A248,K:K)</f>
        <v>6</v>
      </c>
      <c r="H248" s="97" t="s">
        <v>512</v>
      </c>
      <c r="I248" s="98">
        <v>6</v>
      </c>
      <c r="J248" s="99">
        <v>6</v>
      </c>
      <c r="K248" s="143">
        <f t="shared" si="88"/>
        <v>6</v>
      </c>
      <c r="L248" s="144">
        <f t="shared" si="99"/>
        <v>0</v>
      </c>
      <c r="M248" s="275">
        <f t="shared" si="101"/>
        <v>6</v>
      </c>
      <c r="N248" s="98">
        <v>2</v>
      </c>
      <c r="O248" s="93">
        <f t="shared" si="103"/>
        <v>100</v>
      </c>
      <c r="CK248" s="101">
        <v>2</v>
      </c>
      <c r="CL248" s="101">
        <v>4</v>
      </c>
      <c r="ON248" s="100">
        <f t="shared" si="90"/>
        <v>0</v>
      </c>
    </row>
    <row r="249" spans="1:404" ht="23.25" customHeight="1">
      <c r="A249" s="101" t="str">
        <f t="shared" si="102"/>
        <v>086/POTTERYPOT-2168-72800-04-A</v>
      </c>
      <c r="B249" s="95">
        <v>44434</v>
      </c>
      <c r="C249" s="97">
        <f t="shared" ca="1" si="104"/>
        <v>-630</v>
      </c>
      <c r="D249" s="96" t="s">
        <v>884</v>
      </c>
      <c r="E249" s="94" t="s">
        <v>231</v>
      </c>
      <c r="F249" s="98" t="str">
        <f t="shared" si="100"/>
        <v>A</v>
      </c>
      <c r="G249" s="110">
        <f ca="1">SUMIF($A:E,$A249,K:K)</f>
        <v>34</v>
      </c>
      <c r="H249" s="97" t="s">
        <v>601</v>
      </c>
      <c r="I249" s="98">
        <v>34</v>
      </c>
      <c r="J249" s="97">
        <v>34</v>
      </c>
      <c r="K249" s="143">
        <f t="shared" si="88"/>
        <v>34</v>
      </c>
      <c r="L249" s="144">
        <f t="shared" si="99"/>
        <v>0</v>
      </c>
      <c r="M249" s="275">
        <f t="shared" si="101"/>
        <v>34</v>
      </c>
      <c r="N249" s="98">
        <v>3</v>
      </c>
      <c r="O249" s="93">
        <f t="shared" si="103"/>
        <v>100</v>
      </c>
      <c r="GS249" s="100">
        <v>2</v>
      </c>
      <c r="GU249" s="100">
        <v>8</v>
      </c>
      <c r="GV249" s="100">
        <v>6</v>
      </c>
      <c r="GW249" s="100">
        <v>2</v>
      </c>
      <c r="GX249" s="100">
        <v>7</v>
      </c>
      <c r="GY249" s="100">
        <v>7</v>
      </c>
      <c r="HI249" s="100">
        <v>2</v>
      </c>
      <c r="ON249" s="100">
        <f t="shared" si="90"/>
        <v>0</v>
      </c>
    </row>
    <row r="250" spans="1:404" ht="23.25" customHeight="1">
      <c r="A250" s="101" t="str">
        <f t="shared" si="102"/>
        <v>036/POTTERYPOT-2168-72800-04-A</v>
      </c>
      <c r="B250" s="95">
        <v>44413</v>
      </c>
      <c r="C250" s="97">
        <f t="shared" ca="1" si="104"/>
        <v>-651</v>
      </c>
      <c r="D250" s="96" t="s">
        <v>814</v>
      </c>
      <c r="E250" s="94" t="s">
        <v>231</v>
      </c>
      <c r="F250" s="98" t="str">
        <f t="shared" si="100"/>
        <v>A</v>
      </c>
      <c r="G250" s="110">
        <f ca="1">SUMIF($A:E,$A250,K:K)</f>
        <v>12</v>
      </c>
      <c r="H250" s="97" t="s">
        <v>601</v>
      </c>
      <c r="I250" s="98">
        <v>12</v>
      </c>
      <c r="J250" s="99">
        <v>12</v>
      </c>
      <c r="K250" s="143">
        <f t="shared" si="88"/>
        <v>12</v>
      </c>
      <c r="L250" s="144">
        <f t="shared" si="99"/>
        <v>0</v>
      </c>
      <c r="M250" s="275">
        <f t="shared" si="101"/>
        <v>12</v>
      </c>
      <c r="N250" s="98">
        <v>3</v>
      </c>
      <c r="O250" s="93">
        <f t="shared" si="103"/>
        <v>100</v>
      </c>
      <c r="GP250" s="100">
        <v>4</v>
      </c>
      <c r="GQ250" s="100">
        <v>4</v>
      </c>
      <c r="GR250" s="100">
        <v>2</v>
      </c>
      <c r="GS250" s="100">
        <v>2</v>
      </c>
      <c r="ON250" s="100">
        <f t="shared" si="90"/>
        <v>0</v>
      </c>
    </row>
    <row r="251" spans="1:404" ht="0.75" customHeight="1">
      <c r="A251" s="101" t="str">
        <f t="shared" si="102"/>
        <v>123/POTTERYPOT-2168-72800-04-A</v>
      </c>
      <c r="B251" s="95">
        <v>44436</v>
      </c>
      <c r="C251" s="97">
        <f t="shared" ca="1" si="104"/>
        <v>-628</v>
      </c>
      <c r="D251" s="96" t="s">
        <v>926</v>
      </c>
      <c r="E251" s="94" t="s">
        <v>231</v>
      </c>
      <c r="F251" s="98" t="str">
        <f t="shared" si="100"/>
        <v>A</v>
      </c>
      <c r="G251" s="110">
        <f ca="1">SUMIF($A:E,$A251,K:K)</f>
        <v>18</v>
      </c>
      <c r="H251" s="97" t="s">
        <v>927</v>
      </c>
      <c r="I251" s="98">
        <v>18</v>
      </c>
      <c r="J251" s="97">
        <v>18</v>
      </c>
      <c r="K251" s="143">
        <f t="shared" si="88"/>
        <v>18</v>
      </c>
      <c r="L251" s="144">
        <f t="shared" si="99"/>
        <v>0</v>
      </c>
      <c r="M251" s="275">
        <f t="shared" si="101"/>
        <v>18</v>
      </c>
      <c r="N251" s="98">
        <v>3</v>
      </c>
      <c r="O251" s="93">
        <f t="shared" si="103"/>
        <v>100</v>
      </c>
      <c r="GZ251" s="100">
        <v>6</v>
      </c>
      <c r="HB251" s="100">
        <v>8</v>
      </c>
      <c r="HC251" s="100">
        <v>4</v>
      </c>
      <c r="ON251" s="100">
        <f t="shared" si="90"/>
        <v>0</v>
      </c>
    </row>
    <row r="252" spans="1:404" ht="23.25" customHeight="1">
      <c r="A252" s="101" t="str">
        <f t="shared" si="102"/>
        <v>041A/NY/PP-USA-2168-72800-04-A</v>
      </c>
      <c r="B252" s="95">
        <v>44432</v>
      </c>
      <c r="C252" s="97">
        <f t="shared" ca="1" si="104"/>
        <v>-632</v>
      </c>
      <c r="D252" s="96" t="s">
        <v>978</v>
      </c>
      <c r="E252" s="94" t="s">
        <v>231</v>
      </c>
      <c r="F252" s="98" t="str">
        <f t="shared" si="100"/>
        <v>A</v>
      </c>
      <c r="G252" s="110">
        <f ca="1">SUMIF($A:E,$A252,K:K)</f>
        <v>16</v>
      </c>
      <c r="H252" s="97" t="s">
        <v>508</v>
      </c>
      <c r="I252" s="98">
        <v>16</v>
      </c>
      <c r="J252" s="99">
        <v>16</v>
      </c>
      <c r="K252" s="143">
        <f t="shared" si="88"/>
        <v>16</v>
      </c>
      <c r="L252" s="144">
        <f t="shared" si="99"/>
        <v>0</v>
      </c>
      <c r="M252" s="275">
        <f t="shared" si="101"/>
        <v>16</v>
      </c>
      <c r="N252" s="98">
        <v>3</v>
      </c>
      <c r="O252" s="93">
        <f t="shared" si="103"/>
        <v>100</v>
      </c>
      <c r="FR252" s="100">
        <v>1</v>
      </c>
      <c r="FS252" s="100">
        <v>6</v>
      </c>
      <c r="FU252" s="100">
        <v>4</v>
      </c>
      <c r="FV252" s="100">
        <v>4</v>
      </c>
      <c r="FW252" s="100">
        <v>1</v>
      </c>
      <c r="ON252" s="100">
        <f t="shared" si="90"/>
        <v>0</v>
      </c>
    </row>
    <row r="253" spans="1:404" ht="23.25" customHeight="1">
      <c r="A253" s="101" t="str">
        <f t="shared" si="102"/>
        <v>176A/POTTERYPOT-2168-72800-04-A</v>
      </c>
      <c r="B253" s="95">
        <v>44454</v>
      </c>
      <c r="C253" s="97">
        <f t="shared" ca="1" si="104"/>
        <v>-610</v>
      </c>
      <c r="D253" s="96" t="s">
        <v>1005</v>
      </c>
      <c r="E253" s="94" t="s">
        <v>231</v>
      </c>
      <c r="F253" s="98" t="str">
        <f t="shared" si="100"/>
        <v>A</v>
      </c>
      <c r="G253" s="110">
        <f ca="1">SUMIF($A:E,$A253,K:K)</f>
        <v>32</v>
      </c>
      <c r="H253" s="97" t="s">
        <v>601</v>
      </c>
      <c r="I253" s="98">
        <v>32</v>
      </c>
      <c r="J253" s="97">
        <v>32</v>
      </c>
      <c r="K253" s="143">
        <f t="shared" si="88"/>
        <v>32</v>
      </c>
      <c r="L253" s="144">
        <f t="shared" si="99"/>
        <v>0</v>
      </c>
      <c r="M253" s="275">
        <f t="shared" si="101"/>
        <v>32</v>
      </c>
      <c r="N253" s="98">
        <v>3</v>
      </c>
      <c r="O253" s="93">
        <f t="shared" si="103"/>
        <v>100</v>
      </c>
      <c r="HD253" s="100">
        <v>8</v>
      </c>
      <c r="HE253" s="100">
        <v>9</v>
      </c>
      <c r="HG253" s="100">
        <v>15</v>
      </c>
      <c r="ON253" s="100">
        <f t="shared" si="90"/>
        <v>0</v>
      </c>
    </row>
    <row r="254" spans="1:404" ht="23.25" customHeight="1">
      <c r="A254" s="101" t="str">
        <f t="shared" si="102"/>
        <v>160/POTTERYPOT-2168-72800-04-A</v>
      </c>
      <c r="B254" s="95">
        <v>44453</v>
      </c>
      <c r="C254" s="97">
        <f t="shared" ca="1" si="104"/>
        <v>-611</v>
      </c>
      <c r="D254" s="96" t="s">
        <v>1006</v>
      </c>
      <c r="E254" s="94" t="s">
        <v>231</v>
      </c>
      <c r="F254" s="98" t="str">
        <f t="shared" si="100"/>
        <v>A</v>
      </c>
      <c r="G254" s="110">
        <f ca="1">SUMIF($A:E,$A254,K:K)</f>
        <v>38</v>
      </c>
      <c r="H254" s="97" t="s">
        <v>601</v>
      </c>
      <c r="I254" s="98">
        <v>38</v>
      </c>
      <c r="J254" s="97">
        <v>38</v>
      </c>
      <c r="K254" s="143">
        <f t="shared" si="88"/>
        <v>38</v>
      </c>
      <c r="L254" s="144">
        <f t="shared" si="99"/>
        <v>0</v>
      </c>
      <c r="M254" s="275">
        <f t="shared" si="101"/>
        <v>38</v>
      </c>
      <c r="N254" s="98">
        <v>3</v>
      </c>
      <c r="O254" s="93">
        <f t="shared" si="103"/>
        <v>100</v>
      </c>
      <c r="HG254" s="100">
        <v>2</v>
      </c>
      <c r="HI254" s="100">
        <v>6</v>
      </c>
      <c r="HJ254" s="100">
        <v>4</v>
      </c>
      <c r="HK254" s="100">
        <v>4</v>
      </c>
      <c r="HL254" s="100">
        <v>7</v>
      </c>
      <c r="HM254" s="100">
        <v>7</v>
      </c>
      <c r="HN254" s="100">
        <v>5</v>
      </c>
      <c r="HP254" s="100">
        <v>3</v>
      </c>
      <c r="ON254" s="100">
        <f t="shared" si="90"/>
        <v>0</v>
      </c>
    </row>
    <row r="255" spans="1:404" ht="23.25" customHeight="1">
      <c r="A255" s="101" t="str">
        <f t="shared" si="102"/>
        <v>058/NY/PP-USA-2168-72800-04-A</v>
      </c>
      <c r="B255" s="95">
        <v>44575</v>
      </c>
      <c r="C255" s="97">
        <f t="shared" ca="1" si="104"/>
        <v>-489</v>
      </c>
      <c r="D255" s="96" t="s">
        <v>1029</v>
      </c>
      <c r="E255" s="280" t="s">
        <v>231</v>
      </c>
      <c r="F255" s="98" t="str">
        <f t="shared" si="100"/>
        <v>A</v>
      </c>
      <c r="G255" s="110">
        <f ca="1">SUMIF($A:E,$A255,K:K)</f>
        <v>28</v>
      </c>
      <c r="H255" s="97" t="s">
        <v>933</v>
      </c>
      <c r="I255" s="98">
        <v>28</v>
      </c>
      <c r="J255" s="97">
        <v>28</v>
      </c>
      <c r="K255" s="143">
        <f t="shared" si="88"/>
        <v>28</v>
      </c>
      <c r="L255" s="144">
        <f t="shared" si="99"/>
        <v>0</v>
      </c>
      <c r="M255" s="275">
        <f t="shared" si="101"/>
        <v>28</v>
      </c>
      <c r="N255" s="98" t="s">
        <v>1776</v>
      </c>
      <c r="O255" s="93">
        <f t="shared" si="103"/>
        <v>100</v>
      </c>
      <c r="KU255" s="100">
        <v>3</v>
      </c>
      <c r="KW255" s="100">
        <v>22</v>
      </c>
      <c r="KX255" s="100">
        <v>3</v>
      </c>
      <c r="ON255" s="100">
        <f t="shared" si="90"/>
        <v>0</v>
      </c>
    </row>
    <row r="256" spans="1:404" ht="23.25" customHeight="1">
      <c r="A256" s="101" t="str">
        <f t="shared" si="102"/>
        <v>060/NY/PP-USA-2168-72800-04-A</v>
      </c>
      <c r="B256" s="95">
        <v>44578</v>
      </c>
      <c r="C256" s="97">
        <f t="shared" ca="1" si="104"/>
        <v>-486</v>
      </c>
      <c r="D256" s="96" t="s">
        <v>1031</v>
      </c>
      <c r="E256" s="280" t="s">
        <v>231</v>
      </c>
      <c r="F256" s="98" t="str">
        <f t="shared" si="100"/>
        <v>A</v>
      </c>
      <c r="G256" s="110">
        <f ca="1">SUMIF($A:E,$A256,K:K)</f>
        <v>66</v>
      </c>
      <c r="H256" s="97" t="s">
        <v>933</v>
      </c>
      <c r="I256" s="98">
        <v>66</v>
      </c>
      <c r="J256" s="98">
        <v>66</v>
      </c>
      <c r="K256" s="143">
        <f t="shared" si="88"/>
        <v>66</v>
      </c>
      <c r="L256" s="144">
        <f t="shared" si="99"/>
        <v>0</v>
      </c>
      <c r="M256" s="275">
        <f t="shared" si="101"/>
        <v>66</v>
      </c>
      <c r="N256" s="98" t="s">
        <v>1776</v>
      </c>
      <c r="O256" s="93">
        <f t="shared" si="103"/>
        <v>100</v>
      </c>
      <c r="KX256" s="100">
        <v>4</v>
      </c>
      <c r="KY256" s="100">
        <v>9</v>
      </c>
      <c r="LB256" s="100">
        <v>10</v>
      </c>
      <c r="LC256" s="100">
        <v>5</v>
      </c>
      <c r="LD256" s="100">
        <v>6</v>
      </c>
      <c r="LE256" s="100">
        <v>5</v>
      </c>
      <c r="LF256" s="100">
        <v>6</v>
      </c>
      <c r="LG256" s="100">
        <v>8</v>
      </c>
      <c r="LI256" s="100">
        <v>3</v>
      </c>
      <c r="LJ256" s="100">
        <v>2</v>
      </c>
      <c r="LK256" s="100">
        <v>6</v>
      </c>
      <c r="LL256" s="100">
        <v>2</v>
      </c>
      <c r="ON256" s="100">
        <f t="shared" si="90"/>
        <v>0</v>
      </c>
    </row>
    <row r="257" spans="1:404" ht="23.25" customHeight="1">
      <c r="A257" s="101" t="str">
        <f t="shared" si="102"/>
        <v>191/POTTERYPOT-2168-72800-04-A</v>
      </c>
      <c r="B257" s="95">
        <v>44671</v>
      </c>
      <c r="C257" s="97">
        <f t="shared" ca="1" si="104"/>
        <v>-393</v>
      </c>
      <c r="D257" s="96" t="s">
        <v>1033</v>
      </c>
      <c r="E257" s="280" t="s">
        <v>231</v>
      </c>
      <c r="F257" s="98" t="str">
        <f t="shared" si="100"/>
        <v>A</v>
      </c>
      <c r="G257" s="110">
        <f ca="1">SUMIF($A:E,$A257,K:K)</f>
        <v>0</v>
      </c>
      <c r="H257" s="97" t="s">
        <v>601</v>
      </c>
      <c r="I257" s="98">
        <v>14</v>
      </c>
      <c r="J257" s="97">
        <v>14</v>
      </c>
      <c r="K257" s="143">
        <f t="shared" si="88"/>
        <v>0</v>
      </c>
      <c r="L257" s="144">
        <f t="shared" si="99"/>
        <v>14</v>
      </c>
      <c r="M257" s="275">
        <f t="shared" si="101"/>
        <v>14</v>
      </c>
      <c r="N257" s="98"/>
      <c r="O257" s="93">
        <f>K257/J257*100</f>
        <v>0</v>
      </c>
      <c r="ON257" s="100">
        <f t="shared" si="90"/>
        <v>0</v>
      </c>
    </row>
    <row r="258" spans="1:404" ht="23.25" customHeight="1">
      <c r="A258" s="101" t="str">
        <f t="shared" si="102"/>
        <v>192/POTTERYPOT-2168-72800-04-A</v>
      </c>
      <c r="B258" s="95">
        <v>44445</v>
      </c>
      <c r="C258" s="97">
        <f t="shared" ca="1" si="104"/>
        <v>-619</v>
      </c>
      <c r="D258" s="96" t="s">
        <v>1034</v>
      </c>
      <c r="E258" s="94" t="s">
        <v>231</v>
      </c>
      <c r="F258" s="98" t="str">
        <f t="shared" ref="F258" si="105">MID(E258,13,2)</f>
        <v>A</v>
      </c>
      <c r="G258" s="110">
        <f ca="1">SUMIF($A:E,$A258,K:K)</f>
        <v>28</v>
      </c>
      <c r="H258" s="97" t="s">
        <v>601</v>
      </c>
      <c r="I258" s="98">
        <v>28</v>
      </c>
      <c r="J258" s="97">
        <v>28</v>
      </c>
      <c r="K258" s="143">
        <f t="shared" si="88"/>
        <v>28</v>
      </c>
      <c r="L258" s="144">
        <f t="shared" si="99"/>
        <v>0</v>
      </c>
      <c r="M258" s="275">
        <f t="shared" si="101"/>
        <v>28</v>
      </c>
      <c r="N258" s="98">
        <v>3</v>
      </c>
      <c r="O258" s="93">
        <f t="shared" si="103"/>
        <v>100</v>
      </c>
      <c r="HP258" s="100">
        <v>1</v>
      </c>
      <c r="HQ258" s="100">
        <v>8</v>
      </c>
      <c r="HR258" s="100">
        <v>4</v>
      </c>
      <c r="HS258" s="100">
        <v>4</v>
      </c>
      <c r="HT258" s="100">
        <v>4</v>
      </c>
      <c r="HU258" s="100">
        <v>1</v>
      </c>
      <c r="HX258" s="100">
        <v>6</v>
      </c>
      <c r="ON258" s="100">
        <f t="shared" si="90"/>
        <v>0</v>
      </c>
    </row>
    <row r="259" spans="1:404" ht="23.25" customHeight="1">
      <c r="A259" s="101" t="s">
        <v>1782</v>
      </c>
      <c r="B259" s="95">
        <v>44464</v>
      </c>
      <c r="C259" s="97">
        <v>16</v>
      </c>
      <c r="D259" s="96" t="s">
        <v>1035</v>
      </c>
      <c r="E259" s="280" t="s">
        <v>231</v>
      </c>
      <c r="F259" s="98" t="s">
        <v>1775</v>
      </c>
      <c r="G259" s="110">
        <v>22</v>
      </c>
      <c r="H259" s="97" t="s">
        <v>601</v>
      </c>
      <c r="I259" s="98">
        <v>28</v>
      </c>
      <c r="J259" s="97">
        <f>28-J260</f>
        <v>6</v>
      </c>
      <c r="K259" s="143">
        <f t="shared" ref="K259:K322" si="106">SUM(P259:BBC259)</f>
        <v>6</v>
      </c>
      <c r="L259" s="144">
        <f t="shared" si="99"/>
        <v>0</v>
      </c>
      <c r="M259" s="275">
        <f t="shared" si="101"/>
        <v>28</v>
      </c>
      <c r="N259" s="98" t="s">
        <v>1776</v>
      </c>
      <c r="O259" s="93">
        <f>K259/J259*100</f>
        <v>100</v>
      </c>
      <c r="IH259" s="100">
        <v>6</v>
      </c>
      <c r="ON259" s="100">
        <f t="shared" si="90"/>
        <v>0</v>
      </c>
    </row>
    <row r="260" spans="1:404" ht="23.25" customHeight="1">
      <c r="A260" s="101" t="str">
        <f>D260&amp;E260</f>
        <v>193/POTTERYPOT-2168-72800-04-A</v>
      </c>
      <c r="B260" s="95">
        <v>44464</v>
      </c>
      <c r="C260" s="97">
        <f ca="1">B260-TODAY()</f>
        <v>-600</v>
      </c>
      <c r="D260" s="96" t="s">
        <v>1035</v>
      </c>
      <c r="E260" s="94" t="s">
        <v>231</v>
      </c>
      <c r="F260" s="98" t="str">
        <f>MID(E260,13,2)</f>
        <v>A</v>
      </c>
      <c r="G260" s="110">
        <f ca="1">SUMIF($A:E,$A260,K:K)</f>
        <v>28</v>
      </c>
      <c r="H260" s="97" t="s">
        <v>601</v>
      </c>
      <c r="I260" s="98">
        <v>28</v>
      </c>
      <c r="J260" s="97">
        <v>22</v>
      </c>
      <c r="K260" s="143">
        <f t="shared" si="106"/>
        <v>22</v>
      </c>
      <c r="L260" s="144">
        <f t="shared" si="99"/>
        <v>0</v>
      </c>
      <c r="M260" s="275">
        <f t="shared" si="101"/>
        <v>28</v>
      </c>
      <c r="N260" s="98">
        <v>5</v>
      </c>
      <c r="O260" s="93">
        <f>K260/J260*100</f>
        <v>100</v>
      </c>
      <c r="HW260" s="100">
        <v>6</v>
      </c>
      <c r="HX260" s="100">
        <v>6</v>
      </c>
      <c r="IB260" s="100">
        <v>4</v>
      </c>
      <c r="IE260" s="100">
        <v>6</v>
      </c>
      <c r="ON260" s="100">
        <f t="shared" ref="ON260:ON323" si="107">SUM(NS260:OM260)</f>
        <v>0</v>
      </c>
    </row>
    <row r="261" spans="1:404" ht="23.25" customHeight="1">
      <c r="A261" s="101" t="str">
        <f>D261&amp;E261</f>
        <v>194/POTTERYPOT-2168-72800-04-A</v>
      </c>
      <c r="B261" s="95">
        <v>44469</v>
      </c>
      <c r="C261" s="97">
        <f ca="1">B261-TODAY()</f>
        <v>-595</v>
      </c>
      <c r="D261" s="96" t="s">
        <v>1036</v>
      </c>
      <c r="E261" s="280" t="s">
        <v>231</v>
      </c>
      <c r="F261" s="98" t="str">
        <f>MID(E261,13,2)</f>
        <v>A</v>
      </c>
      <c r="G261" s="110">
        <f ca="1">SUMIF($A:E,$A261,K:K)</f>
        <v>68</v>
      </c>
      <c r="H261" s="97" t="s">
        <v>601</v>
      </c>
      <c r="I261" s="98">
        <v>68</v>
      </c>
      <c r="J261" s="97">
        <v>68</v>
      </c>
      <c r="K261" s="143">
        <f t="shared" si="106"/>
        <v>68</v>
      </c>
      <c r="L261" s="144">
        <f t="shared" si="99"/>
        <v>0</v>
      </c>
      <c r="M261" s="275">
        <f t="shared" si="101"/>
        <v>68</v>
      </c>
      <c r="N261" s="98" t="s">
        <v>1776</v>
      </c>
      <c r="O261" s="93">
        <f>K261/J261*100</f>
        <v>100</v>
      </c>
      <c r="IK261" s="100">
        <v>9</v>
      </c>
      <c r="IL261" s="100">
        <v>9</v>
      </c>
      <c r="IN261" s="100">
        <v>6</v>
      </c>
      <c r="IP261" s="100">
        <v>8</v>
      </c>
      <c r="IR261" s="100">
        <v>5</v>
      </c>
      <c r="IT261" s="100">
        <v>10</v>
      </c>
      <c r="IU261" s="100">
        <v>7</v>
      </c>
      <c r="IV261" s="100">
        <v>3</v>
      </c>
      <c r="IY261" s="100">
        <v>11</v>
      </c>
      <c r="ON261" s="100">
        <f t="shared" si="107"/>
        <v>0</v>
      </c>
    </row>
    <row r="262" spans="1:404" ht="23.25" customHeight="1">
      <c r="A262" s="101" t="str">
        <f>D262&amp;E262</f>
        <v>195/POTTERYPOT-2168-72800-04-A</v>
      </c>
      <c r="B262" s="95">
        <v>44468</v>
      </c>
      <c r="C262" s="97">
        <f ca="1">B262-TODAY()</f>
        <v>-596</v>
      </c>
      <c r="D262" s="96" t="s">
        <v>1037</v>
      </c>
      <c r="E262" s="94" t="s">
        <v>231</v>
      </c>
      <c r="F262" s="98" t="str">
        <f>MID(E262,13,2)</f>
        <v>A</v>
      </c>
      <c r="G262" s="110">
        <f ca="1">SUMIF($A:E,$A262,K:K)</f>
        <v>42</v>
      </c>
      <c r="H262" s="97" t="s">
        <v>601</v>
      </c>
      <c r="I262" s="98">
        <v>42</v>
      </c>
      <c r="J262" s="97">
        <v>42</v>
      </c>
      <c r="K262" s="143">
        <f t="shared" si="106"/>
        <v>42</v>
      </c>
      <c r="L262" s="144">
        <f t="shared" si="99"/>
        <v>0</v>
      </c>
      <c r="M262" s="275">
        <f t="shared" si="101"/>
        <v>42</v>
      </c>
      <c r="N262" s="98">
        <v>3</v>
      </c>
      <c r="O262" s="93">
        <f>K262/J262*100</f>
        <v>100</v>
      </c>
      <c r="IF262" s="100">
        <v>8</v>
      </c>
      <c r="IH262" s="100">
        <v>8</v>
      </c>
      <c r="IL262" s="100">
        <v>3</v>
      </c>
      <c r="IN262" s="100">
        <v>6</v>
      </c>
      <c r="IP262" s="100">
        <v>8</v>
      </c>
      <c r="IT262" s="100">
        <v>9</v>
      </c>
      <c r="ON262" s="100">
        <f t="shared" si="107"/>
        <v>0</v>
      </c>
    </row>
    <row r="263" spans="1:404" ht="23.25" customHeight="1">
      <c r="A263" s="101" t="str">
        <f>D263&amp;E263</f>
        <v>196/POTTERYPOT-2168-72800-04-A</v>
      </c>
      <c r="B263" s="95">
        <v>44671</v>
      </c>
      <c r="C263" s="97">
        <f ca="1">B263-TODAY()</f>
        <v>-393</v>
      </c>
      <c r="D263" s="96" t="s">
        <v>1038</v>
      </c>
      <c r="E263" s="280" t="s">
        <v>231</v>
      </c>
      <c r="F263" s="98" t="str">
        <f>MID(E263,13,2)</f>
        <v>A</v>
      </c>
      <c r="G263" s="110">
        <f ca="1">SUMIF($A:E,$A263,K:K)</f>
        <v>0</v>
      </c>
      <c r="H263" s="97" t="s">
        <v>601</v>
      </c>
      <c r="I263" s="98">
        <v>40</v>
      </c>
      <c r="J263" s="98">
        <v>40</v>
      </c>
      <c r="K263" s="143">
        <f t="shared" si="106"/>
        <v>0</v>
      </c>
      <c r="L263" s="144">
        <f t="shared" si="99"/>
        <v>40</v>
      </c>
      <c r="M263" s="275">
        <f t="shared" si="101"/>
        <v>40</v>
      </c>
      <c r="N263" s="98"/>
      <c r="O263" s="93">
        <f t="shared" ref="O263:O264" si="108">K263/J263*100</f>
        <v>0</v>
      </c>
      <c r="ON263" s="100">
        <f t="shared" si="107"/>
        <v>0</v>
      </c>
    </row>
    <row r="264" spans="1:404" ht="23.25" customHeight="1">
      <c r="A264" s="101" t="s">
        <v>1907</v>
      </c>
      <c r="B264" s="95">
        <v>44471</v>
      </c>
      <c r="C264" s="97">
        <v>8</v>
      </c>
      <c r="D264" s="96" t="s">
        <v>1039</v>
      </c>
      <c r="E264" s="280" t="s">
        <v>231</v>
      </c>
      <c r="F264" s="98" t="s">
        <v>1775</v>
      </c>
      <c r="G264" s="110">
        <v>3</v>
      </c>
      <c r="H264" s="97" t="s">
        <v>601</v>
      </c>
      <c r="I264" s="229">
        <v>120</v>
      </c>
      <c r="J264" s="99">
        <v>18</v>
      </c>
      <c r="K264" s="143">
        <f t="shared" si="106"/>
        <v>18</v>
      </c>
      <c r="L264" s="144">
        <f t="shared" ref="L264" si="109">J264-K264</f>
        <v>0</v>
      </c>
      <c r="M264" s="275">
        <f t="shared" si="101"/>
        <v>120</v>
      </c>
      <c r="N264" s="98" t="s">
        <v>1776</v>
      </c>
      <c r="O264" s="93">
        <f t="shared" si="108"/>
        <v>100</v>
      </c>
      <c r="IY264" s="100">
        <v>2</v>
      </c>
      <c r="IZ264" s="100">
        <v>3</v>
      </c>
      <c r="JA264" s="100">
        <v>7</v>
      </c>
      <c r="JC264" s="100">
        <v>6</v>
      </c>
      <c r="ON264" s="100">
        <f t="shared" si="107"/>
        <v>0</v>
      </c>
    </row>
    <row r="265" spans="1:404" ht="23.25" customHeight="1">
      <c r="A265" s="101" t="str">
        <f t="shared" ref="A265:A289" si="110">D265&amp;E265</f>
        <v>197/POTTERYPOT-2168-72800-04-A</v>
      </c>
      <c r="B265" s="95">
        <v>44471</v>
      </c>
      <c r="C265" s="97">
        <f t="shared" ref="C265:C291" ca="1" si="111">B265-TODAY()</f>
        <v>-593</v>
      </c>
      <c r="D265" s="96" t="s">
        <v>1039</v>
      </c>
      <c r="E265" s="94" t="s">
        <v>231</v>
      </c>
      <c r="F265" s="98" t="str">
        <f t="shared" ref="F265:F291" si="112">MID(E265,13,2)</f>
        <v>A</v>
      </c>
      <c r="G265" s="110">
        <f ca="1">SUMIF($A:E,$A265,K:K)</f>
        <v>120</v>
      </c>
      <c r="H265" s="97" t="s">
        <v>601</v>
      </c>
      <c r="I265" s="229">
        <v>120</v>
      </c>
      <c r="J265" s="99">
        <v>102</v>
      </c>
      <c r="K265" s="143">
        <f t="shared" si="106"/>
        <v>102</v>
      </c>
      <c r="L265" s="144">
        <f t="shared" si="99"/>
        <v>0</v>
      </c>
      <c r="M265" s="275">
        <f t="shared" si="101"/>
        <v>120</v>
      </c>
      <c r="N265" s="98">
        <v>3</v>
      </c>
      <c r="O265" s="93">
        <f t="shared" ref="O265:O290" si="113">K265/J265*100</f>
        <v>100</v>
      </c>
      <c r="IT265" s="100">
        <v>3</v>
      </c>
      <c r="IU265" s="100">
        <v>6</v>
      </c>
      <c r="IW265" s="100">
        <v>8</v>
      </c>
      <c r="IY265" s="100">
        <v>6</v>
      </c>
      <c r="JA265" s="100">
        <v>10</v>
      </c>
      <c r="JB265" s="100">
        <v>12</v>
      </c>
      <c r="JC265" s="100">
        <v>3</v>
      </c>
      <c r="JD265" s="100">
        <v>10</v>
      </c>
      <c r="JG265" s="100">
        <v>11</v>
      </c>
      <c r="JH265" s="100">
        <v>15</v>
      </c>
      <c r="JI265" s="100">
        <v>18</v>
      </c>
      <c r="ON265" s="100">
        <f t="shared" si="107"/>
        <v>0</v>
      </c>
    </row>
    <row r="266" spans="1:404" ht="23.25" customHeight="1">
      <c r="A266" s="101" t="str">
        <f t="shared" si="110"/>
        <v>255/POTTERYPOT-2168-72800-04-A</v>
      </c>
      <c r="B266" s="95">
        <v>44541</v>
      </c>
      <c r="C266" s="97">
        <f t="shared" ca="1" si="111"/>
        <v>-523</v>
      </c>
      <c r="D266" s="96" t="s">
        <v>1040</v>
      </c>
      <c r="E266" s="280" t="s">
        <v>231</v>
      </c>
      <c r="F266" s="98" t="str">
        <f t="shared" si="112"/>
        <v>A</v>
      </c>
      <c r="G266" s="110">
        <f ca="1">SUMIF($A:E,$A266,K:K)</f>
        <v>12</v>
      </c>
      <c r="H266" s="97" t="s">
        <v>601</v>
      </c>
      <c r="I266" s="98">
        <v>12</v>
      </c>
      <c r="J266" s="99">
        <v>12</v>
      </c>
      <c r="K266" s="143">
        <f t="shared" si="106"/>
        <v>12</v>
      </c>
      <c r="L266" s="144">
        <f t="shared" ref="L266" si="114">J266-K266</f>
        <v>0</v>
      </c>
      <c r="M266" s="275">
        <f t="shared" si="101"/>
        <v>12</v>
      </c>
      <c r="N266" s="98" t="s">
        <v>1776</v>
      </c>
      <c r="O266" s="93">
        <f t="shared" si="113"/>
        <v>100</v>
      </c>
      <c r="JH266" s="100">
        <v>2</v>
      </c>
      <c r="JI266" s="100">
        <v>4</v>
      </c>
      <c r="JK266" s="100">
        <v>2</v>
      </c>
      <c r="JM266" s="100">
        <v>3</v>
      </c>
      <c r="JN266" s="100">
        <v>1</v>
      </c>
      <c r="ON266" s="100">
        <f t="shared" si="107"/>
        <v>0</v>
      </c>
    </row>
    <row r="267" spans="1:404" ht="23.25" customHeight="1">
      <c r="A267" s="101" t="str">
        <f t="shared" si="110"/>
        <v>125A/POTTERYPOT-2168-72800-04-A</v>
      </c>
      <c r="B267" s="95">
        <v>44453</v>
      </c>
      <c r="C267" s="97">
        <f t="shared" ca="1" si="111"/>
        <v>-611</v>
      </c>
      <c r="D267" s="96" t="s">
        <v>1076</v>
      </c>
      <c r="E267" s="94" t="s">
        <v>231</v>
      </c>
      <c r="F267" s="98" t="str">
        <f t="shared" si="112"/>
        <v>A</v>
      </c>
      <c r="G267" s="110">
        <f ca="1">SUMIF($A:E,$A267,K:K)</f>
        <v>16</v>
      </c>
      <c r="H267" s="97" t="s">
        <v>964</v>
      </c>
      <c r="I267" s="98">
        <v>16</v>
      </c>
      <c r="J267" s="97">
        <v>16</v>
      </c>
      <c r="K267" s="143">
        <f t="shared" si="106"/>
        <v>16</v>
      </c>
      <c r="L267" s="144">
        <f t="shared" si="99"/>
        <v>0</v>
      </c>
      <c r="M267" s="275">
        <f t="shared" si="101"/>
        <v>16</v>
      </c>
      <c r="N267" s="98">
        <v>3</v>
      </c>
      <c r="O267" s="93">
        <f t="shared" si="113"/>
        <v>100</v>
      </c>
      <c r="HX267" s="100">
        <v>2</v>
      </c>
      <c r="HY267" s="100">
        <v>8</v>
      </c>
      <c r="IE267" s="100">
        <v>6</v>
      </c>
      <c r="ON267" s="100">
        <f t="shared" si="107"/>
        <v>0</v>
      </c>
    </row>
    <row r="268" spans="1:404" ht="23.25" customHeight="1">
      <c r="A268" s="101" t="str">
        <f t="shared" si="110"/>
        <v>217/POTERTYPOT-2168-72800-04-A</v>
      </c>
      <c r="B268" s="95">
        <v>44625</v>
      </c>
      <c r="C268" s="97">
        <f t="shared" ca="1" si="111"/>
        <v>-439</v>
      </c>
      <c r="D268" s="96" t="s">
        <v>1085</v>
      </c>
      <c r="E268" s="94" t="s">
        <v>231</v>
      </c>
      <c r="F268" s="98" t="str">
        <f t="shared" si="112"/>
        <v>A</v>
      </c>
      <c r="G268" s="110">
        <f ca="1">SUMIF($A:E,$A268,K:K)</f>
        <v>116</v>
      </c>
      <c r="H268" s="97" t="s">
        <v>601</v>
      </c>
      <c r="I268" s="98">
        <v>58</v>
      </c>
      <c r="J268" s="97">
        <v>58</v>
      </c>
      <c r="K268" s="143">
        <f t="shared" si="106"/>
        <v>116</v>
      </c>
      <c r="L268" s="144">
        <f t="shared" si="99"/>
        <v>-58</v>
      </c>
      <c r="M268" s="275">
        <f t="shared" si="101"/>
        <v>58</v>
      </c>
      <c r="N268" s="98" t="s">
        <v>1768</v>
      </c>
      <c r="O268" s="93">
        <f>K268/J268*100</f>
        <v>200</v>
      </c>
      <c r="NZ268" s="100">
        <v>19</v>
      </c>
      <c r="OA268" s="100">
        <v>27</v>
      </c>
      <c r="OB268" s="100">
        <v>12</v>
      </c>
      <c r="ON268" s="100">
        <f t="shared" si="107"/>
        <v>58</v>
      </c>
    </row>
    <row r="269" spans="1:404" ht="23.25" customHeight="1">
      <c r="A269" s="101" t="str">
        <f t="shared" si="110"/>
        <v>056/NY/PP-USA-2168-72800-04-A</v>
      </c>
      <c r="B269" s="95">
        <v>44541</v>
      </c>
      <c r="C269" s="97">
        <f t="shared" ca="1" si="111"/>
        <v>-523</v>
      </c>
      <c r="D269" s="96" t="s">
        <v>1087</v>
      </c>
      <c r="E269" s="280" t="s">
        <v>231</v>
      </c>
      <c r="F269" s="98" t="str">
        <f t="shared" si="112"/>
        <v>A</v>
      </c>
      <c r="G269" s="110">
        <f ca="1">SUMIF($A:E,$A269,K:K)</f>
        <v>22</v>
      </c>
      <c r="H269" s="97" t="s">
        <v>616</v>
      </c>
      <c r="I269" s="98">
        <v>22</v>
      </c>
      <c r="J269" s="98">
        <v>22</v>
      </c>
      <c r="K269" s="143">
        <f t="shared" si="106"/>
        <v>22</v>
      </c>
      <c r="L269" s="144">
        <f t="shared" si="99"/>
        <v>0</v>
      </c>
      <c r="M269" s="275">
        <f t="shared" si="101"/>
        <v>22</v>
      </c>
      <c r="N269" s="98" t="s">
        <v>1776</v>
      </c>
      <c r="O269" s="93">
        <f t="shared" si="113"/>
        <v>100</v>
      </c>
      <c r="JN269" s="100">
        <v>13</v>
      </c>
      <c r="JO269" s="100">
        <v>6</v>
      </c>
      <c r="JP269" s="100">
        <v>3</v>
      </c>
      <c r="ON269" s="100">
        <f t="shared" si="107"/>
        <v>0</v>
      </c>
    </row>
    <row r="270" spans="1:404" ht="23.25" customHeight="1">
      <c r="A270" s="101" t="str">
        <f t="shared" si="110"/>
        <v>382A/POTTERYPOT-2168-72800-04-A</v>
      </c>
      <c r="B270" s="95">
        <v>44746</v>
      </c>
      <c r="C270" s="97">
        <f t="shared" ca="1" si="111"/>
        <v>-318</v>
      </c>
      <c r="D270" s="96" t="s">
        <v>1285</v>
      </c>
      <c r="E270" s="280" t="s">
        <v>231</v>
      </c>
      <c r="F270" s="98" t="str">
        <f t="shared" si="112"/>
        <v>A</v>
      </c>
      <c r="G270" s="110">
        <f ca="1">SUMIF($A:E,$A270,K:K)</f>
        <v>0</v>
      </c>
      <c r="H270" s="97" t="s">
        <v>964</v>
      </c>
      <c r="I270" s="98">
        <v>32</v>
      </c>
      <c r="J270" s="97">
        <v>32</v>
      </c>
      <c r="K270" s="143">
        <f t="shared" si="106"/>
        <v>0</v>
      </c>
      <c r="L270" s="144">
        <f t="shared" si="99"/>
        <v>32</v>
      </c>
      <c r="M270" s="275">
        <f t="shared" si="101"/>
        <v>32</v>
      </c>
      <c r="N270" s="98"/>
      <c r="O270" s="93">
        <f t="shared" si="113"/>
        <v>0</v>
      </c>
      <c r="ON270" s="100">
        <f t="shared" si="107"/>
        <v>0</v>
      </c>
    </row>
    <row r="271" spans="1:404" ht="23.25" customHeight="1">
      <c r="A271" s="101" t="str">
        <f t="shared" si="110"/>
        <v>321/POTTERYPOT-2168-72800-04-A</v>
      </c>
      <c r="B271" s="95">
        <v>44669</v>
      </c>
      <c r="C271" s="97">
        <f t="shared" ca="1" si="111"/>
        <v>-395</v>
      </c>
      <c r="D271" s="112" t="s">
        <v>1337</v>
      </c>
      <c r="E271" s="279" t="s">
        <v>231</v>
      </c>
      <c r="F271" s="98" t="str">
        <f t="shared" si="112"/>
        <v>A</v>
      </c>
      <c r="G271" s="110">
        <f ca="1">SUMIF($A:E,$A271,K:K)</f>
        <v>0</v>
      </c>
      <c r="H271" s="97" t="s">
        <v>927</v>
      </c>
      <c r="I271" s="175">
        <v>50</v>
      </c>
      <c r="J271" s="115">
        <v>50</v>
      </c>
      <c r="K271" s="143">
        <f t="shared" si="106"/>
        <v>0</v>
      </c>
      <c r="L271" s="144">
        <f t="shared" si="99"/>
        <v>50</v>
      </c>
      <c r="M271" s="275">
        <f t="shared" si="101"/>
        <v>50</v>
      </c>
      <c r="N271" s="98"/>
      <c r="O271" s="93">
        <f t="shared" si="113"/>
        <v>0</v>
      </c>
      <c r="ON271" s="100">
        <f t="shared" si="107"/>
        <v>0</v>
      </c>
    </row>
    <row r="272" spans="1:404" ht="23.25" customHeight="1">
      <c r="A272" s="101" t="str">
        <f t="shared" si="110"/>
        <v>322/POTTERYPOT-2168-72800-04-A</v>
      </c>
      <c r="B272" s="95">
        <v>44684</v>
      </c>
      <c r="C272" s="97">
        <f t="shared" ca="1" si="111"/>
        <v>-380</v>
      </c>
      <c r="D272" s="112" t="s">
        <v>1338</v>
      </c>
      <c r="E272" s="279" t="s">
        <v>231</v>
      </c>
      <c r="F272" s="98" t="str">
        <f t="shared" si="112"/>
        <v>A</v>
      </c>
      <c r="G272" s="110">
        <f ca="1">SUMIF($A:E,$A272,K:K)</f>
        <v>0</v>
      </c>
      <c r="H272" s="97" t="s">
        <v>927</v>
      </c>
      <c r="I272" s="175">
        <v>128</v>
      </c>
      <c r="J272" s="115">
        <v>128</v>
      </c>
      <c r="K272" s="143">
        <f t="shared" si="106"/>
        <v>0</v>
      </c>
      <c r="L272" s="144">
        <f t="shared" si="99"/>
        <v>128</v>
      </c>
      <c r="M272" s="275">
        <f t="shared" si="101"/>
        <v>128</v>
      </c>
      <c r="N272" s="98"/>
      <c r="O272" s="93">
        <f t="shared" si="113"/>
        <v>0</v>
      </c>
      <c r="ON272" s="100">
        <f t="shared" si="107"/>
        <v>0</v>
      </c>
    </row>
    <row r="273" spans="1:404" ht="23.25" customHeight="1">
      <c r="A273" s="101" t="str">
        <f t="shared" si="110"/>
        <v>323/POTTERYPOT-2168-72800-04-A</v>
      </c>
      <c r="B273" s="95">
        <v>44702</v>
      </c>
      <c r="C273" s="97">
        <f t="shared" ca="1" si="111"/>
        <v>-362</v>
      </c>
      <c r="D273" s="112" t="s">
        <v>1339</v>
      </c>
      <c r="E273" s="279" t="s">
        <v>231</v>
      </c>
      <c r="F273" s="98" t="str">
        <f t="shared" si="112"/>
        <v>A</v>
      </c>
      <c r="G273" s="110">
        <f ca="1">SUMIF($A:E,$A273,K:K)</f>
        <v>0</v>
      </c>
      <c r="H273" s="97" t="s">
        <v>927</v>
      </c>
      <c r="I273" s="175">
        <v>130</v>
      </c>
      <c r="J273" s="115">
        <v>130</v>
      </c>
      <c r="K273" s="143">
        <f t="shared" si="106"/>
        <v>0</v>
      </c>
      <c r="L273" s="144">
        <f t="shared" si="99"/>
        <v>130</v>
      </c>
      <c r="M273" s="275">
        <f t="shared" si="101"/>
        <v>130</v>
      </c>
      <c r="N273" s="98"/>
      <c r="O273" s="93">
        <f t="shared" si="113"/>
        <v>0</v>
      </c>
      <c r="ON273" s="100">
        <f t="shared" si="107"/>
        <v>0</v>
      </c>
    </row>
    <row r="274" spans="1:404" ht="23.25" customHeight="1">
      <c r="A274" s="101" t="str">
        <f t="shared" si="110"/>
        <v>329/POTTERYPOT-2168-72800-04-A</v>
      </c>
      <c r="B274" s="95">
        <v>44611</v>
      </c>
      <c r="C274" s="97">
        <f t="shared" ca="1" si="111"/>
        <v>-453</v>
      </c>
      <c r="D274" s="112" t="s">
        <v>1345</v>
      </c>
      <c r="E274" s="279" t="s">
        <v>231</v>
      </c>
      <c r="F274" s="98" t="str">
        <f t="shared" si="112"/>
        <v>A</v>
      </c>
      <c r="G274" s="110">
        <f ca="1">SUMIF($A:E,$A274,K:K)</f>
        <v>24</v>
      </c>
      <c r="H274" s="97" t="s">
        <v>927</v>
      </c>
      <c r="I274" s="175">
        <v>24</v>
      </c>
      <c r="J274" s="115">
        <v>24</v>
      </c>
      <c r="K274" s="143">
        <f t="shared" si="106"/>
        <v>24</v>
      </c>
      <c r="L274" s="144">
        <f t="shared" si="99"/>
        <v>0</v>
      </c>
      <c r="M274" s="275">
        <f t="shared" si="101"/>
        <v>24</v>
      </c>
      <c r="N274" s="98" t="s">
        <v>1768</v>
      </c>
      <c r="O274" s="93">
        <f t="shared" si="113"/>
        <v>100</v>
      </c>
      <c r="LN274" s="100">
        <v>6</v>
      </c>
      <c r="LP274" s="100">
        <v>7</v>
      </c>
      <c r="LQ274" s="100">
        <v>8</v>
      </c>
      <c r="LR274" s="100">
        <v>2</v>
      </c>
      <c r="LS274" s="100">
        <v>1</v>
      </c>
      <c r="ON274" s="100">
        <f t="shared" si="107"/>
        <v>0</v>
      </c>
    </row>
    <row r="275" spans="1:404" ht="23.25" customHeight="1">
      <c r="A275" s="101" t="str">
        <f t="shared" si="110"/>
        <v>330/POTTERYPOT-2168-72800-04-A</v>
      </c>
      <c r="B275" s="95">
        <v>44639</v>
      </c>
      <c r="C275" s="97">
        <f t="shared" ca="1" si="111"/>
        <v>-425</v>
      </c>
      <c r="D275" s="112" t="s">
        <v>1346</v>
      </c>
      <c r="E275" s="279" t="s">
        <v>231</v>
      </c>
      <c r="F275" s="98" t="str">
        <f t="shared" si="112"/>
        <v>A</v>
      </c>
      <c r="G275" s="110">
        <f ca="1">SUMIF($A:E,$A275,K:K)</f>
        <v>160</v>
      </c>
      <c r="H275" s="97" t="s">
        <v>1689</v>
      </c>
      <c r="I275" s="175">
        <v>80</v>
      </c>
      <c r="J275" s="115">
        <v>80</v>
      </c>
      <c r="K275" s="143">
        <f t="shared" si="106"/>
        <v>160</v>
      </c>
      <c r="L275" s="144">
        <f t="shared" si="99"/>
        <v>-80</v>
      </c>
      <c r="M275" s="275">
        <f t="shared" si="101"/>
        <v>80</v>
      </c>
      <c r="N275" s="98" t="s">
        <v>1768</v>
      </c>
      <c r="O275" s="93">
        <f t="shared" si="113"/>
        <v>200</v>
      </c>
      <c r="OB275" s="100">
        <v>8</v>
      </c>
      <c r="OC275" s="100">
        <v>20</v>
      </c>
      <c r="OD275" s="100">
        <v>19</v>
      </c>
      <c r="OF275" s="100">
        <v>18</v>
      </c>
      <c r="OG275" s="100">
        <v>15</v>
      </c>
      <c r="ON275" s="100">
        <f t="shared" si="107"/>
        <v>80</v>
      </c>
    </row>
    <row r="276" spans="1:404" ht="23.25" customHeight="1">
      <c r="A276" s="101" t="str">
        <f t="shared" si="110"/>
        <v>331/POTTERYPOT-2168-72800-04-A</v>
      </c>
      <c r="B276" s="95">
        <v>44647</v>
      </c>
      <c r="C276" s="97">
        <f t="shared" ca="1" si="111"/>
        <v>-417</v>
      </c>
      <c r="D276" s="112" t="s">
        <v>1347</v>
      </c>
      <c r="E276" s="279" t="s">
        <v>231</v>
      </c>
      <c r="F276" s="98" t="str">
        <f t="shared" si="112"/>
        <v>A</v>
      </c>
      <c r="G276" s="110">
        <f ca="1">SUMIF($A:E,$A276,K:K)</f>
        <v>0</v>
      </c>
      <c r="H276" s="97" t="s">
        <v>927</v>
      </c>
      <c r="I276" s="175">
        <v>80</v>
      </c>
      <c r="J276" s="115">
        <v>80</v>
      </c>
      <c r="K276" s="143">
        <f t="shared" si="106"/>
        <v>0</v>
      </c>
      <c r="L276" s="144">
        <f t="shared" si="99"/>
        <v>80</v>
      </c>
      <c r="M276" s="275">
        <f t="shared" si="101"/>
        <v>80</v>
      </c>
      <c r="N276" s="98"/>
      <c r="O276" s="93">
        <f t="shared" si="113"/>
        <v>0</v>
      </c>
      <c r="ON276" s="100">
        <f t="shared" si="107"/>
        <v>0</v>
      </c>
    </row>
    <row r="277" spans="1:404" ht="23.25" customHeight="1">
      <c r="A277" s="101" t="str">
        <f t="shared" si="110"/>
        <v>333/POTTERYPOT-2168-72800-04-A</v>
      </c>
      <c r="B277" s="95">
        <v>44605</v>
      </c>
      <c r="C277" s="97">
        <f t="shared" ca="1" si="111"/>
        <v>-459</v>
      </c>
      <c r="D277" s="112" t="s">
        <v>1349</v>
      </c>
      <c r="E277" s="279" t="s">
        <v>231</v>
      </c>
      <c r="F277" s="98" t="str">
        <f t="shared" si="112"/>
        <v>A</v>
      </c>
      <c r="G277" s="110">
        <f ca="1">SUMIF($A:E,$A277,K:K)</f>
        <v>80</v>
      </c>
      <c r="H277" s="97" t="s">
        <v>927</v>
      </c>
      <c r="I277" s="175">
        <v>80</v>
      </c>
      <c r="J277" s="115">
        <v>80</v>
      </c>
      <c r="K277" s="143">
        <f t="shared" si="106"/>
        <v>80</v>
      </c>
      <c r="L277" s="144">
        <f t="shared" si="99"/>
        <v>0</v>
      </c>
      <c r="M277" s="275">
        <f t="shared" si="101"/>
        <v>80</v>
      </c>
      <c r="N277" s="98" t="s">
        <v>1768</v>
      </c>
      <c r="O277" s="93">
        <f t="shared" si="113"/>
        <v>100</v>
      </c>
      <c r="LS277" s="100">
        <v>1</v>
      </c>
      <c r="LT277" s="100">
        <v>8</v>
      </c>
      <c r="LU277" s="100">
        <v>8</v>
      </c>
      <c r="LW277" s="100">
        <v>7</v>
      </c>
      <c r="LX277" s="100">
        <v>7</v>
      </c>
      <c r="LY277" s="100">
        <v>5</v>
      </c>
      <c r="LZ277" s="100">
        <v>12</v>
      </c>
      <c r="MA277" s="100">
        <v>9</v>
      </c>
      <c r="MB277" s="100">
        <v>4</v>
      </c>
      <c r="MD277" s="100">
        <v>15</v>
      </c>
      <c r="ME277" s="100">
        <v>4</v>
      </c>
      <c r="ON277" s="100">
        <f t="shared" si="107"/>
        <v>0</v>
      </c>
    </row>
    <row r="278" spans="1:404" ht="23.25" customHeight="1">
      <c r="A278" s="101" t="str">
        <f t="shared" si="110"/>
        <v>335/POTTERYPOT-2168-72800-04-A</v>
      </c>
      <c r="B278" s="95">
        <v>44642</v>
      </c>
      <c r="C278" s="97">
        <f t="shared" ca="1" si="111"/>
        <v>-422</v>
      </c>
      <c r="D278" s="112" t="s">
        <v>1351</v>
      </c>
      <c r="E278" s="279" t="s">
        <v>231</v>
      </c>
      <c r="F278" s="98" t="str">
        <f t="shared" si="112"/>
        <v>A</v>
      </c>
      <c r="G278" s="110">
        <f ca="1">SUMIF($A:E,$A278,K:K)</f>
        <v>208</v>
      </c>
      <c r="H278" s="97" t="s">
        <v>927</v>
      </c>
      <c r="I278" s="175">
        <v>104</v>
      </c>
      <c r="J278" s="115">
        <v>104</v>
      </c>
      <c r="K278" s="143">
        <f t="shared" si="106"/>
        <v>208</v>
      </c>
      <c r="L278" s="144">
        <f t="shared" si="99"/>
        <v>-104</v>
      </c>
      <c r="M278" s="275">
        <f t="shared" si="101"/>
        <v>104</v>
      </c>
      <c r="N278" s="98" t="s">
        <v>1768</v>
      </c>
      <c r="O278" s="93">
        <f>K278/J278*100</f>
        <v>200</v>
      </c>
      <c r="OG278" s="100">
        <v>5</v>
      </c>
      <c r="OH278" s="100">
        <v>16</v>
      </c>
      <c r="OI278" s="100">
        <v>15</v>
      </c>
      <c r="OJ278" s="100">
        <v>25</v>
      </c>
      <c r="OK278" s="100">
        <v>22</v>
      </c>
      <c r="OM278" s="100">
        <v>21</v>
      </c>
      <c r="ON278" s="100">
        <f t="shared" si="107"/>
        <v>104</v>
      </c>
    </row>
    <row r="279" spans="1:404" ht="23.25" customHeight="1">
      <c r="A279" s="101" t="str">
        <f t="shared" si="110"/>
        <v>336/POTTERYPOT-2168-72800-04-A</v>
      </c>
      <c r="B279" s="95">
        <v>44613</v>
      </c>
      <c r="C279" s="97">
        <f t="shared" ca="1" si="111"/>
        <v>-451</v>
      </c>
      <c r="D279" s="112" t="s">
        <v>1352</v>
      </c>
      <c r="E279" s="279" t="s">
        <v>231</v>
      </c>
      <c r="F279" s="98" t="str">
        <f t="shared" si="112"/>
        <v>A</v>
      </c>
      <c r="G279" s="110">
        <f ca="1">SUMIF($A:E,$A279,K:K)</f>
        <v>170</v>
      </c>
      <c r="H279" s="97" t="s">
        <v>927</v>
      </c>
      <c r="I279" s="175">
        <v>170</v>
      </c>
      <c r="J279" s="115">
        <v>170</v>
      </c>
      <c r="K279" s="143">
        <f t="shared" si="106"/>
        <v>170</v>
      </c>
      <c r="L279" s="144">
        <f t="shared" si="99"/>
        <v>0</v>
      </c>
      <c r="M279" s="275">
        <f t="shared" si="101"/>
        <v>170</v>
      </c>
      <c r="N279" s="98" t="s">
        <v>1768</v>
      </c>
      <c r="O279" s="93">
        <f t="shared" si="113"/>
        <v>100</v>
      </c>
      <c r="ME279" s="100">
        <v>1</v>
      </c>
      <c r="MF279" s="100">
        <v>10</v>
      </c>
      <c r="MG279" s="100">
        <v>10</v>
      </c>
      <c r="MH279" s="100">
        <v>3</v>
      </c>
      <c r="MK279" s="100">
        <v>10</v>
      </c>
      <c r="ML279" s="100">
        <v>7</v>
      </c>
      <c r="MM279" s="100">
        <v>8</v>
      </c>
      <c r="MN279" s="100">
        <v>10</v>
      </c>
      <c r="MO279" s="100">
        <v>20</v>
      </c>
      <c r="MR279" s="100">
        <v>21</v>
      </c>
      <c r="MS279" s="100">
        <v>7</v>
      </c>
      <c r="MT279" s="100">
        <v>5</v>
      </c>
      <c r="MU279" s="100">
        <v>15</v>
      </c>
      <c r="MW279" s="100">
        <v>9</v>
      </c>
      <c r="MX279" s="100">
        <v>4</v>
      </c>
      <c r="MY279" s="100">
        <v>10</v>
      </c>
      <c r="MZ279" s="100">
        <v>11</v>
      </c>
      <c r="NA279" s="100">
        <v>9</v>
      </c>
      <c r="ON279" s="100">
        <f t="shared" si="107"/>
        <v>0</v>
      </c>
    </row>
    <row r="280" spans="1:404" ht="23.25" customHeight="1">
      <c r="A280" s="101" t="str">
        <f t="shared" si="110"/>
        <v>337/POTTERYPOT-2168-72800-04-A</v>
      </c>
      <c r="B280" s="95">
        <v>44627</v>
      </c>
      <c r="C280" s="97">
        <f t="shared" ca="1" si="111"/>
        <v>-437</v>
      </c>
      <c r="D280" s="112" t="s">
        <v>1353</v>
      </c>
      <c r="E280" s="279" t="s">
        <v>231</v>
      </c>
      <c r="F280" s="98" t="str">
        <f t="shared" si="112"/>
        <v>A</v>
      </c>
      <c r="G280" s="110">
        <f ca="1">SUMIF($A:E,$A280,K:K)</f>
        <v>239</v>
      </c>
      <c r="H280" s="97" t="s">
        <v>927</v>
      </c>
      <c r="I280" s="175">
        <v>170</v>
      </c>
      <c r="J280" s="115">
        <v>170</v>
      </c>
      <c r="K280" s="143">
        <f t="shared" si="106"/>
        <v>239</v>
      </c>
      <c r="L280" s="144">
        <f t="shared" si="99"/>
        <v>-69</v>
      </c>
      <c r="M280" s="275">
        <f t="shared" si="101"/>
        <v>170</v>
      </c>
      <c r="N280" s="98" t="s">
        <v>1768</v>
      </c>
      <c r="O280" s="93">
        <f t="shared" si="113"/>
        <v>140.58823529411762</v>
      </c>
      <c r="NA280" s="100">
        <v>2</v>
      </c>
      <c r="ND280" s="100">
        <v>6</v>
      </c>
      <c r="NE280" s="100">
        <v>9</v>
      </c>
      <c r="NF280" s="100">
        <v>13</v>
      </c>
      <c r="NG280" s="100">
        <v>4</v>
      </c>
      <c r="NI280" s="100">
        <v>9</v>
      </c>
      <c r="NK280" s="100">
        <v>10</v>
      </c>
      <c r="NL280" s="100">
        <v>18</v>
      </c>
      <c r="NM280" s="100">
        <v>16</v>
      </c>
      <c r="NN280" s="100">
        <v>14</v>
      </c>
      <c r="NS280" s="100">
        <v>22</v>
      </c>
      <c r="NU280" s="100">
        <v>16</v>
      </c>
      <c r="NV280" s="100">
        <v>18</v>
      </c>
      <c r="NY280" s="100">
        <v>13</v>
      </c>
      <c r="ON280" s="100">
        <f t="shared" si="107"/>
        <v>69</v>
      </c>
    </row>
    <row r="281" spans="1:404" ht="23.25" customHeight="1">
      <c r="A281" s="101" t="str">
        <f t="shared" si="110"/>
        <v>338/POTTERYPOT-2168-72800-04-A</v>
      </c>
      <c r="B281" s="95">
        <v>44640</v>
      </c>
      <c r="C281" s="97">
        <f t="shared" ca="1" si="111"/>
        <v>-424</v>
      </c>
      <c r="D281" s="112" t="s">
        <v>1354</v>
      </c>
      <c r="E281" s="279" t="s">
        <v>231</v>
      </c>
      <c r="F281" s="98" t="str">
        <f t="shared" si="112"/>
        <v>A</v>
      </c>
      <c r="G281" s="110">
        <f ca="1">SUMIF($A:E,$A281,K:K)</f>
        <v>4</v>
      </c>
      <c r="H281" s="97" t="s">
        <v>927</v>
      </c>
      <c r="I281" s="175">
        <v>142</v>
      </c>
      <c r="J281" s="115">
        <v>142</v>
      </c>
      <c r="K281" s="143">
        <f t="shared" si="106"/>
        <v>4</v>
      </c>
      <c r="L281" s="144">
        <f t="shared" si="99"/>
        <v>138</v>
      </c>
      <c r="M281" s="275">
        <f t="shared" si="101"/>
        <v>142</v>
      </c>
      <c r="N281" s="98" t="s">
        <v>1768</v>
      </c>
      <c r="O281" s="93">
        <f t="shared" si="113"/>
        <v>2.8169014084507045</v>
      </c>
      <c r="OM281" s="100">
        <v>2</v>
      </c>
      <c r="ON281" s="100">
        <f t="shared" si="107"/>
        <v>2</v>
      </c>
    </row>
    <row r="282" spans="1:404" ht="23.25" customHeight="1">
      <c r="A282" s="101" t="str">
        <f t="shared" si="110"/>
        <v>339/POTTERYPOT-2168-72800-04-A</v>
      </c>
      <c r="B282" s="95">
        <v>44653</v>
      </c>
      <c r="C282" s="97">
        <f t="shared" ca="1" si="111"/>
        <v>-411</v>
      </c>
      <c r="D282" s="112" t="s">
        <v>1355</v>
      </c>
      <c r="E282" s="279" t="s">
        <v>231</v>
      </c>
      <c r="F282" s="98" t="str">
        <f t="shared" si="112"/>
        <v>A</v>
      </c>
      <c r="G282" s="110">
        <f ca="1">SUMIF($A:E,$A282,K:K)</f>
        <v>0</v>
      </c>
      <c r="H282" s="97" t="s">
        <v>927</v>
      </c>
      <c r="I282" s="175">
        <v>140</v>
      </c>
      <c r="J282" s="115">
        <v>140</v>
      </c>
      <c r="K282" s="143">
        <f t="shared" si="106"/>
        <v>0</v>
      </c>
      <c r="L282" s="144">
        <f t="shared" si="99"/>
        <v>140</v>
      </c>
      <c r="M282" s="275">
        <f t="shared" si="101"/>
        <v>140</v>
      </c>
      <c r="N282" s="98" t="s">
        <v>1768</v>
      </c>
      <c r="O282" s="93">
        <f t="shared" si="113"/>
        <v>0</v>
      </c>
      <c r="ON282" s="100">
        <f t="shared" si="107"/>
        <v>0</v>
      </c>
    </row>
    <row r="283" spans="1:404" ht="23.25" customHeight="1">
      <c r="A283" s="101" t="str">
        <f t="shared" si="110"/>
        <v>340/POTTERYPOT-2168-72800-04-A</v>
      </c>
      <c r="B283" s="95">
        <v>44660</v>
      </c>
      <c r="C283" s="97">
        <f t="shared" ca="1" si="111"/>
        <v>-404</v>
      </c>
      <c r="D283" s="112" t="s">
        <v>1356</v>
      </c>
      <c r="E283" s="279" t="s">
        <v>231</v>
      </c>
      <c r="F283" s="98" t="str">
        <f t="shared" si="112"/>
        <v>A</v>
      </c>
      <c r="G283" s="110">
        <f ca="1">SUMIF($A:E,$A283,K:K)</f>
        <v>0</v>
      </c>
      <c r="H283" s="97" t="s">
        <v>927</v>
      </c>
      <c r="I283" s="175">
        <v>68</v>
      </c>
      <c r="J283" s="115">
        <v>68</v>
      </c>
      <c r="K283" s="143">
        <f t="shared" si="106"/>
        <v>0</v>
      </c>
      <c r="L283" s="144">
        <f t="shared" si="99"/>
        <v>68</v>
      </c>
      <c r="M283" s="275">
        <f t="shared" si="101"/>
        <v>68</v>
      </c>
      <c r="N283" s="98"/>
      <c r="O283" s="93">
        <f t="shared" si="113"/>
        <v>0</v>
      </c>
      <c r="ON283" s="100">
        <f t="shared" si="107"/>
        <v>0</v>
      </c>
    </row>
    <row r="284" spans="1:404" ht="23.25" customHeight="1">
      <c r="A284" s="101" t="str">
        <f t="shared" si="110"/>
        <v>095/NY/PP-USA-2168-72800-04-A</v>
      </c>
      <c r="B284" s="95">
        <v>44577</v>
      </c>
      <c r="C284" s="97">
        <f t="shared" ca="1" si="111"/>
        <v>-487</v>
      </c>
      <c r="D284" s="112" t="s">
        <v>1429</v>
      </c>
      <c r="E284" s="279" t="s">
        <v>231</v>
      </c>
      <c r="F284" s="98" t="str">
        <f t="shared" si="112"/>
        <v>A</v>
      </c>
      <c r="G284" s="110">
        <f ca="1">SUMIF($A:E,$A284,K:K)</f>
        <v>48</v>
      </c>
      <c r="H284" s="97" t="s">
        <v>616</v>
      </c>
      <c r="I284" s="175">
        <v>48</v>
      </c>
      <c r="J284" s="115">
        <v>48</v>
      </c>
      <c r="K284" s="143">
        <f t="shared" si="106"/>
        <v>48</v>
      </c>
      <c r="L284" s="144">
        <f t="shared" si="99"/>
        <v>0</v>
      </c>
      <c r="M284" s="275">
        <f t="shared" si="101"/>
        <v>48</v>
      </c>
      <c r="N284" s="98" t="s">
        <v>1776</v>
      </c>
      <c r="O284" s="93">
        <f t="shared" si="113"/>
        <v>100</v>
      </c>
      <c r="JQ284" s="100">
        <v>6</v>
      </c>
      <c r="JR284" s="100">
        <v>6</v>
      </c>
      <c r="JT284" s="100">
        <v>9</v>
      </c>
      <c r="JU284" s="100">
        <v>8</v>
      </c>
      <c r="JW284" s="100">
        <v>9</v>
      </c>
      <c r="JX284" s="100">
        <v>5</v>
      </c>
      <c r="KA284" s="100">
        <v>5</v>
      </c>
      <c r="ON284" s="100">
        <f t="shared" si="107"/>
        <v>0</v>
      </c>
    </row>
    <row r="285" spans="1:404" ht="23.25" customHeight="1">
      <c r="A285" s="101" t="str">
        <f t="shared" si="110"/>
        <v>096/NY/PP-USA-2168-72800-04-A</v>
      </c>
      <c r="B285" s="95">
        <v>44577</v>
      </c>
      <c r="C285" s="97">
        <f t="shared" ca="1" si="111"/>
        <v>-487</v>
      </c>
      <c r="D285" s="112" t="s">
        <v>1430</v>
      </c>
      <c r="E285" s="279" t="s">
        <v>231</v>
      </c>
      <c r="F285" s="98" t="str">
        <f t="shared" si="112"/>
        <v>A</v>
      </c>
      <c r="G285" s="110">
        <f ca="1">SUMIF($A:E,$A285,K:K)</f>
        <v>48</v>
      </c>
      <c r="H285" s="97" t="s">
        <v>616</v>
      </c>
      <c r="I285" s="175">
        <v>48</v>
      </c>
      <c r="J285" s="115">
        <v>48</v>
      </c>
      <c r="K285" s="143">
        <f t="shared" si="106"/>
        <v>48</v>
      </c>
      <c r="L285" s="144">
        <f t="shared" si="99"/>
        <v>0</v>
      </c>
      <c r="M285" s="275">
        <f t="shared" si="101"/>
        <v>48</v>
      </c>
      <c r="N285" s="98" t="s">
        <v>1776</v>
      </c>
      <c r="O285" s="93">
        <f t="shared" si="113"/>
        <v>100</v>
      </c>
      <c r="KA285" s="100">
        <v>5</v>
      </c>
      <c r="KB285" s="100">
        <v>4</v>
      </c>
      <c r="KC285" s="100">
        <v>3</v>
      </c>
      <c r="KD285" s="100">
        <v>4</v>
      </c>
      <c r="KE285" s="100">
        <v>3</v>
      </c>
      <c r="KF285" s="100">
        <v>4</v>
      </c>
      <c r="KH285" s="100">
        <v>8</v>
      </c>
      <c r="KI285" s="100">
        <v>6</v>
      </c>
      <c r="KJ285" s="100">
        <v>5</v>
      </c>
      <c r="KN285" s="100">
        <v>6</v>
      </c>
      <c r="ON285" s="100">
        <f t="shared" si="107"/>
        <v>0</v>
      </c>
    </row>
    <row r="286" spans="1:404" ht="23.25" customHeight="1">
      <c r="A286" s="101" t="str">
        <f t="shared" si="110"/>
        <v>097/NY/PP-USA-2168-72800-04-A</v>
      </c>
      <c r="B286" s="95">
        <v>44575</v>
      </c>
      <c r="C286" s="97">
        <f t="shared" ca="1" si="111"/>
        <v>-489</v>
      </c>
      <c r="D286" s="112" t="s">
        <v>1431</v>
      </c>
      <c r="E286" s="279" t="s">
        <v>231</v>
      </c>
      <c r="F286" s="98" t="str">
        <f t="shared" si="112"/>
        <v>A</v>
      </c>
      <c r="G286" s="110">
        <f ca="1">SUMIF($A:E,$A286,K:K)</f>
        <v>48</v>
      </c>
      <c r="H286" s="97" t="s">
        <v>616</v>
      </c>
      <c r="I286" s="175">
        <v>48</v>
      </c>
      <c r="J286" s="115">
        <v>48</v>
      </c>
      <c r="K286" s="143">
        <f t="shared" si="106"/>
        <v>48</v>
      </c>
      <c r="L286" s="144">
        <f t="shared" si="99"/>
        <v>0</v>
      </c>
      <c r="M286" s="275">
        <f t="shared" si="101"/>
        <v>48</v>
      </c>
      <c r="N286" s="98" t="s">
        <v>1776</v>
      </c>
      <c r="O286" s="93">
        <f t="shared" si="113"/>
        <v>100</v>
      </c>
      <c r="KN286" s="100">
        <v>7</v>
      </c>
      <c r="KO286" s="100">
        <v>15</v>
      </c>
      <c r="KP286" s="100">
        <v>7</v>
      </c>
      <c r="KQ286" s="100">
        <v>7</v>
      </c>
      <c r="KR286" s="100">
        <v>7</v>
      </c>
      <c r="KU286" s="100">
        <v>5</v>
      </c>
      <c r="ON286" s="100">
        <f t="shared" si="107"/>
        <v>0</v>
      </c>
    </row>
    <row r="287" spans="1:404" ht="23.25" customHeight="1">
      <c r="A287" s="101" t="str">
        <f t="shared" si="110"/>
        <v>439/POTTERYPOT-2168-72800-04-A</v>
      </c>
      <c r="B287" s="95">
        <v>44636</v>
      </c>
      <c r="C287" s="97">
        <f t="shared" ca="1" si="111"/>
        <v>-428</v>
      </c>
      <c r="D287" s="112" t="s">
        <v>1601</v>
      </c>
      <c r="E287" s="279" t="s">
        <v>231</v>
      </c>
      <c r="F287" s="98" t="str">
        <f t="shared" si="112"/>
        <v>A</v>
      </c>
      <c r="G287" s="110">
        <f ca="1">SUMIF($A:E,$A287,K:K)</f>
        <v>0</v>
      </c>
      <c r="H287" s="97" t="s">
        <v>927</v>
      </c>
      <c r="I287" s="175">
        <v>54</v>
      </c>
      <c r="J287" s="115">
        <v>54</v>
      </c>
      <c r="K287" s="143">
        <f t="shared" si="106"/>
        <v>0</v>
      </c>
      <c r="L287" s="144">
        <f t="shared" ref="L287:L338" si="115">J287-K287</f>
        <v>54</v>
      </c>
      <c r="M287" s="275">
        <f t="shared" si="101"/>
        <v>54</v>
      </c>
      <c r="N287" s="98"/>
      <c r="O287" s="93">
        <f>K287/J287*100</f>
        <v>0</v>
      </c>
      <c r="ON287" s="100">
        <f t="shared" si="107"/>
        <v>0</v>
      </c>
    </row>
    <row r="288" spans="1:404" ht="23.25" customHeight="1">
      <c r="A288" s="101" t="str">
        <f t="shared" si="110"/>
        <v>001/YAMATEI-2168-72800-04-06</v>
      </c>
      <c r="B288" s="95">
        <v>44416</v>
      </c>
      <c r="C288" s="97">
        <f t="shared" ca="1" si="111"/>
        <v>-648</v>
      </c>
      <c r="D288" s="145" t="s">
        <v>759</v>
      </c>
      <c r="E288" s="253" t="s">
        <v>761</v>
      </c>
      <c r="F288" s="98" t="str">
        <f t="shared" si="112"/>
        <v>06</v>
      </c>
      <c r="G288" s="110">
        <f ca="1">SUMIF($A:E,$A288,K:K)</f>
        <v>32</v>
      </c>
      <c r="H288" s="97" t="s">
        <v>1177</v>
      </c>
      <c r="I288" s="196">
        <v>32</v>
      </c>
      <c r="J288" s="146">
        <v>32</v>
      </c>
      <c r="K288" s="143">
        <f t="shared" si="106"/>
        <v>32</v>
      </c>
      <c r="L288" s="144">
        <f t="shared" si="115"/>
        <v>0</v>
      </c>
      <c r="M288" s="275">
        <f t="shared" si="101"/>
        <v>32</v>
      </c>
      <c r="N288" s="98">
        <v>3</v>
      </c>
      <c r="O288" s="93">
        <f t="shared" si="113"/>
        <v>100</v>
      </c>
      <c r="FX288" s="100">
        <v>4</v>
      </c>
      <c r="FZ288" s="100">
        <v>4</v>
      </c>
      <c r="GC288" s="100">
        <v>4</v>
      </c>
      <c r="GI288" s="100">
        <v>4</v>
      </c>
      <c r="GJ288" s="100">
        <v>3</v>
      </c>
      <c r="GK288" s="100">
        <v>2</v>
      </c>
      <c r="GN288" s="100">
        <v>8</v>
      </c>
      <c r="GW288" s="100">
        <v>3</v>
      </c>
      <c r="ON288" s="100">
        <f t="shared" si="107"/>
        <v>0</v>
      </c>
    </row>
    <row r="289" spans="1:404" ht="23.25" customHeight="1">
      <c r="A289" s="101" t="str">
        <f t="shared" si="110"/>
        <v>005/YAMATEI-21( Đợt 1)68-72800-04-01</v>
      </c>
      <c r="B289" s="95">
        <v>44437</v>
      </c>
      <c r="C289" s="97">
        <f t="shared" ca="1" si="111"/>
        <v>-627</v>
      </c>
      <c r="D289" s="96" t="s">
        <v>1210</v>
      </c>
      <c r="E289" s="94" t="s">
        <v>253</v>
      </c>
      <c r="F289" s="98" t="str">
        <f t="shared" si="112"/>
        <v>01</v>
      </c>
      <c r="G289" s="110">
        <f ca="1">SUMIF($A:E,$A289,K:K)</f>
        <v>16</v>
      </c>
      <c r="H289" s="97" t="s">
        <v>1177</v>
      </c>
      <c r="I289" s="98">
        <v>16</v>
      </c>
      <c r="J289" s="97">
        <v>16</v>
      </c>
      <c r="K289" s="143">
        <f t="shared" si="106"/>
        <v>16</v>
      </c>
      <c r="L289" s="144">
        <f t="shared" si="115"/>
        <v>0</v>
      </c>
      <c r="M289" s="275">
        <f t="shared" ref="M289:M341" si="116">IF(OR(MID(E289,10,1)="0",MID(E289,10,1)="F"),I289,IF(OR(,MID(E289,10,1)="S",MID(E289,10,1)="L",MID(E289,10,1)="B",MID(E289,10,1)="X"),MID(E289,11,1)*I289,0))</f>
        <v>16</v>
      </c>
      <c r="N289" s="98">
        <v>3</v>
      </c>
      <c r="O289" s="93">
        <f t="shared" si="113"/>
        <v>100</v>
      </c>
      <c r="FI289" s="100">
        <v>2</v>
      </c>
      <c r="FJ289" s="100">
        <v>2</v>
      </c>
      <c r="FK289" s="100">
        <v>2</v>
      </c>
      <c r="FL289" s="100">
        <v>2</v>
      </c>
      <c r="FM289" s="100">
        <v>2</v>
      </c>
      <c r="FO289" s="100">
        <v>2</v>
      </c>
      <c r="FP289" s="100">
        <v>2</v>
      </c>
      <c r="FQ289" s="100">
        <v>1</v>
      </c>
      <c r="FR289" s="100">
        <v>1</v>
      </c>
      <c r="ON289" s="100">
        <f t="shared" si="107"/>
        <v>0</v>
      </c>
    </row>
    <row r="290" spans="1:404" ht="23.25" customHeight="1">
      <c r="A290" s="101" t="str">
        <f>D290&amp;E291</f>
        <v>004T/OBI-2168-72800-04-01</v>
      </c>
      <c r="B290" s="95">
        <v>44464</v>
      </c>
      <c r="C290" s="97">
        <f t="shared" ca="1" si="111"/>
        <v>-600</v>
      </c>
      <c r="D290" s="96" t="s">
        <v>1214</v>
      </c>
      <c r="E290" s="94" t="s">
        <v>253</v>
      </c>
      <c r="F290" s="98" t="str">
        <f t="shared" si="112"/>
        <v>01</v>
      </c>
      <c r="G290" s="110">
        <f ca="1">SUMIF($A:E,$A290,K:K)</f>
        <v>120</v>
      </c>
      <c r="H290" s="97" t="s">
        <v>1213</v>
      </c>
      <c r="I290" s="98">
        <v>120</v>
      </c>
      <c r="J290" s="99">
        <v>120</v>
      </c>
      <c r="K290" s="143">
        <f t="shared" si="106"/>
        <v>120</v>
      </c>
      <c r="L290" s="144">
        <f t="shared" si="115"/>
        <v>0</v>
      </c>
      <c r="M290" s="275">
        <f t="shared" si="116"/>
        <v>120</v>
      </c>
      <c r="N290" s="98">
        <v>5</v>
      </c>
      <c r="O290" s="93">
        <f t="shared" si="113"/>
        <v>100</v>
      </c>
      <c r="FV290" s="100">
        <v>3</v>
      </c>
      <c r="FW290" s="100">
        <v>3</v>
      </c>
      <c r="FZ290" s="100">
        <v>9</v>
      </c>
      <c r="GB290" s="100">
        <v>2</v>
      </c>
      <c r="GC290" s="100">
        <v>1</v>
      </c>
      <c r="GD290" s="100">
        <v>1</v>
      </c>
      <c r="GG290" s="100">
        <v>4</v>
      </c>
      <c r="GH290" s="100">
        <v>5</v>
      </c>
      <c r="GI290" s="100">
        <v>3</v>
      </c>
      <c r="GL290" s="100">
        <v>6</v>
      </c>
      <c r="GN290" s="100">
        <v>5</v>
      </c>
      <c r="GO290" s="100">
        <v>4</v>
      </c>
      <c r="GP290" s="100">
        <v>2</v>
      </c>
      <c r="GR290" s="100">
        <v>5</v>
      </c>
      <c r="GS290" s="100">
        <v>2</v>
      </c>
      <c r="GU290" s="100">
        <v>3</v>
      </c>
      <c r="GV290" s="100">
        <v>3</v>
      </c>
      <c r="GW290" s="100">
        <v>3</v>
      </c>
      <c r="GY290" s="100">
        <v>9</v>
      </c>
      <c r="HB290" s="100">
        <v>3</v>
      </c>
      <c r="HC290" s="100">
        <v>3</v>
      </c>
      <c r="HD290" s="100">
        <v>3</v>
      </c>
      <c r="HF290" s="100">
        <v>5</v>
      </c>
      <c r="HI290" s="100">
        <v>1</v>
      </c>
      <c r="HJ290" s="100">
        <v>9</v>
      </c>
      <c r="HM290" s="100">
        <v>3</v>
      </c>
      <c r="HP290" s="100">
        <v>3</v>
      </c>
      <c r="HQ290" s="100">
        <v>9</v>
      </c>
      <c r="HR290" s="100">
        <v>1</v>
      </c>
      <c r="HS290" s="100">
        <v>5</v>
      </c>
      <c r="HU290" s="100">
        <v>2</v>
      </c>
      <c r="ON290" s="100">
        <f t="shared" si="107"/>
        <v>0</v>
      </c>
    </row>
    <row r="291" spans="1:404" ht="23.25" customHeight="1">
      <c r="A291" s="101" t="str">
        <f t="shared" ref="A291:A327" si="117">D291&amp;E291</f>
        <v>007/YAMATEI-2168-72800-04-01</v>
      </c>
      <c r="B291" s="95">
        <v>44641</v>
      </c>
      <c r="C291" s="97">
        <f t="shared" ca="1" si="111"/>
        <v>-423</v>
      </c>
      <c r="D291" s="112" t="s">
        <v>1569</v>
      </c>
      <c r="E291" s="279" t="s">
        <v>253</v>
      </c>
      <c r="F291" s="98" t="str">
        <f t="shared" si="112"/>
        <v>01</v>
      </c>
      <c r="G291" s="110">
        <f ca="1">SUMIF($A:E,$A291,K:K)</f>
        <v>0</v>
      </c>
      <c r="H291" s="97" t="s">
        <v>1757</v>
      </c>
      <c r="I291" s="175">
        <v>16</v>
      </c>
      <c r="J291" s="115">
        <v>16</v>
      </c>
      <c r="K291" s="143">
        <f t="shared" si="106"/>
        <v>0</v>
      </c>
      <c r="L291" s="144">
        <f t="shared" si="115"/>
        <v>16</v>
      </c>
      <c r="M291" s="275">
        <f t="shared" si="116"/>
        <v>16</v>
      </c>
      <c r="N291" s="98"/>
      <c r="O291" s="93">
        <f>K291/J291*100</f>
        <v>0</v>
      </c>
      <c r="ON291" s="100">
        <f t="shared" si="107"/>
        <v>0</v>
      </c>
    </row>
    <row r="292" spans="1:404" ht="23.25" customHeight="1">
      <c r="A292" s="101" t="str">
        <f t="shared" si="117"/>
        <v>051/POTTERYPOT-2168-72800-03-A</v>
      </c>
      <c r="B292" s="95" t="s">
        <v>838</v>
      </c>
      <c r="C292" s="97">
        <f t="shared" ref="C292:C322" ca="1" si="118">B292-TODAY()</f>
        <v>-660</v>
      </c>
      <c r="D292" s="145" t="s">
        <v>837</v>
      </c>
      <c r="E292" s="253" t="s">
        <v>230</v>
      </c>
      <c r="F292" s="98" t="str">
        <f t="shared" ref="F292:F322" si="119">MID(E292,13,2)</f>
        <v>A</v>
      </c>
      <c r="G292" s="110">
        <f ca="1">SUMIF($A:E,$A292,K:K)</f>
        <v>36</v>
      </c>
      <c r="H292" s="97" t="s">
        <v>840</v>
      </c>
      <c r="I292" s="196">
        <v>36</v>
      </c>
      <c r="J292" s="146">
        <v>36</v>
      </c>
      <c r="K292" s="143">
        <f t="shared" si="106"/>
        <v>36</v>
      </c>
      <c r="L292" s="144">
        <f t="shared" si="115"/>
        <v>0</v>
      </c>
      <c r="M292" s="275">
        <f t="shared" si="116"/>
        <v>36</v>
      </c>
      <c r="N292" s="98">
        <v>5</v>
      </c>
      <c r="O292" s="93">
        <f t="shared" ref="O292:O322" si="120">K292/J292*100</f>
        <v>100</v>
      </c>
      <c r="DY292" s="100">
        <v>3</v>
      </c>
      <c r="DZ292" s="100">
        <v>3</v>
      </c>
      <c r="EA292" s="100">
        <v>2</v>
      </c>
      <c r="EC292" s="100">
        <v>3</v>
      </c>
      <c r="ED292" s="100">
        <v>4</v>
      </c>
      <c r="EF292" s="100">
        <v>3</v>
      </c>
      <c r="EG292" s="100">
        <v>2</v>
      </c>
      <c r="EH292" s="100">
        <v>4</v>
      </c>
      <c r="EI292" s="100">
        <v>6</v>
      </c>
      <c r="EJ292" s="100">
        <v>6</v>
      </c>
      <c r="ON292" s="100">
        <f t="shared" si="107"/>
        <v>0</v>
      </c>
    </row>
    <row r="293" spans="1:404" ht="23.25" customHeight="1">
      <c r="A293" s="101" t="str">
        <f t="shared" si="117"/>
        <v>004/POTTERYPOT-2168-72800-03-A</v>
      </c>
      <c r="B293" s="95">
        <v>44391</v>
      </c>
      <c r="C293" s="97">
        <f t="shared" ca="1" si="118"/>
        <v>-673</v>
      </c>
      <c r="D293" s="96" t="s">
        <v>775</v>
      </c>
      <c r="E293" s="94" t="s">
        <v>230</v>
      </c>
      <c r="F293" s="98" t="str">
        <f t="shared" si="119"/>
        <v>A</v>
      </c>
      <c r="G293" s="110">
        <f ca="1">SUMIF($A:E,$A293,K:K)</f>
        <v>30</v>
      </c>
      <c r="H293" s="97" t="s">
        <v>601</v>
      </c>
      <c r="I293" s="98">
        <v>30</v>
      </c>
      <c r="J293" s="97">
        <v>30</v>
      </c>
      <c r="K293" s="143">
        <f t="shared" si="106"/>
        <v>30</v>
      </c>
      <c r="L293" s="144">
        <f t="shared" si="115"/>
        <v>0</v>
      </c>
      <c r="M293" s="275">
        <f t="shared" si="116"/>
        <v>30</v>
      </c>
      <c r="N293" s="98">
        <v>3</v>
      </c>
      <c r="O293" s="93">
        <f t="shared" si="120"/>
        <v>100</v>
      </c>
      <c r="CX293" s="101">
        <v>2</v>
      </c>
      <c r="CZ293" s="101">
        <v>2</v>
      </c>
      <c r="DA293" s="101">
        <v>2</v>
      </c>
      <c r="DB293" s="101">
        <v>2</v>
      </c>
      <c r="DD293" s="101">
        <v>2</v>
      </c>
      <c r="DE293" s="101">
        <v>2</v>
      </c>
      <c r="DF293" s="101">
        <v>2</v>
      </c>
      <c r="DG293" s="101">
        <v>4</v>
      </c>
      <c r="DK293" s="101">
        <v>3</v>
      </c>
      <c r="DL293" s="101">
        <v>2</v>
      </c>
      <c r="DM293" s="101">
        <v>4</v>
      </c>
      <c r="DN293" s="101">
        <v>3</v>
      </c>
      <c r="ON293" s="100">
        <f t="shared" si="107"/>
        <v>0</v>
      </c>
    </row>
    <row r="294" spans="1:404" ht="23.25" customHeight="1">
      <c r="A294" s="101" t="str">
        <f t="shared" si="117"/>
        <v>143/KHBS-2168-72800-03-A</v>
      </c>
      <c r="B294" s="95">
        <v>44294</v>
      </c>
      <c r="C294" s="97">
        <f t="shared" ca="1" si="118"/>
        <v>-770</v>
      </c>
      <c r="D294" s="96" t="s">
        <v>825</v>
      </c>
      <c r="E294" s="94" t="s">
        <v>230</v>
      </c>
      <c r="F294" s="98" t="str">
        <f t="shared" si="119"/>
        <v>A</v>
      </c>
      <c r="G294" s="110">
        <f ca="1">SUMIF($A:E,$A294,K:K)</f>
        <v>6</v>
      </c>
      <c r="H294" s="97" t="s">
        <v>512</v>
      </c>
      <c r="I294" s="98">
        <v>6</v>
      </c>
      <c r="J294" s="99">
        <v>6</v>
      </c>
      <c r="K294" s="143">
        <f t="shared" si="106"/>
        <v>6</v>
      </c>
      <c r="L294" s="144">
        <f t="shared" si="115"/>
        <v>0</v>
      </c>
      <c r="M294" s="275">
        <f t="shared" si="116"/>
        <v>6</v>
      </c>
      <c r="N294" s="98">
        <v>2</v>
      </c>
      <c r="O294" s="93">
        <f t="shared" si="120"/>
        <v>100</v>
      </c>
      <c r="CK294" s="101">
        <v>2</v>
      </c>
      <c r="CL294" s="101">
        <v>4</v>
      </c>
      <c r="ON294" s="100">
        <f t="shared" si="107"/>
        <v>0</v>
      </c>
    </row>
    <row r="295" spans="1:404" ht="23.25" customHeight="1">
      <c r="A295" s="101" t="str">
        <f t="shared" si="117"/>
        <v>036/POTTERYPOT-2168-72800-03-A</v>
      </c>
      <c r="B295" s="95">
        <v>44413</v>
      </c>
      <c r="C295" s="97">
        <f t="shared" ca="1" si="118"/>
        <v>-651</v>
      </c>
      <c r="D295" s="96" t="s">
        <v>814</v>
      </c>
      <c r="E295" s="94" t="s">
        <v>230</v>
      </c>
      <c r="F295" s="98" t="str">
        <f t="shared" si="119"/>
        <v>A</v>
      </c>
      <c r="G295" s="110">
        <f ca="1">SUMIF($A:E,$A295,K:K)</f>
        <v>12</v>
      </c>
      <c r="H295" s="97" t="s">
        <v>601</v>
      </c>
      <c r="I295" s="98">
        <v>12</v>
      </c>
      <c r="J295" s="99">
        <v>12</v>
      </c>
      <c r="K295" s="143">
        <f t="shared" si="106"/>
        <v>12</v>
      </c>
      <c r="L295" s="144">
        <f t="shared" si="115"/>
        <v>0</v>
      </c>
      <c r="M295" s="275">
        <f t="shared" si="116"/>
        <v>12</v>
      </c>
      <c r="N295" s="98">
        <v>4</v>
      </c>
      <c r="O295" s="93">
        <f t="shared" si="120"/>
        <v>100</v>
      </c>
      <c r="ER295" s="100">
        <v>2</v>
      </c>
      <c r="ET295" s="100">
        <v>4</v>
      </c>
      <c r="EU295" s="100">
        <v>2</v>
      </c>
      <c r="EV295" s="100">
        <v>2</v>
      </c>
      <c r="EW295" s="100">
        <v>2</v>
      </c>
      <c r="ON295" s="100">
        <f t="shared" si="107"/>
        <v>0</v>
      </c>
    </row>
    <row r="296" spans="1:404" ht="23.25" customHeight="1">
      <c r="A296" s="101" t="str">
        <f t="shared" si="117"/>
        <v>086/POTTERYPOT-2168-72800-03-A</v>
      </c>
      <c r="B296" s="95">
        <v>44434</v>
      </c>
      <c r="C296" s="97">
        <f t="shared" ca="1" si="118"/>
        <v>-630</v>
      </c>
      <c r="D296" s="96" t="s">
        <v>884</v>
      </c>
      <c r="E296" s="94" t="s">
        <v>230</v>
      </c>
      <c r="F296" s="98" t="str">
        <f t="shared" si="119"/>
        <v>A</v>
      </c>
      <c r="G296" s="110">
        <f ca="1">SUMIF($A:E,$A296,K:K)</f>
        <v>18</v>
      </c>
      <c r="H296" s="97" t="s">
        <v>927</v>
      </c>
      <c r="I296" s="98">
        <v>18</v>
      </c>
      <c r="J296" s="97">
        <v>18</v>
      </c>
      <c r="K296" s="143">
        <f t="shared" si="106"/>
        <v>18</v>
      </c>
      <c r="L296" s="144">
        <f t="shared" si="115"/>
        <v>0</v>
      </c>
      <c r="M296" s="275">
        <f t="shared" si="116"/>
        <v>18</v>
      </c>
      <c r="N296" s="98">
        <v>4</v>
      </c>
      <c r="O296" s="93">
        <f t="shared" si="120"/>
        <v>100</v>
      </c>
      <c r="FB296" s="100">
        <v>4</v>
      </c>
      <c r="FC296" s="100">
        <v>2</v>
      </c>
      <c r="FD296" s="100">
        <v>3</v>
      </c>
      <c r="FE296" s="100">
        <v>2</v>
      </c>
      <c r="FF296" s="100">
        <v>2</v>
      </c>
      <c r="FI296" s="100">
        <v>4</v>
      </c>
      <c r="FJ296" s="100">
        <v>1</v>
      </c>
      <c r="ON296" s="100">
        <f t="shared" si="107"/>
        <v>0</v>
      </c>
    </row>
    <row r="297" spans="1:404" ht="23.25" customHeight="1">
      <c r="A297" s="101" t="str">
        <f t="shared" si="117"/>
        <v>123/POTTERYPOT-2168-72800-03-A</v>
      </c>
      <c r="B297" s="95">
        <v>44436</v>
      </c>
      <c r="C297" s="97">
        <f t="shared" ca="1" si="118"/>
        <v>-628</v>
      </c>
      <c r="D297" s="96" t="s">
        <v>926</v>
      </c>
      <c r="E297" s="94" t="s">
        <v>230</v>
      </c>
      <c r="F297" s="98" t="str">
        <f t="shared" si="119"/>
        <v>A</v>
      </c>
      <c r="G297" s="110">
        <f ca="1">SUMIF($A:E,$A297,K:K)</f>
        <v>30</v>
      </c>
      <c r="H297" s="97" t="s">
        <v>927</v>
      </c>
      <c r="I297" s="98">
        <v>30</v>
      </c>
      <c r="J297" s="97">
        <v>30</v>
      </c>
      <c r="K297" s="143">
        <f t="shared" si="106"/>
        <v>30</v>
      </c>
      <c r="L297" s="144">
        <f t="shared" si="115"/>
        <v>0</v>
      </c>
      <c r="M297" s="275">
        <f t="shared" si="116"/>
        <v>30</v>
      </c>
      <c r="N297" s="98">
        <v>4</v>
      </c>
      <c r="O297" s="93">
        <f t="shared" si="120"/>
        <v>100</v>
      </c>
      <c r="FJ297" s="100">
        <v>2</v>
      </c>
      <c r="FK297" s="100">
        <v>2</v>
      </c>
      <c r="FL297" s="100">
        <v>2</v>
      </c>
      <c r="FM297" s="100">
        <v>4</v>
      </c>
      <c r="FP297" s="100">
        <v>7</v>
      </c>
      <c r="FQ297" s="100">
        <v>5</v>
      </c>
      <c r="FR297" s="100">
        <v>8</v>
      </c>
      <c r="ON297" s="100">
        <f t="shared" si="107"/>
        <v>0</v>
      </c>
    </row>
    <row r="298" spans="1:404" ht="23.25" customHeight="1">
      <c r="A298" s="101" t="str">
        <f t="shared" si="117"/>
        <v>041A/NY/PP-USA-2168-72800-03-A</v>
      </c>
      <c r="B298" s="95">
        <v>44432</v>
      </c>
      <c r="C298" s="97">
        <f t="shared" ca="1" si="118"/>
        <v>-632</v>
      </c>
      <c r="D298" s="96" t="s">
        <v>978</v>
      </c>
      <c r="E298" s="94" t="s">
        <v>230</v>
      </c>
      <c r="F298" s="98" t="str">
        <f t="shared" si="119"/>
        <v>A</v>
      </c>
      <c r="G298" s="110">
        <f ca="1">SUMIF($A:E,$A298,K:K)</f>
        <v>6</v>
      </c>
      <c r="H298" s="97" t="s">
        <v>508</v>
      </c>
      <c r="I298" s="98">
        <v>6</v>
      </c>
      <c r="J298" s="99">
        <v>6</v>
      </c>
      <c r="K298" s="143">
        <f t="shared" si="106"/>
        <v>6</v>
      </c>
      <c r="L298" s="144">
        <f t="shared" si="115"/>
        <v>0</v>
      </c>
      <c r="M298" s="275">
        <f t="shared" si="116"/>
        <v>6</v>
      </c>
      <c r="N298" s="98">
        <v>3</v>
      </c>
      <c r="O298" s="93">
        <f t="shared" si="120"/>
        <v>100</v>
      </c>
      <c r="GR298" s="100">
        <v>4</v>
      </c>
      <c r="HM298" s="100">
        <v>2</v>
      </c>
      <c r="ON298" s="100">
        <f t="shared" si="107"/>
        <v>0</v>
      </c>
    </row>
    <row r="299" spans="1:404" ht="23.25" customHeight="1">
      <c r="A299" s="101" t="str">
        <f t="shared" si="117"/>
        <v>160/POTTERYPOT-2168-72800-03-A</v>
      </c>
      <c r="B299" s="95">
        <v>44453</v>
      </c>
      <c r="C299" s="97">
        <f t="shared" ca="1" si="118"/>
        <v>-611</v>
      </c>
      <c r="D299" s="96" t="s">
        <v>1006</v>
      </c>
      <c r="E299" s="94" t="s">
        <v>230</v>
      </c>
      <c r="F299" s="98" t="str">
        <f t="shared" si="119"/>
        <v>A</v>
      </c>
      <c r="G299" s="110">
        <f ca="1">SUMIF($A:E,$A299,K:K)</f>
        <v>6</v>
      </c>
      <c r="H299" s="97" t="s">
        <v>601</v>
      </c>
      <c r="I299" s="98">
        <v>6</v>
      </c>
      <c r="J299" s="97">
        <v>6</v>
      </c>
      <c r="K299" s="143">
        <f t="shared" si="106"/>
        <v>6</v>
      </c>
      <c r="L299" s="144">
        <f t="shared" si="115"/>
        <v>0</v>
      </c>
      <c r="M299" s="275">
        <f t="shared" si="116"/>
        <v>6</v>
      </c>
      <c r="N299" s="98">
        <v>4</v>
      </c>
      <c r="O299" s="93">
        <f t="shared" si="120"/>
        <v>100</v>
      </c>
      <c r="FX299" s="100">
        <v>6</v>
      </c>
      <c r="ON299" s="100">
        <f t="shared" si="107"/>
        <v>0</v>
      </c>
    </row>
    <row r="300" spans="1:404" ht="23.25" customHeight="1">
      <c r="A300" s="101" t="str">
        <f t="shared" si="117"/>
        <v>058/NY/PP-USA-2168-72800-03-A</v>
      </c>
      <c r="B300" s="95">
        <v>44575</v>
      </c>
      <c r="C300" s="97">
        <f t="shared" ca="1" si="118"/>
        <v>-489</v>
      </c>
      <c r="D300" s="96" t="s">
        <v>1029</v>
      </c>
      <c r="E300" s="280" t="s">
        <v>230</v>
      </c>
      <c r="F300" s="98" t="str">
        <f t="shared" si="119"/>
        <v>A</v>
      </c>
      <c r="G300" s="110">
        <f ca="1">SUMIF($A:E,$A300,K:K)</f>
        <v>28</v>
      </c>
      <c r="H300" s="97" t="s">
        <v>933</v>
      </c>
      <c r="I300" s="98">
        <v>28</v>
      </c>
      <c r="J300" s="97">
        <v>28</v>
      </c>
      <c r="K300" s="143">
        <f t="shared" si="106"/>
        <v>28</v>
      </c>
      <c r="L300" s="144">
        <f t="shared" si="115"/>
        <v>0</v>
      </c>
      <c r="M300" s="275">
        <f t="shared" si="116"/>
        <v>28</v>
      </c>
      <c r="N300" s="98" t="s">
        <v>1776</v>
      </c>
      <c r="O300" s="93">
        <f t="shared" si="120"/>
        <v>100</v>
      </c>
      <c r="ML300" s="100">
        <v>2</v>
      </c>
      <c r="MM300" s="100">
        <v>4</v>
      </c>
      <c r="MN300" s="100">
        <v>6</v>
      </c>
      <c r="MO300" s="100">
        <v>12</v>
      </c>
      <c r="MQ300" s="100">
        <v>4</v>
      </c>
      <c r="ON300" s="100">
        <f t="shared" si="107"/>
        <v>0</v>
      </c>
    </row>
    <row r="301" spans="1:404" ht="23.25" customHeight="1">
      <c r="A301" s="101" t="str">
        <f t="shared" si="117"/>
        <v>059/NY/PP-USA-2168-72800-03-A</v>
      </c>
      <c r="B301" s="95">
        <v>44663</v>
      </c>
      <c r="C301" s="97">
        <f t="shared" ca="1" si="118"/>
        <v>-401</v>
      </c>
      <c r="D301" s="96" t="s">
        <v>1030</v>
      </c>
      <c r="E301" s="280" t="s">
        <v>230</v>
      </c>
      <c r="F301" s="98" t="str">
        <f t="shared" si="119"/>
        <v>A</v>
      </c>
      <c r="G301" s="110">
        <f ca="1">SUMIF($A:E,$A301,K:K)</f>
        <v>24</v>
      </c>
      <c r="H301" s="97" t="s">
        <v>933</v>
      </c>
      <c r="I301" s="98">
        <v>12</v>
      </c>
      <c r="J301" s="97">
        <v>12</v>
      </c>
      <c r="K301" s="143">
        <f t="shared" si="106"/>
        <v>24</v>
      </c>
      <c r="L301" s="144">
        <f t="shared" si="115"/>
        <v>-12</v>
      </c>
      <c r="M301" s="275">
        <f t="shared" si="116"/>
        <v>12</v>
      </c>
      <c r="N301" s="98" t="s">
        <v>1776</v>
      </c>
      <c r="O301" s="93">
        <f>K301/J301*100</f>
        <v>200</v>
      </c>
      <c r="OM301" s="100">
        <v>12</v>
      </c>
      <c r="ON301" s="100">
        <f t="shared" si="107"/>
        <v>12</v>
      </c>
    </row>
    <row r="302" spans="1:404" ht="23.25" customHeight="1">
      <c r="A302" s="101" t="str">
        <f t="shared" si="117"/>
        <v>060/NY/PP-USA-2168-72800-03-A</v>
      </c>
      <c r="B302" s="95">
        <v>44578</v>
      </c>
      <c r="C302" s="97">
        <f t="shared" ca="1" si="118"/>
        <v>-486</v>
      </c>
      <c r="D302" s="96" t="s">
        <v>1031</v>
      </c>
      <c r="E302" s="280" t="s">
        <v>230</v>
      </c>
      <c r="F302" s="98" t="str">
        <f t="shared" si="119"/>
        <v>A</v>
      </c>
      <c r="G302" s="110">
        <f ca="1">SUMIF($A:E,$A302,K:K)</f>
        <v>18</v>
      </c>
      <c r="H302" s="97" t="s">
        <v>933</v>
      </c>
      <c r="I302" s="98">
        <v>18</v>
      </c>
      <c r="J302" s="98">
        <v>18</v>
      </c>
      <c r="K302" s="143">
        <f t="shared" si="106"/>
        <v>18</v>
      </c>
      <c r="L302" s="144">
        <f t="shared" si="115"/>
        <v>0</v>
      </c>
      <c r="M302" s="275">
        <f t="shared" si="116"/>
        <v>18</v>
      </c>
      <c r="N302" s="98" t="s">
        <v>1776</v>
      </c>
      <c r="O302" s="93">
        <f t="shared" si="120"/>
        <v>100</v>
      </c>
      <c r="MQ302" s="100">
        <v>2</v>
      </c>
      <c r="MR302" s="100">
        <v>6</v>
      </c>
      <c r="MS302" s="100">
        <v>6</v>
      </c>
      <c r="MT302" s="100">
        <v>3</v>
      </c>
      <c r="MU302" s="100">
        <v>1</v>
      </c>
      <c r="ON302" s="100">
        <f t="shared" si="107"/>
        <v>0</v>
      </c>
    </row>
    <row r="303" spans="1:404" ht="23.25" customHeight="1">
      <c r="A303" s="101" t="str">
        <f t="shared" si="117"/>
        <v>191/POTTERYPOT-2168-72800-03-A</v>
      </c>
      <c r="B303" s="95">
        <v>44671</v>
      </c>
      <c r="C303" s="97">
        <f t="shared" ca="1" si="118"/>
        <v>-393</v>
      </c>
      <c r="D303" s="96" t="s">
        <v>1033</v>
      </c>
      <c r="E303" s="280" t="s">
        <v>230</v>
      </c>
      <c r="F303" s="98" t="str">
        <f t="shared" si="119"/>
        <v>A</v>
      </c>
      <c r="G303" s="110">
        <f ca="1">SUMIF($A:E,$A303,K:K)</f>
        <v>28</v>
      </c>
      <c r="H303" s="97" t="s">
        <v>601</v>
      </c>
      <c r="I303" s="98">
        <v>14</v>
      </c>
      <c r="J303" s="97">
        <v>14</v>
      </c>
      <c r="K303" s="143">
        <f t="shared" si="106"/>
        <v>28</v>
      </c>
      <c r="L303" s="144">
        <f t="shared" si="115"/>
        <v>-14</v>
      </c>
      <c r="M303" s="275">
        <f t="shared" si="116"/>
        <v>14</v>
      </c>
      <c r="N303" s="98" t="s">
        <v>1776</v>
      </c>
      <c r="O303" s="93">
        <f>K303/J303*100</f>
        <v>200</v>
      </c>
      <c r="OF303" s="100">
        <v>11</v>
      </c>
      <c r="OG303" s="100">
        <v>3</v>
      </c>
      <c r="ON303" s="100">
        <f t="shared" si="107"/>
        <v>14</v>
      </c>
    </row>
    <row r="304" spans="1:404" ht="23.25" customHeight="1">
      <c r="A304" s="101" t="str">
        <f t="shared" si="117"/>
        <v>192/POTTERYPOT-2168-72800-03-A</v>
      </c>
      <c r="B304" s="95">
        <v>44445</v>
      </c>
      <c r="C304" s="97">
        <f t="shared" ca="1" si="118"/>
        <v>-619</v>
      </c>
      <c r="D304" s="96" t="s">
        <v>1034</v>
      </c>
      <c r="E304" s="94" t="s">
        <v>230</v>
      </c>
      <c r="F304" s="98" t="str">
        <f t="shared" si="119"/>
        <v>A</v>
      </c>
      <c r="G304" s="110">
        <f ca="1">SUMIF($A:E,$A304,K:K)</f>
        <v>28</v>
      </c>
      <c r="H304" s="97" t="s">
        <v>601</v>
      </c>
      <c r="I304" s="98">
        <v>28</v>
      </c>
      <c r="J304" s="97">
        <v>28</v>
      </c>
      <c r="K304" s="143">
        <f t="shared" si="106"/>
        <v>28</v>
      </c>
      <c r="L304" s="144">
        <f t="shared" si="115"/>
        <v>0</v>
      </c>
      <c r="M304" s="275">
        <f t="shared" si="116"/>
        <v>28</v>
      </c>
      <c r="N304" s="98">
        <v>4</v>
      </c>
      <c r="O304" s="93">
        <f t="shared" si="120"/>
        <v>100</v>
      </c>
      <c r="FT304" s="100">
        <v>4</v>
      </c>
      <c r="FU304" s="100">
        <v>10</v>
      </c>
      <c r="FW304" s="100">
        <v>10</v>
      </c>
      <c r="FX304" s="100">
        <v>4</v>
      </c>
      <c r="ON304" s="100">
        <f t="shared" si="107"/>
        <v>0</v>
      </c>
    </row>
    <row r="305" spans="1:404" ht="23.25" customHeight="1">
      <c r="A305" s="101" t="str">
        <f t="shared" si="117"/>
        <v>193/POTTERYPOT-2168-72800-03-A</v>
      </c>
      <c r="B305" s="95">
        <v>44464</v>
      </c>
      <c r="C305" s="97">
        <f t="shared" ca="1" si="118"/>
        <v>-600</v>
      </c>
      <c r="D305" s="96" t="s">
        <v>1035</v>
      </c>
      <c r="E305" s="94" t="s">
        <v>230</v>
      </c>
      <c r="F305" s="98" t="str">
        <f t="shared" si="119"/>
        <v>A</v>
      </c>
      <c r="G305" s="110">
        <f ca="1">SUMIF($A:E,$A305,K:K)</f>
        <v>28</v>
      </c>
      <c r="H305" s="97" t="s">
        <v>601</v>
      </c>
      <c r="I305" s="98">
        <v>28</v>
      </c>
      <c r="J305" s="97">
        <v>28</v>
      </c>
      <c r="K305" s="143">
        <f t="shared" si="106"/>
        <v>28</v>
      </c>
      <c r="L305" s="144">
        <f t="shared" si="115"/>
        <v>0</v>
      </c>
      <c r="M305" s="275">
        <f t="shared" si="116"/>
        <v>28</v>
      </c>
      <c r="N305" s="98">
        <v>4</v>
      </c>
      <c r="O305" s="93">
        <f t="shared" si="120"/>
        <v>100</v>
      </c>
      <c r="FX305" s="100">
        <v>1</v>
      </c>
      <c r="FZ305" s="100">
        <v>3</v>
      </c>
      <c r="GA305" s="100">
        <v>3</v>
      </c>
      <c r="GB305" s="100">
        <v>9</v>
      </c>
      <c r="GC305" s="100">
        <v>5</v>
      </c>
      <c r="GD305" s="100">
        <v>4</v>
      </c>
      <c r="GE305" s="100">
        <v>3</v>
      </c>
      <c r="ON305" s="100">
        <f t="shared" si="107"/>
        <v>0</v>
      </c>
    </row>
    <row r="306" spans="1:404" ht="23.25" customHeight="1">
      <c r="A306" s="101" t="str">
        <f t="shared" si="117"/>
        <v>194/POTTERYPOT-2168-72800-03-A</v>
      </c>
      <c r="B306" s="95">
        <v>44469</v>
      </c>
      <c r="C306" s="97">
        <f t="shared" ca="1" si="118"/>
        <v>-595</v>
      </c>
      <c r="D306" s="96" t="s">
        <v>1036</v>
      </c>
      <c r="E306" s="94" t="s">
        <v>230</v>
      </c>
      <c r="F306" s="98" t="str">
        <f t="shared" si="119"/>
        <v>A</v>
      </c>
      <c r="G306" s="110">
        <f ca="1">SUMIF($A:E,$A306,K:K)</f>
        <v>28</v>
      </c>
      <c r="H306" s="97" t="s">
        <v>601</v>
      </c>
      <c r="I306" s="98">
        <v>28</v>
      </c>
      <c r="J306" s="97">
        <v>28</v>
      </c>
      <c r="K306" s="143">
        <f t="shared" si="106"/>
        <v>28</v>
      </c>
      <c r="L306" s="144">
        <f t="shared" si="115"/>
        <v>0</v>
      </c>
      <c r="M306" s="275">
        <f t="shared" si="116"/>
        <v>28</v>
      </c>
      <c r="N306" s="98">
        <v>4</v>
      </c>
      <c r="O306" s="93">
        <f t="shared" si="120"/>
        <v>100</v>
      </c>
      <c r="GE306" s="100">
        <v>3</v>
      </c>
      <c r="GG306" s="100">
        <v>5</v>
      </c>
      <c r="GH306" s="100">
        <v>10</v>
      </c>
      <c r="GI306" s="100">
        <v>5</v>
      </c>
      <c r="GK306" s="100">
        <v>5</v>
      </c>
      <c r="ON306" s="100">
        <f t="shared" si="107"/>
        <v>0</v>
      </c>
    </row>
    <row r="307" spans="1:404" ht="23.25" customHeight="1">
      <c r="A307" s="101" t="str">
        <f t="shared" si="117"/>
        <v>195/POTTERYPOT-2168-72800-03-A</v>
      </c>
      <c r="B307" s="95">
        <v>44468</v>
      </c>
      <c r="C307" s="97">
        <f t="shared" ca="1" si="118"/>
        <v>-596</v>
      </c>
      <c r="D307" s="96" t="s">
        <v>1037</v>
      </c>
      <c r="E307" s="94" t="s">
        <v>230</v>
      </c>
      <c r="F307" s="98" t="str">
        <f t="shared" si="119"/>
        <v>A</v>
      </c>
      <c r="G307" s="110">
        <f ca="1">SUMIF($A:E,$A307,K:K)</f>
        <v>2</v>
      </c>
      <c r="H307" s="97" t="s">
        <v>601</v>
      </c>
      <c r="I307" s="98">
        <v>2</v>
      </c>
      <c r="J307" s="97">
        <v>2</v>
      </c>
      <c r="K307" s="143">
        <f t="shared" si="106"/>
        <v>2</v>
      </c>
      <c r="L307" s="144">
        <f t="shared" si="115"/>
        <v>0</v>
      </c>
      <c r="M307" s="275">
        <f t="shared" si="116"/>
        <v>2</v>
      </c>
      <c r="N307" s="98">
        <v>4</v>
      </c>
      <c r="O307" s="93">
        <f t="shared" si="120"/>
        <v>100</v>
      </c>
      <c r="GV307" s="100">
        <v>1</v>
      </c>
      <c r="GX307" s="100">
        <v>1</v>
      </c>
      <c r="ON307" s="100">
        <f t="shared" si="107"/>
        <v>0</v>
      </c>
    </row>
    <row r="308" spans="1:404" ht="23.25" customHeight="1">
      <c r="A308" s="101" t="str">
        <f t="shared" si="117"/>
        <v>197/POTTERYPOT-2168-72800-03-A</v>
      </c>
      <c r="B308" s="95">
        <v>44471</v>
      </c>
      <c r="C308" s="97">
        <f t="shared" ca="1" si="118"/>
        <v>-593</v>
      </c>
      <c r="D308" s="96" t="s">
        <v>1039</v>
      </c>
      <c r="E308" s="94" t="s">
        <v>230</v>
      </c>
      <c r="F308" s="98" t="str">
        <f t="shared" si="119"/>
        <v>A</v>
      </c>
      <c r="G308" s="110">
        <f ca="1">SUMIF($A:E,$A308,K:K)</f>
        <v>48</v>
      </c>
      <c r="H308" s="97" t="s">
        <v>601</v>
      </c>
      <c r="I308" s="98">
        <v>48</v>
      </c>
      <c r="J308" s="99">
        <v>48</v>
      </c>
      <c r="K308" s="143">
        <f t="shared" si="106"/>
        <v>48</v>
      </c>
      <c r="L308" s="144">
        <f t="shared" si="115"/>
        <v>0</v>
      </c>
      <c r="M308" s="275">
        <f t="shared" si="116"/>
        <v>48</v>
      </c>
      <c r="N308" s="98">
        <v>4</v>
      </c>
      <c r="O308" s="93">
        <f t="shared" si="120"/>
        <v>100</v>
      </c>
      <c r="GK308" s="100">
        <v>3</v>
      </c>
      <c r="GO308" s="100">
        <v>21</v>
      </c>
      <c r="GP308" s="100">
        <v>5</v>
      </c>
      <c r="GR308" s="100">
        <v>5</v>
      </c>
      <c r="GS308" s="100">
        <v>10</v>
      </c>
      <c r="GV308" s="100">
        <v>4</v>
      </c>
      <c r="ON308" s="100">
        <f t="shared" si="107"/>
        <v>0</v>
      </c>
    </row>
    <row r="309" spans="1:404" ht="23.25" customHeight="1">
      <c r="A309" s="101" t="str">
        <f t="shared" si="117"/>
        <v>255/POTTERYPOT-2168-72800-03-A</v>
      </c>
      <c r="B309" s="95">
        <v>44541</v>
      </c>
      <c r="C309" s="97">
        <f t="shared" ca="1" si="118"/>
        <v>-523</v>
      </c>
      <c r="D309" s="96" t="s">
        <v>1040</v>
      </c>
      <c r="E309" s="280" t="s">
        <v>230</v>
      </c>
      <c r="F309" s="98" t="str">
        <f t="shared" si="119"/>
        <v>A</v>
      </c>
      <c r="G309" s="110">
        <f ca="1">SUMIF($A:E,$A309,K:K)</f>
        <v>12</v>
      </c>
      <c r="H309" s="97" t="s">
        <v>601</v>
      </c>
      <c r="I309" s="98">
        <v>12</v>
      </c>
      <c r="J309" s="99">
        <v>12</v>
      </c>
      <c r="K309" s="143">
        <f t="shared" si="106"/>
        <v>12</v>
      </c>
      <c r="L309" s="144">
        <f t="shared" si="115"/>
        <v>0</v>
      </c>
      <c r="M309" s="275">
        <f t="shared" si="116"/>
        <v>12</v>
      </c>
      <c r="N309" s="98" t="s">
        <v>1776</v>
      </c>
      <c r="O309" s="93">
        <f t="shared" si="120"/>
        <v>100</v>
      </c>
      <c r="JI309" s="100">
        <v>1</v>
      </c>
      <c r="JM309" s="100">
        <v>10</v>
      </c>
      <c r="JN309" s="100">
        <v>1</v>
      </c>
      <c r="ON309" s="100">
        <f t="shared" si="107"/>
        <v>0</v>
      </c>
    </row>
    <row r="310" spans="1:404" ht="23.25" customHeight="1">
      <c r="A310" s="101" t="str">
        <f t="shared" si="117"/>
        <v>125A/POTTERYPOT-2168-72800-03-A</v>
      </c>
      <c r="B310" s="95">
        <v>44453</v>
      </c>
      <c r="C310" s="97">
        <f t="shared" ca="1" si="118"/>
        <v>-611</v>
      </c>
      <c r="D310" s="96" t="s">
        <v>1076</v>
      </c>
      <c r="E310" s="94" t="s">
        <v>230</v>
      </c>
      <c r="F310" s="98" t="str">
        <f t="shared" si="119"/>
        <v>A</v>
      </c>
      <c r="G310" s="110">
        <f ca="1">SUMIF($A:E,$A310,K:K)</f>
        <v>8</v>
      </c>
      <c r="H310" s="97" t="s">
        <v>964</v>
      </c>
      <c r="I310" s="98">
        <v>8</v>
      </c>
      <c r="J310" s="97">
        <v>8</v>
      </c>
      <c r="K310" s="143">
        <f t="shared" si="106"/>
        <v>8</v>
      </c>
      <c r="L310" s="144">
        <f t="shared" si="115"/>
        <v>0</v>
      </c>
      <c r="M310" s="275">
        <f t="shared" si="116"/>
        <v>8</v>
      </c>
      <c r="N310" s="98">
        <v>4</v>
      </c>
      <c r="O310" s="93">
        <f t="shared" si="120"/>
        <v>100</v>
      </c>
      <c r="FR310" s="100">
        <v>1</v>
      </c>
      <c r="FS310" s="100">
        <v>6</v>
      </c>
      <c r="FT310" s="100">
        <v>1</v>
      </c>
      <c r="ON310" s="100">
        <f t="shared" si="107"/>
        <v>0</v>
      </c>
    </row>
    <row r="311" spans="1:404" ht="23.25" customHeight="1">
      <c r="A311" s="101" t="str">
        <f t="shared" si="117"/>
        <v>228/POTTERYPOT-2168-72800-03-A</v>
      </c>
      <c r="B311" s="95">
        <v>44564</v>
      </c>
      <c r="C311" s="97">
        <f t="shared" ca="1" si="118"/>
        <v>-500</v>
      </c>
      <c r="D311" s="96" t="s">
        <v>1083</v>
      </c>
      <c r="E311" s="280" t="s">
        <v>230</v>
      </c>
      <c r="F311" s="98" t="str">
        <f t="shared" si="119"/>
        <v>A</v>
      </c>
      <c r="G311" s="110">
        <f ca="1">SUMIF($A:E,$A311,K:K)</f>
        <v>28</v>
      </c>
      <c r="H311" s="97" t="s">
        <v>601</v>
      </c>
      <c r="I311" s="98">
        <v>28</v>
      </c>
      <c r="J311" s="97">
        <v>28</v>
      </c>
      <c r="K311" s="143">
        <f t="shared" si="106"/>
        <v>28</v>
      </c>
      <c r="L311" s="144">
        <f t="shared" si="115"/>
        <v>0</v>
      </c>
      <c r="M311" s="275">
        <f t="shared" si="116"/>
        <v>28</v>
      </c>
      <c r="N311" s="98" t="s">
        <v>1776</v>
      </c>
      <c r="O311" s="93">
        <f t="shared" si="120"/>
        <v>100</v>
      </c>
      <c r="JR311" s="100">
        <v>2</v>
      </c>
      <c r="JT311" s="100">
        <v>6</v>
      </c>
      <c r="JU311" s="100">
        <v>2</v>
      </c>
      <c r="JW311" s="100">
        <v>9</v>
      </c>
      <c r="JX311" s="100">
        <v>4</v>
      </c>
      <c r="KA311" s="100">
        <v>4</v>
      </c>
      <c r="KB311" s="100">
        <v>1</v>
      </c>
      <c r="ON311" s="100">
        <f t="shared" si="107"/>
        <v>0</v>
      </c>
    </row>
    <row r="312" spans="1:404" ht="23.25" customHeight="1">
      <c r="A312" s="101" t="str">
        <f t="shared" si="117"/>
        <v>227/POTERTYPOT-2168-72800-03-A</v>
      </c>
      <c r="B312" s="95">
        <v>44557</v>
      </c>
      <c r="C312" s="97">
        <f t="shared" ca="1" si="118"/>
        <v>-507</v>
      </c>
      <c r="D312" s="96" t="s">
        <v>1084</v>
      </c>
      <c r="E312" s="280" t="s">
        <v>230</v>
      </c>
      <c r="F312" s="98" t="str">
        <f t="shared" si="119"/>
        <v>A</v>
      </c>
      <c r="G312" s="110">
        <f ca="1">SUMIF($A:E,$A312,K:K)</f>
        <v>22</v>
      </c>
      <c r="H312" s="97" t="s">
        <v>601</v>
      </c>
      <c r="I312" s="98">
        <v>22</v>
      </c>
      <c r="J312" s="97">
        <v>22</v>
      </c>
      <c r="K312" s="143">
        <f t="shared" si="106"/>
        <v>22</v>
      </c>
      <c r="L312" s="144">
        <f t="shared" si="115"/>
        <v>0</v>
      </c>
      <c r="M312" s="275">
        <f t="shared" si="116"/>
        <v>22</v>
      </c>
      <c r="N312" s="98" t="s">
        <v>1776</v>
      </c>
      <c r="O312" s="93">
        <f t="shared" si="120"/>
        <v>100</v>
      </c>
      <c r="JN312" s="100">
        <v>3</v>
      </c>
      <c r="JO312" s="100">
        <v>5</v>
      </c>
      <c r="JP312" s="100">
        <v>5</v>
      </c>
      <c r="JQ312" s="100">
        <v>3</v>
      </c>
      <c r="JR312" s="100">
        <v>6</v>
      </c>
      <c r="ON312" s="100">
        <f t="shared" si="107"/>
        <v>0</v>
      </c>
    </row>
    <row r="313" spans="1:404" ht="23.25" customHeight="1">
      <c r="A313" s="101" t="str">
        <f t="shared" si="117"/>
        <v>217/POTERTYPOT-2168-72800-03-A</v>
      </c>
      <c r="B313" s="95">
        <v>44625</v>
      </c>
      <c r="C313" s="97">
        <f t="shared" ca="1" si="118"/>
        <v>-439</v>
      </c>
      <c r="D313" s="96" t="s">
        <v>1085</v>
      </c>
      <c r="E313" s="94" t="s">
        <v>230</v>
      </c>
      <c r="F313" s="98" t="str">
        <f t="shared" si="119"/>
        <v>A</v>
      </c>
      <c r="G313" s="110">
        <f ca="1">SUMIF($A:E,$A313,K:K)</f>
        <v>0</v>
      </c>
      <c r="H313" s="97" t="s">
        <v>601</v>
      </c>
      <c r="I313" s="98">
        <v>42</v>
      </c>
      <c r="J313" s="97">
        <v>42</v>
      </c>
      <c r="K313" s="143">
        <f t="shared" si="106"/>
        <v>0</v>
      </c>
      <c r="L313" s="144">
        <f t="shared" si="115"/>
        <v>42</v>
      </c>
      <c r="M313" s="275">
        <f t="shared" si="116"/>
        <v>42</v>
      </c>
      <c r="N313" s="98"/>
      <c r="O313" s="93">
        <f>K313/J313*100</f>
        <v>0</v>
      </c>
      <c r="ON313" s="100">
        <f t="shared" si="107"/>
        <v>0</v>
      </c>
    </row>
    <row r="314" spans="1:404" ht="23.25" customHeight="1">
      <c r="A314" s="101" t="str">
        <f t="shared" si="117"/>
        <v>081A/NY/PP-USA-2168-72800-03-A</v>
      </c>
      <c r="B314" s="95">
        <v>44774</v>
      </c>
      <c r="C314" s="97">
        <f t="shared" ca="1" si="118"/>
        <v>-290</v>
      </c>
      <c r="D314" s="96" t="s">
        <v>1270</v>
      </c>
      <c r="E314" s="280" t="s">
        <v>230</v>
      </c>
      <c r="F314" s="98" t="str">
        <f t="shared" si="119"/>
        <v>A</v>
      </c>
      <c r="G314" s="110">
        <f ca="1">SUMIF($A:E,$A314,K:K)</f>
        <v>12</v>
      </c>
      <c r="H314" s="97" t="s">
        <v>933</v>
      </c>
      <c r="I314" s="98">
        <v>12</v>
      </c>
      <c r="J314" s="98">
        <v>12</v>
      </c>
      <c r="K314" s="143">
        <f t="shared" si="106"/>
        <v>12</v>
      </c>
      <c r="L314" s="144">
        <f t="shared" si="115"/>
        <v>0</v>
      </c>
      <c r="M314" s="275">
        <f t="shared" si="116"/>
        <v>12</v>
      </c>
      <c r="N314" s="98" t="s">
        <v>1776</v>
      </c>
      <c r="O314" s="93">
        <f t="shared" si="120"/>
        <v>100</v>
      </c>
      <c r="KB314" s="100">
        <v>3</v>
      </c>
      <c r="KC314" s="100">
        <v>3</v>
      </c>
      <c r="KD314" s="100">
        <v>4</v>
      </c>
      <c r="KE314" s="100">
        <v>2</v>
      </c>
      <c r="ON314" s="100">
        <f t="shared" si="107"/>
        <v>0</v>
      </c>
    </row>
    <row r="315" spans="1:404" ht="30" customHeight="1">
      <c r="A315" s="101" t="str">
        <f t="shared" si="117"/>
        <v>322/POTTERYPOT-2168-72800-03-A</v>
      </c>
      <c r="B315" s="95">
        <v>44684</v>
      </c>
      <c r="C315" s="97">
        <f t="shared" ca="1" si="118"/>
        <v>-380</v>
      </c>
      <c r="D315" s="112" t="s">
        <v>1338</v>
      </c>
      <c r="E315" s="279" t="s">
        <v>230</v>
      </c>
      <c r="F315" s="98" t="str">
        <f t="shared" si="119"/>
        <v>A</v>
      </c>
      <c r="G315" s="110">
        <f ca="1">SUMIF($A:E,$A315,K:K)</f>
        <v>0</v>
      </c>
      <c r="H315" s="97" t="s">
        <v>927</v>
      </c>
      <c r="I315" s="236">
        <v>108</v>
      </c>
      <c r="J315" s="240">
        <v>108</v>
      </c>
      <c r="K315" s="143">
        <f t="shared" si="106"/>
        <v>0</v>
      </c>
      <c r="L315" s="150">
        <f t="shared" si="115"/>
        <v>108</v>
      </c>
      <c r="M315" s="275">
        <f t="shared" si="116"/>
        <v>108</v>
      </c>
      <c r="N315" s="133" t="s">
        <v>1768</v>
      </c>
      <c r="O315" s="93">
        <f t="shared" si="120"/>
        <v>0</v>
      </c>
      <c r="ON315" s="100">
        <f t="shared" si="107"/>
        <v>0</v>
      </c>
    </row>
    <row r="316" spans="1:404" ht="23.25" customHeight="1">
      <c r="A316" s="101" t="str">
        <f t="shared" si="117"/>
        <v>323/POTTERYPOT-2168-72800-03-A</v>
      </c>
      <c r="B316" s="95">
        <v>44702</v>
      </c>
      <c r="C316" s="97">
        <f t="shared" ca="1" si="118"/>
        <v>-362</v>
      </c>
      <c r="D316" s="112" t="s">
        <v>1339</v>
      </c>
      <c r="E316" s="279" t="s">
        <v>230</v>
      </c>
      <c r="F316" s="98" t="str">
        <f t="shared" si="119"/>
        <v>A</v>
      </c>
      <c r="G316" s="110">
        <f ca="1">SUMIF($A:E,$A316,K:K)</f>
        <v>0</v>
      </c>
      <c r="H316" s="97" t="s">
        <v>927</v>
      </c>
      <c r="I316" s="175">
        <v>102</v>
      </c>
      <c r="J316" s="115">
        <v>102</v>
      </c>
      <c r="K316" s="143">
        <f t="shared" si="106"/>
        <v>0</v>
      </c>
      <c r="L316" s="144">
        <f t="shared" si="115"/>
        <v>102</v>
      </c>
      <c r="M316" s="275">
        <f t="shared" si="116"/>
        <v>102</v>
      </c>
      <c r="N316" s="98"/>
      <c r="O316" s="93">
        <f t="shared" si="120"/>
        <v>0</v>
      </c>
      <c r="ON316" s="100">
        <f t="shared" si="107"/>
        <v>0</v>
      </c>
    </row>
    <row r="317" spans="1:404" ht="36" customHeight="1">
      <c r="A317" s="101" t="str">
        <f t="shared" si="117"/>
        <v>335/POTTERYPOT-2168-72800-03-A</v>
      </c>
      <c r="B317" s="95">
        <v>44642</v>
      </c>
      <c r="C317" s="97">
        <f t="shared" ca="1" si="118"/>
        <v>-422</v>
      </c>
      <c r="D317" s="112" t="s">
        <v>1351</v>
      </c>
      <c r="E317" s="279" t="s">
        <v>230</v>
      </c>
      <c r="F317" s="98" t="str">
        <f t="shared" si="119"/>
        <v>A</v>
      </c>
      <c r="G317" s="110">
        <f ca="1">SUMIF($A:E,$A317,K:K)</f>
        <v>44</v>
      </c>
      <c r="H317" s="97" t="s">
        <v>927</v>
      </c>
      <c r="I317" s="175">
        <v>22</v>
      </c>
      <c r="J317" s="115">
        <v>22</v>
      </c>
      <c r="K317" s="143">
        <f t="shared" si="106"/>
        <v>44</v>
      </c>
      <c r="L317" s="144">
        <f t="shared" si="115"/>
        <v>-22</v>
      </c>
      <c r="M317" s="275">
        <f t="shared" si="116"/>
        <v>22</v>
      </c>
      <c r="N317" s="98" t="s">
        <v>1768</v>
      </c>
      <c r="O317" s="93">
        <f t="shared" si="120"/>
        <v>200</v>
      </c>
      <c r="OJ317" s="100">
        <v>2</v>
      </c>
      <c r="OK317" s="100">
        <v>16</v>
      </c>
      <c r="OM317" s="100">
        <v>4</v>
      </c>
      <c r="ON317" s="100">
        <f t="shared" si="107"/>
        <v>22</v>
      </c>
    </row>
    <row r="318" spans="1:404" ht="23.25" customHeight="1">
      <c r="A318" s="101" t="str">
        <f t="shared" si="117"/>
        <v>336/POTTERYPOT-2168-72800-03-A</v>
      </c>
      <c r="B318" s="95">
        <v>44613</v>
      </c>
      <c r="C318" s="97">
        <f t="shared" ca="1" si="118"/>
        <v>-451</v>
      </c>
      <c r="D318" s="112" t="s">
        <v>1352</v>
      </c>
      <c r="E318" s="279" t="s">
        <v>230</v>
      </c>
      <c r="F318" s="98" t="str">
        <f t="shared" si="119"/>
        <v>A</v>
      </c>
      <c r="G318" s="110">
        <f ca="1">SUMIF($A:E,$A318,K:K)</f>
        <v>90</v>
      </c>
      <c r="H318" s="97" t="s">
        <v>927</v>
      </c>
      <c r="I318" s="175">
        <v>90</v>
      </c>
      <c r="J318" s="115">
        <v>90</v>
      </c>
      <c r="K318" s="143">
        <f t="shared" si="106"/>
        <v>90</v>
      </c>
      <c r="L318" s="144">
        <f t="shared" si="115"/>
        <v>0</v>
      </c>
      <c r="M318" s="275">
        <f t="shared" si="116"/>
        <v>90</v>
      </c>
      <c r="N318" s="98" t="s">
        <v>1768</v>
      </c>
      <c r="O318" s="93">
        <f t="shared" si="120"/>
        <v>100</v>
      </c>
      <c r="MU318" s="100">
        <v>4</v>
      </c>
      <c r="MW318" s="100">
        <v>7</v>
      </c>
      <c r="MX318" s="100">
        <v>3</v>
      </c>
      <c r="MY318" s="100">
        <v>9</v>
      </c>
      <c r="MZ318" s="100">
        <v>9</v>
      </c>
      <c r="NA318" s="100">
        <v>12</v>
      </c>
      <c r="ND318" s="100">
        <v>12</v>
      </c>
      <c r="NE318" s="100">
        <v>11</v>
      </c>
      <c r="NF318" s="100">
        <v>13</v>
      </c>
      <c r="NG318" s="100">
        <v>9</v>
      </c>
      <c r="NI318" s="100">
        <v>1</v>
      </c>
      <c r="ON318" s="100">
        <f t="shared" si="107"/>
        <v>0</v>
      </c>
    </row>
    <row r="319" spans="1:404" ht="23.25" customHeight="1">
      <c r="A319" s="101" t="str">
        <f t="shared" si="117"/>
        <v>337/POTTERYPOT-2168-72800-03-A</v>
      </c>
      <c r="B319" s="95">
        <v>44627</v>
      </c>
      <c r="C319" s="97">
        <f t="shared" ca="1" si="118"/>
        <v>-437</v>
      </c>
      <c r="D319" s="112" t="s">
        <v>1353</v>
      </c>
      <c r="E319" s="279" t="s">
        <v>230</v>
      </c>
      <c r="F319" s="98" t="str">
        <f t="shared" si="119"/>
        <v>A</v>
      </c>
      <c r="G319" s="110">
        <f ca="1">SUMIF($A:E,$A319,K:K)</f>
        <v>127</v>
      </c>
      <c r="H319" s="97" t="s">
        <v>927</v>
      </c>
      <c r="I319" s="175">
        <v>90</v>
      </c>
      <c r="J319" s="115">
        <v>90</v>
      </c>
      <c r="K319" s="143">
        <f t="shared" si="106"/>
        <v>127</v>
      </c>
      <c r="L319" s="144">
        <f t="shared" si="115"/>
        <v>-37</v>
      </c>
      <c r="M319" s="275">
        <f t="shared" si="116"/>
        <v>90</v>
      </c>
      <c r="N319" s="98" t="s">
        <v>1768</v>
      </c>
      <c r="O319" s="93">
        <f t="shared" si="120"/>
        <v>141.11111111111111</v>
      </c>
      <c r="NI319" s="100">
        <v>12</v>
      </c>
      <c r="NK319" s="100">
        <v>12</v>
      </c>
      <c r="NL319" s="100">
        <v>9</v>
      </c>
      <c r="NM319" s="100">
        <v>9</v>
      </c>
      <c r="NN319" s="100">
        <v>11</v>
      </c>
      <c r="NS319" s="100">
        <v>13</v>
      </c>
      <c r="NU319" s="100">
        <v>18</v>
      </c>
      <c r="NV319" s="100">
        <v>6</v>
      </c>
      <c r="ON319" s="100">
        <f t="shared" si="107"/>
        <v>37</v>
      </c>
    </row>
    <row r="320" spans="1:404" ht="23.25" customHeight="1">
      <c r="A320" s="101" t="str">
        <f t="shared" si="117"/>
        <v>338/POTTERYPOT-2168-72800-03-A</v>
      </c>
      <c r="B320" s="95">
        <v>44640</v>
      </c>
      <c r="C320" s="97">
        <f t="shared" ca="1" si="118"/>
        <v>-424</v>
      </c>
      <c r="D320" s="112" t="s">
        <v>1354</v>
      </c>
      <c r="E320" s="279" t="s">
        <v>230</v>
      </c>
      <c r="F320" s="98" t="str">
        <f t="shared" si="119"/>
        <v>A</v>
      </c>
      <c r="G320" s="110">
        <f ca="1">SUMIF($A:E,$A320,K:K)</f>
        <v>116</v>
      </c>
      <c r="H320" s="97" t="s">
        <v>927</v>
      </c>
      <c r="I320" s="175">
        <v>58</v>
      </c>
      <c r="J320" s="115">
        <v>58</v>
      </c>
      <c r="K320" s="143">
        <f t="shared" si="106"/>
        <v>116</v>
      </c>
      <c r="L320" s="144">
        <f t="shared" si="115"/>
        <v>-58</v>
      </c>
      <c r="M320" s="275">
        <f t="shared" si="116"/>
        <v>58</v>
      </c>
      <c r="N320" s="98" t="s">
        <v>1768</v>
      </c>
      <c r="O320" s="93">
        <f t="shared" si="120"/>
        <v>200</v>
      </c>
      <c r="OA320" s="100">
        <v>5</v>
      </c>
      <c r="OB320" s="100">
        <v>15</v>
      </c>
      <c r="OC320" s="100">
        <v>17</v>
      </c>
      <c r="OD320" s="100">
        <v>16</v>
      </c>
      <c r="OF320" s="100">
        <v>5</v>
      </c>
      <c r="ON320" s="100">
        <f t="shared" si="107"/>
        <v>58</v>
      </c>
    </row>
    <row r="321" spans="1:404" ht="23.25" customHeight="1">
      <c r="A321" s="101" t="str">
        <f t="shared" si="117"/>
        <v>339/POTTERYPOT-2168-72800-03-A</v>
      </c>
      <c r="B321" s="95">
        <v>44653</v>
      </c>
      <c r="C321" s="97">
        <f t="shared" ca="1" si="118"/>
        <v>-411</v>
      </c>
      <c r="D321" s="112" t="s">
        <v>1355</v>
      </c>
      <c r="E321" s="279" t="s">
        <v>230</v>
      </c>
      <c r="F321" s="98" t="str">
        <f t="shared" si="119"/>
        <v>A</v>
      </c>
      <c r="G321" s="110">
        <f ca="1">SUMIF($A:E,$A321,K:K)</f>
        <v>112</v>
      </c>
      <c r="H321" s="97" t="s">
        <v>927</v>
      </c>
      <c r="I321" s="175">
        <v>56</v>
      </c>
      <c r="J321" s="115">
        <v>56</v>
      </c>
      <c r="K321" s="143">
        <f t="shared" si="106"/>
        <v>112</v>
      </c>
      <c r="L321" s="144">
        <f t="shared" si="115"/>
        <v>-56</v>
      </c>
      <c r="M321" s="275">
        <f t="shared" si="116"/>
        <v>56</v>
      </c>
      <c r="N321" s="98" t="s">
        <v>1768</v>
      </c>
      <c r="O321" s="93">
        <f t="shared" si="120"/>
        <v>200</v>
      </c>
      <c r="OG321" s="100">
        <v>13</v>
      </c>
      <c r="OH321" s="100">
        <v>15</v>
      </c>
      <c r="OI321" s="100">
        <v>15</v>
      </c>
      <c r="OJ321" s="100">
        <v>13</v>
      </c>
      <c r="ON321" s="100">
        <f t="shared" si="107"/>
        <v>56</v>
      </c>
    </row>
    <row r="322" spans="1:404" ht="23.25" customHeight="1">
      <c r="A322" s="101" t="str">
        <f t="shared" si="117"/>
        <v>340/POTTERYPOT-2168-72800-03-A</v>
      </c>
      <c r="B322" s="95">
        <v>44660</v>
      </c>
      <c r="C322" s="97">
        <f t="shared" ca="1" si="118"/>
        <v>-404</v>
      </c>
      <c r="D322" s="112" t="s">
        <v>1356</v>
      </c>
      <c r="E322" s="279" t="s">
        <v>230</v>
      </c>
      <c r="F322" s="98" t="str">
        <f t="shared" si="119"/>
        <v>A</v>
      </c>
      <c r="G322" s="110">
        <f ca="1">SUMIF($A:E,$A322,K:K)</f>
        <v>0</v>
      </c>
      <c r="H322" s="97" t="s">
        <v>927</v>
      </c>
      <c r="I322" s="175">
        <v>4</v>
      </c>
      <c r="J322" s="115">
        <v>4</v>
      </c>
      <c r="K322" s="143">
        <f t="shared" si="106"/>
        <v>0</v>
      </c>
      <c r="L322" s="144">
        <f t="shared" si="115"/>
        <v>4</v>
      </c>
      <c r="M322" s="275">
        <f t="shared" si="116"/>
        <v>4</v>
      </c>
      <c r="N322" s="98"/>
      <c r="O322" s="93">
        <f t="shared" si="120"/>
        <v>0</v>
      </c>
      <c r="ON322" s="100">
        <f t="shared" si="107"/>
        <v>0</v>
      </c>
    </row>
    <row r="323" spans="1:404" ht="23.25" customHeight="1">
      <c r="A323" s="101" t="str">
        <f t="shared" si="117"/>
        <v>095/NY/PP-USA-2168-72800-03-A</v>
      </c>
      <c r="B323" s="95">
        <v>44577</v>
      </c>
      <c r="C323" s="97">
        <f t="shared" ref="C323:C348" ca="1" si="121">B323-TODAY()</f>
        <v>-487</v>
      </c>
      <c r="D323" s="112" t="s">
        <v>1429</v>
      </c>
      <c r="E323" s="279" t="s">
        <v>230</v>
      </c>
      <c r="F323" s="98" t="str">
        <f t="shared" ref="F323:F348" si="122">MID(E323,13,2)</f>
        <v>A</v>
      </c>
      <c r="G323" s="110">
        <f ca="1">SUMIF($A:E,$A323,K:K)</f>
        <v>48</v>
      </c>
      <c r="H323" s="97" t="s">
        <v>616</v>
      </c>
      <c r="I323" s="175">
        <v>48</v>
      </c>
      <c r="J323" s="115">
        <v>48</v>
      </c>
      <c r="K323" s="143">
        <f t="shared" ref="K323:K386" si="123">SUM(P323:BBC323)</f>
        <v>48</v>
      </c>
      <c r="L323" s="144">
        <f t="shared" si="115"/>
        <v>0</v>
      </c>
      <c r="M323" s="275">
        <f t="shared" si="116"/>
        <v>48</v>
      </c>
      <c r="N323" s="98" t="s">
        <v>1776</v>
      </c>
      <c r="O323" s="93">
        <f t="shared" ref="O323:O332" si="124">K323/J323*100</f>
        <v>100</v>
      </c>
      <c r="KE323" s="100">
        <v>1</v>
      </c>
      <c r="KF323" s="100">
        <v>3</v>
      </c>
      <c r="KH323" s="100">
        <v>6</v>
      </c>
      <c r="KI323" s="100">
        <v>3</v>
      </c>
      <c r="KJ323" s="100">
        <v>6</v>
      </c>
      <c r="KN323" s="100">
        <v>3</v>
      </c>
      <c r="KO323" s="100">
        <v>3</v>
      </c>
      <c r="KP323" s="100">
        <v>1</v>
      </c>
      <c r="KQ323" s="100">
        <v>1</v>
      </c>
      <c r="KR323" s="100">
        <v>3</v>
      </c>
      <c r="KW323" s="100">
        <v>1</v>
      </c>
      <c r="KX323" s="100">
        <v>1</v>
      </c>
      <c r="KY323" s="100">
        <v>1</v>
      </c>
      <c r="LB323" s="100">
        <v>1</v>
      </c>
      <c r="LC323" s="100">
        <v>1</v>
      </c>
      <c r="LD323" s="100">
        <v>4</v>
      </c>
      <c r="LE323" s="100">
        <v>3</v>
      </c>
      <c r="LF323" s="100">
        <v>2</v>
      </c>
      <c r="LG323" s="100">
        <v>4</v>
      </c>
      <c r="ON323" s="100">
        <f t="shared" si="107"/>
        <v>0</v>
      </c>
    </row>
    <row r="324" spans="1:404" ht="23.25" customHeight="1">
      <c r="A324" s="101" t="str">
        <f t="shared" si="117"/>
        <v>096/NY/PP-USA-2168-72800-03-A</v>
      </c>
      <c r="B324" s="95">
        <v>44577</v>
      </c>
      <c r="C324" s="97">
        <f t="shared" ca="1" si="121"/>
        <v>-487</v>
      </c>
      <c r="D324" s="112" t="s">
        <v>1430</v>
      </c>
      <c r="E324" s="279" t="s">
        <v>230</v>
      </c>
      <c r="F324" s="98" t="str">
        <f t="shared" si="122"/>
        <v>A</v>
      </c>
      <c r="G324" s="110">
        <f ca="1">SUMIF($A:E,$A324,K:K)</f>
        <v>48</v>
      </c>
      <c r="H324" s="97" t="s">
        <v>616</v>
      </c>
      <c r="I324" s="175">
        <v>48</v>
      </c>
      <c r="J324" s="115">
        <v>48</v>
      </c>
      <c r="K324" s="143">
        <f t="shared" si="123"/>
        <v>48</v>
      </c>
      <c r="L324" s="144">
        <f t="shared" si="115"/>
        <v>0</v>
      </c>
      <c r="M324" s="275">
        <f t="shared" si="116"/>
        <v>48</v>
      </c>
      <c r="N324" s="98" t="s">
        <v>1776</v>
      </c>
      <c r="O324" s="93">
        <f t="shared" si="124"/>
        <v>100</v>
      </c>
      <c r="LI324" s="100">
        <v>3</v>
      </c>
      <c r="LJ324" s="100">
        <v>2</v>
      </c>
      <c r="LK324" s="100">
        <v>4</v>
      </c>
      <c r="LL324" s="100">
        <v>3</v>
      </c>
      <c r="LM324" s="100">
        <v>3</v>
      </c>
      <c r="LN324" s="100">
        <v>3</v>
      </c>
      <c r="LP324" s="100">
        <v>2</v>
      </c>
      <c r="LQ324" s="100">
        <v>2</v>
      </c>
      <c r="LR324" s="100">
        <v>3</v>
      </c>
      <c r="LS324" s="100">
        <v>3</v>
      </c>
      <c r="LT324" s="100">
        <v>3</v>
      </c>
      <c r="LU324" s="100">
        <v>5</v>
      </c>
      <c r="LW324" s="100">
        <v>5</v>
      </c>
      <c r="LX324" s="100">
        <v>5</v>
      </c>
      <c r="LY324" s="100">
        <v>2</v>
      </c>
      <c r="ON324" s="100">
        <f t="shared" ref="ON324:ON387" si="125">SUM(NS324:OM324)</f>
        <v>0</v>
      </c>
    </row>
    <row r="325" spans="1:404" ht="23.25" customHeight="1">
      <c r="A325" s="101" t="str">
        <f t="shared" si="117"/>
        <v>097/NY/PP-USA-2168-72800-03-A</v>
      </c>
      <c r="B325" s="95">
        <v>44577</v>
      </c>
      <c r="C325" s="97">
        <f t="shared" ca="1" si="121"/>
        <v>-487</v>
      </c>
      <c r="D325" s="112" t="s">
        <v>1431</v>
      </c>
      <c r="E325" s="279" t="s">
        <v>230</v>
      </c>
      <c r="F325" s="98" t="str">
        <f t="shared" si="122"/>
        <v>A</v>
      </c>
      <c r="G325" s="110">
        <f ca="1">SUMIF($A:E,$A325,K:K)</f>
        <v>48</v>
      </c>
      <c r="H325" s="97" t="s">
        <v>616</v>
      </c>
      <c r="I325" s="175">
        <v>48</v>
      </c>
      <c r="J325" s="115">
        <v>48</v>
      </c>
      <c r="K325" s="143">
        <f t="shared" si="123"/>
        <v>48</v>
      </c>
      <c r="L325" s="144">
        <f t="shared" si="115"/>
        <v>0</v>
      </c>
      <c r="M325" s="275">
        <f t="shared" si="116"/>
        <v>48</v>
      </c>
      <c r="N325" s="98" t="s">
        <v>1776</v>
      </c>
      <c r="O325" s="93">
        <f t="shared" si="124"/>
        <v>100</v>
      </c>
      <c r="LY325" s="100">
        <v>1</v>
      </c>
      <c r="LZ325" s="100">
        <v>3</v>
      </c>
      <c r="MA325" s="100">
        <v>5</v>
      </c>
      <c r="MB325" s="100">
        <v>6</v>
      </c>
      <c r="MD325" s="100">
        <v>7</v>
      </c>
      <c r="ME325" s="100">
        <v>5</v>
      </c>
      <c r="MF325" s="100">
        <v>6</v>
      </c>
      <c r="MG325" s="100">
        <v>4</v>
      </c>
      <c r="MH325" s="100">
        <v>5</v>
      </c>
      <c r="MK325" s="100">
        <v>4</v>
      </c>
      <c r="ML325" s="100">
        <v>2</v>
      </c>
      <c r="ON325" s="100">
        <f t="shared" si="125"/>
        <v>0</v>
      </c>
    </row>
    <row r="326" spans="1:404" ht="23.25" customHeight="1">
      <c r="A326" s="101" t="str">
        <f t="shared" si="117"/>
        <v>439/POTTERYPOT-2168-72800-03-A</v>
      </c>
      <c r="B326" s="95">
        <v>44636</v>
      </c>
      <c r="C326" s="97">
        <f t="shared" ca="1" si="121"/>
        <v>-428</v>
      </c>
      <c r="D326" s="112" t="s">
        <v>1601</v>
      </c>
      <c r="E326" s="279" t="s">
        <v>230</v>
      </c>
      <c r="F326" s="98" t="str">
        <f t="shared" si="122"/>
        <v>A</v>
      </c>
      <c r="G326" s="110">
        <f ca="1">SUMIF($A:E,$A326,K:K)</f>
        <v>12</v>
      </c>
      <c r="H326" s="97" t="s">
        <v>927</v>
      </c>
      <c r="I326" s="175">
        <v>6</v>
      </c>
      <c r="J326" s="115">
        <v>6</v>
      </c>
      <c r="K326" s="143">
        <f t="shared" si="123"/>
        <v>12</v>
      </c>
      <c r="L326" s="144">
        <f t="shared" si="115"/>
        <v>-6</v>
      </c>
      <c r="M326" s="275">
        <f t="shared" si="116"/>
        <v>6</v>
      </c>
      <c r="N326" s="98" t="s">
        <v>1768</v>
      </c>
      <c r="O326" s="93">
        <f>K326/J326*100</f>
        <v>200</v>
      </c>
      <c r="OA326" s="100">
        <v>6</v>
      </c>
      <c r="ON326" s="100">
        <f t="shared" si="125"/>
        <v>6</v>
      </c>
    </row>
    <row r="327" spans="1:404" ht="23.25" customHeight="1">
      <c r="A327" s="101" t="str">
        <f t="shared" si="117"/>
        <v>236/KHBS-2168-72800-03-A</v>
      </c>
      <c r="B327" s="95">
        <v>44422</v>
      </c>
      <c r="C327" s="97">
        <f t="shared" ca="1" si="121"/>
        <v>-642</v>
      </c>
      <c r="D327" s="96" t="s">
        <v>1617</v>
      </c>
      <c r="E327" s="94" t="s">
        <v>230</v>
      </c>
      <c r="F327" s="98" t="str">
        <f t="shared" si="122"/>
        <v>A</v>
      </c>
      <c r="G327" s="110">
        <f ca="1">SUMIF($A:E,$A327,K:K)</f>
        <v>1</v>
      </c>
      <c r="H327" s="97" t="s">
        <v>601</v>
      </c>
      <c r="I327" s="98">
        <v>1</v>
      </c>
      <c r="J327" s="99">
        <v>1</v>
      </c>
      <c r="K327" s="143">
        <f t="shared" si="123"/>
        <v>1</v>
      </c>
      <c r="L327" s="144">
        <f t="shared" si="115"/>
        <v>0</v>
      </c>
      <c r="M327" s="275">
        <f t="shared" si="116"/>
        <v>1</v>
      </c>
      <c r="N327" s="98">
        <v>3</v>
      </c>
      <c r="O327" s="93">
        <f t="shared" si="124"/>
        <v>100</v>
      </c>
      <c r="HI327" s="100">
        <v>1</v>
      </c>
      <c r="ON327" s="100">
        <f t="shared" si="125"/>
        <v>0</v>
      </c>
    </row>
    <row r="328" spans="1:404" ht="23.25" customHeight="1">
      <c r="A328" s="101" t="e">
        <f>D328&amp;#REF!</f>
        <v>#REF!</v>
      </c>
      <c r="B328" s="95">
        <v>44464</v>
      </c>
      <c r="C328" s="97">
        <f t="shared" ca="1" si="121"/>
        <v>-600</v>
      </c>
      <c r="D328" s="96" t="s">
        <v>1214</v>
      </c>
      <c r="E328" s="94" t="s">
        <v>480</v>
      </c>
      <c r="F328" s="98" t="str">
        <f t="shared" si="122"/>
        <v>01</v>
      </c>
      <c r="G328" s="110">
        <f ca="1">SUMIF($A:E,$A328,K:K)</f>
        <v>1754</v>
      </c>
      <c r="H328" s="97" t="s">
        <v>1213</v>
      </c>
      <c r="I328" s="98">
        <v>120</v>
      </c>
      <c r="J328" s="99">
        <v>120</v>
      </c>
      <c r="K328" s="143">
        <f t="shared" si="123"/>
        <v>120</v>
      </c>
      <c r="L328" s="144">
        <f t="shared" si="115"/>
        <v>0</v>
      </c>
      <c r="M328" s="275">
        <f t="shared" si="116"/>
        <v>120</v>
      </c>
      <c r="N328" s="98">
        <v>5</v>
      </c>
      <c r="O328" s="93">
        <f t="shared" si="124"/>
        <v>100</v>
      </c>
      <c r="FV328" s="100">
        <v>3</v>
      </c>
      <c r="FW328" s="100">
        <v>3</v>
      </c>
      <c r="FZ328" s="100">
        <v>9</v>
      </c>
      <c r="GB328" s="100">
        <v>2</v>
      </c>
      <c r="GC328" s="100">
        <v>1</v>
      </c>
      <c r="GD328" s="100">
        <v>1</v>
      </c>
      <c r="GG328" s="100">
        <v>4</v>
      </c>
      <c r="GH328" s="100">
        <v>5</v>
      </c>
      <c r="GI328" s="100">
        <v>3</v>
      </c>
      <c r="GL328" s="100">
        <v>6</v>
      </c>
      <c r="GN328" s="100">
        <v>5</v>
      </c>
      <c r="GO328" s="100">
        <v>4</v>
      </c>
      <c r="GP328" s="100">
        <v>2</v>
      </c>
      <c r="GR328" s="100">
        <v>5</v>
      </c>
      <c r="GS328" s="100">
        <v>2</v>
      </c>
      <c r="GU328" s="100">
        <v>3</v>
      </c>
      <c r="GV328" s="100">
        <v>3</v>
      </c>
      <c r="GW328" s="100">
        <v>3</v>
      </c>
      <c r="GY328" s="100">
        <v>9</v>
      </c>
      <c r="HB328" s="100">
        <v>3</v>
      </c>
      <c r="HC328" s="100">
        <v>3</v>
      </c>
      <c r="HD328" s="100">
        <v>3</v>
      </c>
      <c r="HF328" s="100">
        <v>5</v>
      </c>
      <c r="HI328" s="100">
        <v>1</v>
      </c>
      <c r="HJ328" s="100">
        <v>9</v>
      </c>
      <c r="HM328" s="100">
        <v>3</v>
      </c>
      <c r="HP328" s="100">
        <v>3</v>
      </c>
      <c r="HQ328" s="100">
        <v>9</v>
      </c>
      <c r="HR328" s="100">
        <v>1</v>
      </c>
      <c r="HS328" s="100">
        <v>5</v>
      </c>
      <c r="HU328" s="100">
        <v>2</v>
      </c>
      <c r="ON328" s="100">
        <f t="shared" si="125"/>
        <v>0</v>
      </c>
    </row>
    <row r="329" spans="1:404" ht="23.25" customHeight="1">
      <c r="A329" s="101" t="str">
        <f t="shared" ref="A329:A356" si="126">D329&amp;E329</f>
        <v>051/POTTERYPOT-2168-72800-02-A</v>
      </c>
      <c r="B329" s="95" t="s">
        <v>838</v>
      </c>
      <c r="C329" s="97">
        <f t="shared" ca="1" si="121"/>
        <v>-660</v>
      </c>
      <c r="D329" s="145" t="s">
        <v>837</v>
      </c>
      <c r="E329" s="253" t="s">
        <v>229</v>
      </c>
      <c r="F329" s="98" t="str">
        <f t="shared" si="122"/>
        <v>A</v>
      </c>
      <c r="G329" s="110">
        <f ca="1">SUMIF($A:E,$A329,K:K)</f>
        <v>30</v>
      </c>
      <c r="H329" s="97" t="s">
        <v>840</v>
      </c>
      <c r="I329" s="196">
        <v>30</v>
      </c>
      <c r="J329" s="146">
        <v>30</v>
      </c>
      <c r="K329" s="143">
        <f t="shared" si="123"/>
        <v>30</v>
      </c>
      <c r="L329" s="144">
        <f t="shared" si="115"/>
        <v>0</v>
      </c>
      <c r="M329" s="275">
        <f t="shared" si="116"/>
        <v>30</v>
      </c>
      <c r="N329" s="98">
        <v>5</v>
      </c>
      <c r="O329" s="93">
        <f t="shared" si="124"/>
        <v>100</v>
      </c>
      <c r="DY329" s="100">
        <v>3</v>
      </c>
      <c r="DZ329" s="100">
        <v>3</v>
      </c>
      <c r="EA329" s="100">
        <v>2</v>
      </c>
      <c r="EC329" s="100">
        <v>3</v>
      </c>
      <c r="ED329" s="100">
        <v>3</v>
      </c>
      <c r="EF329" s="100">
        <v>3</v>
      </c>
      <c r="EG329" s="100">
        <v>2</v>
      </c>
      <c r="EH329" s="100">
        <v>5</v>
      </c>
      <c r="EI329" s="100">
        <v>3</v>
      </c>
      <c r="EJ329" s="100">
        <v>3</v>
      </c>
      <c r="ON329" s="100">
        <f t="shared" si="125"/>
        <v>0</v>
      </c>
    </row>
    <row r="330" spans="1:404" ht="23.25" customHeight="1">
      <c r="A330" s="101" t="str">
        <f t="shared" si="126"/>
        <v>086/POTTERYPOT-2168-72800-02-A</v>
      </c>
      <c r="B330" s="95">
        <v>44434</v>
      </c>
      <c r="C330" s="97">
        <f t="shared" ca="1" si="121"/>
        <v>-630</v>
      </c>
      <c r="D330" s="96" t="s">
        <v>884</v>
      </c>
      <c r="E330" s="94" t="s">
        <v>229</v>
      </c>
      <c r="F330" s="98" t="str">
        <f t="shared" si="122"/>
        <v>A</v>
      </c>
      <c r="G330" s="110">
        <f ca="1">SUMIF($A:E,$A330,K:K)</f>
        <v>24</v>
      </c>
      <c r="H330" s="97" t="s">
        <v>601</v>
      </c>
      <c r="I330" s="98">
        <v>24</v>
      </c>
      <c r="J330" s="97">
        <v>24</v>
      </c>
      <c r="K330" s="143">
        <f t="shared" si="123"/>
        <v>24</v>
      </c>
      <c r="L330" s="144">
        <f t="shared" si="115"/>
        <v>0</v>
      </c>
      <c r="M330" s="275">
        <f t="shared" si="116"/>
        <v>24</v>
      </c>
      <c r="N330" s="98">
        <v>4</v>
      </c>
      <c r="O330" s="93">
        <f t="shared" si="124"/>
        <v>100</v>
      </c>
      <c r="FJ330" s="100">
        <v>1</v>
      </c>
      <c r="FK330" s="100">
        <v>3</v>
      </c>
      <c r="FL330" s="100">
        <v>2</v>
      </c>
      <c r="FM330" s="100">
        <v>4</v>
      </c>
      <c r="FP330" s="100">
        <v>6</v>
      </c>
      <c r="FQ330" s="100">
        <v>5</v>
      </c>
      <c r="FR330" s="100">
        <v>3</v>
      </c>
      <c r="ON330" s="100">
        <f t="shared" si="125"/>
        <v>0</v>
      </c>
    </row>
    <row r="331" spans="1:404" ht="23.25" customHeight="1">
      <c r="A331" s="101" t="str">
        <f t="shared" si="126"/>
        <v>123/POTTERYPOT-2168-72800-02-A</v>
      </c>
      <c r="B331" s="95">
        <v>44436</v>
      </c>
      <c r="C331" s="97">
        <f t="shared" ca="1" si="121"/>
        <v>-628</v>
      </c>
      <c r="D331" s="96" t="s">
        <v>926</v>
      </c>
      <c r="E331" s="94" t="s">
        <v>229</v>
      </c>
      <c r="F331" s="98" t="str">
        <f t="shared" si="122"/>
        <v>A</v>
      </c>
      <c r="G331" s="110">
        <f ca="1">SUMIF($A:E,$A331,K:K)</f>
        <v>6</v>
      </c>
      <c r="H331" s="97" t="s">
        <v>601</v>
      </c>
      <c r="I331" s="98">
        <v>6</v>
      </c>
      <c r="J331" s="97">
        <v>6</v>
      </c>
      <c r="K331" s="143">
        <f t="shared" si="123"/>
        <v>6</v>
      </c>
      <c r="L331" s="144">
        <f t="shared" si="115"/>
        <v>0</v>
      </c>
      <c r="M331" s="275">
        <f t="shared" si="116"/>
        <v>6</v>
      </c>
      <c r="N331" s="98">
        <v>4</v>
      </c>
      <c r="O331" s="93">
        <f t="shared" si="124"/>
        <v>100</v>
      </c>
      <c r="FR331" s="100">
        <v>2</v>
      </c>
      <c r="FS331" s="100">
        <v>4</v>
      </c>
      <c r="ON331" s="100">
        <f t="shared" si="125"/>
        <v>0</v>
      </c>
    </row>
    <row r="332" spans="1:404" ht="23.25" customHeight="1">
      <c r="A332" s="101" t="str">
        <f t="shared" si="126"/>
        <v>041A/NY/PP-USA-2168-72800-02-A</v>
      </c>
      <c r="B332" s="95">
        <v>44432</v>
      </c>
      <c r="C332" s="97">
        <f t="shared" ca="1" si="121"/>
        <v>-632</v>
      </c>
      <c r="D332" s="96" t="s">
        <v>978</v>
      </c>
      <c r="E332" s="94" t="s">
        <v>229</v>
      </c>
      <c r="F332" s="98" t="str">
        <f t="shared" si="122"/>
        <v>A</v>
      </c>
      <c r="G332" s="110">
        <f ca="1">SUMIF($A:E,$A332,K:K)</f>
        <v>18</v>
      </c>
      <c r="H332" s="97" t="s">
        <v>508</v>
      </c>
      <c r="I332" s="98">
        <v>18</v>
      </c>
      <c r="J332" s="99">
        <v>18</v>
      </c>
      <c r="K332" s="143">
        <f t="shared" si="123"/>
        <v>18</v>
      </c>
      <c r="L332" s="144">
        <f t="shared" si="115"/>
        <v>0</v>
      </c>
      <c r="M332" s="275">
        <f t="shared" si="116"/>
        <v>18</v>
      </c>
      <c r="N332" s="98">
        <v>4</v>
      </c>
      <c r="O332" s="93">
        <f t="shared" si="124"/>
        <v>100</v>
      </c>
      <c r="ET332" s="100">
        <v>3</v>
      </c>
      <c r="EV332" s="100">
        <v>2</v>
      </c>
      <c r="EW332" s="100">
        <v>2</v>
      </c>
      <c r="FB332" s="100">
        <v>4</v>
      </c>
      <c r="FC332" s="100">
        <v>1</v>
      </c>
      <c r="FD332" s="100">
        <v>3</v>
      </c>
      <c r="FF332" s="100">
        <v>2</v>
      </c>
      <c r="FI332" s="100">
        <v>1</v>
      </c>
      <c r="ON332" s="100">
        <f t="shared" si="125"/>
        <v>0</v>
      </c>
    </row>
    <row r="333" spans="1:404" ht="23.25" customHeight="1">
      <c r="A333" s="101" t="str">
        <f t="shared" si="126"/>
        <v>176A/POTTERYPOT-2168-72800-02-A</v>
      </c>
      <c r="B333" s="95">
        <v>44395</v>
      </c>
      <c r="C333" s="97">
        <f t="shared" ca="1" si="121"/>
        <v>-669</v>
      </c>
      <c r="D333" s="96" t="s">
        <v>1005</v>
      </c>
      <c r="E333" s="94" t="s">
        <v>229</v>
      </c>
      <c r="F333" s="98" t="str">
        <f t="shared" si="122"/>
        <v>A</v>
      </c>
      <c r="G333" s="110">
        <f ca="1">SUMIF($A:E,$A333,K:K)</f>
        <v>6</v>
      </c>
      <c r="H333" s="97" t="s">
        <v>601</v>
      </c>
      <c r="I333" s="98">
        <v>6</v>
      </c>
      <c r="J333" s="97">
        <v>6</v>
      </c>
      <c r="K333" s="143">
        <f t="shared" si="123"/>
        <v>6</v>
      </c>
      <c r="L333" s="144">
        <f t="shared" si="115"/>
        <v>0</v>
      </c>
      <c r="M333" s="275">
        <f t="shared" si="116"/>
        <v>6</v>
      </c>
      <c r="N333" s="98">
        <v>4</v>
      </c>
      <c r="O333" s="93">
        <v>2</v>
      </c>
      <c r="FW333" s="100">
        <v>6</v>
      </c>
      <c r="FX333" s="246"/>
      <c r="ON333" s="100">
        <f t="shared" si="125"/>
        <v>0</v>
      </c>
    </row>
    <row r="334" spans="1:404" ht="23.25" customHeight="1">
      <c r="A334" s="101" t="str">
        <f t="shared" si="126"/>
        <v>160/POTTERYPOT-2168-72800-02-A</v>
      </c>
      <c r="B334" s="95">
        <v>44453</v>
      </c>
      <c r="C334" s="97">
        <f t="shared" ca="1" si="121"/>
        <v>-611</v>
      </c>
      <c r="D334" s="96" t="s">
        <v>1006</v>
      </c>
      <c r="E334" s="94" t="s">
        <v>229</v>
      </c>
      <c r="F334" s="98" t="str">
        <f t="shared" si="122"/>
        <v>A</v>
      </c>
      <c r="G334" s="110">
        <f ca="1">SUMIF($A:E,$A334,K:K)</f>
        <v>6</v>
      </c>
      <c r="H334" s="97" t="s">
        <v>601</v>
      </c>
      <c r="I334" s="98">
        <v>6</v>
      </c>
      <c r="J334" s="97">
        <v>6</v>
      </c>
      <c r="K334" s="143">
        <f t="shared" si="123"/>
        <v>6</v>
      </c>
      <c r="L334" s="144">
        <f t="shared" si="115"/>
        <v>0</v>
      </c>
      <c r="M334" s="275">
        <f t="shared" si="116"/>
        <v>6</v>
      </c>
      <c r="N334" s="98">
        <v>4</v>
      </c>
      <c r="O334" s="93">
        <f t="shared" ref="O334:O365" si="127">K334/J334*100</f>
        <v>100</v>
      </c>
      <c r="FT334" s="100">
        <v>6</v>
      </c>
      <c r="ON334" s="100">
        <f t="shared" si="125"/>
        <v>0</v>
      </c>
    </row>
    <row r="335" spans="1:404" ht="23.25" customHeight="1">
      <c r="A335" s="101" t="str">
        <f t="shared" si="126"/>
        <v>058/NY/PP-USA-2168-72800-02-A</v>
      </c>
      <c r="B335" s="95">
        <v>44575</v>
      </c>
      <c r="C335" s="97">
        <f t="shared" ca="1" si="121"/>
        <v>-489</v>
      </c>
      <c r="D335" s="96" t="s">
        <v>1029</v>
      </c>
      <c r="E335" s="280" t="s">
        <v>229</v>
      </c>
      <c r="F335" s="98" t="str">
        <f t="shared" si="122"/>
        <v>A</v>
      </c>
      <c r="G335" s="110">
        <f ca="1">SUMIF($A:E,$A335,K:K)</f>
        <v>28</v>
      </c>
      <c r="H335" s="97" t="s">
        <v>933</v>
      </c>
      <c r="I335" s="98">
        <v>28</v>
      </c>
      <c r="J335" s="97">
        <v>28</v>
      </c>
      <c r="K335" s="143">
        <f t="shared" si="123"/>
        <v>28</v>
      </c>
      <c r="L335" s="144">
        <f t="shared" si="115"/>
        <v>0</v>
      </c>
      <c r="M335" s="275">
        <f t="shared" si="116"/>
        <v>28</v>
      </c>
      <c r="N335" s="98" t="s">
        <v>1776</v>
      </c>
      <c r="O335" s="93">
        <f t="shared" si="127"/>
        <v>100</v>
      </c>
      <c r="LC335" s="100">
        <v>1</v>
      </c>
      <c r="LD335" s="100">
        <v>3</v>
      </c>
      <c r="LE335" s="100">
        <v>3</v>
      </c>
      <c r="LF335" s="100">
        <v>3</v>
      </c>
      <c r="LG335" s="100">
        <v>3</v>
      </c>
      <c r="LI335" s="100">
        <v>3</v>
      </c>
      <c r="LJ335" s="100">
        <v>3</v>
      </c>
      <c r="LK335" s="100">
        <v>3</v>
      </c>
      <c r="LL335" s="100">
        <v>1</v>
      </c>
      <c r="LM335" s="100">
        <v>5</v>
      </c>
      <c r="ON335" s="100">
        <f t="shared" si="125"/>
        <v>0</v>
      </c>
    </row>
    <row r="336" spans="1:404" ht="23.25" customHeight="1">
      <c r="A336" s="101" t="str">
        <f t="shared" si="126"/>
        <v>059/NY/PP-USA-2168-72800-02-A</v>
      </c>
      <c r="B336" s="95">
        <v>44660</v>
      </c>
      <c r="C336" s="97">
        <f t="shared" ca="1" si="121"/>
        <v>-404</v>
      </c>
      <c r="D336" s="96" t="s">
        <v>1030</v>
      </c>
      <c r="E336" s="280" t="s">
        <v>229</v>
      </c>
      <c r="F336" s="98" t="str">
        <f t="shared" si="122"/>
        <v>A</v>
      </c>
      <c r="G336" s="110">
        <f ca="1">SUMIF($A:E,$A336,K:K)</f>
        <v>24</v>
      </c>
      <c r="H336" s="97" t="s">
        <v>933</v>
      </c>
      <c r="I336" s="98">
        <v>12</v>
      </c>
      <c r="J336" s="97">
        <v>12</v>
      </c>
      <c r="K336" s="143">
        <f t="shared" si="123"/>
        <v>24</v>
      </c>
      <c r="L336" s="144">
        <f t="shared" si="115"/>
        <v>-12</v>
      </c>
      <c r="M336" s="275">
        <f t="shared" si="116"/>
        <v>12</v>
      </c>
      <c r="N336" s="98" t="s">
        <v>1776</v>
      </c>
      <c r="O336" s="93">
        <f t="shared" si="127"/>
        <v>200</v>
      </c>
      <c r="NY336" s="100">
        <v>12</v>
      </c>
      <c r="ON336" s="100">
        <f t="shared" si="125"/>
        <v>12</v>
      </c>
    </row>
    <row r="337" spans="1:404" ht="23.25" customHeight="1">
      <c r="A337" s="101" t="str">
        <f t="shared" si="126"/>
        <v>191/POTTERYPOT-2168-72800-02-A</v>
      </c>
      <c r="B337" s="95">
        <v>44671</v>
      </c>
      <c r="C337" s="97">
        <f t="shared" ca="1" si="121"/>
        <v>-393</v>
      </c>
      <c r="D337" s="96" t="s">
        <v>1033</v>
      </c>
      <c r="E337" s="280" t="s">
        <v>229</v>
      </c>
      <c r="F337" s="98" t="str">
        <f t="shared" si="122"/>
        <v>A</v>
      </c>
      <c r="G337" s="110">
        <f ca="1">SUMIF($A:E,$A337,K:K)</f>
        <v>28</v>
      </c>
      <c r="H337" s="97" t="s">
        <v>601</v>
      </c>
      <c r="I337" s="98">
        <v>14</v>
      </c>
      <c r="J337" s="97">
        <v>14</v>
      </c>
      <c r="K337" s="143">
        <f t="shared" si="123"/>
        <v>28</v>
      </c>
      <c r="L337" s="144">
        <f t="shared" si="115"/>
        <v>-14</v>
      </c>
      <c r="M337" s="275">
        <f t="shared" si="116"/>
        <v>14</v>
      </c>
      <c r="N337" s="98" t="s">
        <v>1776</v>
      </c>
      <c r="O337" s="93">
        <f t="shared" si="127"/>
        <v>200</v>
      </c>
      <c r="NZ337" s="100">
        <v>14</v>
      </c>
      <c r="ON337" s="100">
        <f t="shared" si="125"/>
        <v>14</v>
      </c>
    </row>
    <row r="338" spans="1:404" ht="23.25" customHeight="1">
      <c r="A338" s="101" t="str">
        <f t="shared" si="126"/>
        <v>192/POTTERYPOT-2168-72800-02-A</v>
      </c>
      <c r="B338" s="95">
        <v>44445</v>
      </c>
      <c r="C338" s="97">
        <f t="shared" ca="1" si="121"/>
        <v>-619</v>
      </c>
      <c r="D338" s="96" t="s">
        <v>1034</v>
      </c>
      <c r="E338" s="94" t="s">
        <v>229</v>
      </c>
      <c r="F338" s="98" t="str">
        <f t="shared" si="122"/>
        <v>A</v>
      </c>
      <c r="G338" s="110">
        <f ca="1">SUMIF($A:E,$A338,K:K)</f>
        <v>28</v>
      </c>
      <c r="H338" s="97" t="s">
        <v>601</v>
      </c>
      <c r="I338" s="98">
        <v>28</v>
      </c>
      <c r="J338" s="97">
        <v>28</v>
      </c>
      <c r="K338" s="143">
        <f t="shared" si="123"/>
        <v>28</v>
      </c>
      <c r="L338" s="144">
        <f t="shared" si="115"/>
        <v>0</v>
      </c>
      <c r="M338" s="275">
        <f t="shared" si="116"/>
        <v>28</v>
      </c>
      <c r="N338" s="98">
        <v>4</v>
      </c>
      <c r="O338" s="93">
        <f t="shared" si="127"/>
        <v>100</v>
      </c>
      <c r="FX338" s="100">
        <v>6</v>
      </c>
      <c r="FZ338" s="100">
        <v>4</v>
      </c>
      <c r="GA338" s="100">
        <v>5</v>
      </c>
      <c r="GB338" s="100">
        <v>5</v>
      </c>
      <c r="GC338" s="100">
        <v>6</v>
      </c>
      <c r="GD338" s="100">
        <v>2</v>
      </c>
      <c r="ON338" s="100">
        <f t="shared" si="125"/>
        <v>0</v>
      </c>
    </row>
    <row r="339" spans="1:404" ht="23.25" customHeight="1">
      <c r="A339" s="101" t="str">
        <f t="shared" si="126"/>
        <v>193/POTTERYPOT-2168-72800-02-A</v>
      </c>
      <c r="B339" s="126">
        <v>44464</v>
      </c>
      <c r="C339" s="127">
        <f t="shared" ca="1" si="121"/>
        <v>-600</v>
      </c>
      <c r="D339" s="128" t="s">
        <v>1035</v>
      </c>
      <c r="E339" s="129" t="s">
        <v>229</v>
      </c>
      <c r="F339" s="98" t="str">
        <f t="shared" si="122"/>
        <v>A</v>
      </c>
      <c r="G339" s="110">
        <f ca="1">SUMIF($A:E,$A339,K:K)</f>
        <v>28</v>
      </c>
      <c r="H339" s="127" t="s">
        <v>601</v>
      </c>
      <c r="I339" s="132">
        <v>28</v>
      </c>
      <c r="J339" s="127">
        <v>28</v>
      </c>
      <c r="K339" s="143">
        <f t="shared" si="123"/>
        <v>28</v>
      </c>
      <c r="L339" s="151">
        <f t="shared" ref="L339:L381" si="128">J339-K339</f>
        <v>0</v>
      </c>
      <c r="M339" s="275">
        <f t="shared" si="116"/>
        <v>28</v>
      </c>
      <c r="N339" s="132">
        <v>4</v>
      </c>
      <c r="O339" s="93">
        <f t="shared" si="127"/>
        <v>100</v>
      </c>
      <c r="GD339" s="100">
        <v>3</v>
      </c>
      <c r="GE339" s="100">
        <v>5</v>
      </c>
      <c r="GG339" s="100">
        <v>5</v>
      </c>
      <c r="GH339" s="100">
        <v>10</v>
      </c>
      <c r="GI339" s="100">
        <v>4</v>
      </c>
      <c r="GK339" s="100">
        <v>1</v>
      </c>
      <c r="ON339" s="100">
        <f t="shared" si="125"/>
        <v>0</v>
      </c>
    </row>
    <row r="340" spans="1:404" ht="23.25" customHeight="1">
      <c r="A340" s="97" t="str">
        <f t="shared" si="126"/>
        <v>194/POTTERYPOT-2168-72800-02-A</v>
      </c>
      <c r="B340" s="95">
        <v>44469</v>
      </c>
      <c r="C340" s="97">
        <f t="shared" ca="1" si="121"/>
        <v>-595</v>
      </c>
      <c r="D340" s="96" t="s">
        <v>1036</v>
      </c>
      <c r="E340" s="94" t="s">
        <v>229</v>
      </c>
      <c r="F340" s="98" t="str">
        <f t="shared" si="122"/>
        <v>A</v>
      </c>
      <c r="G340" s="110">
        <f ca="1">SUMIF($A:E,$A340,K:K)</f>
        <v>28</v>
      </c>
      <c r="H340" s="97" t="s">
        <v>601</v>
      </c>
      <c r="I340" s="98">
        <v>28</v>
      </c>
      <c r="J340" s="97">
        <v>28</v>
      </c>
      <c r="K340" s="143">
        <f t="shared" si="123"/>
        <v>28</v>
      </c>
      <c r="L340" s="144">
        <f t="shared" si="128"/>
        <v>0</v>
      </c>
      <c r="M340" s="275">
        <f t="shared" si="116"/>
        <v>28</v>
      </c>
      <c r="N340" s="98">
        <v>4</v>
      </c>
      <c r="O340" s="93">
        <f t="shared" si="127"/>
        <v>100</v>
      </c>
      <c r="GK340" s="100">
        <v>2</v>
      </c>
      <c r="GO340" s="100">
        <v>13</v>
      </c>
      <c r="GP340" s="100">
        <v>7</v>
      </c>
      <c r="GR340" s="100">
        <v>4</v>
      </c>
      <c r="GS340" s="100">
        <v>2</v>
      </c>
      <c r="ON340" s="100">
        <f t="shared" si="125"/>
        <v>0</v>
      </c>
    </row>
    <row r="341" spans="1:404" ht="23.25" customHeight="1">
      <c r="A341" s="97" t="str">
        <f t="shared" si="126"/>
        <v>195/POTTERYPOT-2168-72800-02-A</v>
      </c>
      <c r="B341" s="95">
        <v>44468</v>
      </c>
      <c r="C341" s="97">
        <f t="shared" ca="1" si="121"/>
        <v>-596</v>
      </c>
      <c r="D341" s="96" t="s">
        <v>1037</v>
      </c>
      <c r="E341" s="94" t="s">
        <v>229</v>
      </c>
      <c r="F341" s="98" t="str">
        <f t="shared" si="122"/>
        <v>A</v>
      </c>
      <c r="G341" s="110">
        <f ca="1">SUMIF($A:E,$A341,K:K)</f>
        <v>2</v>
      </c>
      <c r="H341" s="97" t="s">
        <v>601</v>
      </c>
      <c r="I341" s="98">
        <v>2</v>
      </c>
      <c r="J341" s="97">
        <v>2</v>
      </c>
      <c r="K341" s="143">
        <f t="shared" si="123"/>
        <v>2</v>
      </c>
      <c r="L341" s="144">
        <f t="shared" si="128"/>
        <v>0</v>
      </c>
      <c r="M341" s="275">
        <f t="shared" si="116"/>
        <v>2</v>
      </c>
      <c r="N341" s="98">
        <v>4</v>
      </c>
      <c r="O341" s="93">
        <f t="shared" si="127"/>
        <v>100</v>
      </c>
      <c r="GS341" s="100">
        <v>2</v>
      </c>
      <c r="ON341" s="100">
        <f t="shared" si="125"/>
        <v>0</v>
      </c>
    </row>
    <row r="342" spans="1:404" ht="23.25" customHeight="1">
      <c r="A342" s="97" t="str">
        <f t="shared" si="126"/>
        <v>125A/POTTERYPOT-2168-72800-02-A</v>
      </c>
      <c r="B342" s="95">
        <v>44453</v>
      </c>
      <c r="C342" s="97">
        <f t="shared" ca="1" si="121"/>
        <v>-611</v>
      </c>
      <c r="D342" s="96" t="s">
        <v>1076</v>
      </c>
      <c r="E342" s="94" t="s">
        <v>229</v>
      </c>
      <c r="F342" s="98" t="str">
        <f t="shared" si="122"/>
        <v>A</v>
      </c>
      <c r="G342" s="110">
        <f ca="1">SUMIF($A:E,$A342,K:K)</f>
        <v>18</v>
      </c>
      <c r="H342" s="97" t="s">
        <v>964</v>
      </c>
      <c r="I342" s="98">
        <v>18</v>
      </c>
      <c r="J342" s="97">
        <v>18</v>
      </c>
      <c r="K342" s="143">
        <f t="shared" si="123"/>
        <v>18</v>
      </c>
      <c r="L342" s="144">
        <f t="shared" si="128"/>
        <v>0</v>
      </c>
      <c r="M342" s="275">
        <f t="shared" ref="M342:M384" si="129">IF(OR(MID(E342,10,1)="0",MID(E342,10,1)="F"),I342,IF(OR(,MID(E342,10,1)="S",MID(E342,10,1)="L",MID(E342,10,1)="B",MID(E342,10,1)="X"),MID(E342,11,1)*I342,0))</f>
        <v>18</v>
      </c>
      <c r="N342" s="98">
        <v>4</v>
      </c>
      <c r="O342" s="93">
        <f t="shared" si="127"/>
        <v>100</v>
      </c>
      <c r="FU342" s="100">
        <v>6</v>
      </c>
      <c r="FV342" s="100">
        <v>9</v>
      </c>
      <c r="FW342" s="100">
        <v>3</v>
      </c>
      <c r="ON342" s="100">
        <f t="shared" si="125"/>
        <v>0</v>
      </c>
    </row>
    <row r="343" spans="1:404" ht="23.25" customHeight="1">
      <c r="A343" s="97" t="str">
        <f t="shared" si="126"/>
        <v>228/POTTERYPOT-2168-72800-02-A</v>
      </c>
      <c r="B343" s="95">
        <v>44566</v>
      </c>
      <c r="C343" s="97">
        <f t="shared" ca="1" si="121"/>
        <v>-498</v>
      </c>
      <c r="D343" s="96" t="s">
        <v>1083</v>
      </c>
      <c r="E343" s="280" t="s">
        <v>229</v>
      </c>
      <c r="F343" s="98" t="str">
        <f t="shared" si="122"/>
        <v>A</v>
      </c>
      <c r="G343" s="110">
        <f ca="1">SUMIF($A:E,$A343,K:K)</f>
        <v>10</v>
      </c>
      <c r="H343" s="97" t="s">
        <v>601</v>
      </c>
      <c r="I343" s="98">
        <v>10</v>
      </c>
      <c r="J343" s="97">
        <v>10</v>
      </c>
      <c r="K343" s="143">
        <f t="shared" si="123"/>
        <v>10</v>
      </c>
      <c r="L343" s="144">
        <f t="shared" si="128"/>
        <v>0</v>
      </c>
      <c r="M343" s="275">
        <f t="shared" si="129"/>
        <v>10</v>
      </c>
      <c r="N343" s="98" t="s">
        <v>1776</v>
      </c>
      <c r="O343" s="93">
        <f t="shared" si="127"/>
        <v>100</v>
      </c>
      <c r="JI343" s="100">
        <v>1</v>
      </c>
      <c r="JJ343" s="100">
        <v>1</v>
      </c>
      <c r="JK343" s="100">
        <v>5</v>
      </c>
      <c r="JM343" s="100">
        <v>3</v>
      </c>
      <c r="ON343" s="100">
        <f t="shared" si="125"/>
        <v>0</v>
      </c>
    </row>
    <row r="344" spans="1:404" ht="23.25" customHeight="1">
      <c r="A344" s="97" t="str">
        <f t="shared" si="126"/>
        <v>227/POTERTYPOT-2168-72800-02-A</v>
      </c>
      <c r="B344" s="95">
        <v>44557</v>
      </c>
      <c r="C344" s="97">
        <f t="shared" ca="1" si="121"/>
        <v>-507</v>
      </c>
      <c r="D344" s="96" t="s">
        <v>1084</v>
      </c>
      <c r="E344" s="280" t="s">
        <v>229</v>
      </c>
      <c r="F344" s="98" t="str">
        <f t="shared" si="122"/>
        <v>A</v>
      </c>
      <c r="G344" s="110">
        <f ca="1">SUMIF($A:E,$A344,K:K)</f>
        <v>10</v>
      </c>
      <c r="H344" s="97" t="s">
        <v>601</v>
      </c>
      <c r="I344" s="98">
        <v>10</v>
      </c>
      <c r="J344" s="97">
        <v>10</v>
      </c>
      <c r="K344" s="143">
        <f t="shared" si="123"/>
        <v>10</v>
      </c>
      <c r="L344" s="144">
        <f t="shared" si="128"/>
        <v>0</v>
      </c>
      <c r="M344" s="275">
        <f t="shared" si="129"/>
        <v>10</v>
      </c>
      <c r="N344" s="98" t="s">
        <v>1776</v>
      </c>
      <c r="O344" s="93">
        <f t="shared" si="127"/>
        <v>100</v>
      </c>
      <c r="JM344" s="100">
        <v>3</v>
      </c>
      <c r="JN344" s="100">
        <v>3</v>
      </c>
      <c r="JO344" s="100">
        <v>2</v>
      </c>
      <c r="JP344" s="100">
        <v>1</v>
      </c>
      <c r="JQ344" s="100">
        <v>1</v>
      </c>
      <c r="ON344" s="100">
        <f t="shared" si="125"/>
        <v>0</v>
      </c>
    </row>
    <row r="345" spans="1:404" ht="23.25" customHeight="1">
      <c r="A345" s="97" t="str">
        <f t="shared" si="126"/>
        <v>217/POTERTYPOT-2168-72800-02-A</v>
      </c>
      <c r="B345" s="95">
        <v>44625</v>
      </c>
      <c r="C345" s="97">
        <f t="shared" ca="1" si="121"/>
        <v>-439</v>
      </c>
      <c r="D345" s="96" t="s">
        <v>1085</v>
      </c>
      <c r="E345" s="94" t="s">
        <v>229</v>
      </c>
      <c r="F345" s="98" t="str">
        <f t="shared" si="122"/>
        <v>A</v>
      </c>
      <c r="G345" s="110">
        <f ca="1">SUMIF($A:E,$A345,K:K)</f>
        <v>36</v>
      </c>
      <c r="H345" s="97" t="s">
        <v>601</v>
      </c>
      <c r="I345" s="98">
        <v>36</v>
      </c>
      <c r="J345" s="97">
        <v>36</v>
      </c>
      <c r="K345" s="143">
        <f t="shared" si="123"/>
        <v>36</v>
      </c>
      <c r="L345" s="144">
        <f t="shared" si="128"/>
        <v>0</v>
      </c>
      <c r="M345" s="275">
        <f t="shared" si="129"/>
        <v>36</v>
      </c>
      <c r="N345" s="98" t="s">
        <v>1776</v>
      </c>
      <c r="O345" s="93">
        <f t="shared" si="127"/>
        <v>100</v>
      </c>
      <c r="MR345" s="100">
        <v>7</v>
      </c>
      <c r="MS345" s="100">
        <v>5</v>
      </c>
      <c r="MT345" s="100">
        <v>3</v>
      </c>
      <c r="MU345" s="100">
        <v>5</v>
      </c>
      <c r="MW345" s="100">
        <v>6</v>
      </c>
      <c r="MX345" s="100">
        <v>4</v>
      </c>
      <c r="MY345" s="100">
        <v>6</v>
      </c>
      <c r="ON345" s="100">
        <f t="shared" si="125"/>
        <v>0</v>
      </c>
    </row>
    <row r="346" spans="1:404" ht="23.25" customHeight="1">
      <c r="A346" s="97" t="str">
        <f t="shared" si="126"/>
        <v>056/NY/PP-USA-2168-72800-02-A</v>
      </c>
      <c r="B346" s="95">
        <v>44541</v>
      </c>
      <c r="C346" s="97">
        <f t="shared" ca="1" si="121"/>
        <v>-523</v>
      </c>
      <c r="D346" s="96" t="s">
        <v>1087</v>
      </c>
      <c r="E346" s="280" t="s">
        <v>229</v>
      </c>
      <c r="F346" s="98" t="str">
        <f t="shared" si="122"/>
        <v>A</v>
      </c>
      <c r="G346" s="110">
        <f ca="1">SUMIF($A:E,$A346,K:K)</f>
        <v>6</v>
      </c>
      <c r="H346" s="97" t="s">
        <v>616</v>
      </c>
      <c r="I346" s="98">
        <v>6</v>
      </c>
      <c r="J346" s="98">
        <v>6</v>
      </c>
      <c r="K346" s="143">
        <f t="shared" si="123"/>
        <v>6</v>
      </c>
      <c r="L346" s="144">
        <f t="shared" si="128"/>
        <v>0</v>
      </c>
      <c r="M346" s="275">
        <f t="shared" si="129"/>
        <v>6</v>
      </c>
      <c r="N346" s="98" t="s">
        <v>1776</v>
      </c>
      <c r="O346" s="93">
        <f t="shared" si="127"/>
        <v>100</v>
      </c>
      <c r="JQ346" s="100">
        <v>6</v>
      </c>
      <c r="ON346" s="100">
        <f t="shared" si="125"/>
        <v>0</v>
      </c>
    </row>
    <row r="347" spans="1:404" ht="23.25" customHeight="1">
      <c r="A347" s="97" t="str">
        <f t="shared" si="126"/>
        <v>382A/POTTERYPOT-2168-72800-02-A</v>
      </c>
      <c r="B347" s="95">
        <v>44667</v>
      </c>
      <c r="C347" s="97">
        <f t="shared" ca="1" si="121"/>
        <v>-397</v>
      </c>
      <c r="D347" s="96" t="s">
        <v>1285</v>
      </c>
      <c r="E347" s="280" t="s">
        <v>229</v>
      </c>
      <c r="F347" s="98" t="str">
        <f t="shared" si="122"/>
        <v>A</v>
      </c>
      <c r="G347" s="110">
        <f ca="1">SUMIF($A:E,$A347,K:K)</f>
        <v>12</v>
      </c>
      <c r="H347" s="97" t="s">
        <v>964</v>
      </c>
      <c r="I347" s="98">
        <v>6</v>
      </c>
      <c r="J347" s="97">
        <v>6</v>
      </c>
      <c r="K347" s="143">
        <f t="shared" si="123"/>
        <v>12</v>
      </c>
      <c r="L347" s="144">
        <f t="shared" si="128"/>
        <v>-6</v>
      </c>
      <c r="M347" s="275">
        <f t="shared" si="129"/>
        <v>6</v>
      </c>
      <c r="N347" s="98" t="s">
        <v>1776</v>
      </c>
      <c r="O347" s="93">
        <f t="shared" si="127"/>
        <v>200</v>
      </c>
      <c r="NZ347" s="100">
        <v>2</v>
      </c>
      <c r="OA347" s="100">
        <v>4</v>
      </c>
      <c r="ON347" s="100">
        <f t="shared" si="125"/>
        <v>6</v>
      </c>
    </row>
    <row r="348" spans="1:404" ht="23.25" customHeight="1">
      <c r="A348" s="97" t="str">
        <f t="shared" si="126"/>
        <v>335/POTTERYPOT-2168-72800-02-A</v>
      </c>
      <c r="B348" s="95">
        <v>44642</v>
      </c>
      <c r="C348" s="97">
        <f t="shared" ca="1" si="121"/>
        <v>-422</v>
      </c>
      <c r="D348" s="112" t="s">
        <v>1351</v>
      </c>
      <c r="E348" s="279" t="s">
        <v>229</v>
      </c>
      <c r="F348" s="98" t="str">
        <f t="shared" si="122"/>
        <v>A</v>
      </c>
      <c r="G348" s="110">
        <f ca="1">SUMIF($A:E,$A348,K:K)</f>
        <v>22</v>
      </c>
      <c r="H348" s="97" t="s">
        <v>927</v>
      </c>
      <c r="I348" s="175">
        <v>22</v>
      </c>
      <c r="J348" s="115">
        <v>22</v>
      </c>
      <c r="K348" s="143">
        <f t="shared" si="123"/>
        <v>22</v>
      </c>
      <c r="L348" s="144">
        <f t="shared" si="128"/>
        <v>0</v>
      </c>
      <c r="M348" s="275">
        <f t="shared" si="129"/>
        <v>22</v>
      </c>
      <c r="N348" s="98" t="s">
        <v>1776</v>
      </c>
      <c r="O348" s="93">
        <f t="shared" si="127"/>
        <v>100</v>
      </c>
      <c r="NL348" s="100">
        <v>11</v>
      </c>
      <c r="NM348" s="100">
        <v>11</v>
      </c>
      <c r="ON348" s="100">
        <f t="shared" si="125"/>
        <v>0</v>
      </c>
    </row>
    <row r="349" spans="1:404" ht="23.25" customHeight="1">
      <c r="A349" s="97" t="str">
        <f t="shared" si="126"/>
        <v>336/POTTERYPOT-2168-72800-02-A</v>
      </c>
      <c r="B349" s="95">
        <v>44613</v>
      </c>
      <c r="C349" s="97">
        <f t="shared" ref="C349:C365" ca="1" si="130">B349-TODAY()</f>
        <v>-451</v>
      </c>
      <c r="D349" s="112" t="s">
        <v>1352</v>
      </c>
      <c r="E349" s="279" t="s">
        <v>229</v>
      </c>
      <c r="F349" s="98" t="str">
        <f t="shared" ref="F349:F365" si="131">MID(E349,13,2)</f>
        <v>A</v>
      </c>
      <c r="G349" s="110">
        <f ca="1">SUMIF($A:E,$A349,K:K)</f>
        <v>90</v>
      </c>
      <c r="H349" s="97" t="s">
        <v>927</v>
      </c>
      <c r="I349" s="175">
        <v>90</v>
      </c>
      <c r="J349" s="115">
        <v>90</v>
      </c>
      <c r="K349" s="143">
        <f t="shared" si="123"/>
        <v>90</v>
      </c>
      <c r="L349" s="144">
        <f t="shared" si="128"/>
        <v>0</v>
      </c>
      <c r="M349" s="275">
        <f t="shared" si="129"/>
        <v>90</v>
      </c>
      <c r="N349" s="98" t="s">
        <v>1776</v>
      </c>
      <c r="O349" s="93">
        <f t="shared" si="127"/>
        <v>100</v>
      </c>
      <c r="LN349" s="100">
        <v>2</v>
      </c>
      <c r="LP349" s="100">
        <v>5</v>
      </c>
      <c r="LQ349" s="100">
        <v>3</v>
      </c>
      <c r="LR349" s="100">
        <v>3</v>
      </c>
      <c r="LS349" s="100">
        <v>3</v>
      </c>
      <c r="LT349" s="100">
        <v>3</v>
      </c>
      <c r="LU349" s="100">
        <v>3</v>
      </c>
      <c r="LW349" s="100">
        <v>3</v>
      </c>
      <c r="LX349" s="100">
        <v>3</v>
      </c>
      <c r="LY349" s="100">
        <v>1</v>
      </c>
      <c r="MA349" s="100">
        <v>2</v>
      </c>
      <c r="MB349" s="100">
        <v>1</v>
      </c>
      <c r="MD349" s="100">
        <v>2</v>
      </c>
      <c r="ME349" s="100">
        <v>1</v>
      </c>
      <c r="MF349" s="100">
        <v>6</v>
      </c>
      <c r="MG349" s="100">
        <v>6</v>
      </c>
      <c r="MK349" s="100">
        <v>9</v>
      </c>
      <c r="ML349" s="100">
        <v>4</v>
      </c>
      <c r="MM349" s="100">
        <v>6</v>
      </c>
      <c r="MN349" s="100">
        <v>7</v>
      </c>
      <c r="MO349" s="100">
        <v>10</v>
      </c>
      <c r="MQ349" s="100">
        <v>6</v>
      </c>
      <c r="MR349" s="100">
        <v>1</v>
      </c>
      <c r="ON349" s="100">
        <f t="shared" si="125"/>
        <v>0</v>
      </c>
    </row>
    <row r="350" spans="1:404" ht="23.25" customHeight="1">
      <c r="A350" s="97" t="str">
        <f t="shared" si="126"/>
        <v>337/POTTERYPOT-2168-72800-02-A</v>
      </c>
      <c r="B350" s="95">
        <v>44627</v>
      </c>
      <c r="C350" s="97">
        <f t="shared" ca="1" si="130"/>
        <v>-437</v>
      </c>
      <c r="D350" s="112" t="s">
        <v>1353</v>
      </c>
      <c r="E350" s="279" t="s">
        <v>229</v>
      </c>
      <c r="F350" s="98" t="str">
        <f t="shared" si="131"/>
        <v>A</v>
      </c>
      <c r="G350" s="110">
        <f ca="1">SUMIF($A:E,$A350,K:K)</f>
        <v>90</v>
      </c>
      <c r="H350" s="97" t="s">
        <v>927</v>
      </c>
      <c r="I350" s="175">
        <v>90</v>
      </c>
      <c r="J350" s="115">
        <v>90</v>
      </c>
      <c r="K350" s="143">
        <f t="shared" si="123"/>
        <v>90</v>
      </c>
      <c r="L350" s="144">
        <f t="shared" si="128"/>
        <v>0</v>
      </c>
      <c r="M350" s="275">
        <f t="shared" si="129"/>
        <v>90</v>
      </c>
      <c r="N350" s="98" t="s">
        <v>1776</v>
      </c>
      <c r="O350" s="93">
        <f t="shared" si="127"/>
        <v>100</v>
      </c>
      <c r="MY350" s="100">
        <v>3</v>
      </c>
      <c r="MZ350" s="100">
        <v>9</v>
      </c>
      <c r="NA350" s="100">
        <v>12</v>
      </c>
      <c r="ND350" s="100">
        <v>11</v>
      </c>
      <c r="NE350" s="100">
        <v>11</v>
      </c>
      <c r="NF350" s="100">
        <v>13</v>
      </c>
      <c r="NG350" s="100">
        <v>6</v>
      </c>
      <c r="NI350" s="100">
        <v>12</v>
      </c>
      <c r="NK350" s="100">
        <v>10</v>
      </c>
      <c r="NL350" s="100">
        <v>3</v>
      </c>
      <c r="ON350" s="100">
        <f t="shared" si="125"/>
        <v>0</v>
      </c>
    </row>
    <row r="351" spans="1:404" ht="23.25" customHeight="1">
      <c r="A351" s="97" t="str">
        <f t="shared" si="126"/>
        <v>338/POTTERYPOT-2168-72800-02-A</v>
      </c>
      <c r="B351" s="95">
        <v>44640</v>
      </c>
      <c r="C351" s="97">
        <f t="shared" ca="1" si="130"/>
        <v>-424</v>
      </c>
      <c r="D351" s="112" t="s">
        <v>1354</v>
      </c>
      <c r="E351" s="279" t="s">
        <v>229</v>
      </c>
      <c r="F351" s="98" t="str">
        <f t="shared" si="131"/>
        <v>A</v>
      </c>
      <c r="G351" s="110">
        <f ca="1">SUMIF($A:E,$A351,K:K)</f>
        <v>104</v>
      </c>
      <c r="H351" s="97" t="s">
        <v>927</v>
      </c>
      <c r="I351" s="175">
        <v>58</v>
      </c>
      <c r="J351" s="115">
        <v>58</v>
      </c>
      <c r="K351" s="143">
        <f t="shared" si="123"/>
        <v>104</v>
      </c>
      <c r="L351" s="144">
        <f t="shared" si="128"/>
        <v>-46</v>
      </c>
      <c r="M351" s="275">
        <f t="shared" si="129"/>
        <v>58</v>
      </c>
      <c r="N351" s="98" t="s">
        <v>1776</v>
      </c>
      <c r="O351" s="93">
        <f t="shared" si="127"/>
        <v>179.31034482758622</v>
      </c>
      <c r="NN351" s="100">
        <v>12</v>
      </c>
      <c r="NS351" s="100">
        <v>7</v>
      </c>
      <c r="NU351" s="100">
        <v>20</v>
      </c>
      <c r="NV351" s="100">
        <v>17</v>
      </c>
      <c r="NY351" s="100">
        <v>2</v>
      </c>
      <c r="ON351" s="100">
        <f t="shared" si="125"/>
        <v>46</v>
      </c>
    </row>
    <row r="352" spans="1:404" ht="23.25" customHeight="1">
      <c r="A352" s="97" t="str">
        <f t="shared" si="126"/>
        <v>339/POTTERYPOT-2168-72800-02-A</v>
      </c>
      <c r="B352" s="95">
        <v>44653</v>
      </c>
      <c r="C352" s="97">
        <f t="shared" ca="1" si="130"/>
        <v>-411</v>
      </c>
      <c r="D352" s="112" t="s">
        <v>1355</v>
      </c>
      <c r="E352" s="279" t="s">
        <v>229</v>
      </c>
      <c r="F352" s="98" t="str">
        <f t="shared" si="131"/>
        <v>A</v>
      </c>
      <c r="G352" s="110">
        <f ca="1">SUMIF($A:E,$A352,K:K)</f>
        <v>112</v>
      </c>
      <c r="H352" s="97" t="s">
        <v>927</v>
      </c>
      <c r="I352" s="175">
        <v>56</v>
      </c>
      <c r="J352" s="115">
        <v>56</v>
      </c>
      <c r="K352" s="143">
        <f t="shared" si="123"/>
        <v>112</v>
      </c>
      <c r="L352" s="144">
        <f t="shared" si="128"/>
        <v>-56</v>
      </c>
      <c r="M352" s="275">
        <f t="shared" si="129"/>
        <v>56</v>
      </c>
      <c r="N352" s="98" t="s">
        <v>1776</v>
      </c>
      <c r="O352" s="93">
        <f t="shared" si="127"/>
        <v>200</v>
      </c>
      <c r="OA352" s="100">
        <v>12</v>
      </c>
      <c r="OB352" s="100">
        <v>8</v>
      </c>
      <c r="OC352" s="100">
        <v>8</v>
      </c>
      <c r="OD352" s="100">
        <v>7</v>
      </c>
      <c r="OF352" s="100">
        <v>9</v>
      </c>
      <c r="OG352" s="100">
        <v>8</v>
      </c>
      <c r="OH352" s="100">
        <v>4</v>
      </c>
      <c r="ON352" s="100">
        <f t="shared" si="125"/>
        <v>56</v>
      </c>
    </row>
    <row r="353" spans="1:404" ht="23.25" customHeight="1">
      <c r="A353" s="97" t="str">
        <f t="shared" si="126"/>
        <v>340/POTTERYPOT-2168-72800-02-A</v>
      </c>
      <c r="B353" s="95">
        <v>44669</v>
      </c>
      <c r="C353" s="97">
        <f t="shared" ca="1" si="130"/>
        <v>-395</v>
      </c>
      <c r="D353" s="112" t="s">
        <v>1356</v>
      </c>
      <c r="E353" s="279" t="s">
        <v>229</v>
      </c>
      <c r="F353" s="98" t="str">
        <f t="shared" si="131"/>
        <v>A</v>
      </c>
      <c r="G353" s="110">
        <f ca="1">SUMIF($A:E,$A353,K:K)</f>
        <v>8</v>
      </c>
      <c r="H353" s="97" t="s">
        <v>927</v>
      </c>
      <c r="I353" s="175">
        <v>4</v>
      </c>
      <c r="J353" s="115">
        <v>4</v>
      </c>
      <c r="K353" s="143">
        <f t="shared" si="123"/>
        <v>8</v>
      </c>
      <c r="L353" s="144">
        <f t="shared" si="128"/>
        <v>-4</v>
      </c>
      <c r="M353" s="275">
        <f t="shared" si="129"/>
        <v>4</v>
      </c>
      <c r="N353" s="98" t="s">
        <v>1776</v>
      </c>
      <c r="O353" s="93">
        <f t="shared" si="127"/>
        <v>200</v>
      </c>
      <c r="OH353" s="100">
        <v>4</v>
      </c>
      <c r="ON353" s="100">
        <f t="shared" si="125"/>
        <v>4</v>
      </c>
    </row>
    <row r="354" spans="1:404" ht="23.25" customHeight="1">
      <c r="A354" s="97" t="str">
        <f t="shared" si="126"/>
        <v>095/NY/PP-USA-2168-72800-02-A</v>
      </c>
      <c r="B354" s="95">
        <v>44577</v>
      </c>
      <c r="C354" s="97">
        <f t="shared" ca="1" si="130"/>
        <v>-487</v>
      </c>
      <c r="D354" s="112" t="s">
        <v>1429</v>
      </c>
      <c r="E354" s="279" t="s">
        <v>229</v>
      </c>
      <c r="F354" s="98" t="str">
        <f t="shared" si="131"/>
        <v>A</v>
      </c>
      <c r="G354" s="110">
        <f ca="1">SUMIF($A:E,$A354,K:K)</f>
        <v>24</v>
      </c>
      <c r="H354" s="97" t="s">
        <v>616</v>
      </c>
      <c r="I354" s="175">
        <v>24</v>
      </c>
      <c r="J354" s="115">
        <v>24</v>
      </c>
      <c r="K354" s="143">
        <f t="shared" si="123"/>
        <v>24</v>
      </c>
      <c r="L354" s="144">
        <f t="shared" si="128"/>
        <v>0</v>
      </c>
      <c r="M354" s="275">
        <f t="shared" si="129"/>
        <v>24</v>
      </c>
      <c r="N354" s="98" t="s">
        <v>1776</v>
      </c>
      <c r="O354" s="93">
        <f t="shared" si="127"/>
        <v>100</v>
      </c>
      <c r="JR354" s="100">
        <v>2</v>
      </c>
      <c r="JT354" s="100">
        <v>3</v>
      </c>
      <c r="JU354" s="100">
        <v>3</v>
      </c>
      <c r="JW354" s="100">
        <v>8</v>
      </c>
      <c r="JX354" s="100">
        <v>4</v>
      </c>
      <c r="KA354" s="100">
        <v>3</v>
      </c>
      <c r="KB354" s="100">
        <v>1</v>
      </c>
      <c r="ON354" s="100">
        <f t="shared" si="125"/>
        <v>0</v>
      </c>
    </row>
    <row r="355" spans="1:404" ht="23.25" customHeight="1">
      <c r="A355" s="97" t="str">
        <f t="shared" si="126"/>
        <v>096/NY/PP-USA-2168-72800-02-A</v>
      </c>
      <c r="B355" s="95">
        <v>44577</v>
      </c>
      <c r="C355" s="97">
        <f t="shared" ca="1" si="130"/>
        <v>-487</v>
      </c>
      <c r="D355" s="112" t="s">
        <v>1430</v>
      </c>
      <c r="E355" s="279" t="s">
        <v>229</v>
      </c>
      <c r="F355" s="98" t="str">
        <f t="shared" si="131"/>
        <v>A</v>
      </c>
      <c r="G355" s="110">
        <f ca="1">SUMIF($A:E,$A355,K:K)</f>
        <v>24</v>
      </c>
      <c r="H355" s="97" t="s">
        <v>616</v>
      </c>
      <c r="I355" s="175">
        <v>24</v>
      </c>
      <c r="J355" s="115">
        <v>24</v>
      </c>
      <c r="K355" s="143">
        <f t="shared" si="123"/>
        <v>24</v>
      </c>
      <c r="L355" s="144">
        <f t="shared" si="128"/>
        <v>0</v>
      </c>
      <c r="M355" s="275">
        <f t="shared" si="129"/>
        <v>24</v>
      </c>
      <c r="N355" s="98" t="s">
        <v>1776</v>
      </c>
      <c r="O355" s="93">
        <f t="shared" si="127"/>
        <v>100</v>
      </c>
      <c r="KB355" s="100">
        <v>4</v>
      </c>
      <c r="KC355" s="100">
        <v>4</v>
      </c>
      <c r="KD355" s="100">
        <v>3</v>
      </c>
      <c r="KE355" s="100">
        <v>3</v>
      </c>
      <c r="KF355" s="100">
        <v>3</v>
      </c>
      <c r="KG355" s="100">
        <v>3</v>
      </c>
      <c r="KH355" s="100">
        <v>2</v>
      </c>
      <c r="KI355" s="100">
        <v>2</v>
      </c>
      <c r="ON355" s="100">
        <f t="shared" si="125"/>
        <v>0</v>
      </c>
    </row>
    <row r="356" spans="1:404" ht="23.25" customHeight="1">
      <c r="A356" s="97" t="str">
        <f t="shared" si="126"/>
        <v>097/NY/PP-USA-2168-72800-02-A</v>
      </c>
      <c r="B356" s="95">
        <v>44577</v>
      </c>
      <c r="C356" s="97">
        <f t="shared" ca="1" si="130"/>
        <v>-487</v>
      </c>
      <c r="D356" s="112" t="s">
        <v>1431</v>
      </c>
      <c r="E356" s="279" t="s">
        <v>229</v>
      </c>
      <c r="F356" s="98" t="str">
        <f t="shared" si="131"/>
        <v>A</v>
      </c>
      <c r="G356" s="110">
        <f ca="1">SUMIF($A:E,$A356,K:K)</f>
        <v>24</v>
      </c>
      <c r="H356" s="97" t="s">
        <v>616</v>
      </c>
      <c r="I356" s="175">
        <v>24</v>
      </c>
      <c r="J356" s="115">
        <v>24</v>
      </c>
      <c r="K356" s="143">
        <f t="shared" si="123"/>
        <v>24</v>
      </c>
      <c r="L356" s="144">
        <f t="shared" si="128"/>
        <v>0</v>
      </c>
      <c r="M356" s="275">
        <f t="shared" si="129"/>
        <v>24</v>
      </c>
      <c r="N356" s="98" t="s">
        <v>1776</v>
      </c>
      <c r="O356" s="93">
        <f t="shared" si="127"/>
        <v>100</v>
      </c>
      <c r="KI356" s="100">
        <v>1</v>
      </c>
      <c r="KJ356" s="100">
        <v>3</v>
      </c>
      <c r="KN356" s="100">
        <v>3</v>
      </c>
      <c r="KO356" s="100">
        <v>3</v>
      </c>
      <c r="KP356" s="100">
        <v>1</v>
      </c>
      <c r="KQ356" s="100">
        <v>1</v>
      </c>
      <c r="KR356" s="100">
        <v>3</v>
      </c>
      <c r="KW356" s="100">
        <v>1</v>
      </c>
      <c r="KX356" s="100">
        <v>1</v>
      </c>
      <c r="KY356" s="100">
        <v>1</v>
      </c>
      <c r="LB356" s="100">
        <v>4</v>
      </c>
      <c r="LC356" s="100">
        <v>2</v>
      </c>
      <c r="ON356" s="100">
        <f t="shared" si="125"/>
        <v>0</v>
      </c>
    </row>
    <row r="357" spans="1:404" ht="23.25" customHeight="1">
      <c r="A357" s="97" t="e">
        <f>D357&amp;#REF!</f>
        <v>#REF!</v>
      </c>
      <c r="B357" s="95">
        <v>44464</v>
      </c>
      <c r="C357" s="97">
        <f t="shared" ca="1" si="130"/>
        <v>-600</v>
      </c>
      <c r="D357" s="96" t="s">
        <v>1214</v>
      </c>
      <c r="E357" s="94" t="s">
        <v>421</v>
      </c>
      <c r="F357" s="98" t="str">
        <f t="shared" si="131"/>
        <v>01</v>
      </c>
      <c r="G357" s="110">
        <f ca="1">SUMIF($A:E,$A357,K:K)</f>
        <v>1754</v>
      </c>
      <c r="H357" s="97" t="s">
        <v>1212</v>
      </c>
      <c r="I357" s="98">
        <v>120</v>
      </c>
      <c r="J357" s="99">
        <v>120</v>
      </c>
      <c r="K357" s="143">
        <f t="shared" si="123"/>
        <v>120</v>
      </c>
      <c r="L357" s="144">
        <f t="shared" si="128"/>
        <v>0</v>
      </c>
      <c r="M357" s="275">
        <f t="shared" si="129"/>
        <v>120</v>
      </c>
      <c r="N357" s="98">
        <v>5</v>
      </c>
      <c r="O357" s="93">
        <f t="shared" si="127"/>
        <v>100</v>
      </c>
      <c r="FV357" s="100">
        <v>3</v>
      </c>
      <c r="FW357" s="100">
        <v>3</v>
      </c>
      <c r="FZ357" s="100">
        <v>9</v>
      </c>
      <c r="GB357" s="100">
        <v>2</v>
      </c>
      <c r="GC357" s="100">
        <v>1</v>
      </c>
      <c r="GD357" s="100">
        <v>1</v>
      </c>
      <c r="GG357" s="100">
        <v>4</v>
      </c>
      <c r="GH357" s="100">
        <v>5</v>
      </c>
      <c r="GI357" s="100">
        <v>3</v>
      </c>
      <c r="GL357" s="100">
        <v>6</v>
      </c>
      <c r="GN357" s="100">
        <v>5</v>
      </c>
      <c r="GO357" s="100">
        <v>4</v>
      </c>
      <c r="GP357" s="100">
        <v>2</v>
      </c>
      <c r="GR357" s="100">
        <v>5</v>
      </c>
      <c r="GS357" s="100">
        <v>2</v>
      </c>
      <c r="GU357" s="100">
        <v>3</v>
      </c>
      <c r="GV357" s="100">
        <v>3</v>
      </c>
      <c r="GW357" s="100">
        <v>3</v>
      </c>
      <c r="GY357" s="100">
        <v>9</v>
      </c>
      <c r="HB357" s="100">
        <v>3</v>
      </c>
      <c r="HC357" s="100">
        <v>3</v>
      </c>
      <c r="HD357" s="100">
        <v>3</v>
      </c>
      <c r="HF357" s="100">
        <v>5</v>
      </c>
      <c r="HI357" s="100">
        <v>1</v>
      </c>
      <c r="HJ357" s="100">
        <v>9</v>
      </c>
      <c r="HM357" s="100">
        <v>3</v>
      </c>
      <c r="HP357" s="100">
        <v>3</v>
      </c>
      <c r="HQ357" s="100">
        <v>9</v>
      </c>
      <c r="HR357" s="100">
        <v>1</v>
      </c>
      <c r="HS357" s="100">
        <v>5</v>
      </c>
      <c r="HU357" s="100">
        <v>2</v>
      </c>
      <c r="ON357" s="100">
        <f t="shared" si="125"/>
        <v>0</v>
      </c>
    </row>
    <row r="358" spans="1:404" ht="23.25" customHeight="1">
      <c r="A358" s="97" t="str">
        <f t="shared" ref="A358:A365" si="132">D358&amp;E358</f>
        <v>086/POTTERYPOT-2168-72800-01-A</v>
      </c>
      <c r="B358" s="95">
        <v>44434</v>
      </c>
      <c r="C358" s="97">
        <f t="shared" ca="1" si="130"/>
        <v>-630</v>
      </c>
      <c r="D358" s="96" t="s">
        <v>884</v>
      </c>
      <c r="E358" s="94" t="s">
        <v>228</v>
      </c>
      <c r="F358" s="98" t="str">
        <f t="shared" si="131"/>
        <v>A</v>
      </c>
      <c r="G358" s="110">
        <f ca="1">SUMIF($A:E,$A358,K:K)</f>
        <v>2</v>
      </c>
      <c r="H358" s="97" t="s">
        <v>616</v>
      </c>
      <c r="I358" s="98">
        <v>2</v>
      </c>
      <c r="J358" s="97">
        <v>2</v>
      </c>
      <c r="K358" s="143">
        <f t="shared" si="123"/>
        <v>2</v>
      </c>
      <c r="L358" s="144">
        <f t="shared" si="128"/>
        <v>0</v>
      </c>
      <c r="M358" s="275">
        <f t="shared" si="129"/>
        <v>2</v>
      </c>
      <c r="N358" s="98">
        <v>3</v>
      </c>
      <c r="O358" s="93">
        <f t="shared" si="127"/>
        <v>100</v>
      </c>
      <c r="GS358" s="176">
        <v>2</v>
      </c>
      <c r="ON358" s="100">
        <f t="shared" si="125"/>
        <v>0</v>
      </c>
    </row>
    <row r="359" spans="1:404" ht="23.25" customHeight="1">
      <c r="A359" s="97" t="str">
        <f t="shared" si="132"/>
        <v>123/POTTERYPOT-2168-72800-01-A</v>
      </c>
      <c r="B359" s="95">
        <v>44436</v>
      </c>
      <c r="C359" s="97">
        <f t="shared" ca="1" si="130"/>
        <v>-628</v>
      </c>
      <c r="D359" s="96" t="s">
        <v>926</v>
      </c>
      <c r="E359" s="94" t="s">
        <v>228</v>
      </c>
      <c r="F359" s="98" t="str">
        <f t="shared" si="131"/>
        <v>A</v>
      </c>
      <c r="G359" s="110">
        <f ca="1">SUMIF($A:E,$A359,K:K)</f>
        <v>6</v>
      </c>
      <c r="H359" s="97" t="s">
        <v>927</v>
      </c>
      <c r="I359" s="98">
        <v>6</v>
      </c>
      <c r="J359" s="97">
        <v>6</v>
      </c>
      <c r="K359" s="143">
        <f t="shared" si="123"/>
        <v>6</v>
      </c>
      <c r="L359" s="144">
        <f t="shared" si="128"/>
        <v>0</v>
      </c>
      <c r="M359" s="275">
        <f t="shared" si="129"/>
        <v>6</v>
      </c>
      <c r="N359" s="98">
        <v>3</v>
      </c>
      <c r="O359" s="93">
        <f t="shared" si="127"/>
        <v>100</v>
      </c>
      <c r="DP359" s="97"/>
      <c r="GU359" s="100">
        <v>2</v>
      </c>
      <c r="GV359" s="100">
        <v>2</v>
      </c>
      <c r="GW359" s="100">
        <v>2</v>
      </c>
      <c r="ON359" s="100">
        <f t="shared" si="125"/>
        <v>0</v>
      </c>
    </row>
    <row r="360" spans="1:404" ht="23.25" customHeight="1">
      <c r="A360" s="97" t="str">
        <f t="shared" si="132"/>
        <v>176A/POTTERYPOT-2168-72800-01-A</v>
      </c>
      <c r="B360" s="95">
        <v>44454</v>
      </c>
      <c r="C360" s="97">
        <f t="shared" ca="1" si="130"/>
        <v>-610</v>
      </c>
      <c r="D360" s="96" t="s">
        <v>1005</v>
      </c>
      <c r="E360" s="94" t="s">
        <v>228</v>
      </c>
      <c r="F360" s="98" t="str">
        <f t="shared" si="131"/>
        <v>A</v>
      </c>
      <c r="G360" s="110">
        <f ca="1">SUMIF($A:E,$A360,K:K)</f>
        <v>6</v>
      </c>
      <c r="H360" s="97" t="s">
        <v>601</v>
      </c>
      <c r="I360" s="98">
        <v>6</v>
      </c>
      <c r="J360" s="97">
        <v>6</v>
      </c>
      <c r="K360" s="143">
        <f t="shared" si="123"/>
        <v>6</v>
      </c>
      <c r="L360" s="144">
        <f t="shared" si="128"/>
        <v>0</v>
      </c>
      <c r="M360" s="275">
        <f t="shared" si="129"/>
        <v>6</v>
      </c>
      <c r="N360" s="98">
        <v>3</v>
      </c>
      <c r="O360" s="93">
        <f t="shared" si="127"/>
        <v>100</v>
      </c>
      <c r="GP360" s="100">
        <v>2</v>
      </c>
      <c r="GQ360" s="100">
        <v>2</v>
      </c>
      <c r="GR360" s="100">
        <v>2</v>
      </c>
      <c r="ON360" s="100">
        <f t="shared" si="125"/>
        <v>0</v>
      </c>
    </row>
    <row r="361" spans="1:404" ht="23.25" customHeight="1">
      <c r="A361" s="97" t="str">
        <f t="shared" si="132"/>
        <v>160/POTTERYPOT-2168-72800-01-A</v>
      </c>
      <c r="B361" s="95">
        <v>44453</v>
      </c>
      <c r="C361" s="97">
        <f t="shared" ca="1" si="130"/>
        <v>-611</v>
      </c>
      <c r="D361" s="96" t="s">
        <v>1006</v>
      </c>
      <c r="E361" s="94" t="s">
        <v>228</v>
      </c>
      <c r="F361" s="98" t="str">
        <f t="shared" si="131"/>
        <v>A</v>
      </c>
      <c r="G361" s="110">
        <f ca="1">SUMIF($A:E,$A361,K:K)</f>
        <v>6</v>
      </c>
      <c r="H361" s="97" t="s">
        <v>601</v>
      </c>
      <c r="I361" s="98">
        <v>6</v>
      </c>
      <c r="J361" s="97">
        <v>6</v>
      </c>
      <c r="K361" s="143">
        <f t="shared" si="123"/>
        <v>6</v>
      </c>
      <c r="L361" s="144">
        <f t="shared" si="128"/>
        <v>0</v>
      </c>
      <c r="M361" s="275">
        <f t="shared" si="129"/>
        <v>6</v>
      </c>
      <c r="N361" s="98">
        <v>3</v>
      </c>
      <c r="O361" s="93">
        <f t="shared" si="127"/>
        <v>100</v>
      </c>
      <c r="GX361" s="100">
        <v>2</v>
      </c>
      <c r="GY361" s="100">
        <v>2</v>
      </c>
      <c r="GZ361" s="100">
        <v>2</v>
      </c>
      <c r="ON361" s="100">
        <f t="shared" si="125"/>
        <v>0</v>
      </c>
    </row>
    <row r="362" spans="1:404" ht="23.25" customHeight="1">
      <c r="A362" s="97" t="str">
        <f t="shared" si="132"/>
        <v>058/NY/PP-USA-2168-72800-01-A</v>
      </c>
      <c r="B362" s="95">
        <v>44575</v>
      </c>
      <c r="C362" s="97">
        <f t="shared" ca="1" si="130"/>
        <v>-489</v>
      </c>
      <c r="D362" s="96" t="s">
        <v>1029</v>
      </c>
      <c r="E362" s="280" t="s">
        <v>228</v>
      </c>
      <c r="F362" s="98" t="str">
        <f t="shared" si="131"/>
        <v>A</v>
      </c>
      <c r="G362" s="110">
        <f ca="1">SUMIF($A:E,$A362,K:K)</f>
        <v>28</v>
      </c>
      <c r="H362" s="97" t="s">
        <v>933</v>
      </c>
      <c r="I362" s="98">
        <v>28</v>
      </c>
      <c r="J362" s="97">
        <v>28</v>
      </c>
      <c r="K362" s="143">
        <f t="shared" si="123"/>
        <v>28</v>
      </c>
      <c r="L362" s="144">
        <f t="shared" si="128"/>
        <v>0</v>
      </c>
      <c r="M362" s="275">
        <f t="shared" si="129"/>
        <v>28</v>
      </c>
      <c r="N362" s="98" t="s">
        <v>1776</v>
      </c>
      <c r="O362" s="93">
        <f t="shared" si="127"/>
        <v>100</v>
      </c>
      <c r="LD362" s="100">
        <v>2</v>
      </c>
      <c r="LF362" s="100">
        <v>3</v>
      </c>
      <c r="LG362" s="100">
        <v>3</v>
      </c>
      <c r="LI362" s="100">
        <v>2</v>
      </c>
      <c r="LJ362" s="100">
        <v>2</v>
      </c>
      <c r="LK362" s="100">
        <v>2</v>
      </c>
      <c r="LL362" s="100">
        <v>2</v>
      </c>
      <c r="LM362" s="100">
        <v>2</v>
      </c>
      <c r="LN362" s="100">
        <v>2</v>
      </c>
      <c r="LP362" s="100">
        <v>2</v>
      </c>
      <c r="LQ362" s="100">
        <v>2</v>
      </c>
      <c r="LR362" s="100">
        <v>2</v>
      </c>
      <c r="LS362" s="100">
        <v>2</v>
      </c>
      <c r="ON362" s="100">
        <f t="shared" si="125"/>
        <v>0</v>
      </c>
    </row>
    <row r="363" spans="1:404" ht="23.25" customHeight="1">
      <c r="A363" s="97" t="str">
        <f t="shared" si="132"/>
        <v>059/NY/PP-USA-2168-72800-01-A</v>
      </c>
      <c r="B363" s="95">
        <v>44663</v>
      </c>
      <c r="C363" s="97">
        <f t="shared" ca="1" si="130"/>
        <v>-401</v>
      </c>
      <c r="D363" s="96" t="s">
        <v>1030</v>
      </c>
      <c r="E363" s="280" t="s">
        <v>228</v>
      </c>
      <c r="F363" s="98" t="str">
        <f t="shared" si="131"/>
        <v>A</v>
      </c>
      <c r="G363" s="110">
        <f ca="1">SUMIF($A:E,$A363,K:K)</f>
        <v>0</v>
      </c>
      <c r="H363" s="97" t="s">
        <v>933</v>
      </c>
      <c r="I363" s="98">
        <v>12</v>
      </c>
      <c r="J363" s="97">
        <v>12</v>
      </c>
      <c r="K363" s="143">
        <f t="shared" si="123"/>
        <v>0</v>
      </c>
      <c r="L363" s="144">
        <f t="shared" si="128"/>
        <v>12</v>
      </c>
      <c r="M363" s="275">
        <f t="shared" si="129"/>
        <v>12</v>
      </c>
      <c r="N363" s="98"/>
      <c r="O363" s="93">
        <f t="shared" si="127"/>
        <v>0</v>
      </c>
      <c r="ON363" s="100">
        <f t="shared" si="125"/>
        <v>0</v>
      </c>
    </row>
    <row r="364" spans="1:404" ht="23.25" customHeight="1">
      <c r="A364" s="97" t="str">
        <f t="shared" si="132"/>
        <v>191/POTTERYPOT-2168-72800-01-A</v>
      </c>
      <c r="B364" s="95">
        <v>44671</v>
      </c>
      <c r="C364" s="97">
        <f t="shared" ca="1" si="130"/>
        <v>-393</v>
      </c>
      <c r="D364" s="96" t="s">
        <v>1033</v>
      </c>
      <c r="E364" s="280" t="s">
        <v>228</v>
      </c>
      <c r="F364" s="98" t="str">
        <f t="shared" si="131"/>
        <v>A</v>
      </c>
      <c r="G364" s="110">
        <f ca="1">SUMIF($A:E,$A364,K:K)</f>
        <v>0</v>
      </c>
      <c r="H364" s="97" t="s">
        <v>601</v>
      </c>
      <c r="I364" s="98">
        <v>14</v>
      </c>
      <c r="J364" s="97">
        <v>14</v>
      </c>
      <c r="K364" s="143">
        <f t="shared" si="123"/>
        <v>0</v>
      </c>
      <c r="L364" s="144">
        <f t="shared" si="128"/>
        <v>14</v>
      </c>
      <c r="M364" s="275">
        <f t="shared" si="129"/>
        <v>14</v>
      </c>
      <c r="N364" s="98"/>
      <c r="O364" s="93">
        <f t="shared" si="127"/>
        <v>0</v>
      </c>
      <c r="ON364" s="100">
        <f t="shared" si="125"/>
        <v>0</v>
      </c>
    </row>
    <row r="365" spans="1:404" ht="23.25" customHeight="1">
      <c r="A365" s="97" t="str">
        <f t="shared" si="132"/>
        <v>192/POTTERYPOT-2168-72800-01-A</v>
      </c>
      <c r="B365" s="95">
        <v>44445</v>
      </c>
      <c r="C365" s="97">
        <f t="shared" ca="1" si="130"/>
        <v>-619</v>
      </c>
      <c r="D365" s="96" t="s">
        <v>1034</v>
      </c>
      <c r="E365" s="94" t="s">
        <v>228</v>
      </c>
      <c r="F365" s="98" t="str">
        <f t="shared" si="131"/>
        <v>A</v>
      </c>
      <c r="G365" s="110">
        <f ca="1">SUMIF($A:E,$A365,K:K)</f>
        <v>28</v>
      </c>
      <c r="H365" s="97" t="s">
        <v>601</v>
      </c>
      <c r="I365" s="98">
        <v>28</v>
      </c>
      <c r="J365" s="97">
        <v>28</v>
      </c>
      <c r="K365" s="143">
        <f t="shared" si="123"/>
        <v>28</v>
      </c>
      <c r="L365" s="144">
        <f t="shared" si="128"/>
        <v>0</v>
      </c>
      <c r="M365" s="275">
        <f t="shared" si="129"/>
        <v>28</v>
      </c>
      <c r="N365" s="98">
        <v>3</v>
      </c>
      <c r="O365" s="93">
        <f t="shared" si="127"/>
        <v>100</v>
      </c>
      <c r="HM365" s="100">
        <v>2</v>
      </c>
      <c r="HN365" s="100">
        <v>2</v>
      </c>
      <c r="HP365" s="100">
        <v>2</v>
      </c>
      <c r="HQ365" s="100">
        <v>2</v>
      </c>
      <c r="HS365" s="100">
        <v>2</v>
      </c>
      <c r="HT365" s="100">
        <v>3</v>
      </c>
      <c r="HX365" s="100">
        <v>2</v>
      </c>
      <c r="HY365" s="100">
        <v>4</v>
      </c>
      <c r="IE365" s="100">
        <v>2</v>
      </c>
      <c r="IF365" s="100">
        <v>2</v>
      </c>
      <c r="IG365" s="100">
        <v>4</v>
      </c>
      <c r="IH365" s="100">
        <v>1</v>
      </c>
      <c r="ON365" s="100">
        <f t="shared" si="125"/>
        <v>0</v>
      </c>
    </row>
    <row r="366" spans="1:404" ht="23.25" customHeight="1">
      <c r="A366" s="97" t="s">
        <v>1783</v>
      </c>
      <c r="B366" s="95">
        <v>44464</v>
      </c>
      <c r="C366" s="97">
        <v>16</v>
      </c>
      <c r="D366" s="96" t="s">
        <v>1035</v>
      </c>
      <c r="E366" s="280" t="s">
        <v>228</v>
      </c>
      <c r="F366" s="98" t="s">
        <v>1775</v>
      </c>
      <c r="G366" s="110">
        <v>21</v>
      </c>
      <c r="H366" s="97" t="s">
        <v>601</v>
      </c>
      <c r="I366" s="98">
        <v>28</v>
      </c>
      <c r="J366" s="97">
        <v>7</v>
      </c>
      <c r="K366" s="143">
        <f t="shared" si="123"/>
        <v>7</v>
      </c>
      <c r="L366" s="144">
        <f t="shared" si="128"/>
        <v>0</v>
      </c>
      <c r="M366" s="275">
        <f t="shared" si="129"/>
        <v>28</v>
      </c>
      <c r="N366" s="98" t="s">
        <v>1776</v>
      </c>
      <c r="O366" s="93">
        <f>K366/J366*100</f>
        <v>100</v>
      </c>
      <c r="IG366" s="100">
        <v>3</v>
      </c>
      <c r="IH366" s="100">
        <v>4</v>
      </c>
      <c r="ON366" s="100">
        <f t="shared" si="125"/>
        <v>0</v>
      </c>
    </row>
    <row r="367" spans="1:404" ht="23.25" customHeight="1">
      <c r="A367" s="97" t="str">
        <f t="shared" ref="A367:A375" si="133">D367&amp;E367</f>
        <v>193/POTTERYPOT-2168-72800-01-A</v>
      </c>
      <c r="B367" s="95">
        <v>44464</v>
      </c>
      <c r="C367" s="97">
        <f t="shared" ref="C367:C380" ca="1" si="134">B367-TODAY()</f>
        <v>-600</v>
      </c>
      <c r="D367" s="96" t="s">
        <v>1035</v>
      </c>
      <c r="E367" s="94" t="s">
        <v>228</v>
      </c>
      <c r="F367" s="98" t="str">
        <f t="shared" ref="F367:F380" si="135">MID(E367,13,2)</f>
        <v>A</v>
      </c>
      <c r="G367" s="110">
        <f ca="1">SUMIF($A:E,$A367,K:K)</f>
        <v>28</v>
      </c>
      <c r="H367" s="97" t="s">
        <v>601</v>
      </c>
      <c r="I367" s="98">
        <v>28</v>
      </c>
      <c r="J367" s="97">
        <v>21</v>
      </c>
      <c r="K367" s="143">
        <f t="shared" si="123"/>
        <v>21</v>
      </c>
      <c r="L367" s="144">
        <f t="shared" si="128"/>
        <v>0</v>
      </c>
      <c r="M367" s="275">
        <f t="shared" si="129"/>
        <v>28</v>
      </c>
      <c r="N367" s="98">
        <v>5</v>
      </c>
      <c r="O367" s="93">
        <f t="shared" ref="O367:O380" si="136">K367/J367*100</f>
        <v>100</v>
      </c>
      <c r="HW367" s="100">
        <v>7</v>
      </c>
      <c r="HX367" s="100">
        <v>3</v>
      </c>
      <c r="IB367" s="100">
        <v>2</v>
      </c>
      <c r="IE367" s="100">
        <v>9</v>
      </c>
      <c r="ON367" s="100">
        <f t="shared" si="125"/>
        <v>0</v>
      </c>
    </row>
    <row r="368" spans="1:404" ht="23.25" customHeight="1">
      <c r="A368" s="97" t="str">
        <f t="shared" si="133"/>
        <v>194/POTTERYPOT-2168-72800-01-A</v>
      </c>
      <c r="B368" s="95">
        <v>44469</v>
      </c>
      <c r="C368" s="97">
        <f t="shared" ca="1" si="134"/>
        <v>-595</v>
      </c>
      <c r="D368" s="96" t="s">
        <v>1036</v>
      </c>
      <c r="E368" s="280" t="s">
        <v>228</v>
      </c>
      <c r="F368" s="98" t="str">
        <f t="shared" si="135"/>
        <v>A</v>
      </c>
      <c r="G368" s="110">
        <f ca="1">SUMIF($A:E,$A368,K:K)</f>
        <v>28</v>
      </c>
      <c r="H368" s="97" t="s">
        <v>601</v>
      </c>
      <c r="I368" s="98">
        <v>28</v>
      </c>
      <c r="J368" s="97">
        <v>28</v>
      </c>
      <c r="K368" s="143">
        <f t="shared" si="123"/>
        <v>28</v>
      </c>
      <c r="L368" s="144">
        <f t="shared" si="128"/>
        <v>0</v>
      </c>
      <c r="M368" s="275">
        <f t="shared" si="129"/>
        <v>28</v>
      </c>
      <c r="N368" s="98" t="s">
        <v>1776</v>
      </c>
      <c r="O368" s="93">
        <f t="shared" si="136"/>
        <v>100</v>
      </c>
      <c r="IH368" s="100">
        <v>1</v>
      </c>
      <c r="IK368" s="100">
        <v>3</v>
      </c>
      <c r="IL368" s="100">
        <v>6</v>
      </c>
      <c r="IN368" s="100">
        <v>3</v>
      </c>
      <c r="IP368" s="100">
        <v>6</v>
      </c>
      <c r="IR368" s="100">
        <v>2</v>
      </c>
      <c r="IT368" s="100">
        <v>2</v>
      </c>
      <c r="IU368" s="100">
        <v>2</v>
      </c>
      <c r="IV368" s="100">
        <v>2</v>
      </c>
      <c r="IY368" s="100">
        <v>1</v>
      </c>
      <c r="ON368" s="100">
        <f t="shared" si="125"/>
        <v>0</v>
      </c>
    </row>
    <row r="369" spans="1:404" ht="23.25" customHeight="1">
      <c r="A369" s="97" t="str">
        <f t="shared" si="133"/>
        <v>195/POTTERYPOT-2168-72800-01-A</v>
      </c>
      <c r="B369" s="95">
        <v>44468</v>
      </c>
      <c r="C369" s="97">
        <f t="shared" ca="1" si="134"/>
        <v>-596</v>
      </c>
      <c r="D369" s="96" t="s">
        <v>1037</v>
      </c>
      <c r="E369" s="94" t="s">
        <v>228</v>
      </c>
      <c r="F369" s="98" t="str">
        <f t="shared" si="135"/>
        <v>A</v>
      </c>
      <c r="G369" s="110">
        <f ca="1">SUMIF($A:E,$A369,K:K)</f>
        <v>2</v>
      </c>
      <c r="H369" s="97" t="s">
        <v>601</v>
      </c>
      <c r="I369" s="98">
        <v>2</v>
      </c>
      <c r="J369" s="97">
        <v>2</v>
      </c>
      <c r="K369" s="143">
        <f t="shared" si="123"/>
        <v>2</v>
      </c>
      <c r="L369" s="144">
        <f t="shared" si="128"/>
        <v>0</v>
      </c>
      <c r="M369" s="275">
        <f t="shared" si="129"/>
        <v>2</v>
      </c>
      <c r="N369" s="98">
        <v>3</v>
      </c>
      <c r="O369" s="93">
        <f t="shared" si="136"/>
        <v>100</v>
      </c>
      <c r="IN369" s="100">
        <v>2</v>
      </c>
      <c r="ON369" s="100">
        <f t="shared" si="125"/>
        <v>0</v>
      </c>
    </row>
    <row r="370" spans="1:404" ht="23.25" customHeight="1">
      <c r="A370" s="97" t="str">
        <f t="shared" si="133"/>
        <v>125A/POTTERYPOT-2168-72800-01-A</v>
      </c>
      <c r="B370" s="95">
        <v>44453</v>
      </c>
      <c r="C370" s="97">
        <f t="shared" ca="1" si="134"/>
        <v>-611</v>
      </c>
      <c r="D370" s="96" t="s">
        <v>1076</v>
      </c>
      <c r="E370" s="94" t="s">
        <v>228</v>
      </c>
      <c r="F370" s="98" t="str">
        <f t="shared" si="135"/>
        <v>A</v>
      </c>
      <c r="G370" s="110">
        <f ca="1">SUMIF($A:E,$A370,K:K)</f>
        <v>10</v>
      </c>
      <c r="H370" s="97" t="s">
        <v>964</v>
      </c>
      <c r="I370" s="98">
        <v>10</v>
      </c>
      <c r="J370" s="97">
        <v>10</v>
      </c>
      <c r="K370" s="143">
        <f t="shared" si="123"/>
        <v>10</v>
      </c>
      <c r="L370" s="144">
        <f t="shared" si="128"/>
        <v>0</v>
      </c>
      <c r="M370" s="275">
        <f t="shared" si="129"/>
        <v>10</v>
      </c>
      <c r="N370" s="98">
        <v>3</v>
      </c>
      <c r="O370" s="93">
        <f t="shared" si="136"/>
        <v>100</v>
      </c>
      <c r="HB370" s="100">
        <v>2</v>
      </c>
      <c r="HC370" s="100">
        <v>2</v>
      </c>
      <c r="HD370" s="100">
        <v>2</v>
      </c>
      <c r="HE370" s="100">
        <v>2</v>
      </c>
      <c r="HF370" s="100">
        <v>2</v>
      </c>
      <c r="ON370" s="100">
        <f t="shared" si="125"/>
        <v>0</v>
      </c>
    </row>
    <row r="371" spans="1:404" ht="23.25" customHeight="1">
      <c r="A371" s="97" t="str">
        <f t="shared" si="133"/>
        <v>217/POTERTYPOT-2168-72800-01-A</v>
      </c>
      <c r="B371" s="95">
        <v>44625</v>
      </c>
      <c r="C371" s="97">
        <f t="shared" ca="1" si="134"/>
        <v>-439</v>
      </c>
      <c r="D371" s="96" t="s">
        <v>1085</v>
      </c>
      <c r="E371" s="94" t="s">
        <v>228</v>
      </c>
      <c r="F371" s="98" t="str">
        <f t="shared" si="135"/>
        <v>A</v>
      </c>
      <c r="G371" s="110">
        <f ca="1">SUMIF($A:E,$A371,K:K)</f>
        <v>0</v>
      </c>
      <c r="H371" s="97" t="s">
        <v>601</v>
      </c>
      <c r="I371" s="98">
        <v>36</v>
      </c>
      <c r="J371" s="97">
        <v>36</v>
      </c>
      <c r="K371" s="143">
        <f t="shared" si="123"/>
        <v>0</v>
      </c>
      <c r="L371" s="144">
        <f t="shared" si="128"/>
        <v>36</v>
      </c>
      <c r="M371" s="275">
        <f t="shared" si="129"/>
        <v>36</v>
      </c>
      <c r="N371" s="98"/>
      <c r="O371" s="93">
        <f>K371/J371*100</f>
        <v>0</v>
      </c>
      <c r="ON371" s="100">
        <f t="shared" si="125"/>
        <v>0</v>
      </c>
    </row>
    <row r="372" spans="1:404" ht="23.25" customHeight="1">
      <c r="A372" s="97" t="str">
        <f t="shared" si="133"/>
        <v>056/NY/PP-USA-2168-72800-01-A</v>
      </c>
      <c r="B372" s="95">
        <v>44541</v>
      </c>
      <c r="C372" s="97">
        <f t="shared" ca="1" si="134"/>
        <v>-523</v>
      </c>
      <c r="D372" s="96" t="s">
        <v>1087</v>
      </c>
      <c r="E372" s="280" t="s">
        <v>228</v>
      </c>
      <c r="F372" s="98" t="str">
        <f t="shared" si="135"/>
        <v>A</v>
      </c>
      <c r="G372" s="110">
        <f ca="1">SUMIF($A:E,$A372,K:K)</f>
        <v>10</v>
      </c>
      <c r="H372" s="97" t="s">
        <v>616</v>
      </c>
      <c r="I372" s="98">
        <v>10</v>
      </c>
      <c r="J372" s="98">
        <v>10</v>
      </c>
      <c r="K372" s="143">
        <f t="shared" si="123"/>
        <v>10</v>
      </c>
      <c r="L372" s="144">
        <f t="shared" si="128"/>
        <v>0</v>
      </c>
      <c r="M372" s="275">
        <f t="shared" si="129"/>
        <v>10</v>
      </c>
      <c r="N372" s="98" t="s">
        <v>1776</v>
      </c>
      <c r="O372" s="93">
        <f t="shared" si="136"/>
        <v>100</v>
      </c>
      <c r="IY372" s="100">
        <v>4</v>
      </c>
      <c r="IZ372" s="100">
        <v>3</v>
      </c>
      <c r="JA372" s="100">
        <v>3</v>
      </c>
      <c r="ON372" s="100">
        <f t="shared" si="125"/>
        <v>0</v>
      </c>
    </row>
    <row r="373" spans="1:404" ht="23.25" customHeight="1">
      <c r="A373" s="97" t="str">
        <f t="shared" si="133"/>
        <v>338/POTTERYPOT-2168-72800-01-A</v>
      </c>
      <c r="B373" s="95">
        <v>44640</v>
      </c>
      <c r="C373" s="97">
        <f t="shared" ca="1" si="134"/>
        <v>-424</v>
      </c>
      <c r="D373" s="112" t="s">
        <v>1354</v>
      </c>
      <c r="E373" s="279" t="s">
        <v>228</v>
      </c>
      <c r="F373" s="98" t="str">
        <f t="shared" si="135"/>
        <v>A</v>
      </c>
      <c r="G373" s="110">
        <f ca="1">SUMIF($A:E,$A373,K:K)</f>
        <v>96</v>
      </c>
      <c r="H373" s="97" t="s">
        <v>927</v>
      </c>
      <c r="I373" s="175">
        <v>48</v>
      </c>
      <c r="J373" s="115">
        <v>48</v>
      </c>
      <c r="K373" s="143">
        <f t="shared" si="123"/>
        <v>96</v>
      </c>
      <c r="L373" s="144">
        <f t="shared" si="128"/>
        <v>-48</v>
      </c>
      <c r="M373" s="275">
        <f t="shared" si="129"/>
        <v>48</v>
      </c>
      <c r="N373" s="98" t="s">
        <v>1776</v>
      </c>
      <c r="O373" s="93">
        <f t="shared" si="136"/>
        <v>200</v>
      </c>
      <c r="OF373" s="100">
        <v>7</v>
      </c>
      <c r="OG373" s="100">
        <v>5</v>
      </c>
      <c r="OH373" s="100">
        <v>10</v>
      </c>
      <c r="OI373" s="100">
        <v>10</v>
      </c>
      <c r="OJ373" s="100">
        <v>10</v>
      </c>
      <c r="OK373" s="100">
        <v>6</v>
      </c>
      <c r="ON373" s="100">
        <f t="shared" si="125"/>
        <v>48</v>
      </c>
    </row>
    <row r="374" spans="1:404" ht="23.25" customHeight="1">
      <c r="A374" s="97" t="str">
        <f t="shared" si="133"/>
        <v>339/POTTERYPOT-2168-72800-01-A</v>
      </c>
      <c r="B374" s="95">
        <v>44653</v>
      </c>
      <c r="C374" s="97">
        <f t="shared" ca="1" si="134"/>
        <v>-411</v>
      </c>
      <c r="D374" s="112" t="s">
        <v>1355</v>
      </c>
      <c r="E374" s="279" t="s">
        <v>228</v>
      </c>
      <c r="F374" s="98" t="str">
        <f t="shared" si="135"/>
        <v>A</v>
      </c>
      <c r="G374" s="110">
        <f ca="1">SUMIF($A:E,$A374,K:K)</f>
        <v>20</v>
      </c>
      <c r="H374" s="97" t="s">
        <v>927</v>
      </c>
      <c r="I374" s="175">
        <v>56</v>
      </c>
      <c r="J374" s="115">
        <v>56</v>
      </c>
      <c r="K374" s="143">
        <f t="shared" si="123"/>
        <v>20</v>
      </c>
      <c r="L374" s="144">
        <f t="shared" si="128"/>
        <v>36</v>
      </c>
      <c r="M374" s="275">
        <f t="shared" si="129"/>
        <v>56</v>
      </c>
      <c r="N374" s="98" t="s">
        <v>1776</v>
      </c>
      <c r="O374" s="93">
        <f t="shared" si="136"/>
        <v>35.714285714285715</v>
      </c>
      <c r="OK374" s="100">
        <v>3</v>
      </c>
      <c r="OM374" s="100">
        <v>7</v>
      </c>
      <c r="ON374" s="100">
        <f t="shared" si="125"/>
        <v>10</v>
      </c>
    </row>
    <row r="375" spans="1:404" ht="23.25" customHeight="1">
      <c r="A375" s="97" t="str">
        <f t="shared" si="133"/>
        <v>340/POTTERYPOT-2168-72800-01-A</v>
      </c>
      <c r="B375" s="95">
        <v>44660</v>
      </c>
      <c r="C375" s="97">
        <f t="shared" ca="1" si="134"/>
        <v>-404</v>
      </c>
      <c r="D375" s="112" t="s">
        <v>1356</v>
      </c>
      <c r="E375" s="279" t="s">
        <v>228</v>
      </c>
      <c r="F375" s="98" t="str">
        <f t="shared" si="135"/>
        <v>A</v>
      </c>
      <c r="G375" s="110">
        <f ca="1">SUMIF($A:E,$A375,K:K)</f>
        <v>0</v>
      </c>
      <c r="H375" s="97" t="s">
        <v>927</v>
      </c>
      <c r="I375" s="175">
        <v>4</v>
      </c>
      <c r="J375" s="115">
        <v>4</v>
      </c>
      <c r="K375" s="143">
        <f t="shared" si="123"/>
        <v>0</v>
      </c>
      <c r="L375" s="144">
        <f t="shared" si="128"/>
        <v>4</v>
      </c>
      <c r="M375" s="275">
        <f t="shared" si="129"/>
        <v>4</v>
      </c>
      <c r="N375" s="98"/>
      <c r="O375" s="93">
        <f t="shared" si="136"/>
        <v>0</v>
      </c>
      <c r="ON375" s="100">
        <f t="shared" si="125"/>
        <v>0</v>
      </c>
    </row>
    <row r="376" spans="1:404" ht="23.25" customHeight="1">
      <c r="A376" s="97" t="e">
        <f>D376&amp;#REF!</f>
        <v>#REF!</v>
      </c>
      <c r="B376" s="95">
        <v>44464</v>
      </c>
      <c r="C376" s="97">
        <f t="shared" ca="1" si="134"/>
        <v>-600</v>
      </c>
      <c r="D376" s="96" t="s">
        <v>1214</v>
      </c>
      <c r="E376" s="94" t="s">
        <v>479</v>
      </c>
      <c r="F376" s="98" t="str">
        <f t="shared" si="135"/>
        <v>01</v>
      </c>
      <c r="G376" s="110">
        <f ca="1">SUMIF($A:E,$A376,K:K)</f>
        <v>1754</v>
      </c>
      <c r="H376" s="97" t="s">
        <v>1212</v>
      </c>
      <c r="I376" s="98">
        <v>120</v>
      </c>
      <c r="J376" s="99">
        <v>120</v>
      </c>
      <c r="K376" s="143">
        <f t="shared" si="123"/>
        <v>120</v>
      </c>
      <c r="L376" s="151">
        <f t="shared" si="128"/>
        <v>0</v>
      </c>
      <c r="M376" s="275">
        <f t="shared" si="129"/>
        <v>120</v>
      </c>
      <c r="N376" s="98">
        <v>5</v>
      </c>
      <c r="O376" s="93">
        <f t="shared" si="136"/>
        <v>100</v>
      </c>
      <c r="FV376" s="100">
        <v>3</v>
      </c>
      <c r="FW376" s="100">
        <v>3</v>
      </c>
      <c r="FZ376" s="100">
        <v>9</v>
      </c>
      <c r="GB376" s="100">
        <v>2</v>
      </c>
      <c r="GC376" s="100">
        <v>1</v>
      </c>
      <c r="GD376" s="100">
        <v>1</v>
      </c>
      <c r="GG376" s="100">
        <v>4</v>
      </c>
      <c r="GH376" s="100">
        <v>5</v>
      </c>
      <c r="GI376" s="100">
        <v>3</v>
      </c>
      <c r="GL376" s="100">
        <v>6</v>
      </c>
      <c r="GN376" s="100">
        <v>5</v>
      </c>
      <c r="GO376" s="100">
        <v>4</v>
      </c>
      <c r="GP376" s="100">
        <v>2</v>
      </c>
      <c r="GR376" s="100">
        <v>5</v>
      </c>
      <c r="GS376" s="100">
        <v>2</v>
      </c>
      <c r="GU376" s="100">
        <v>3</v>
      </c>
      <c r="GV376" s="100">
        <v>3</v>
      </c>
      <c r="GW376" s="100">
        <v>3</v>
      </c>
      <c r="GY376" s="100">
        <v>9</v>
      </c>
      <c r="HB376" s="100">
        <v>3</v>
      </c>
      <c r="HC376" s="100">
        <v>3</v>
      </c>
      <c r="HD376" s="100">
        <v>3</v>
      </c>
      <c r="HF376" s="100">
        <v>5</v>
      </c>
      <c r="HI376" s="100">
        <v>1</v>
      </c>
      <c r="HJ376" s="100">
        <v>9</v>
      </c>
      <c r="HM376" s="100">
        <v>3</v>
      </c>
      <c r="HP376" s="100">
        <v>3</v>
      </c>
      <c r="HQ376" s="100">
        <v>9</v>
      </c>
      <c r="HR376" s="100">
        <v>1</v>
      </c>
      <c r="HS376" s="100">
        <v>5</v>
      </c>
      <c r="HU376" s="100">
        <v>2</v>
      </c>
      <c r="ON376" s="100">
        <f t="shared" si="125"/>
        <v>0</v>
      </c>
    </row>
    <row r="377" spans="1:404" ht="23.25" customHeight="1">
      <c r="A377" s="97" t="str">
        <f t="shared" ref="A377:A378" si="137">D377&amp;E377</f>
        <v>001/HAWTHORE-2168-72700-X1-05</v>
      </c>
      <c r="B377" s="95">
        <v>44375</v>
      </c>
      <c r="C377" s="97">
        <f t="shared" ca="1" si="134"/>
        <v>-689</v>
      </c>
      <c r="D377" s="96" t="s">
        <v>737</v>
      </c>
      <c r="E377" s="123" t="s">
        <v>651</v>
      </c>
      <c r="F377" s="98" t="str">
        <f t="shared" si="135"/>
        <v>05</v>
      </c>
      <c r="G377" s="110">
        <f ca="1">SUMIF($A:E,$A377,K:K)</f>
        <v>21</v>
      </c>
      <c r="H377" s="97" t="s">
        <v>505</v>
      </c>
      <c r="I377" s="175">
        <v>21</v>
      </c>
      <c r="J377" s="115">
        <v>21</v>
      </c>
      <c r="K377" s="143">
        <f t="shared" si="123"/>
        <v>21</v>
      </c>
      <c r="L377" s="144">
        <f t="shared" si="128"/>
        <v>0</v>
      </c>
      <c r="M377" s="275">
        <f t="shared" si="129"/>
        <v>21</v>
      </c>
      <c r="N377" s="98">
        <v>1</v>
      </c>
      <c r="O377" s="93">
        <f t="shared" si="136"/>
        <v>100</v>
      </c>
      <c r="CZ377" s="101">
        <v>2</v>
      </c>
      <c r="DB377" s="101">
        <v>2</v>
      </c>
      <c r="DE377" s="101">
        <v>4</v>
      </c>
      <c r="DF377" s="101">
        <v>2</v>
      </c>
      <c r="DG377" s="101">
        <v>2</v>
      </c>
      <c r="DL377" s="101">
        <v>4</v>
      </c>
      <c r="DM377" s="101">
        <v>2</v>
      </c>
      <c r="DN377" s="101">
        <v>1</v>
      </c>
      <c r="DP377" s="101">
        <v>1</v>
      </c>
      <c r="DU377" s="100">
        <v>1</v>
      </c>
      <c r="ON377" s="100">
        <f t="shared" si="125"/>
        <v>0</v>
      </c>
    </row>
    <row r="378" spans="1:404" ht="23.25" customHeight="1">
      <c r="A378" s="97" t="str">
        <f t="shared" si="137"/>
        <v>005/COCOON-21 (đợt 1)68-72700-B2-05</v>
      </c>
      <c r="B378" s="95">
        <v>44424</v>
      </c>
      <c r="C378" s="97">
        <f t="shared" ca="1" si="134"/>
        <v>-640</v>
      </c>
      <c r="D378" s="96" t="s">
        <v>1071</v>
      </c>
      <c r="E378" s="94" t="s">
        <v>610</v>
      </c>
      <c r="F378" s="98" t="str">
        <f t="shared" si="135"/>
        <v>05</v>
      </c>
      <c r="G378" s="110">
        <f ca="1">SUMIF($A:E,$A378,K:K)</f>
        <v>42</v>
      </c>
      <c r="H378" s="97" t="s">
        <v>721</v>
      </c>
      <c r="I378" s="98">
        <v>42</v>
      </c>
      <c r="J378" s="97">
        <v>42</v>
      </c>
      <c r="K378" s="143">
        <f t="shared" si="123"/>
        <v>42</v>
      </c>
      <c r="L378" s="144">
        <f t="shared" si="128"/>
        <v>0</v>
      </c>
      <c r="M378" s="275">
        <f t="shared" si="129"/>
        <v>84</v>
      </c>
      <c r="N378" s="98">
        <v>1</v>
      </c>
      <c r="O378" s="93">
        <f t="shared" si="136"/>
        <v>100</v>
      </c>
      <c r="GE378" s="100">
        <v>5</v>
      </c>
      <c r="GG378" s="100">
        <v>9</v>
      </c>
      <c r="GH378" s="100">
        <v>4</v>
      </c>
      <c r="GI378" s="100">
        <v>4</v>
      </c>
      <c r="GJ378" s="100">
        <v>4</v>
      </c>
      <c r="GK378" s="100">
        <v>3</v>
      </c>
      <c r="GL378" s="100">
        <v>4</v>
      </c>
      <c r="GN378" s="100">
        <v>1</v>
      </c>
      <c r="GO378" s="100">
        <v>7</v>
      </c>
      <c r="GQ378" s="100">
        <v>1</v>
      </c>
      <c r="ON378" s="100">
        <f t="shared" si="125"/>
        <v>0</v>
      </c>
    </row>
    <row r="379" spans="1:404" ht="23.25" customHeight="1">
      <c r="A379" s="97" t="e">
        <f>D379&amp;#REF!</f>
        <v>#REF!</v>
      </c>
      <c r="B379" s="95" t="s">
        <v>1241</v>
      </c>
      <c r="C379" s="97">
        <f t="shared" ca="1" si="134"/>
        <v>-426</v>
      </c>
      <c r="D379" s="96" t="s">
        <v>1219</v>
      </c>
      <c r="E379" s="280" t="s">
        <v>403</v>
      </c>
      <c r="F379" s="98" t="str">
        <f t="shared" si="135"/>
        <v>01</v>
      </c>
      <c r="G379" s="110">
        <f ca="1">SUMIF($A:E,$A379,K:K)</f>
        <v>1754</v>
      </c>
      <c r="H379" s="97" t="s">
        <v>518</v>
      </c>
      <c r="I379" s="98">
        <v>102</v>
      </c>
      <c r="J379" s="99">
        <v>102</v>
      </c>
      <c r="K379" s="143">
        <f t="shared" si="123"/>
        <v>102</v>
      </c>
      <c r="L379" s="144">
        <f t="shared" si="128"/>
        <v>0</v>
      </c>
      <c r="M379" s="275">
        <f t="shared" si="129"/>
        <v>204</v>
      </c>
      <c r="N379" s="98" t="s">
        <v>1776</v>
      </c>
      <c r="O379" s="93">
        <f t="shared" si="136"/>
        <v>100</v>
      </c>
      <c r="ML379" s="100">
        <v>3</v>
      </c>
      <c r="MM379" s="100">
        <v>7</v>
      </c>
      <c r="MN379" s="100">
        <v>6</v>
      </c>
      <c r="MO379" s="100">
        <v>13</v>
      </c>
      <c r="MQ379" s="100">
        <v>7</v>
      </c>
      <c r="MR379" s="100">
        <v>6</v>
      </c>
      <c r="MS379" s="100">
        <v>5</v>
      </c>
      <c r="MT379" s="100">
        <v>2</v>
      </c>
      <c r="MU379" s="100">
        <v>6</v>
      </c>
      <c r="MW379" s="100">
        <v>6</v>
      </c>
      <c r="MX379" s="100">
        <v>3</v>
      </c>
      <c r="MY379" s="100">
        <v>5</v>
      </c>
      <c r="MZ379" s="100">
        <v>6</v>
      </c>
      <c r="NA379" s="100">
        <v>6</v>
      </c>
      <c r="ND379" s="100">
        <v>6</v>
      </c>
      <c r="NE379" s="100">
        <v>6</v>
      </c>
      <c r="NF379" s="100">
        <v>6</v>
      </c>
      <c r="NG379" s="100">
        <v>3</v>
      </c>
      <c r="ON379" s="100">
        <f t="shared" si="125"/>
        <v>0</v>
      </c>
    </row>
    <row r="380" spans="1:404" ht="23.25" customHeight="1">
      <c r="A380" s="97" t="str">
        <f t="shared" ref="A380:A406" si="138">D380&amp;E380</f>
        <v>004/POTTERYPOT-2168-72700-04-A</v>
      </c>
      <c r="B380" s="95">
        <v>44391</v>
      </c>
      <c r="C380" s="97">
        <f t="shared" ca="1" si="134"/>
        <v>-673</v>
      </c>
      <c r="D380" s="96" t="s">
        <v>775</v>
      </c>
      <c r="E380" s="94" t="s">
        <v>227</v>
      </c>
      <c r="F380" s="98" t="str">
        <f t="shared" si="135"/>
        <v>A</v>
      </c>
      <c r="G380" s="110">
        <f ca="1">SUMIF($A:E,$A380,K:K)</f>
        <v>76</v>
      </c>
      <c r="H380" s="97" t="s">
        <v>601</v>
      </c>
      <c r="I380" s="98">
        <v>76</v>
      </c>
      <c r="J380" s="97">
        <v>76</v>
      </c>
      <c r="K380" s="143">
        <f t="shared" si="123"/>
        <v>76</v>
      </c>
      <c r="L380" s="144">
        <f t="shared" si="128"/>
        <v>0</v>
      </c>
      <c r="M380" s="275">
        <f t="shared" si="129"/>
        <v>76</v>
      </c>
      <c r="N380" s="98">
        <v>1</v>
      </c>
      <c r="O380" s="93">
        <f t="shared" si="136"/>
        <v>100</v>
      </c>
      <c r="DM380" s="101">
        <v>2</v>
      </c>
      <c r="DN380" s="101">
        <v>10</v>
      </c>
      <c r="DP380" s="101">
        <v>18</v>
      </c>
      <c r="DS380" s="100">
        <v>10</v>
      </c>
      <c r="DT380" s="100">
        <v>14</v>
      </c>
      <c r="DU380" s="100">
        <v>6</v>
      </c>
      <c r="DV380" s="100">
        <v>10</v>
      </c>
      <c r="DW380" s="100">
        <v>6</v>
      </c>
      <c r="ON380" s="100">
        <f t="shared" si="125"/>
        <v>0</v>
      </c>
    </row>
    <row r="381" spans="1:404" ht="23.25" customHeight="1">
      <c r="A381" s="97" t="str">
        <f t="shared" si="138"/>
        <v>104A/POTTERYPOT-2168-72700-04-A</v>
      </c>
      <c r="B381" s="95">
        <v>44423</v>
      </c>
      <c r="C381" s="97">
        <f t="shared" ref="C381:C411" ca="1" si="139">B381-TODAY()</f>
        <v>-641</v>
      </c>
      <c r="D381" s="147" t="s">
        <v>841</v>
      </c>
      <c r="E381" s="253" t="s">
        <v>227</v>
      </c>
      <c r="F381" s="98" t="str">
        <f t="shared" ref="F381:F411" si="140">MID(E381,13,2)</f>
        <v>A</v>
      </c>
      <c r="G381" s="110">
        <f ca="1">SUMIF($A:E,$A381,K:K)</f>
        <v>19</v>
      </c>
      <c r="H381" s="97" t="s">
        <v>840</v>
      </c>
      <c r="I381" s="98">
        <v>19</v>
      </c>
      <c r="J381" s="97">
        <v>19</v>
      </c>
      <c r="K381" s="143">
        <f t="shared" si="123"/>
        <v>19</v>
      </c>
      <c r="L381" s="144">
        <f t="shared" si="128"/>
        <v>0</v>
      </c>
      <c r="M381" s="275">
        <f t="shared" si="129"/>
        <v>19</v>
      </c>
      <c r="N381" s="98">
        <v>1</v>
      </c>
      <c r="O381" s="93">
        <f t="shared" ref="O381:O413" si="141">K381/J381*100</f>
        <v>100</v>
      </c>
      <c r="EX381" s="100">
        <v>5</v>
      </c>
      <c r="EY381" s="100">
        <v>8</v>
      </c>
      <c r="FA381" s="100">
        <v>6</v>
      </c>
      <c r="ON381" s="100">
        <f t="shared" si="125"/>
        <v>0</v>
      </c>
    </row>
    <row r="382" spans="1:404" ht="23.25" customHeight="1">
      <c r="A382" s="97" t="str">
        <f t="shared" si="138"/>
        <v>103A/POTTERYPOT-2168-72700-04-A</v>
      </c>
      <c r="B382" s="95">
        <v>44447</v>
      </c>
      <c r="C382" s="97">
        <f t="shared" ca="1" si="139"/>
        <v>-617</v>
      </c>
      <c r="D382" s="147" t="s">
        <v>842</v>
      </c>
      <c r="E382" s="253" t="s">
        <v>227</v>
      </c>
      <c r="F382" s="98" t="str">
        <f t="shared" si="140"/>
        <v>A</v>
      </c>
      <c r="G382" s="110">
        <f ca="1">SUMIF($A:E,$A382,K:K)</f>
        <v>27</v>
      </c>
      <c r="H382" s="97" t="s">
        <v>840</v>
      </c>
      <c r="I382" s="98">
        <v>27</v>
      </c>
      <c r="J382" s="97">
        <v>27</v>
      </c>
      <c r="K382" s="143">
        <f t="shared" si="123"/>
        <v>27</v>
      </c>
      <c r="L382" s="144">
        <f t="shared" ref="L382:L395" si="142">J382-K382</f>
        <v>0</v>
      </c>
      <c r="M382" s="275">
        <f t="shared" si="129"/>
        <v>27</v>
      </c>
      <c r="N382" s="98">
        <v>1</v>
      </c>
      <c r="O382" s="93">
        <f t="shared" si="141"/>
        <v>100</v>
      </c>
      <c r="FA382" s="100">
        <v>3</v>
      </c>
      <c r="FB382" s="100">
        <v>6</v>
      </c>
      <c r="FC382" s="100">
        <v>5</v>
      </c>
      <c r="FD382" s="100">
        <v>3</v>
      </c>
      <c r="FF382" s="100">
        <v>4</v>
      </c>
      <c r="FH382" s="100">
        <v>6</v>
      </c>
      <c r="ON382" s="100">
        <f t="shared" si="125"/>
        <v>0</v>
      </c>
    </row>
    <row r="383" spans="1:404" ht="23.25" customHeight="1">
      <c r="A383" s="97" t="str">
        <f t="shared" si="138"/>
        <v>102A/POTTERYPOT-2168-72700-04-A</v>
      </c>
      <c r="B383" s="95">
        <v>44447</v>
      </c>
      <c r="C383" s="97">
        <f t="shared" ca="1" si="139"/>
        <v>-617</v>
      </c>
      <c r="D383" s="147" t="s">
        <v>843</v>
      </c>
      <c r="E383" s="253" t="s">
        <v>227</v>
      </c>
      <c r="F383" s="98" t="str">
        <f t="shared" si="140"/>
        <v>A</v>
      </c>
      <c r="G383" s="110">
        <f ca="1">SUMIF($A:E,$A383,K:K)</f>
        <v>34</v>
      </c>
      <c r="H383" s="97" t="s">
        <v>840</v>
      </c>
      <c r="I383" s="98">
        <v>34</v>
      </c>
      <c r="J383" s="97">
        <v>34</v>
      </c>
      <c r="K383" s="143">
        <f t="shared" si="123"/>
        <v>34</v>
      </c>
      <c r="L383" s="144">
        <f t="shared" si="142"/>
        <v>0</v>
      </c>
      <c r="M383" s="275">
        <f t="shared" si="129"/>
        <v>34</v>
      </c>
      <c r="N383" s="98">
        <v>1</v>
      </c>
      <c r="O383" s="93">
        <f t="shared" si="141"/>
        <v>100</v>
      </c>
      <c r="FJ383" s="100">
        <v>2</v>
      </c>
      <c r="FK383" s="100">
        <v>15</v>
      </c>
      <c r="FL383" s="100">
        <v>16</v>
      </c>
      <c r="FO383" s="100">
        <v>1</v>
      </c>
      <c r="ON383" s="100">
        <f t="shared" si="125"/>
        <v>0</v>
      </c>
    </row>
    <row r="384" spans="1:404" ht="23.25" customHeight="1">
      <c r="A384" s="97" t="str">
        <f t="shared" si="138"/>
        <v>076/POTTERYPOT-2168-72700-04-A</v>
      </c>
      <c r="B384" s="95">
        <v>44423</v>
      </c>
      <c r="C384" s="97">
        <f t="shared" ca="1" si="139"/>
        <v>-641</v>
      </c>
      <c r="D384" s="147" t="s">
        <v>847</v>
      </c>
      <c r="E384" s="253" t="s">
        <v>227</v>
      </c>
      <c r="F384" s="98" t="str">
        <f t="shared" si="140"/>
        <v>A</v>
      </c>
      <c r="G384" s="110">
        <f ca="1">SUMIF($A:E,$A384,K:K)</f>
        <v>16</v>
      </c>
      <c r="H384" s="97" t="s">
        <v>840</v>
      </c>
      <c r="I384" s="98">
        <v>16</v>
      </c>
      <c r="J384" s="97">
        <v>16</v>
      </c>
      <c r="K384" s="143">
        <f t="shared" si="123"/>
        <v>16</v>
      </c>
      <c r="L384" s="144">
        <f t="shared" si="142"/>
        <v>0</v>
      </c>
      <c r="M384" s="275">
        <f t="shared" si="129"/>
        <v>16</v>
      </c>
      <c r="N384" s="98">
        <v>1</v>
      </c>
      <c r="O384" s="93">
        <f t="shared" si="141"/>
        <v>100</v>
      </c>
      <c r="FO384" s="100">
        <v>5</v>
      </c>
      <c r="FP384" s="100">
        <v>8</v>
      </c>
      <c r="FQ384" s="100">
        <v>3</v>
      </c>
      <c r="ON384" s="100">
        <f t="shared" si="125"/>
        <v>0</v>
      </c>
    </row>
    <row r="385" spans="1:404" ht="23.25" customHeight="1">
      <c r="A385" s="97" t="str">
        <f t="shared" si="138"/>
        <v>086/POTTERYPOT-2168-72700-04-A</v>
      </c>
      <c r="B385" s="95">
        <v>44434</v>
      </c>
      <c r="C385" s="97">
        <f t="shared" ca="1" si="139"/>
        <v>-630</v>
      </c>
      <c r="D385" s="96" t="s">
        <v>884</v>
      </c>
      <c r="E385" s="94" t="s">
        <v>227</v>
      </c>
      <c r="F385" s="98" t="str">
        <f t="shared" si="140"/>
        <v>A</v>
      </c>
      <c r="G385" s="110">
        <f ca="1">SUMIF($A:E,$A385,K:K)</f>
        <v>31</v>
      </c>
      <c r="H385" s="97" t="s">
        <v>601</v>
      </c>
      <c r="I385" s="98">
        <v>31</v>
      </c>
      <c r="J385" s="97">
        <v>31</v>
      </c>
      <c r="K385" s="143">
        <f t="shared" si="123"/>
        <v>31</v>
      </c>
      <c r="L385" s="144">
        <f t="shared" si="142"/>
        <v>0</v>
      </c>
      <c r="M385" s="275">
        <f t="shared" ref="M385:M442" si="143">IF(OR(MID(E385,10,1)="0",MID(E385,10,1)="F"),I385,IF(OR(,MID(E385,10,1)="S",MID(E385,10,1)="L",MID(E385,10,1)="B",MID(E385,10,1)="X"),MID(E385,11,1)*I385,0))</f>
        <v>31</v>
      </c>
      <c r="N385" s="98">
        <v>1</v>
      </c>
      <c r="O385" s="93">
        <f t="shared" si="141"/>
        <v>100</v>
      </c>
      <c r="FQ385" s="100">
        <v>12</v>
      </c>
      <c r="FS385" s="100">
        <v>15</v>
      </c>
      <c r="FT385" s="100">
        <v>4</v>
      </c>
      <c r="ON385" s="100">
        <f t="shared" si="125"/>
        <v>0</v>
      </c>
    </row>
    <row r="386" spans="1:404" ht="23.25" customHeight="1">
      <c r="A386" s="97" t="str">
        <f t="shared" si="138"/>
        <v>051/POTTERYPOT-2168-72700-04-A</v>
      </c>
      <c r="B386" s="95" t="s">
        <v>838</v>
      </c>
      <c r="C386" s="97">
        <f t="shared" ca="1" si="139"/>
        <v>-660</v>
      </c>
      <c r="D386" s="145" t="s">
        <v>837</v>
      </c>
      <c r="E386" s="253" t="s">
        <v>227</v>
      </c>
      <c r="F386" s="98" t="str">
        <f t="shared" si="140"/>
        <v>A</v>
      </c>
      <c r="G386" s="110">
        <f ca="1">SUMIF($A:E,$A386,K:K)</f>
        <v>89</v>
      </c>
      <c r="H386" s="97" t="s">
        <v>840</v>
      </c>
      <c r="I386" s="196">
        <v>89</v>
      </c>
      <c r="J386" s="146">
        <v>89</v>
      </c>
      <c r="K386" s="143">
        <f t="shared" si="123"/>
        <v>89</v>
      </c>
      <c r="L386" s="144">
        <f t="shared" si="142"/>
        <v>0</v>
      </c>
      <c r="M386" s="275">
        <f t="shared" si="143"/>
        <v>89</v>
      </c>
      <c r="N386" s="98">
        <v>1</v>
      </c>
      <c r="O386" s="93">
        <f t="shared" si="141"/>
        <v>100</v>
      </c>
      <c r="ED386" s="100">
        <v>5</v>
      </c>
      <c r="EF386" s="100">
        <v>5</v>
      </c>
      <c r="EG386" s="100">
        <v>12</v>
      </c>
      <c r="EI386" s="100">
        <v>15</v>
      </c>
      <c r="EJ386" s="100">
        <v>10</v>
      </c>
      <c r="EL386" s="100">
        <v>10</v>
      </c>
      <c r="EM386" s="100">
        <v>4</v>
      </c>
      <c r="EN386" s="100">
        <v>5</v>
      </c>
      <c r="EO386" s="100">
        <v>10</v>
      </c>
      <c r="EQ386" s="100">
        <v>13</v>
      </c>
      <c r="ON386" s="100">
        <f t="shared" si="125"/>
        <v>0</v>
      </c>
    </row>
    <row r="387" spans="1:404" ht="23.25" customHeight="1">
      <c r="A387" s="97" t="str">
        <f t="shared" si="138"/>
        <v>099A/POTTERYPOT-2168-72700-04-A</v>
      </c>
      <c r="B387" s="95" t="s">
        <v>838</v>
      </c>
      <c r="C387" s="97">
        <f t="shared" ca="1" si="139"/>
        <v>-660</v>
      </c>
      <c r="D387" s="147" t="s">
        <v>839</v>
      </c>
      <c r="E387" s="253" t="s">
        <v>227</v>
      </c>
      <c r="F387" s="98" t="str">
        <f t="shared" si="140"/>
        <v>A</v>
      </c>
      <c r="G387" s="110">
        <f ca="1">SUMIF($A:E,$A387,K:K)</f>
        <v>12</v>
      </c>
      <c r="H387" s="97" t="s">
        <v>840</v>
      </c>
      <c r="I387" s="196">
        <v>12</v>
      </c>
      <c r="J387" s="146">
        <v>12</v>
      </c>
      <c r="K387" s="143">
        <f t="shared" ref="K387:K451" si="144">SUM(P387:BBC387)</f>
        <v>12</v>
      </c>
      <c r="L387" s="144">
        <f t="shared" si="142"/>
        <v>0</v>
      </c>
      <c r="M387" s="275">
        <f t="shared" si="143"/>
        <v>12</v>
      </c>
      <c r="N387" s="98">
        <v>1</v>
      </c>
      <c r="O387" s="93">
        <f t="shared" si="141"/>
        <v>100</v>
      </c>
      <c r="EQ387" s="100">
        <v>11</v>
      </c>
      <c r="ET387" s="100">
        <v>1</v>
      </c>
      <c r="ON387" s="100">
        <f t="shared" si="125"/>
        <v>0</v>
      </c>
    </row>
    <row r="388" spans="1:404" ht="23.25" customHeight="1">
      <c r="A388" s="97" t="str">
        <f t="shared" si="138"/>
        <v>101A/POTTERYPOT-2168-72700-04-A</v>
      </c>
      <c r="B388" s="95" t="s">
        <v>846</v>
      </c>
      <c r="C388" s="97">
        <f t="shared" ca="1" si="139"/>
        <v>-658</v>
      </c>
      <c r="D388" s="147" t="s">
        <v>844</v>
      </c>
      <c r="E388" s="253" t="s">
        <v>227</v>
      </c>
      <c r="F388" s="98" t="str">
        <f t="shared" si="140"/>
        <v>A</v>
      </c>
      <c r="G388" s="110">
        <f ca="1">SUMIF($A:E,$A388,K:K)</f>
        <v>22</v>
      </c>
      <c r="H388" s="97" t="s">
        <v>840</v>
      </c>
      <c r="I388" s="98">
        <v>22</v>
      </c>
      <c r="J388" s="97">
        <v>22</v>
      </c>
      <c r="K388" s="143">
        <f t="shared" si="144"/>
        <v>22</v>
      </c>
      <c r="L388" s="144">
        <f t="shared" si="142"/>
        <v>0</v>
      </c>
      <c r="M388" s="275">
        <f t="shared" si="143"/>
        <v>22</v>
      </c>
      <c r="N388" s="98">
        <v>1</v>
      </c>
      <c r="O388" s="93">
        <f t="shared" si="141"/>
        <v>100</v>
      </c>
      <c r="ET388" s="100">
        <v>9</v>
      </c>
      <c r="EU388" s="100">
        <v>5</v>
      </c>
      <c r="EV388" s="100">
        <v>8</v>
      </c>
      <c r="ON388" s="100">
        <f t="shared" ref="ON388:ON451" si="145">SUM(NS388:OM388)</f>
        <v>0</v>
      </c>
    </row>
    <row r="389" spans="1:404" ht="23.25" customHeight="1">
      <c r="A389" s="97" t="str">
        <f t="shared" si="138"/>
        <v>100A/POTTERYPOT-2168-72700-04-A</v>
      </c>
      <c r="B389" s="95" t="s">
        <v>838</v>
      </c>
      <c r="C389" s="97">
        <f t="shared" ca="1" si="139"/>
        <v>-660</v>
      </c>
      <c r="D389" s="148" t="s">
        <v>845</v>
      </c>
      <c r="E389" s="253" t="s">
        <v>227</v>
      </c>
      <c r="F389" s="98" t="str">
        <f t="shared" si="140"/>
        <v>A</v>
      </c>
      <c r="G389" s="110">
        <f ca="1">SUMIF($A:E,$A389,K:K)</f>
        <v>12</v>
      </c>
      <c r="H389" s="97" t="s">
        <v>840</v>
      </c>
      <c r="I389" s="98">
        <v>12</v>
      </c>
      <c r="J389" s="97">
        <v>12</v>
      </c>
      <c r="K389" s="143">
        <f t="shared" si="144"/>
        <v>12</v>
      </c>
      <c r="L389" s="144">
        <f t="shared" si="142"/>
        <v>0</v>
      </c>
      <c r="M389" s="275">
        <f t="shared" si="143"/>
        <v>12</v>
      </c>
      <c r="N389" s="98">
        <v>1</v>
      </c>
      <c r="O389" s="93">
        <f t="shared" si="141"/>
        <v>100</v>
      </c>
      <c r="EV389" s="100">
        <v>3</v>
      </c>
      <c r="EW389" s="100">
        <v>9</v>
      </c>
      <c r="ON389" s="100">
        <f t="shared" si="145"/>
        <v>0</v>
      </c>
    </row>
    <row r="390" spans="1:404" ht="23.25" customHeight="1">
      <c r="A390" s="97" t="str">
        <f t="shared" si="138"/>
        <v>085A/POTTERYPOT-2168-72700-04-A</v>
      </c>
      <c r="B390" s="95">
        <v>44425</v>
      </c>
      <c r="C390" s="97">
        <f t="shared" ca="1" si="139"/>
        <v>-639</v>
      </c>
      <c r="D390" s="147" t="s">
        <v>883</v>
      </c>
      <c r="E390" s="94" t="s">
        <v>227</v>
      </c>
      <c r="F390" s="98" t="str">
        <f t="shared" si="140"/>
        <v>A</v>
      </c>
      <c r="G390" s="110">
        <f ca="1">SUMIF($A:E,$A390,K:K)</f>
        <v>18</v>
      </c>
      <c r="H390" s="97" t="s">
        <v>840</v>
      </c>
      <c r="I390" s="98">
        <v>18</v>
      </c>
      <c r="J390" s="99">
        <v>18</v>
      </c>
      <c r="K390" s="143">
        <f t="shared" si="144"/>
        <v>18</v>
      </c>
      <c r="L390" s="144">
        <f t="shared" si="142"/>
        <v>0</v>
      </c>
      <c r="M390" s="275">
        <f t="shared" si="143"/>
        <v>18</v>
      </c>
      <c r="N390" s="98">
        <v>1</v>
      </c>
      <c r="O390" s="93">
        <f t="shared" si="141"/>
        <v>100</v>
      </c>
      <c r="FT390" s="100">
        <v>1</v>
      </c>
      <c r="FU390" s="100">
        <v>9</v>
      </c>
      <c r="FV390" s="100">
        <v>8</v>
      </c>
      <c r="ON390" s="100">
        <f t="shared" si="145"/>
        <v>0</v>
      </c>
    </row>
    <row r="391" spans="1:404" ht="23.25" customHeight="1">
      <c r="A391" s="97" t="str">
        <f t="shared" si="138"/>
        <v>123/POTTERYPOT-2168-72700-04-A</v>
      </c>
      <c r="B391" s="95">
        <v>44436</v>
      </c>
      <c r="C391" s="97">
        <f t="shared" ca="1" si="139"/>
        <v>-628</v>
      </c>
      <c r="D391" s="96" t="s">
        <v>926</v>
      </c>
      <c r="E391" s="94" t="s">
        <v>227</v>
      </c>
      <c r="F391" s="98" t="str">
        <f t="shared" si="140"/>
        <v>A</v>
      </c>
      <c r="G391" s="110">
        <f ca="1">SUMIF($A:E,$A391,K:K)</f>
        <v>38</v>
      </c>
      <c r="H391" s="97" t="s">
        <v>927</v>
      </c>
      <c r="I391" s="98">
        <v>38</v>
      </c>
      <c r="J391" s="97">
        <v>38</v>
      </c>
      <c r="K391" s="143">
        <f t="shared" si="144"/>
        <v>38</v>
      </c>
      <c r="L391" s="144">
        <f t="shared" si="142"/>
        <v>0</v>
      </c>
      <c r="M391" s="275">
        <f t="shared" si="143"/>
        <v>38</v>
      </c>
      <c r="N391" s="98">
        <v>1</v>
      </c>
      <c r="O391" s="93">
        <f t="shared" si="141"/>
        <v>100</v>
      </c>
      <c r="GX391" s="100">
        <v>2</v>
      </c>
      <c r="GY391" s="100">
        <v>6</v>
      </c>
      <c r="GZ391" s="100">
        <v>5</v>
      </c>
      <c r="HC391" s="100">
        <v>11</v>
      </c>
      <c r="HD391" s="100">
        <v>4</v>
      </c>
      <c r="HE391" s="100">
        <v>5</v>
      </c>
      <c r="HF391" s="100">
        <v>5</v>
      </c>
      <c r="ON391" s="100">
        <f t="shared" si="145"/>
        <v>0</v>
      </c>
    </row>
    <row r="392" spans="1:404" ht="23.25" customHeight="1">
      <c r="A392" s="97" t="str">
        <f t="shared" si="138"/>
        <v>002/POTTERYPOT_SR-2168-72700-04-A</v>
      </c>
      <c r="B392" s="95">
        <v>44320</v>
      </c>
      <c r="C392" s="97">
        <f t="shared" ca="1" si="139"/>
        <v>-744</v>
      </c>
      <c r="D392" s="96" t="s">
        <v>963</v>
      </c>
      <c r="E392" s="94" t="s">
        <v>227</v>
      </c>
      <c r="F392" s="98" t="str">
        <f t="shared" si="140"/>
        <v>A</v>
      </c>
      <c r="G392" s="110">
        <f ca="1">SUMIF($A:E,$A392,K:K)</f>
        <v>2</v>
      </c>
      <c r="H392" s="97" t="s">
        <v>964</v>
      </c>
      <c r="I392" s="175">
        <v>2</v>
      </c>
      <c r="J392" s="115">
        <v>2</v>
      </c>
      <c r="K392" s="143">
        <f t="shared" si="144"/>
        <v>2</v>
      </c>
      <c r="L392" s="144">
        <f t="shared" si="142"/>
        <v>0</v>
      </c>
      <c r="M392" s="275">
        <f t="shared" si="143"/>
        <v>2</v>
      </c>
      <c r="N392" s="98">
        <v>1</v>
      </c>
      <c r="O392" s="93">
        <f t="shared" si="141"/>
        <v>100</v>
      </c>
      <c r="DP392" s="101">
        <v>2</v>
      </c>
      <c r="ON392" s="100">
        <f t="shared" si="145"/>
        <v>0</v>
      </c>
    </row>
    <row r="393" spans="1:404" ht="23.25" customHeight="1">
      <c r="A393" s="97" t="str">
        <f t="shared" si="138"/>
        <v>041A/NY/PP-USA-2168-72700-04-A</v>
      </c>
      <c r="B393" s="95">
        <v>44432</v>
      </c>
      <c r="C393" s="97">
        <f t="shared" ca="1" si="139"/>
        <v>-632</v>
      </c>
      <c r="D393" s="96" t="s">
        <v>978</v>
      </c>
      <c r="E393" s="94" t="s">
        <v>227</v>
      </c>
      <c r="F393" s="98" t="str">
        <f t="shared" si="140"/>
        <v>A</v>
      </c>
      <c r="G393" s="110">
        <f ca="1">SUMIF($A:E,$A393,K:K)</f>
        <v>32</v>
      </c>
      <c r="H393" s="97" t="s">
        <v>508</v>
      </c>
      <c r="I393" s="98">
        <v>32</v>
      </c>
      <c r="J393" s="99">
        <v>32</v>
      </c>
      <c r="K393" s="143">
        <f t="shared" si="144"/>
        <v>32</v>
      </c>
      <c r="L393" s="144">
        <f t="shared" si="142"/>
        <v>0</v>
      </c>
      <c r="M393" s="275">
        <f t="shared" si="143"/>
        <v>32</v>
      </c>
      <c r="N393" s="98">
        <v>1</v>
      </c>
      <c r="O393" s="93">
        <f t="shared" si="141"/>
        <v>100</v>
      </c>
      <c r="HI393" s="100">
        <v>2</v>
      </c>
      <c r="HK393" s="100">
        <v>4</v>
      </c>
      <c r="HL393" s="100">
        <v>8</v>
      </c>
      <c r="HM393" s="100">
        <v>7</v>
      </c>
      <c r="HN393" s="100">
        <v>10</v>
      </c>
      <c r="HP393" s="100">
        <v>1</v>
      </c>
      <c r="ON393" s="100">
        <f t="shared" si="145"/>
        <v>0</v>
      </c>
    </row>
    <row r="394" spans="1:404" ht="23.25" customHeight="1">
      <c r="A394" s="97" t="str">
        <f t="shared" si="138"/>
        <v>176A/POTTERYPOT-2168-72700-04-A</v>
      </c>
      <c r="B394" s="95">
        <v>44454</v>
      </c>
      <c r="C394" s="97">
        <f t="shared" ca="1" si="139"/>
        <v>-610</v>
      </c>
      <c r="D394" s="96" t="s">
        <v>1005</v>
      </c>
      <c r="E394" s="94" t="s">
        <v>227</v>
      </c>
      <c r="F394" s="98" t="str">
        <f t="shared" si="140"/>
        <v>A</v>
      </c>
      <c r="G394" s="110">
        <f ca="1">SUMIF($A:E,$A394,K:K)</f>
        <v>32</v>
      </c>
      <c r="H394" s="97" t="s">
        <v>601</v>
      </c>
      <c r="I394" s="98">
        <v>32</v>
      </c>
      <c r="J394" s="97">
        <v>32</v>
      </c>
      <c r="K394" s="143">
        <f t="shared" si="144"/>
        <v>32</v>
      </c>
      <c r="L394" s="144">
        <f t="shared" si="142"/>
        <v>0</v>
      </c>
      <c r="M394" s="275">
        <f t="shared" si="143"/>
        <v>32</v>
      </c>
      <c r="N394" s="98">
        <v>1</v>
      </c>
      <c r="O394" s="93">
        <f t="shared" si="141"/>
        <v>100</v>
      </c>
      <c r="FZ394" s="100">
        <v>10</v>
      </c>
      <c r="GA394" s="100">
        <v>2</v>
      </c>
      <c r="GB394" s="100">
        <v>6</v>
      </c>
      <c r="GC394" s="100">
        <v>8</v>
      </c>
      <c r="GE394" s="100">
        <v>6</v>
      </c>
      <c r="ON394" s="100">
        <f t="shared" si="145"/>
        <v>0</v>
      </c>
    </row>
    <row r="395" spans="1:404" ht="23.25" customHeight="1">
      <c r="A395" s="97" t="str">
        <f t="shared" si="138"/>
        <v>160/POTTERYPOT-2168-72700-04-A</v>
      </c>
      <c r="B395" s="95">
        <v>44453</v>
      </c>
      <c r="C395" s="97">
        <f t="shared" ca="1" si="139"/>
        <v>-611</v>
      </c>
      <c r="D395" s="96" t="s">
        <v>1006</v>
      </c>
      <c r="E395" s="94" t="s">
        <v>227</v>
      </c>
      <c r="F395" s="98" t="str">
        <f t="shared" si="140"/>
        <v>A</v>
      </c>
      <c r="G395" s="110">
        <f ca="1">SUMIF($A:E,$A395,K:K)</f>
        <v>34</v>
      </c>
      <c r="H395" s="97" t="s">
        <v>601</v>
      </c>
      <c r="I395" s="98">
        <v>34</v>
      </c>
      <c r="J395" s="97">
        <v>34</v>
      </c>
      <c r="K395" s="143">
        <f t="shared" si="144"/>
        <v>34</v>
      </c>
      <c r="L395" s="144">
        <f t="shared" si="142"/>
        <v>0</v>
      </c>
      <c r="M395" s="275">
        <f t="shared" si="143"/>
        <v>34</v>
      </c>
      <c r="N395" s="98">
        <v>1</v>
      </c>
      <c r="O395" s="93">
        <f t="shared" si="141"/>
        <v>100</v>
      </c>
      <c r="FV395" s="100">
        <v>5</v>
      </c>
      <c r="FW395" s="100">
        <v>9</v>
      </c>
      <c r="FX395" s="100">
        <v>15</v>
      </c>
      <c r="GE395" s="100">
        <v>3</v>
      </c>
      <c r="GG395" s="100">
        <v>2</v>
      </c>
      <c r="ON395" s="100">
        <f t="shared" si="145"/>
        <v>0</v>
      </c>
    </row>
    <row r="396" spans="1:404" ht="23.25" customHeight="1">
      <c r="A396" s="97" t="str">
        <f t="shared" si="138"/>
        <v>075/NY/PP-USA-2168-72700-04-A</v>
      </c>
      <c r="B396" s="114">
        <v>44594</v>
      </c>
      <c r="C396" s="97">
        <f t="shared" ca="1" si="139"/>
        <v>-470</v>
      </c>
      <c r="D396" s="96" t="s">
        <v>1023</v>
      </c>
      <c r="E396" s="94" t="s">
        <v>227</v>
      </c>
      <c r="F396" s="98" t="str">
        <f t="shared" si="140"/>
        <v>A</v>
      </c>
      <c r="G396" s="110">
        <f ca="1">SUMIF($A:E,$A396,K:K)</f>
        <v>22</v>
      </c>
      <c r="H396" s="97" t="s">
        <v>508</v>
      </c>
      <c r="I396" s="98">
        <v>22</v>
      </c>
      <c r="J396" s="97">
        <v>22</v>
      </c>
      <c r="K396" s="143">
        <f t="shared" si="144"/>
        <v>22</v>
      </c>
      <c r="L396" s="144">
        <f t="shared" ref="L396:L439" si="146">J396-K396</f>
        <v>0</v>
      </c>
      <c r="M396" s="275">
        <f t="shared" si="143"/>
        <v>22</v>
      </c>
      <c r="N396" s="98" t="s">
        <v>1776</v>
      </c>
      <c r="O396" s="93">
        <f t="shared" si="141"/>
        <v>100</v>
      </c>
      <c r="MF396" s="100">
        <v>2</v>
      </c>
      <c r="MG396" s="100">
        <v>6</v>
      </c>
      <c r="MK396" s="100">
        <v>9</v>
      </c>
      <c r="ML396" s="100">
        <v>5</v>
      </c>
      <c r="ON396" s="100">
        <f t="shared" si="145"/>
        <v>0</v>
      </c>
    </row>
    <row r="397" spans="1:404" ht="23.25" customHeight="1">
      <c r="A397" s="97" t="str">
        <f t="shared" si="138"/>
        <v>058/NY/PP-USA-2168-72700-04-A</v>
      </c>
      <c r="B397" s="95">
        <v>44575</v>
      </c>
      <c r="C397" s="97">
        <f t="shared" ca="1" si="139"/>
        <v>-489</v>
      </c>
      <c r="D397" s="96" t="s">
        <v>1029</v>
      </c>
      <c r="E397" s="280" t="s">
        <v>227</v>
      </c>
      <c r="F397" s="98" t="str">
        <f t="shared" si="140"/>
        <v>A</v>
      </c>
      <c r="G397" s="110">
        <f ca="1">SUMIF($A:E,$A397,K:K)</f>
        <v>18</v>
      </c>
      <c r="H397" s="97" t="s">
        <v>933</v>
      </c>
      <c r="I397" s="98">
        <v>18</v>
      </c>
      <c r="J397" s="97">
        <v>18</v>
      </c>
      <c r="K397" s="143">
        <f t="shared" si="144"/>
        <v>18</v>
      </c>
      <c r="L397" s="144">
        <f t="shared" si="146"/>
        <v>0</v>
      </c>
      <c r="M397" s="275">
        <f t="shared" si="143"/>
        <v>18</v>
      </c>
      <c r="N397" s="98" t="s">
        <v>1776</v>
      </c>
      <c r="O397" s="93">
        <f t="shared" si="141"/>
        <v>100</v>
      </c>
      <c r="KN397" s="100">
        <v>11</v>
      </c>
      <c r="KO397" s="100">
        <v>7</v>
      </c>
      <c r="ON397" s="100">
        <f t="shared" si="145"/>
        <v>0</v>
      </c>
    </row>
    <row r="398" spans="1:404" ht="23.25" customHeight="1">
      <c r="A398" s="97" t="str">
        <f t="shared" si="138"/>
        <v>059/NY/PP-USA-2168-72700-04-A</v>
      </c>
      <c r="B398" s="95">
        <v>44663</v>
      </c>
      <c r="C398" s="101">
        <f t="shared" ca="1" si="139"/>
        <v>-401</v>
      </c>
      <c r="D398" s="118" t="s">
        <v>1030</v>
      </c>
      <c r="E398" s="286" t="s">
        <v>227</v>
      </c>
      <c r="F398" s="98" t="str">
        <f t="shared" si="140"/>
        <v>A</v>
      </c>
      <c r="G398" s="110">
        <f ca="1">SUMIF($A:E,$A398,K:K)</f>
        <v>0</v>
      </c>
      <c r="H398" s="97" t="s">
        <v>933</v>
      </c>
      <c r="I398" s="98">
        <v>18</v>
      </c>
      <c r="J398" s="97">
        <v>18</v>
      </c>
      <c r="K398" s="143">
        <f t="shared" si="144"/>
        <v>0</v>
      </c>
      <c r="L398" s="144">
        <f t="shared" si="146"/>
        <v>18</v>
      </c>
      <c r="M398" s="275">
        <f t="shared" si="143"/>
        <v>18</v>
      </c>
      <c r="N398" s="98"/>
      <c r="O398" s="93">
        <f>K398/J398*100</f>
        <v>0</v>
      </c>
      <c r="ON398" s="100">
        <f t="shared" si="145"/>
        <v>0</v>
      </c>
    </row>
    <row r="399" spans="1:404" ht="23.25" customHeight="1">
      <c r="A399" s="97" t="str">
        <f t="shared" si="138"/>
        <v>060/NY/PP-USA-2168-72700-04-A</v>
      </c>
      <c r="B399" s="95">
        <v>44578</v>
      </c>
      <c r="C399" s="101">
        <f t="shared" ca="1" si="139"/>
        <v>-486</v>
      </c>
      <c r="D399" s="118" t="s">
        <v>1031</v>
      </c>
      <c r="E399" s="286" t="s">
        <v>227</v>
      </c>
      <c r="F399" s="98" t="str">
        <f t="shared" si="140"/>
        <v>A</v>
      </c>
      <c r="G399" s="110">
        <f ca="1">SUMIF($A:E,$A399,K:K)</f>
        <v>92</v>
      </c>
      <c r="H399" s="127" t="s">
        <v>933</v>
      </c>
      <c r="I399" s="132">
        <v>92</v>
      </c>
      <c r="J399" s="132">
        <v>92</v>
      </c>
      <c r="K399" s="143">
        <f t="shared" si="144"/>
        <v>92</v>
      </c>
      <c r="L399" s="151">
        <f t="shared" si="146"/>
        <v>0</v>
      </c>
      <c r="M399" s="275">
        <f t="shared" si="143"/>
        <v>92</v>
      </c>
      <c r="N399" s="98" t="s">
        <v>1776</v>
      </c>
      <c r="O399" s="93">
        <f t="shared" si="141"/>
        <v>100</v>
      </c>
      <c r="KO399" s="100">
        <v>1</v>
      </c>
      <c r="KP399" s="100">
        <v>9</v>
      </c>
      <c r="KQ399" s="100">
        <v>7</v>
      </c>
      <c r="KR399" s="100">
        <v>6</v>
      </c>
      <c r="KU399" s="100">
        <v>7</v>
      </c>
      <c r="KW399" s="100">
        <v>28</v>
      </c>
      <c r="KX399" s="100">
        <v>13</v>
      </c>
      <c r="KY399" s="100">
        <v>15</v>
      </c>
      <c r="LB399" s="100">
        <v>6</v>
      </c>
      <c r="ON399" s="100">
        <f t="shared" si="145"/>
        <v>0</v>
      </c>
    </row>
    <row r="400" spans="1:404" ht="23.25" customHeight="1">
      <c r="A400" s="97" t="str">
        <f t="shared" si="138"/>
        <v>191/POTTERYPOT-2168-72700-04-A</v>
      </c>
      <c r="B400" s="95">
        <v>44671</v>
      </c>
      <c r="C400" s="97">
        <f t="shared" ca="1" si="139"/>
        <v>-393</v>
      </c>
      <c r="D400" s="96" t="s">
        <v>1033</v>
      </c>
      <c r="E400" s="280" t="s">
        <v>227</v>
      </c>
      <c r="F400" s="98" t="str">
        <f t="shared" si="140"/>
        <v>A</v>
      </c>
      <c r="G400" s="110">
        <f ca="1">SUMIF($A:E,$A400,K:K)</f>
        <v>0</v>
      </c>
      <c r="H400" s="97" t="s">
        <v>601</v>
      </c>
      <c r="I400" s="98">
        <v>40</v>
      </c>
      <c r="J400" s="97">
        <v>40</v>
      </c>
      <c r="K400" s="143">
        <f t="shared" si="144"/>
        <v>0</v>
      </c>
      <c r="L400" s="144">
        <f t="shared" si="146"/>
        <v>40</v>
      </c>
      <c r="M400" s="275">
        <f t="shared" si="143"/>
        <v>40</v>
      </c>
      <c r="N400" s="98"/>
      <c r="O400" s="93">
        <f>K400/J400*100</f>
        <v>0</v>
      </c>
      <c r="ON400" s="100">
        <f t="shared" si="145"/>
        <v>0</v>
      </c>
    </row>
    <row r="401" spans="1:404" ht="23.25" customHeight="1">
      <c r="A401" s="97" t="str">
        <f t="shared" si="138"/>
        <v>192/POTTERYPOT-2168-72700-04-A</v>
      </c>
      <c r="B401" s="95">
        <v>44445</v>
      </c>
      <c r="C401" s="97">
        <f t="shared" ca="1" si="139"/>
        <v>-619</v>
      </c>
      <c r="D401" s="223" t="s">
        <v>1034</v>
      </c>
      <c r="E401" s="119" t="s">
        <v>227</v>
      </c>
      <c r="F401" s="98" t="str">
        <f t="shared" si="140"/>
        <v>A</v>
      </c>
      <c r="G401" s="110">
        <f ca="1">SUMIF($A:E,$A401,K:K)</f>
        <v>92</v>
      </c>
      <c r="H401" s="97" t="s">
        <v>601</v>
      </c>
      <c r="I401" s="98">
        <v>92</v>
      </c>
      <c r="J401" s="97">
        <v>92</v>
      </c>
      <c r="K401" s="143">
        <f t="shared" si="144"/>
        <v>92</v>
      </c>
      <c r="L401" s="144">
        <f t="shared" si="146"/>
        <v>0</v>
      </c>
      <c r="M401" s="275">
        <f t="shared" si="143"/>
        <v>92</v>
      </c>
      <c r="N401" s="98">
        <v>1</v>
      </c>
      <c r="O401" s="93">
        <f t="shared" si="141"/>
        <v>100</v>
      </c>
      <c r="HF401" s="100">
        <v>12</v>
      </c>
      <c r="HG401" s="100">
        <v>2</v>
      </c>
      <c r="HJ401" s="100">
        <v>6</v>
      </c>
      <c r="HK401" s="100">
        <v>8</v>
      </c>
      <c r="HL401" s="100">
        <v>1</v>
      </c>
      <c r="HM401" s="100">
        <v>2</v>
      </c>
      <c r="HP401" s="100">
        <v>4</v>
      </c>
      <c r="HQ401" s="100">
        <v>28</v>
      </c>
      <c r="HS401" s="100">
        <v>10</v>
      </c>
      <c r="HU401" s="100">
        <v>15</v>
      </c>
      <c r="HW401" s="100">
        <v>4</v>
      </c>
      <c r="ON401" s="100">
        <f t="shared" si="145"/>
        <v>0</v>
      </c>
    </row>
    <row r="402" spans="1:404" ht="23.25" customHeight="1">
      <c r="A402" s="97" t="str">
        <f t="shared" si="138"/>
        <v>193/POTTERYPOT-2168-72700-04-A</v>
      </c>
      <c r="B402" s="95">
        <v>44464</v>
      </c>
      <c r="C402" s="97">
        <f t="shared" ca="1" si="139"/>
        <v>-600</v>
      </c>
      <c r="D402" s="118" t="s">
        <v>1035</v>
      </c>
      <c r="E402" s="119" t="s">
        <v>227</v>
      </c>
      <c r="F402" s="98" t="str">
        <f t="shared" si="140"/>
        <v>A</v>
      </c>
      <c r="G402" s="110">
        <f ca="1">SUMIF($A:E,$A402,K:K)</f>
        <v>66</v>
      </c>
      <c r="H402" s="97" t="s">
        <v>601</v>
      </c>
      <c r="I402" s="98">
        <v>66</v>
      </c>
      <c r="J402" s="97">
        <v>66</v>
      </c>
      <c r="K402" s="143">
        <f t="shared" si="144"/>
        <v>66</v>
      </c>
      <c r="L402" s="144">
        <f t="shared" si="146"/>
        <v>0</v>
      </c>
      <c r="M402" s="275">
        <f t="shared" si="143"/>
        <v>66</v>
      </c>
      <c r="N402" s="98">
        <v>1</v>
      </c>
      <c r="O402" s="93">
        <f t="shared" si="141"/>
        <v>100</v>
      </c>
      <c r="HW402" s="100">
        <v>5</v>
      </c>
      <c r="HX402" s="100">
        <v>8</v>
      </c>
      <c r="HY402" s="100">
        <v>9</v>
      </c>
      <c r="ID402" s="100">
        <v>6</v>
      </c>
      <c r="IE402" s="100">
        <v>8</v>
      </c>
      <c r="IF402" s="100">
        <v>6</v>
      </c>
      <c r="IG402" s="100">
        <v>10</v>
      </c>
      <c r="IH402" s="100">
        <v>4</v>
      </c>
      <c r="IR402" s="100">
        <v>6</v>
      </c>
      <c r="IU402" s="100">
        <v>4</v>
      </c>
      <c r="ON402" s="100">
        <f t="shared" si="145"/>
        <v>0</v>
      </c>
    </row>
    <row r="403" spans="1:404" ht="23.25" customHeight="1">
      <c r="A403" s="97" t="str">
        <f t="shared" si="138"/>
        <v>194/POTTERYPOT-2168-72700-04-A</v>
      </c>
      <c r="B403" s="95">
        <v>44469</v>
      </c>
      <c r="C403" s="97">
        <f t="shared" ca="1" si="139"/>
        <v>-595</v>
      </c>
      <c r="D403" s="96" t="s">
        <v>1036</v>
      </c>
      <c r="E403" s="280" t="s">
        <v>227</v>
      </c>
      <c r="F403" s="98" t="str">
        <f t="shared" si="140"/>
        <v>A</v>
      </c>
      <c r="G403" s="110">
        <f ca="1">SUMIF($A:E,$A403,K:K)</f>
        <v>20</v>
      </c>
      <c r="H403" s="97" t="s">
        <v>601</v>
      </c>
      <c r="I403" s="98">
        <v>18</v>
      </c>
      <c r="J403" s="97">
        <v>18</v>
      </c>
      <c r="K403" s="143">
        <f t="shared" si="144"/>
        <v>18</v>
      </c>
      <c r="L403" s="144">
        <f t="shared" si="146"/>
        <v>0</v>
      </c>
      <c r="M403" s="275">
        <f t="shared" si="143"/>
        <v>18</v>
      </c>
      <c r="N403" s="98" t="s">
        <v>1768</v>
      </c>
      <c r="O403" s="93">
        <f t="shared" si="141"/>
        <v>100</v>
      </c>
      <c r="IH403" s="100">
        <v>2</v>
      </c>
      <c r="IL403" s="100">
        <v>4</v>
      </c>
      <c r="IN403" s="100">
        <v>12</v>
      </c>
      <c r="ON403" s="100">
        <f t="shared" si="145"/>
        <v>0</v>
      </c>
    </row>
    <row r="404" spans="1:404" ht="23.25" customHeight="1">
      <c r="A404" s="97" t="str">
        <f t="shared" si="138"/>
        <v>195/POTTERYPOT-2168-72700-04-A</v>
      </c>
      <c r="B404" s="95">
        <v>44468</v>
      </c>
      <c r="C404" s="97">
        <f t="shared" ca="1" si="139"/>
        <v>-596</v>
      </c>
      <c r="D404" s="96" t="s">
        <v>1037</v>
      </c>
      <c r="E404" s="280" t="s">
        <v>227</v>
      </c>
      <c r="F404" s="98" t="str">
        <f t="shared" si="140"/>
        <v>A</v>
      </c>
      <c r="G404" s="110">
        <f ca="1">SUMIF($A:E,$A404,K:K)</f>
        <v>58</v>
      </c>
      <c r="H404" s="97" t="s">
        <v>601</v>
      </c>
      <c r="I404" s="98">
        <v>58</v>
      </c>
      <c r="J404" s="97">
        <v>58</v>
      </c>
      <c r="K404" s="143">
        <f t="shared" si="144"/>
        <v>58</v>
      </c>
      <c r="L404" s="144">
        <f t="shared" si="146"/>
        <v>0</v>
      </c>
      <c r="M404" s="275">
        <f t="shared" si="143"/>
        <v>58</v>
      </c>
      <c r="N404" s="98" t="s">
        <v>1768</v>
      </c>
      <c r="O404" s="93">
        <f t="shared" si="141"/>
        <v>100</v>
      </c>
      <c r="IN404" s="100">
        <v>4</v>
      </c>
      <c r="IP404" s="100">
        <v>12</v>
      </c>
      <c r="IR404" s="100">
        <v>7</v>
      </c>
      <c r="IT404" s="100">
        <v>10</v>
      </c>
      <c r="IU404" s="100">
        <v>19</v>
      </c>
      <c r="IV404" s="100">
        <v>6</v>
      </c>
      <c r="ON404" s="100">
        <f t="shared" si="145"/>
        <v>0</v>
      </c>
    </row>
    <row r="405" spans="1:404" ht="23.25" customHeight="1">
      <c r="A405" s="97" t="str">
        <f t="shared" si="138"/>
        <v>196/POTTERYPOT-2168-72700-04-A</v>
      </c>
      <c r="B405" s="95">
        <v>44671</v>
      </c>
      <c r="C405" s="97">
        <f t="shared" ca="1" si="139"/>
        <v>-393</v>
      </c>
      <c r="D405" s="128" t="s">
        <v>1038</v>
      </c>
      <c r="E405" s="287" t="s">
        <v>227</v>
      </c>
      <c r="F405" s="132" t="str">
        <f t="shared" si="140"/>
        <v>A</v>
      </c>
      <c r="G405" s="130">
        <f ca="1">SUMIF($A:E,$A405,K:K)</f>
        <v>0</v>
      </c>
      <c r="H405" s="127" t="s">
        <v>601</v>
      </c>
      <c r="I405" s="132">
        <v>72</v>
      </c>
      <c r="J405" s="132">
        <v>72</v>
      </c>
      <c r="K405" s="143">
        <f t="shared" si="144"/>
        <v>0</v>
      </c>
      <c r="L405" s="151">
        <f t="shared" si="146"/>
        <v>72</v>
      </c>
      <c r="M405" s="275">
        <f t="shared" si="143"/>
        <v>72</v>
      </c>
      <c r="N405" s="98"/>
      <c r="O405" s="93">
        <f>K405/J405*100</f>
        <v>0</v>
      </c>
      <c r="ON405" s="100">
        <f t="shared" si="145"/>
        <v>0</v>
      </c>
    </row>
    <row r="406" spans="1:404" ht="23.25" customHeight="1">
      <c r="A406" s="97" t="str">
        <f t="shared" si="138"/>
        <v>255/POTTERYPOT-2168-72700-04-A</v>
      </c>
      <c r="B406" s="95">
        <v>44541</v>
      </c>
      <c r="C406" s="97">
        <f t="shared" ca="1" si="139"/>
        <v>-523</v>
      </c>
      <c r="D406" s="96" t="s">
        <v>1040</v>
      </c>
      <c r="E406" s="280" t="s">
        <v>227</v>
      </c>
      <c r="F406" s="98" t="str">
        <f t="shared" si="140"/>
        <v>A</v>
      </c>
      <c r="G406" s="110">
        <f ca="1">SUMIF($A:E,$A406,K:K)</f>
        <v>16</v>
      </c>
      <c r="H406" s="97" t="s">
        <v>601</v>
      </c>
      <c r="I406" s="98">
        <v>16</v>
      </c>
      <c r="J406" s="99">
        <v>16</v>
      </c>
      <c r="K406" s="143">
        <f t="shared" si="144"/>
        <v>16</v>
      </c>
      <c r="L406" s="144">
        <f t="shared" si="146"/>
        <v>0</v>
      </c>
      <c r="M406" s="275">
        <f t="shared" si="143"/>
        <v>16</v>
      </c>
      <c r="N406" s="98" t="s">
        <v>1776</v>
      </c>
      <c r="O406" s="93">
        <f t="shared" si="141"/>
        <v>100</v>
      </c>
      <c r="IY406" s="100">
        <v>16</v>
      </c>
      <c r="ON406" s="100">
        <f t="shared" si="145"/>
        <v>0</v>
      </c>
    </row>
    <row r="407" spans="1:404" ht="23.25" customHeight="1">
      <c r="A407" s="97" t="str">
        <f t="shared" ref="A407:A433" si="147">D407&amp;E407</f>
        <v>125A/POTTERYPOT-2168-72700-04-A</v>
      </c>
      <c r="B407" s="95">
        <v>44453</v>
      </c>
      <c r="C407" s="97">
        <f t="shared" ca="1" si="139"/>
        <v>-611</v>
      </c>
      <c r="D407" s="96" t="s">
        <v>1076</v>
      </c>
      <c r="E407" s="94" t="s">
        <v>227</v>
      </c>
      <c r="F407" s="98" t="str">
        <f t="shared" si="140"/>
        <v>A</v>
      </c>
      <c r="G407" s="110">
        <f ca="1">SUMIF($A:E,$A407,K:K)</f>
        <v>19</v>
      </c>
      <c r="H407" s="97" t="s">
        <v>964</v>
      </c>
      <c r="I407" s="98">
        <v>19</v>
      </c>
      <c r="J407" s="97">
        <v>19</v>
      </c>
      <c r="K407" s="143">
        <f t="shared" si="144"/>
        <v>19</v>
      </c>
      <c r="L407" s="144">
        <f t="shared" si="146"/>
        <v>0</v>
      </c>
      <c r="M407" s="275">
        <f t="shared" si="143"/>
        <v>19</v>
      </c>
      <c r="N407" s="98">
        <v>1</v>
      </c>
      <c r="O407" s="93">
        <f t="shared" si="141"/>
        <v>100</v>
      </c>
      <c r="GG407" s="100">
        <v>7</v>
      </c>
      <c r="GH407" s="100">
        <v>1</v>
      </c>
      <c r="GI407" s="100">
        <v>5</v>
      </c>
      <c r="GJ407" s="100">
        <v>1</v>
      </c>
      <c r="GK407" s="100">
        <v>2</v>
      </c>
      <c r="GL407" s="100">
        <v>2</v>
      </c>
      <c r="GN407" s="100">
        <v>1</v>
      </c>
      <c r="ON407" s="100">
        <f t="shared" si="145"/>
        <v>0</v>
      </c>
    </row>
    <row r="408" spans="1:404" ht="23.25" customHeight="1">
      <c r="A408" s="97" t="str">
        <f t="shared" si="147"/>
        <v>228/POTTERYPOT-2168-72700-04-A</v>
      </c>
      <c r="B408" s="95">
        <v>44566</v>
      </c>
      <c r="C408" s="97">
        <f t="shared" ca="1" si="139"/>
        <v>-498</v>
      </c>
      <c r="D408" s="96" t="s">
        <v>1083</v>
      </c>
      <c r="E408" s="280" t="s">
        <v>227</v>
      </c>
      <c r="F408" s="98" t="str">
        <f t="shared" si="140"/>
        <v>A</v>
      </c>
      <c r="G408" s="110">
        <f ca="1">SUMIF($A:E,$A408,K:K)</f>
        <v>120</v>
      </c>
      <c r="H408" s="97" t="s">
        <v>601</v>
      </c>
      <c r="I408" s="98">
        <v>120</v>
      </c>
      <c r="J408" s="97">
        <v>120</v>
      </c>
      <c r="K408" s="143">
        <f t="shared" si="144"/>
        <v>120</v>
      </c>
      <c r="L408" s="144">
        <f t="shared" si="146"/>
        <v>0</v>
      </c>
      <c r="M408" s="275">
        <f t="shared" si="143"/>
        <v>120</v>
      </c>
      <c r="N408" s="98" t="s">
        <v>1768</v>
      </c>
      <c r="O408" s="93">
        <f t="shared" si="141"/>
        <v>100</v>
      </c>
      <c r="JF408" s="100">
        <v>2</v>
      </c>
      <c r="JH408" s="100">
        <v>16</v>
      </c>
      <c r="JI408" s="100">
        <v>10</v>
      </c>
      <c r="JK408" s="100">
        <v>15</v>
      </c>
      <c r="JN408" s="100">
        <v>12</v>
      </c>
      <c r="JO408" s="100">
        <v>13</v>
      </c>
      <c r="JQ408" s="100">
        <v>15</v>
      </c>
      <c r="JR408" s="100">
        <v>12</v>
      </c>
      <c r="JT408" s="100">
        <v>18</v>
      </c>
      <c r="JU408" s="100">
        <v>7</v>
      </c>
      <c r="ON408" s="100">
        <f t="shared" si="145"/>
        <v>0</v>
      </c>
    </row>
    <row r="409" spans="1:404" ht="23.25" customHeight="1">
      <c r="A409" s="97" t="str">
        <f t="shared" si="147"/>
        <v>227/POTERTYPOT-2168-72700-04-A</v>
      </c>
      <c r="B409" s="95">
        <v>44557</v>
      </c>
      <c r="C409" s="97">
        <f t="shared" ca="1" si="139"/>
        <v>-507</v>
      </c>
      <c r="D409" s="96" t="s">
        <v>1084</v>
      </c>
      <c r="E409" s="280" t="s">
        <v>227</v>
      </c>
      <c r="F409" s="98" t="str">
        <f t="shared" si="140"/>
        <v>A</v>
      </c>
      <c r="G409" s="110">
        <f ca="1">SUMIF($A:E,$A409,K:K)</f>
        <v>40</v>
      </c>
      <c r="H409" s="97" t="s">
        <v>601</v>
      </c>
      <c r="I409" s="98">
        <v>40</v>
      </c>
      <c r="J409" s="97">
        <v>40</v>
      </c>
      <c r="K409" s="143">
        <f t="shared" si="144"/>
        <v>40</v>
      </c>
      <c r="L409" s="144">
        <f t="shared" si="146"/>
        <v>0</v>
      </c>
      <c r="M409" s="275">
        <f t="shared" si="143"/>
        <v>40</v>
      </c>
      <c r="N409" s="98" t="s">
        <v>1768</v>
      </c>
      <c r="O409" s="93">
        <f t="shared" si="141"/>
        <v>100</v>
      </c>
      <c r="IY409" s="100">
        <v>1</v>
      </c>
      <c r="IZ409" s="100">
        <v>5</v>
      </c>
      <c r="JA409" s="100">
        <v>13</v>
      </c>
      <c r="JC409" s="100">
        <v>17</v>
      </c>
      <c r="JF409" s="100">
        <v>4</v>
      </c>
      <c r="ON409" s="100">
        <f t="shared" si="145"/>
        <v>0</v>
      </c>
    </row>
    <row r="410" spans="1:404" ht="23.25" customHeight="1">
      <c r="A410" s="97" t="str">
        <f t="shared" si="147"/>
        <v>217/POTERTYPOT-2168-72700-04-A</v>
      </c>
      <c r="B410" s="95">
        <v>44625</v>
      </c>
      <c r="C410" s="97">
        <f t="shared" ca="1" si="139"/>
        <v>-439</v>
      </c>
      <c r="D410" s="96" t="s">
        <v>1085</v>
      </c>
      <c r="E410" s="94" t="s">
        <v>227</v>
      </c>
      <c r="F410" s="98" t="str">
        <f t="shared" si="140"/>
        <v>A</v>
      </c>
      <c r="G410" s="110">
        <f ca="1">SUMIF($A:E,$A410,K:K)</f>
        <v>0</v>
      </c>
      <c r="H410" s="97" t="s">
        <v>601</v>
      </c>
      <c r="I410" s="98">
        <v>32</v>
      </c>
      <c r="J410" s="97">
        <v>32</v>
      </c>
      <c r="K410" s="143">
        <f t="shared" si="144"/>
        <v>0</v>
      </c>
      <c r="L410" s="144">
        <f t="shared" si="146"/>
        <v>32</v>
      </c>
      <c r="M410" s="275">
        <f t="shared" si="143"/>
        <v>32</v>
      </c>
      <c r="N410" s="98"/>
      <c r="O410" s="93">
        <f t="shared" si="141"/>
        <v>0</v>
      </c>
      <c r="ON410" s="100">
        <f t="shared" si="145"/>
        <v>0</v>
      </c>
    </row>
    <row r="411" spans="1:404" ht="23.25" customHeight="1">
      <c r="A411" s="97" t="str">
        <f t="shared" si="147"/>
        <v>382A/POTTERYPOT-2168-72700-04-A</v>
      </c>
      <c r="B411" s="95">
        <v>44658</v>
      </c>
      <c r="C411" s="97">
        <f t="shared" ca="1" si="139"/>
        <v>-406</v>
      </c>
      <c r="D411" s="96" t="s">
        <v>1285</v>
      </c>
      <c r="E411" s="280" t="s">
        <v>227</v>
      </c>
      <c r="F411" s="98" t="str">
        <f t="shared" si="140"/>
        <v>A</v>
      </c>
      <c r="G411" s="110">
        <f ca="1">SUMIF($A:E,$A411,K:K)</f>
        <v>32</v>
      </c>
      <c r="H411" s="97" t="s">
        <v>964</v>
      </c>
      <c r="I411" s="98">
        <v>16</v>
      </c>
      <c r="J411" s="97">
        <v>16</v>
      </c>
      <c r="K411" s="143">
        <f t="shared" si="144"/>
        <v>32</v>
      </c>
      <c r="L411" s="144">
        <f t="shared" si="146"/>
        <v>-16</v>
      </c>
      <c r="M411" s="275">
        <f t="shared" si="143"/>
        <v>16</v>
      </c>
      <c r="N411" s="98" t="s">
        <v>1776</v>
      </c>
      <c r="O411" s="93">
        <f t="shared" si="141"/>
        <v>200</v>
      </c>
      <c r="NU411" s="100">
        <v>6</v>
      </c>
      <c r="NV411" s="100">
        <v>7</v>
      </c>
      <c r="NY411" s="100">
        <v>3</v>
      </c>
      <c r="ON411" s="100">
        <f t="shared" si="145"/>
        <v>16</v>
      </c>
    </row>
    <row r="412" spans="1:404" ht="23.25" customHeight="1">
      <c r="A412" s="97" t="str">
        <f t="shared" si="147"/>
        <v>321/POTTERYPOT-2168-72700-04-A</v>
      </c>
      <c r="B412" s="95">
        <v>44669</v>
      </c>
      <c r="C412" s="97">
        <f t="shared" ref="C412:C438" ca="1" si="148">B412-TODAY()</f>
        <v>-395</v>
      </c>
      <c r="D412" s="112" t="s">
        <v>1337</v>
      </c>
      <c r="E412" s="279" t="s">
        <v>227</v>
      </c>
      <c r="F412" s="98" t="str">
        <f t="shared" ref="F412:F438" si="149">MID(E412,13,2)</f>
        <v>A</v>
      </c>
      <c r="G412" s="110">
        <f ca="1">SUMIF($A:E,$A412,K:K)</f>
        <v>0</v>
      </c>
      <c r="H412" s="135" t="s">
        <v>1360</v>
      </c>
      <c r="I412" s="175">
        <v>11</v>
      </c>
      <c r="J412" s="115">
        <v>11</v>
      </c>
      <c r="K412" s="143">
        <f t="shared" si="144"/>
        <v>0</v>
      </c>
      <c r="L412" s="144">
        <f t="shared" si="146"/>
        <v>11</v>
      </c>
      <c r="M412" s="275">
        <f t="shared" si="143"/>
        <v>11</v>
      </c>
      <c r="N412" s="98" t="s">
        <v>1776</v>
      </c>
      <c r="O412" s="93">
        <f t="shared" si="141"/>
        <v>0</v>
      </c>
      <c r="ON412" s="100">
        <f t="shared" si="145"/>
        <v>0</v>
      </c>
    </row>
    <row r="413" spans="1:404" ht="23.25" customHeight="1">
      <c r="A413" s="97" t="str">
        <f t="shared" si="147"/>
        <v>328/POTTERYPOT-2168-72700-04-A</v>
      </c>
      <c r="B413" s="114">
        <v>44850</v>
      </c>
      <c r="C413" s="138">
        <f t="shared" ca="1" si="148"/>
        <v>-214</v>
      </c>
      <c r="D413" s="234" t="s">
        <v>1344</v>
      </c>
      <c r="E413" s="284" t="s">
        <v>227</v>
      </c>
      <c r="F413" s="133" t="str">
        <f t="shared" si="149"/>
        <v>A</v>
      </c>
      <c r="G413" s="140">
        <f ca="1">SUMIF($A:E,$A413,K:K)</f>
        <v>0</v>
      </c>
      <c r="H413" s="138" t="s">
        <v>1360</v>
      </c>
      <c r="I413" s="236">
        <v>16</v>
      </c>
      <c r="J413" s="240">
        <v>16</v>
      </c>
      <c r="K413" s="166">
        <f t="shared" si="144"/>
        <v>0</v>
      </c>
      <c r="L413" s="150">
        <f t="shared" si="146"/>
        <v>16</v>
      </c>
      <c r="M413" s="275">
        <f t="shared" si="143"/>
        <v>16</v>
      </c>
      <c r="N413" s="133"/>
      <c r="O413" s="93">
        <f t="shared" si="141"/>
        <v>0</v>
      </c>
      <c r="ON413" s="100">
        <f t="shared" si="145"/>
        <v>0</v>
      </c>
    </row>
    <row r="414" spans="1:404" ht="23.25" customHeight="1">
      <c r="A414" s="97" t="str">
        <f t="shared" si="147"/>
        <v>329/POTTERYPOT-2168-72700-04-A</v>
      </c>
      <c r="B414" s="95">
        <v>44611</v>
      </c>
      <c r="C414" s="97">
        <f t="shared" ca="1" si="148"/>
        <v>-453</v>
      </c>
      <c r="D414" s="112" t="s">
        <v>1345</v>
      </c>
      <c r="E414" s="279" t="s">
        <v>227</v>
      </c>
      <c r="F414" s="98" t="str">
        <f t="shared" si="149"/>
        <v>A</v>
      </c>
      <c r="G414" s="110">
        <f ca="1">SUMIF($A:E,$A414,K:K)</f>
        <v>49</v>
      </c>
      <c r="H414" s="97" t="s">
        <v>1360</v>
      </c>
      <c r="I414" s="175">
        <v>48</v>
      </c>
      <c r="J414" s="115">
        <v>48</v>
      </c>
      <c r="K414" s="143">
        <f t="shared" si="144"/>
        <v>49</v>
      </c>
      <c r="L414" s="144">
        <f t="shared" si="146"/>
        <v>-1</v>
      </c>
      <c r="M414" s="275">
        <f t="shared" si="143"/>
        <v>48</v>
      </c>
      <c r="N414" s="98" t="s">
        <v>1776</v>
      </c>
      <c r="O414" s="93">
        <f t="shared" ref="O414:O438" si="150">K414/J414*100</f>
        <v>102.08333333333333</v>
      </c>
      <c r="MH414" s="100">
        <v>1</v>
      </c>
      <c r="ML414" s="100">
        <v>2</v>
      </c>
      <c r="MN414" s="100">
        <v>2</v>
      </c>
      <c r="MO414" s="100">
        <v>4</v>
      </c>
      <c r="MQ414" s="100">
        <v>2</v>
      </c>
      <c r="MR414" s="100">
        <v>2</v>
      </c>
      <c r="MS414" s="100">
        <v>2</v>
      </c>
      <c r="MT414" s="100">
        <v>2</v>
      </c>
      <c r="MU414" s="100">
        <v>2</v>
      </c>
      <c r="MW414" s="100">
        <v>2</v>
      </c>
      <c r="MX414" s="100">
        <v>2</v>
      </c>
      <c r="MY414" s="100">
        <v>2</v>
      </c>
      <c r="MZ414" s="100">
        <v>2</v>
      </c>
      <c r="NA414" s="100">
        <v>2</v>
      </c>
      <c r="ND414" s="100">
        <v>2</v>
      </c>
      <c r="NE414" s="100">
        <v>2</v>
      </c>
      <c r="NF414" s="100">
        <v>2</v>
      </c>
      <c r="NG414" s="100">
        <v>2</v>
      </c>
      <c r="NI414" s="100">
        <v>2</v>
      </c>
      <c r="NK414" s="100">
        <v>2</v>
      </c>
      <c r="NL414" s="100">
        <v>2</v>
      </c>
      <c r="NM414" s="100">
        <v>2</v>
      </c>
      <c r="NN414" s="100">
        <v>2</v>
      </c>
      <c r="NU414" s="100">
        <v>1</v>
      </c>
      <c r="ON414" s="100">
        <f t="shared" si="145"/>
        <v>1</v>
      </c>
    </row>
    <row r="415" spans="1:404" ht="23.25" customHeight="1">
      <c r="A415" s="97" t="str">
        <f t="shared" si="147"/>
        <v>330/POTTERYPOT-2168-72700-04-A</v>
      </c>
      <c r="B415" s="95">
        <v>44639</v>
      </c>
      <c r="C415" s="97">
        <f t="shared" ca="1" si="148"/>
        <v>-425</v>
      </c>
      <c r="D415" s="112" t="s">
        <v>1346</v>
      </c>
      <c r="E415" s="279" t="s">
        <v>227</v>
      </c>
      <c r="F415" s="98" t="str">
        <f t="shared" si="149"/>
        <v>A</v>
      </c>
      <c r="G415" s="110">
        <f ca="1">SUMIF($A:E,$A415,K:K)</f>
        <v>66</v>
      </c>
      <c r="H415" s="97" t="s">
        <v>1360</v>
      </c>
      <c r="I415" s="175">
        <v>48</v>
      </c>
      <c r="J415" s="115">
        <v>48</v>
      </c>
      <c r="K415" s="143">
        <f t="shared" si="144"/>
        <v>66</v>
      </c>
      <c r="L415" s="144">
        <f t="shared" si="146"/>
        <v>-18</v>
      </c>
      <c r="M415" s="275">
        <f t="shared" si="143"/>
        <v>48</v>
      </c>
      <c r="N415" s="98" t="s">
        <v>1776</v>
      </c>
      <c r="O415" s="93">
        <f t="shared" si="150"/>
        <v>137.5</v>
      </c>
      <c r="NU415" s="100">
        <v>5</v>
      </c>
      <c r="OF415" s="100">
        <v>8</v>
      </c>
      <c r="OG415" s="100">
        <v>2</v>
      </c>
      <c r="OH415" s="100">
        <v>4</v>
      </c>
      <c r="OI415" s="100">
        <v>4</v>
      </c>
      <c r="OJ415" s="100">
        <v>4</v>
      </c>
      <c r="OK415" s="100">
        <v>4</v>
      </c>
      <c r="OM415" s="100">
        <v>2</v>
      </c>
      <c r="ON415" s="100">
        <f t="shared" si="145"/>
        <v>33</v>
      </c>
    </row>
    <row r="416" spans="1:404" ht="23.25" customHeight="1">
      <c r="A416" s="97" t="s">
        <v>2591</v>
      </c>
      <c r="B416" s="95">
        <v>44647</v>
      </c>
      <c r="C416" s="97">
        <v>27</v>
      </c>
      <c r="D416" s="112" t="s">
        <v>2592</v>
      </c>
      <c r="E416" s="279" t="s">
        <v>227</v>
      </c>
      <c r="F416" s="98" t="s">
        <v>1775</v>
      </c>
      <c r="G416" s="110">
        <v>0</v>
      </c>
      <c r="H416" s="97" t="s">
        <v>927</v>
      </c>
      <c r="I416" s="175">
        <v>1</v>
      </c>
      <c r="J416" s="115">
        <v>1</v>
      </c>
      <c r="K416" s="143">
        <v>0</v>
      </c>
      <c r="L416" s="144">
        <v>47</v>
      </c>
      <c r="M416" s="98" t="s">
        <v>1776</v>
      </c>
      <c r="N416" s="98" t="s">
        <v>1776</v>
      </c>
      <c r="O416" s="93"/>
      <c r="ON416" s="100">
        <f t="shared" si="145"/>
        <v>0</v>
      </c>
    </row>
    <row r="417" spans="1:404" ht="23.25" customHeight="1">
      <c r="A417" s="97" t="str">
        <f t="shared" si="147"/>
        <v>331/POTTERYPOT-2168-72700-04-A</v>
      </c>
      <c r="B417" s="95">
        <v>44647</v>
      </c>
      <c r="C417" s="97">
        <f t="shared" ca="1" si="148"/>
        <v>-417</v>
      </c>
      <c r="D417" s="112" t="s">
        <v>1347</v>
      </c>
      <c r="E417" s="279" t="s">
        <v>227</v>
      </c>
      <c r="F417" s="98" t="str">
        <f t="shared" si="149"/>
        <v>A</v>
      </c>
      <c r="G417" s="110">
        <f ca="1">SUMIF($A:E,$A417,K:K)</f>
        <v>0</v>
      </c>
      <c r="H417" s="97" t="s">
        <v>927</v>
      </c>
      <c r="I417" s="175">
        <v>47</v>
      </c>
      <c r="J417" s="115">
        <v>47</v>
      </c>
      <c r="K417" s="143">
        <f t="shared" si="144"/>
        <v>0</v>
      </c>
      <c r="L417" s="144">
        <f t="shared" si="146"/>
        <v>47</v>
      </c>
      <c r="M417" s="275">
        <f t="shared" si="143"/>
        <v>47</v>
      </c>
      <c r="N417" s="98" t="s">
        <v>1776</v>
      </c>
      <c r="O417" s="93">
        <f t="shared" si="150"/>
        <v>0</v>
      </c>
      <c r="ON417" s="100">
        <f t="shared" si="145"/>
        <v>0</v>
      </c>
    </row>
    <row r="418" spans="1:404" ht="23.25" customHeight="1">
      <c r="A418" s="97" t="str">
        <f t="shared" si="147"/>
        <v>332/POTTERYPOT-2168-72700-04-A</v>
      </c>
      <c r="B418" s="95">
        <v>44564</v>
      </c>
      <c r="C418" s="97">
        <f t="shared" ca="1" si="148"/>
        <v>-500</v>
      </c>
      <c r="D418" s="112" t="s">
        <v>1348</v>
      </c>
      <c r="E418" s="279" t="s">
        <v>227</v>
      </c>
      <c r="F418" s="98" t="str">
        <f t="shared" si="149"/>
        <v>A</v>
      </c>
      <c r="G418" s="110">
        <f ca="1">SUMIF($A:E,$A418,K:K)</f>
        <v>129</v>
      </c>
      <c r="H418" s="97" t="s">
        <v>927</v>
      </c>
      <c r="I418" s="175">
        <v>129</v>
      </c>
      <c r="J418" s="115">
        <v>129</v>
      </c>
      <c r="K418" s="143">
        <f t="shared" si="144"/>
        <v>129</v>
      </c>
      <c r="L418" s="144">
        <f t="shared" si="146"/>
        <v>0</v>
      </c>
      <c r="M418" s="275">
        <f t="shared" si="143"/>
        <v>129</v>
      </c>
      <c r="N418" s="98" t="s">
        <v>1768</v>
      </c>
      <c r="O418" s="93">
        <f t="shared" si="150"/>
        <v>100</v>
      </c>
      <c r="JW418" s="100">
        <v>28</v>
      </c>
      <c r="JX418" s="100">
        <v>7</v>
      </c>
      <c r="JY418" s="100">
        <v>12</v>
      </c>
      <c r="KA418" s="100">
        <v>21</v>
      </c>
      <c r="KB418" s="100">
        <v>9</v>
      </c>
      <c r="KC418" s="100">
        <v>7</v>
      </c>
      <c r="KD418" s="100">
        <v>7</v>
      </c>
      <c r="KE418" s="100">
        <v>5</v>
      </c>
      <c r="KF418" s="100">
        <v>7</v>
      </c>
      <c r="KG418" s="100">
        <v>7</v>
      </c>
      <c r="KH418" s="100">
        <v>7</v>
      </c>
      <c r="KI418" s="100">
        <v>7</v>
      </c>
      <c r="KJ418" s="100">
        <v>5</v>
      </c>
      <c r="ON418" s="100">
        <f t="shared" si="145"/>
        <v>0</v>
      </c>
    </row>
    <row r="419" spans="1:404" ht="23.25" customHeight="1">
      <c r="A419" s="97" t="str">
        <f t="shared" si="147"/>
        <v>333/POTTERYPOT-2168-72700-04-A</v>
      </c>
      <c r="B419" s="95">
        <v>44605</v>
      </c>
      <c r="C419" s="97">
        <f t="shared" ca="1" si="148"/>
        <v>-459</v>
      </c>
      <c r="D419" s="112" t="s">
        <v>1349</v>
      </c>
      <c r="E419" s="279" t="s">
        <v>227</v>
      </c>
      <c r="F419" s="98" t="str">
        <f t="shared" si="149"/>
        <v>A</v>
      </c>
      <c r="G419" s="110">
        <f ca="1">SUMIF($A:E,$A419,K:K)</f>
        <v>135</v>
      </c>
      <c r="H419" s="97" t="s">
        <v>1360</v>
      </c>
      <c r="I419" s="175">
        <v>135</v>
      </c>
      <c r="J419" s="115">
        <v>135</v>
      </c>
      <c r="K419" s="143">
        <f t="shared" si="144"/>
        <v>135</v>
      </c>
      <c r="L419" s="144">
        <f t="shared" si="146"/>
        <v>0</v>
      </c>
      <c r="M419" s="275">
        <f t="shared" si="143"/>
        <v>135</v>
      </c>
      <c r="N419" s="98" t="s">
        <v>1776</v>
      </c>
      <c r="O419" s="93">
        <f t="shared" si="150"/>
        <v>100</v>
      </c>
      <c r="LF419" s="100">
        <v>4</v>
      </c>
      <c r="LI419" s="100">
        <v>8</v>
      </c>
      <c r="LK419" s="100">
        <v>11</v>
      </c>
      <c r="LL419" s="100">
        <v>8</v>
      </c>
      <c r="LM419" s="100">
        <v>8</v>
      </c>
      <c r="LN419" s="100">
        <v>8</v>
      </c>
      <c r="LP419" s="100">
        <v>8</v>
      </c>
      <c r="LQ419" s="100">
        <v>4</v>
      </c>
      <c r="LR419" s="100">
        <v>8</v>
      </c>
      <c r="LS419" s="100">
        <v>8</v>
      </c>
      <c r="LT419" s="100">
        <v>6</v>
      </c>
      <c r="LU419" s="100">
        <v>7</v>
      </c>
      <c r="LW419" s="100">
        <v>7</v>
      </c>
      <c r="LX419" s="100">
        <v>4</v>
      </c>
      <c r="LY419" s="100">
        <v>6</v>
      </c>
      <c r="LZ419" s="100">
        <v>8</v>
      </c>
      <c r="MA419" s="100">
        <v>8</v>
      </c>
      <c r="MB419" s="100">
        <v>5</v>
      </c>
      <c r="MD419" s="100">
        <v>9</v>
      </c>
      <c r="ON419" s="100">
        <f t="shared" si="145"/>
        <v>0</v>
      </c>
    </row>
    <row r="420" spans="1:404" ht="23.25" customHeight="1">
      <c r="A420" s="97" t="str">
        <f t="shared" si="147"/>
        <v>334/POTTERYPOT-2168-72700-04-A</v>
      </c>
      <c r="B420" s="95">
        <v>44629</v>
      </c>
      <c r="C420" s="97">
        <f t="shared" ca="1" si="148"/>
        <v>-435</v>
      </c>
      <c r="D420" s="112" t="s">
        <v>1350</v>
      </c>
      <c r="E420" s="279" t="s">
        <v>227</v>
      </c>
      <c r="F420" s="98" t="str">
        <f t="shared" si="149"/>
        <v>A</v>
      </c>
      <c r="G420" s="110">
        <f ca="1">SUMIF($A:E,$A420,K:K)</f>
        <v>219</v>
      </c>
      <c r="H420" s="97" t="s">
        <v>1360</v>
      </c>
      <c r="I420" s="175">
        <v>135</v>
      </c>
      <c r="J420" s="115">
        <v>135</v>
      </c>
      <c r="K420" s="143">
        <f t="shared" si="144"/>
        <v>219</v>
      </c>
      <c r="L420" s="144">
        <f t="shared" si="146"/>
        <v>-84</v>
      </c>
      <c r="M420" s="275">
        <f t="shared" si="143"/>
        <v>135</v>
      </c>
      <c r="N420" s="98" t="s">
        <v>1776</v>
      </c>
      <c r="O420" s="93">
        <f t="shared" si="150"/>
        <v>162.22222222222223</v>
      </c>
      <c r="NG420" s="100">
        <v>4</v>
      </c>
      <c r="NI420" s="100">
        <v>8</v>
      </c>
      <c r="NK420" s="100">
        <v>6</v>
      </c>
      <c r="NL420" s="100">
        <v>9</v>
      </c>
      <c r="NM420" s="100">
        <v>12</v>
      </c>
      <c r="NN420" s="100">
        <v>12</v>
      </c>
      <c r="NS420" s="100">
        <v>11</v>
      </c>
      <c r="NU420" s="100">
        <v>14</v>
      </c>
      <c r="NV420" s="100">
        <v>8</v>
      </c>
      <c r="NY420" s="100">
        <v>7</v>
      </c>
      <c r="NZ420" s="100">
        <v>7</v>
      </c>
      <c r="OA420" s="100">
        <v>13</v>
      </c>
      <c r="OB420" s="100">
        <v>14</v>
      </c>
      <c r="OC420" s="100">
        <v>10</v>
      </c>
      <c r="ON420" s="100">
        <f t="shared" si="145"/>
        <v>84</v>
      </c>
    </row>
    <row r="421" spans="1:404" ht="23.25" customHeight="1">
      <c r="A421" s="97" t="str">
        <f t="shared" si="147"/>
        <v>335/POTTERYPOT-2168-72700-04-A</v>
      </c>
      <c r="B421" s="95">
        <v>44642</v>
      </c>
      <c r="C421" s="97">
        <f t="shared" ca="1" si="148"/>
        <v>-422</v>
      </c>
      <c r="D421" s="112" t="s">
        <v>1351</v>
      </c>
      <c r="E421" s="279" t="s">
        <v>227</v>
      </c>
      <c r="F421" s="98" t="str">
        <f t="shared" si="149"/>
        <v>A</v>
      </c>
      <c r="G421" s="110">
        <f ca="1">SUMIF($A:E,$A421,K:K)</f>
        <v>170</v>
      </c>
      <c r="H421" s="127" t="s">
        <v>1360</v>
      </c>
      <c r="I421" s="203">
        <v>102</v>
      </c>
      <c r="J421" s="134">
        <v>102</v>
      </c>
      <c r="K421" s="143">
        <f t="shared" si="144"/>
        <v>170</v>
      </c>
      <c r="L421" s="144">
        <f t="shared" si="146"/>
        <v>-68</v>
      </c>
      <c r="M421" s="275">
        <f t="shared" si="143"/>
        <v>102</v>
      </c>
      <c r="N421" s="132" t="s">
        <v>1776</v>
      </c>
      <c r="O421" s="93">
        <f t="shared" si="150"/>
        <v>166.66666666666669</v>
      </c>
      <c r="OC421" s="100">
        <v>1</v>
      </c>
      <c r="OD421" s="100">
        <v>14</v>
      </c>
      <c r="OG421" s="100">
        <v>17</v>
      </c>
      <c r="OH421" s="100">
        <v>11</v>
      </c>
      <c r="OI421" s="100">
        <v>10</v>
      </c>
      <c r="OJ421" s="100">
        <v>10</v>
      </c>
      <c r="OK421" s="100">
        <v>10</v>
      </c>
      <c r="OM421" s="100">
        <v>12</v>
      </c>
      <c r="ON421" s="100">
        <f t="shared" si="145"/>
        <v>85</v>
      </c>
    </row>
    <row r="422" spans="1:404" ht="23.25" customHeight="1">
      <c r="A422" s="97" t="str">
        <f t="shared" si="147"/>
        <v>340/POTTERYPOT-2168-72700-04-A</v>
      </c>
      <c r="B422" s="95">
        <v>44660</v>
      </c>
      <c r="C422" s="97">
        <f t="shared" ca="1" si="148"/>
        <v>-404</v>
      </c>
      <c r="D422" s="112" t="s">
        <v>1356</v>
      </c>
      <c r="E422" s="279" t="s">
        <v>227</v>
      </c>
      <c r="F422" s="98" t="str">
        <f t="shared" si="149"/>
        <v>A</v>
      </c>
      <c r="G422" s="110">
        <f ca="1">SUMIF($A:E,$A422,K:K)</f>
        <v>0</v>
      </c>
      <c r="H422" s="97" t="s">
        <v>927</v>
      </c>
      <c r="I422" s="175">
        <v>240</v>
      </c>
      <c r="J422" s="115">
        <v>240</v>
      </c>
      <c r="K422" s="143">
        <f t="shared" si="144"/>
        <v>0</v>
      </c>
      <c r="L422" s="144">
        <f t="shared" si="146"/>
        <v>240</v>
      </c>
      <c r="M422" s="275">
        <f t="shared" si="143"/>
        <v>240</v>
      </c>
      <c r="N422" s="98" t="s">
        <v>1768</v>
      </c>
      <c r="O422" s="93">
        <f t="shared" si="150"/>
        <v>0</v>
      </c>
      <c r="ON422" s="100">
        <f t="shared" si="145"/>
        <v>0</v>
      </c>
    </row>
    <row r="423" spans="1:404" ht="30.75" customHeight="1">
      <c r="A423" s="97" t="str">
        <f t="shared" si="147"/>
        <v>384/POTTERYPOT-2168-72700-04-A</v>
      </c>
      <c r="B423" s="114">
        <v>44698</v>
      </c>
      <c r="C423" s="135">
        <f t="shared" ca="1" si="148"/>
        <v>-366</v>
      </c>
      <c r="D423" s="234" t="s">
        <v>1357</v>
      </c>
      <c r="E423" s="284" t="s">
        <v>227</v>
      </c>
      <c r="F423" s="136" t="str">
        <f t="shared" si="149"/>
        <v>A</v>
      </c>
      <c r="G423" s="137">
        <f ca="1">SUMIF($A:E,$A423,K:K)</f>
        <v>0</v>
      </c>
      <c r="H423" s="138" t="s">
        <v>927</v>
      </c>
      <c r="I423" s="236">
        <v>320</v>
      </c>
      <c r="J423" s="240">
        <v>320</v>
      </c>
      <c r="K423" s="143">
        <f t="shared" si="144"/>
        <v>0</v>
      </c>
      <c r="L423" s="155">
        <f t="shared" si="146"/>
        <v>320</v>
      </c>
      <c r="M423" s="275">
        <f t="shared" si="143"/>
        <v>320</v>
      </c>
      <c r="N423" s="133"/>
      <c r="O423" s="93">
        <f t="shared" si="150"/>
        <v>0</v>
      </c>
      <c r="ON423" s="100">
        <f t="shared" si="145"/>
        <v>0</v>
      </c>
    </row>
    <row r="424" spans="1:404" ht="30.75" customHeight="1">
      <c r="A424" s="97" t="str">
        <f t="shared" si="147"/>
        <v>385/POTTERYPOT-2168-72700-04-A</v>
      </c>
      <c r="B424" s="114">
        <v>44665</v>
      </c>
      <c r="C424" s="127">
        <f t="shared" ca="1" si="148"/>
        <v>-399</v>
      </c>
      <c r="D424" s="112" t="s">
        <v>1358</v>
      </c>
      <c r="E424" s="279" t="s">
        <v>227</v>
      </c>
      <c r="F424" s="132" t="str">
        <f t="shared" si="149"/>
        <v>A</v>
      </c>
      <c r="G424" s="130">
        <f ca="1">SUMIF($A:E,$A424,K:K)</f>
        <v>0</v>
      </c>
      <c r="H424" s="97" t="s">
        <v>927</v>
      </c>
      <c r="I424" s="175">
        <v>320</v>
      </c>
      <c r="J424" s="115">
        <v>320</v>
      </c>
      <c r="K424" s="143">
        <f t="shared" si="144"/>
        <v>0</v>
      </c>
      <c r="L424" s="151">
        <f t="shared" si="146"/>
        <v>320</v>
      </c>
      <c r="M424" s="275">
        <f t="shared" si="143"/>
        <v>320</v>
      </c>
      <c r="N424" s="98"/>
      <c r="O424" s="93">
        <f t="shared" si="150"/>
        <v>0</v>
      </c>
      <c r="ON424" s="100">
        <f t="shared" si="145"/>
        <v>0</v>
      </c>
    </row>
    <row r="425" spans="1:404" ht="30.75" customHeight="1">
      <c r="A425" s="97" t="str">
        <f t="shared" si="147"/>
        <v>386/POTTERYPOT-2168-72700-04-A</v>
      </c>
      <c r="B425" s="114">
        <v>44762</v>
      </c>
      <c r="C425" s="127">
        <f t="shared" ca="1" si="148"/>
        <v>-302</v>
      </c>
      <c r="D425" s="112" t="s">
        <v>1359</v>
      </c>
      <c r="E425" s="279" t="s">
        <v>227</v>
      </c>
      <c r="F425" s="132" t="str">
        <f t="shared" si="149"/>
        <v>A</v>
      </c>
      <c r="G425" s="130">
        <f ca="1">SUMIF($A:E,$A425,K:K)</f>
        <v>0</v>
      </c>
      <c r="H425" s="97" t="s">
        <v>927</v>
      </c>
      <c r="I425" s="175">
        <v>320</v>
      </c>
      <c r="J425" s="115">
        <v>320</v>
      </c>
      <c r="K425" s="143">
        <f t="shared" si="144"/>
        <v>0</v>
      </c>
      <c r="L425" s="151">
        <f t="shared" si="146"/>
        <v>320</v>
      </c>
      <c r="M425" s="275">
        <f t="shared" si="143"/>
        <v>320</v>
      </c>
      <c r="N425" s="98"/>
      <c r="O425" s="93">
        <f t="shared" si="150"/>
        <v>0</v>
      </c>
      <c r="ON425" s="100">
        <f t="shared" si="145"/>
        <v>0</v>
      </c>
    </row>
    <row r="426" spans="1:404" ht="30.75" customHeight="1">
      <c r="A426" s="97" t="str">
        <f t="shared" si="147"/>
        <v>095/NY/PP-USA-2168-72700-04-A</v>
      </c>
      <c r="B426" s="114">
        <v>44577</v>
      </c>
      <c r="C426" s="127">
        <f t="shared" ca="1" si="148"/>
        <v>-487</v>
      </c>
      <c r="D426" s="112" t="s">
        <v>1429</v>
      </c>
      <c r="E426" s="279" t="s">
        <v>227</v>
      </c>
      <c r="F426" s="132" t="str">
        <f t="shared" si="149"/>
        <v>A</v>
      </c>
      <c r="G426" s="130">
        <f ca="1">SUMIF($A:E,$A426,K:K)</f>
        <v>63</v>
      </c>
      <c r="H426" s="97" t="s">
        <v>616</v>
      </c>
      <c r="I426" s="175">
        <v>63</v>
      </c>
      <c r="J426" s="115">
        <v>63</v>
      </c>
      <c r="K426" s="143">
        <f t="shared" si="144"/>
        <v>63</v>
      </c>
      <c r="L426" s="151">
        <f t="shared" si="146"/>
        <v>0</v>
      </c>
      <c r="M426" s="275">
        <f t="shared" si="143"/>
        <v>63</v>
      </c>
      <c r="N426" s="98" t="s">
        <v>1776</v>
      </c>
      <c r="O426" s="93">
        <f t="shared" si="150"/>
        <v>100</v>
      </c>
      <c r="LB426" s="100">
        <v>21</v>
      </c>
      <c r="LC426" s="100">
        <v>6</v>
      </c>
      <c r="LD426" s="100">
        <v>14</v>
      </c>
      <c r="LE426" s="100">
        <v>14</v>
      </c>
      <c r="LF426" s="100">
        <v>4</v>
      </c>
      <c r="LG426" s="100">
        <v>4</v>
      </c>
      <c r="ON426" s="100">
        <f t="shared" si="145"/>
        <v>0</v>
      </c>
    </row>
    <row r="427" spans="1:404" ht="30.75" customHeight="1">
      <c r="A427" s="97" t="str">
        <f t="shared" si="147"/>
        <v>096/NY/PP-USA-2168-72700-04-A</v>
      </c>
      <c r="B427" s="114">
        <v>44577</v>
      </c>
      <c r="C427" s="127">
        <f t="shared" ca="1" si="148"/>
        <v>-487</v>
      </c>
      <c r="D427" s="112" t="s">
        <v>1430</v>
      </c>
      <c r="E427" s="279" t="s">
        <v>227</v>
      </c>
      <c r="F427" s="132" t="str">
        <f t="shared" si="149"/>
        <v>A</v>
      </c>
      <c r="G427" s="130">
        <f ca="1">SUMIF($A:E,$A427,K:K)</f>
        <v>63</v>
      </c>
      <c r="H427" s="97" t="s">
        <v>616</v>
      </c>
      <c r="I427" s="175">
        <v>63</v>
      </c>
      <c r="J427" s="115">
        <v>63</v>
      </c>
      <c r="K427" s="143">
        <f t="shared" si="144"/>
        <v>63</v>
      </c>
      <c r="L427" s="151">
        <f t="shared" si="146"/>
        <v>0</v>
      </c>
      <c r="M427" s="275">
        <f t="shared" si="143"/>
        <v>63</v>
      </c>
      <c r="N427" s="98" t="s">
        <v>1776</v>
      </c>
      <c r="O427" s="93">
        <f t="shared" si="150"/>
        <v>100</v>
      </c>
      <c r="LG427" s="100">
        <v>16</v>
      </c>
      <c r="LI427" s="100">
        <v>6</v>
      </c>
      <c r="LJ427" s="100">
        <v>3</v>
      </c>
      <c r="LK427" s="100">
        <v>6</v>
      </c>
      <c r="LL427" s="100">
        <v>6</v>
      </c>
      <c r="LM427" s="100">
        <v>6</v>
      </c>
      <c r="LN427" s="100">
        <v>6</v>
      </c>
      <c r="LP427" s="100">
        <v>6</v>
      </c>
      <c r="LQ427" s="100">
        <v>2</v>
      </c>
      <c r="LR427" s="100">
        <v>6</v>
      </c>
      <c r="ON427" s="100">
        <f t="shared" si="145"/>
        <v>0</v>
      </c>
    </row>
    <row r="428" spans="1:404" ht="30.75" customHeight="1">
      <c r="A428" s="97" t="str">
        <f t="shared" si="147"/>
        <v>097/NY/PP-USA-2168-72700-04-A</v>
      </c>
      <c r="B428" s="95">
        <v>44577</v>
      </c>
      <c r="C428" s="97">
        <f t="shared" ca="1" si="148"/>
        <v>-487</v>
      </c>
      <c r="D428" s="112" t="s">
        <v>1431</v>
      </c>
      <c r="E428" s="279" t="s">
        <v>227</v>
      </c>
      <c r="F428" s="98" t="str">
        <f t="shared" si="149"/>
        <v>A</v>
      </c>
      <c r="G428" s="110">
        <f ca="1">SUMIF($A:E,$A428,K:K)</f>
        <v>63</v>
      </c>
      <c r="H428" s="97" t="s">
        <v>616</v>
      </c>
      <c r="I428" s="175">
        <v>63</v>
      </c>
      <c r="J428" s="115">
        <v>63</v>
      </c>
      <c r="K428" s="143">
        <f t="shared" si="144"/>
        <v>63</v>
      </c>
      <c r="L428" s="151">
        <f t="shared" si="146"/>
        <v>0</v>
      </c>
      <c r="M428" s="275">
        <f t="shared" si="143"/>
        <v>63</v>
      </c>
      <c r="N428" s="98" t="s">
        <v>1776</v>
      </c>
      <c r="O428" s="93">
        <f t="shared" si="150"/>
        <v>100</v>
      </c>
      <c r="LS428" s="100">
        <v>6</v>
      </c>
      <c r="LT428" s="100">
        <v>7</v>
      </c>
      <c r="LU428" s="100">
        <v>6</v>
      </c>
      <c r="LW428" s="100">
        <v>4</v>
      </c>
      <c r="LX428" s="100">
        <v>3</v>
      </c>
      <c r="LY428" s="100">
        <v>6</v>
      </c>
      <c r="LZ428" s="100">
        <v>5</v>
      </c>
      <c r="MA428" s="100">
        <v>9</v>
      </c>
      <c r="MB428" s="100">
        <v>2</v>
      </c>
      <c r="MD428" s="100">
        <v>8</v>
      </c>
      <c r="ME428" s="100">
        <v>3</v>
      </c>
      <c r="MF428" s="100">
        <v>4</v>
      </c>
      <c r="ON428" s="100">
        <f t="shared" si="145"/>
        <v>0</v>
      </c>
    </row>
    <row r="429" spans="1:404" ht="34.5" customHeight="1">
      <c r="A429" s="138" t="str">
        <f t="shared" si="147"/>
        <v>439/POTTERYPOT-2168-72700-04-A</v>
      </c>
      <c r="B429" s="114">
        <v>44636</v>
      </c>
      <c r="C429" s="135">
        <f t="shared" ca="1" si="148"/>
        <v>-428</v>
      </c>
      <c r="D429" s="234" t="s">
        <v>1601</v>
      </c>
      <c r="E429" s="284" t="s">
        <v>227</v>
      </c>
      <c r="F429" s="136" t="str">
        <f t="shared" si="149"/>
        <v>A</v>
      </c>
      <c r="G429" s="137">
        <f ca="1">SUMIF($A:E,$A429,K:K)</f>
        <v>24</v>
      </c>
      <c r="H429" s="97" t="s">
        <v>927</v>
      </c>
      <c r="I429" s="175">
        <v>12</v>
      </c>
      <c r="J429" s="115">
        <v>12</v>
      </c>
      <c r="K429" s="143">
        <f t="shared" si="144"/>
        <v>24</v>
      </c>
      <c r="L429" s="151">
        <f t="shared" si="146"/>
        <v>-12</v>
      </c>
      <c r="M429" s="275">
        <f t="shared" si="143"/>
        <v>12</v>
      </c>
      <c r="N429" s="98" t="s">
        <v>1776</v>
      </c>
      <c r="O429" s="93">
        <f>K429/J429*100</f>
        <v>200</v>
      </c>
      <c r="NY429" s="100">
        <v>4</v>
      </c>
      <c r="NZ429" s="100">
        <v>6</v>
      </c>
      <c r="OA429" s="100">
        <v>2</v>
      </c>
      <c r="ON429" s="100">
        <f t="shared" si="145"/>
        <v>12</v>
      </c>
    </row>
    <row r="430" spans="1:404" ht="30.75" customHeight="1">
      <c r="A430" s="97" t="str">
        <f t="shared" si="147"/>
        <v>001/COCOON-2168-72700-04-05</v>
      </c>
      <c r="B430" s="114">
        <v>44324</v>
      </c>
      <c r="C430" s="97">
        <f t="shared" ca="1" si="148"/>
        <v>-740</v>
      </c>
      <c r="D430" s="145" t="s">
        <v>717</v>
      </c>
      <c r="E430" s="253" t="s">
        <v>621</v>
      </c>
      <c r="F430" s="98" t="str">
        <f t="shared" si="149"/>
        <v>05</v>
      </c>
      <c r="G430" s="110">
        <f ca="1">SUMIF($A:E,$A430,K:K)</f>
        <v>50</v>
      </c>
      <c r="H430" s="97" t="s">
        <v>721</v>
      </c>
      <c r="I430" s="196">
        <v>50</v>
      </c>
      <c r="J430" s="146">
        <v>50</v>
      </c>
      <c r="K430" s="143">
        <f t="shared" si="144"/>
        <v>50</v>
      </c>
      <c r="L430" s="144">
        <f t="shared" si="146"/>
        <v>0</v>
      </c>
      <c r="M430" s="275">
        <f t="shared" si="143"/>
        <v>50</v>
      </c>
      <c r="N430" s="98">
        <v>1</v>
      </c>
      <c r="O430" s="93">
        <f t="shared" si="150"/>
        <v>100</v>
      </c>
      <c r="CS430" s="101">
        <v>5</v>
      </c>
      <c r="CT430" s="101">
        <v>4</v>
      </c>
      <c r="CW430" s="101">
        <v>7</v>
      </c>
      <c r="CZ430" s="101">
        <v>11</v>
      </c>
      <c r="DB430" s="101">
        <v>8</v>
      </c>
      <c r="DD430" s="101">
        <v>4</v>
      </c>
      <c r="DE430" s="101">
        <v>9</v>
      </c>
      <c r="DF430" s="101">
        <v>2</v>
      </c>
      <c r="ON430" s="100">
        <f t="shared" si="145"/>
        <v>0</v>
      </c>
    </row>
    <row r="431" spans="1:404" ht="34.5" customHeight="1">
      <c r="A431" s="97" t="str">
        <f t="shared" si="147"/>
        <v>001/COCOON-2168-72700-04-01</v>
      </c>
      <c r="B431" s="114">
        <v>44324</v>
      </c>
      <c r="C431" s="135">
        <f t="shared" ca="1" si="148"/>
        <v>-740</v>
      </c>
      <c r="D431" s="154" t="s">
        <v>717</v>
      </c>
      <c r="E431" s="267" t="s">
        <v>718</v>
      </c>
      <c r="F431" s="136" t="str">
        <f t="shared" si="149"/>
        <v>01</v>
      </c>
      <c r="G431" s="137">
        <f ca="1">SUMIF($A:E,$A431,K:K)</f>
        <v>70</v>
      </c>
      <c r="H431" s="138" t="s">
        <v>721</v>
      </c>
      <c r="I431" s="197">
        <v>70</v>
      </c>
      <c r="J431" s="149">
        <v>70</v>
      </c>
      <c r="K431" s="143">
        <f t="shared" si="144"/>
        <v>70</v>
      </c>
      <c r="L431" s="144">
        <f t="shared" si="146"/>
        <v>0</v>
      </c>
      <c r="M431" s="275">
        <f t="shared" si="143"/>
        <v>70</v>
      </c>
      <c r="N431" s="133">
        <v>1</v>
      </c>
      <c r="O431" s="93">
        <f t="shared" si="150"/>
        <v>100</v>
      </c>
      <c r="CE431" s="101">
        <v>4</v>
      </c>
      <c r="CF431" s="101">
        <v>5</v>
      </c>
      <c r="CG431" s="101">
        <v>4</v>
      </c>
      <c r="CH431" s="101">
        <v>6</v>
      </c>
      <c r="CI431" s="101">
        <v>3</v>
      </c>
      <c r="CJ431" s="101">
        <v>7</v>
      </c>
      <c r="CK431" s="101">
        <v>5</v>
      </c>
      <c r="CM431" s="101">
        <v>4</v>
      </c>
      <c r="CN431" s="101">
        <v>13</v>
      </c>
      <c r="CQ431" s="101">
        <v>6</v>
      </c>
      <c r="CR431" s="101">
        <v>11</v>
      </c>
      <c r="CZ431" s="101">
        <v>1</v>
      </c>
      <c r="DB431" s="101">
        <v>1</v>
      </c>
      <c r="ON431" s="100">
        <f t="shared" si="145"/>
        <v>0</v>
      </c>
    </row>
    <row r="432" spans="1:404" ht="30.75" customHeight="1">
      <c r="A432" s="97" t="str">
        <f t="shared" si="147"/>
        <v>004/COCOON-2168-72700-04-01</v>
      </c>
      <c r="B432" s="114">
        <v>44386</v>
      </c>
      <c r="C432" s="127">
        <f t="shared" ca="1" si="148"/>
        <v>-678</v>
      </c>
      <c r="D432" s="145" t="s">
        <v>780</v>
      </c>
      <c r="E432" s="253" t="s">
        <v>718</v>
      </c>
      <c r="F432" s="132" t="str">
        <f t="shared" si="149"/>
        <v>01</v>
      </c>
      <c r="G432" s="130">
        <f ca="1">SUMIF($A:E,$A432,K:K)</f>
        <v>48</v>
      </c>
      <c r="H432" s="97" t="s">
        <v>784</v>
      </c>
      <c r="I432" s="196">
        <v>48</v>
      </c>
      <c r="J432" s="146">
        <v>48</v>
      </c>
      <c r="K432" s="143">
        <f t="shared" si="144"/>
        <v>48</v>
      </c>
      <c r="L432" s="144">
        <f t="shared" si="146"/>
        <v>0</v>
      </c>
      <c r="M432" s="275">
        <f t="shared" si="143"/>
        <v>48</v>
      </c>
      <c r="N432" s="98">
        <v>1</v>
      </c>
      <c r="O432" s="93">
        <f t="shared" si="150"/>
        <v>100</v>
      </c>
      <c r="DW432" s="100">
        <v>4</v>
      </c>
      <c r="DY432" s="100">
        <v>7</v>
      </c>
      <c r="DZ432" s="100">
        <v>13</v>
      </c>
      <c r="EA432" s="100">
        <v>9</v>
      </c>
      <c r="EC432" s="100">
        <v>11</v>
      </c>
      <c r="ED432" s="100">
        <v>4</v>
      </c>
      <c r="ON432" s="100">
        <f t="shared" si="145"/>
        <v>0</v>
      </c>
    </row>
    <row r="433" spans="1:404" ht="30.75" customHeight="1">
      <c r="A433" s="97" t="str">
        <f t="shared" si="147"/>
        <v>005/COCOON-21 (đợt 1)68-72700-04-01</v>
      </c>
      <c r="B433" s="114">
        <v>44424</v>
      </c>
      <c r="C433" s="127">
        <f t="shared" ca="1" si="148"/>
        <v>-640</v>
      </c>
      <c r="D433" s="96" t="s">
        <v>1071</v>
      </c>
      <c r="E433" s="94" t="s">
        <v>718</v>
      </c>
      <c r="F433" s="132" t="str">
        <f t="shared" si="149"/>
        <v>01</v>
      </c>
      <c r="G433" s="130">
        <f ca="1">SUMIF($A:E,$A433,K:K)</f>
        <v>64</v>
      </c>
      <c r="H433" s="97" t="s">
        <v>721</v>
      </c>
      <c r="I433" s="98">
        <v>64</v>
      </c>
      <c r="J433" s="97">
        <v>64</v>
      </c>
      <c r="K433" s="143">
        <f t="shared" si="144"/>
        <v>64</v>
      </c>
      <c r="L433" s="144">
        <f t="shared" si="146"/>
        <v>0</v>
      </c>
      <c r="M433" s="275">
        <f t="shared" si="143"/>
        <v>64</v>
      </c>
      <c r="N433" s="98">
        <v>1</v>
      </c>
      <c r="O433" s="93">
        <f t="shared" si="150"/>
        <v>100</v>
      </c>
      <c r="GN433" s="100">
        <v>5</v>
      </c>
      <c r="GO433" s="100">
        <v>1</v>
      </c>
      <c r="GP433" s="100">
        <v>9</v>
      </c>
      <c r="GQ433" s="100">
        <v>9</v>
      </c>
      <c r="GR433" s="100">
        <v>15</v>
      </c>
      <c r="GU433" s="100">
        <v>8</v>
      </c>
      <c r="GV433" s="100">
        <v>6</v>
      </c>
      <c r="GW433" s="100">
        <v>7</v>
      </c>
      <c r="GX433" s="100">
        <v>4</v>
      </c>
      <c r="ON433" s="100">
        <f t="shared" si="145"/>
        <v>0</v>
      </c>
    </row>
    <row r="434" spans="1:404" ht="30.75" customHeight="1">
      <c r="A434" s="97" t="str">
        <f t="shared" ref="A434:A469" si="151">D434&amp;E434</f>
        <v>004/POTTERYPOT-2168-72700-03-A</v>
      </c>
      <c r="B434" s="114">
        <v>44391</v>
      </c>
      <c r="C434" s="127">
        <f t="shared" ca="1" si="148"/>
        <v>-673</v>
      </c>
      <c r="D434" s="96" t="s">
        <v>775</v>
      </c>
      <c r="E434" s="94" t="s">
        <v>226</v>
      </c>
      <c r="F434" s="132" t="str">
        <f t="shared" si="149"/>
        <v>A</v>
      </c>
      <c r="G434" s="130">
        <f ca="1">SUMIF($A:E,$A434,K:K)</f>
        <v>12</v>
      </c>
      <c r="H434" s="97" t="s">
        <v>601</v>
      </c>
      <c r="I434" s="98">
        <v>12</v>
      </c>
      <c r="J434" s="97">
        <v>12</v>
      </c>
      <c r="K434" s="143">
        <f t="shared" si="144"/>
        <v>12</v>
      </c>
      <c r="L434" s="144">
        <f t="shared" si="146"/>
        <v>0</v>
      </c>
      <c r="M434" s="275">
        <f t="shared" si="143"/>
        <v>12</v>
      </c>
      <c r="N434" s="98">
        <v>1</v>
      </c>
      <c r="O434" s="93">
        <f t="shared" si="150"/>
        <v>100</v>
      </c>
      <c r="DP434" s="101">
        <v>3</v>
      </c>
      <c r="DS434" s="100">
        <v>3</v>
      </c>
      <c r="DU434" s="100">
        <v>6</v>
      </c>
      <c r="ON434" s="100">
        <f t="shared" si="145"/>
        <v>0</v>
      </c>
    </row>
    <row r="435" spans="1:404" ht="34.5" customHeight="1">
      <c r="A435" s="97" t="str">
        <f t="shared" si="151"/>
        <v>051/POTTERYPOT-2168-72700-03-A</v>
      </c>
      <c r="B435" s="95" t="s">
        <v>838</v>
      </c>
      <c r="C435" s="127">
        <f t="shared" ca="1" si="148"/>
        <v>-660</v>
      </c>
      <c r="D435" s="145" t="s">
        <v>837</v>
      </c>
      <c r="E435" s="253" t="s">
        <v>226</v>
      </c>
      <c r="F435" s="132" t="str">
        <f t="shared" si="149"/>
        <v>A</v>
      </c>
      <c r="G435" s="130">
        <f ca="1">SUMIF($A:E,$A435,K:K)</f>
        <v>57</v>
      </c>
      <c r="H435" s="97" t="s">
        <v>840</v>
      </c>
      <c r="I435" s="196">
        <v>57</v>
      </c>
      <c r="J435" s="146">
        <v>57</v>
      </c>
      <c r="K435" s="143">
        <f t="shared" si="144"/>
        <v>57</v>
      </c>
      <c r="L435" s="144">
        <f t="shared" si="146"/>
        <v>0</v>
      </c>
      <c r="M435" s="275">
        <f t="shared" si="143"/>
        <v>57</v>
      </c>
      <c r="N435" s="98">
        <v>1</v>
      </c>
      <c r="O435" s="93">
        <f t="shared" si="150"/>
        <v>100</v>
      </c>
      <c r="DY435" s="100">
        <v>6</v>
      </c>
      <c r="DZ435" s="100">
        <v>8</v>
      </c>
      <c r="EC435" s="100">
        <v>12</v>
      </c>
      <c r="ED435" s="100">
        <v>6</v>
      </c>
      <c r="EF435" s="100">
        <v>5</v>
      </c>
      <c r="EG435" s="100">
        <v>4</v>
      </c>
      <c r="EH435" s="100">
        <v>6</v>
      </c>
      <c r="EI435" s="100">
        <v>6</v>
      </c>
      <c r="EJ435" s="100">
        <v>4</v>
      </c>
      <c r="ON435" s="100">
        <f t="shared" si="145"/>
        <v>0</v>
      </c>
    </row>
    <row r="436" spans="1:404" ht="30.75" customHeight="1">
      <c r="A436" s="97" t="str">
        <f t="shared" si="151"/>
        <v>104A/POTTERYPOT-2168-72700-03-A</v>
      </c>
      <c r="B436" s="114">
        <v>44423</v>
      </c>
      <c r="C436" s="127">
        <f t="shared" ca="1" si="148"/>
        <v>-641</v>
      </c>
      <c r="D436" s="147" t="s">
        <v>841</v>
      </c>
      <c r="E436" s="253" t="s">
        <v>226</v>
      </c>
      <c r="F436" s="132" t="str">
        <f t="shared" si="149"/>
        <v>A</v>
      </c>
      <c r="G436" s="130">
        <f ca="1">SUMIF($A:E,$A436,K:K)</f>
        <v>19</v>
      </c>
      <c r="H436" s="97" t="s">
        <v>840</v>
      </c>
      <c r="I436" s="98">
        <v>19</v>
      </c>
      <c r="J436" s="97">
        <v>19</v>
      </c>
      <c r="K436" s="143">
        <f t="shared" si="144"/>
        <v>19</v>
      </c>
      <c r="L436" s="144">
        <f t="shared" si="146"/>
        <v>0</v>
      </c>
      <c r="M436" s="275">
        <f t="shared" si="143"/>
        <v>19</v>
      </c>
      <c r="N436" s="98">
        <v>1</v>
      </c>
      <c r="O436" s="93">
        <f t="shared" si="150"/>
        <v>100</v>
      </c>
      <c r="FF436" s="100">
        <v>6</v>
      </c>
      <c r="FH436" s="100">
        <v>7</v>
      </c>
      <c r="FJ436" s="100">
        <v>6</v>
      </c>
      <c r="ON436" s="100">
        <f t="shared" si="145"/>
        <v>0</v>
      </c>
    </row>
    <row r="437" spans="1:404" ht="30.75" customHeight="1">
      <c r="A437" s="97" t="str">
        <f t="shared" si="151"/>
        <v>103A/POTTERYPOT-2168-72700-03-A</v>
      </c>
      <c r="B437" s="114">
        <v>44447</v>
      </c>
      <c r="C437" s="127">
        <f t="shared" ca="1" si="148"/>
        <v>-617</v>
      </c>
      <c r="D437" s="147" t="s">
        <v>842</v>
      </c>
      <c r="E437" s="253" t="s">
        <v>226</v>
      </c>
      <c r="F437" s="132" t="str">
        <f t="shared" si="149"/>
        <v>A</v>
      </c>
      <c r="G437" s="130">
        <f ca="1">SUMIF($A:E,$A437,K:K)</f>
        <v>27</v>
      </c>
      <c r="H437" s="97" t="s">
        <v>840</v>
      </c>
      <c r="I437" s="98">
        <v>27</v>
      </c>
      <c r="J437" s="97">
        <v>27</v>
      </c>
      <c r="K437" s="143">
        <f t="shared" si="144"/>
        <v>27</v>
      </c>
      <c r="L437" s="144">
        <f t="shared" si="146"/>
        <v>0</v>
      </c>
      <c r="M437" s="275">
        <f t="shared" si="143"/>
        <v>27</v>
      </c>
      <c r="N437" s="98">
        <v>1</v>
      </c>
      <c r="O437" s="93">
        <f t="shared" si="150"/>
        <v>100</v>
      </c>
      <c r="FK437" s="100">
        <v>9</v>
      </c>
      <c r="FL437" s="100">
        <v>12</v>
      </c>
      <c r="FO437" s="100">
        <v>5</v>
      </c>
      <c r="FP437" s="100">
        <v>1</v>
      </c>
      <c r="ON437" s="100">
        <f t="shared" si="145"/>
        <v>0</v>
      </c>
    </row>
    <row r="438" spans="1:404" ht="30.75" customHeight="1">
      <c r="A438" s="97" t="str">
        <f t="shared" si="151"/>
        <v>076/POTTERYPOT-2168-72700-03-A</v>
      </c>
      <c r="B438" s="114">
        <v>44423</v>
      </c>
      <c r="C438" s="127">
        <f t="shared" ca="1" si="148"/>
        <v>-641</v>
      </c>
      <c r="D438" s="147" t="s">
        <v>847</v>
      </c>
      <c r="E438" s="253" t="s">
        <v>226</v>
      </c>
      <c r="F438" s="132" t="str">
        <f t="shared" si="149"/>
        <v>A</v>
      </c>
      <c r="G438" s="130">
        <f ca="1">SUMIF($A:E,$A438,K:K)</f>
        <v>16</v>
      </c>
      <c r="H438" s="97" t="s">
        <v>840</v>
      </c>
      <c r="I438" s="98">
        <v>16</v>
      </c>
      <c r="J438" s="97">
        <v>16</v>
      </c>
      <c r="K438" s="143">
        <f t="shared" si="144"/>
        <v>16</v>
      </c>
      <c r="L438" s="144">
        <f t="shared" si="146"/>
        <v>0</v>
      </c>
      <c r="M438" s="275">
        <f t="shared" si="143"/>
        <v>16</v>
      </c>
      <c r="N438" s="98">
        <v>1</v>
      </c>
      <c r="O438" s="93">
        <f t="shared" si="150"/>
        <v>100</v>
      </c>
      <c r="FQ438" s="100">
        <v>7</v>
      </c>
      <c r="FS438" s="100">
        <v>9</v>
      </c>
      <c r="ON438" s="100">
        <f t="shared" si="145"/>
        <v>0</v>
      </c>
    </row>
    <row r="439" spans="1:404" ht="30.75" customHeight="1">
      <c r="A439" s="97" t="str">
        <f t="shared" si="151"/>
        <v>035/NY/PP-USA-2168-72700-03-A</v>
      </c>
      <c r="B439" s="114">
        <v>44422</v>
      </c>
      <c r="C439" s="127">
        <f t="shared" ref="C439:C469" ca="1" si="152">B439-TODAY()</f>
        <v>-642</v>
      </c>
      <c r="D439" s="96" t="s">
        <v>848</v>
      </c>
      <c r="E439" s="94" t="s">
        <v>226</v>
      </c>
      <c r="F439" s="132" t="str">
        <f t="shared" ref="F439:F469" si="153">MID(E439,13,2)</f>
        <v>A</v>
      </c>
      <c r="G439" s="130">
        <f ca="1">SUMIF($A:E,$A439,K:K)</f>
        <v>19</v>
      </c>
      <c r="H439" s="97" t="s">
        <v>968</v>
      </c>
      <c r="I439" s="98">
        <v>19</v>
      </c>
      <c r="J439" s="99">
        <v>19</v>
      </c>
      <c r="K439" s="143">
        <f t="shared" si="144"/>
        <v>19</v>
      </c>
      <c r="L439" s="144">
        <f t="shared" si="146"/>
        <v>0</v>
      </c>
      <c r="M439" s="275">
        <f t="shared" si="143"/>
        <v>19</v>
      </c>
      <c r="N439" s="98">
        <v>1</v>
      </c>
      <c r="O439" s="93">
        <f t="shared" ref="O439:O470" si="154">K439/J439*100</f>
        <v>100</v>
      </c>
      <c r="EV439" s="100">
        <v>3</v>
      </c>
      <c r="FA439" s="100">
        <v>1</v>
      </c>
      <c r="FB439" s="100">
        <v>3</v>
      </c>
      <c r="FC439" s="100">
        <v>6</v>
      </c>
      <c r="FD439" s="100">
        <v>6</v>
      </c>
      <c r="ON439" s="100">
        <f t="shared" si="145"/>
        <v>0</v>
      </c>
    </row>
    <row r="440" spans="1:404" ht="30.75" customHeight="1">
      <c r="A440" s="97" t="str">
        <f t="shared" si="151"/>
        <v>085A/POTTERYPOT-2168-72700-03-A</v>
      </c>
      <c r="B440" s="114">
        <v>44425</v>
      </c>
      <c r="C440" s="127">
        <f t="shared" ca="1" si="152"/>
        <v>-639</v>
      </c>
      <c r="D440" s="147" t="s">
        <v>883</v>
      </c>
      <c r="E440" s="94" t="s">
        <v>226</v>
      </c>
      <c r="F440" s="132" t="str">
        <f t="shared" si="153"/>
        <v>A</v>
      </c>
      <c r="G440" s="130">
        <f ca="1">SUMIF($A:E,$A440,K:K)</f>
        <v>21</v>
      </c>
      <c r="H440" s="97" t="s">
        <v>840</v>
      </c>
      <c r="I440" s="98">
        <v>21</v>
      </c>
      <c r="J440" s="99">
        <v>21</v>
      </c>
      <c r="K440" s="143">
        <f t="shared" si="144"/>
        <v>21</v>
      </c>
      <c r="L440" s="144">
        <f t="shared" ref="L440:L447" si="155">J440-K440</f>
        <v>0</v>
      </c>
      <c r="M440" s="275">
        <f t="shared" si="143"/>
        <v>21</v>
      </c>
      <c r="N440" s="98">
        <v>1</v>
      </c>
      <c r="O440" s="93">
        <f t="shared" si="154"/>
        <v>100</v>
      </c>
      <c r="FS440" s="100">
        <v>4</v>
      </c>
      <c r="FT440" s="100">
        <v>4</v>
      </c>
      <c r="FU440" s="100">
        <v>3</v>
      </c>
      <c r="FV440" s="100">
        <v>5</v>
      </c>
      <c r="FW440" s="100">
        <v>5</v>
      </c>
      <c r="ON440" s="100">
        <f t="shared" si="145"/>
        <v>0</v>
      </c>
    </row>
    <row r="441" spans="1:404" ht="34.5" customHeight="1">
      <c r="A441" s="97" t="str">
        <f t="shared" si="151"/>
        <v>086/POTTERYPOT-2168-72700-03-A</v>
      </c>
      <c r="B441" s="95">
        <v>44434</v>
      </c>
      <c r="C441" s="127">
        <f t="shared" ca="1" si="152"/>
        <v>-630</v>
      </c>
      <c r="D441" s="96" t="s">
        <v>884</v>
      </c>
      <c r="E441" s="94" t="s">
        <v>226</v>
      </c>
      <c r="F441" s="132" t="str">
        <f t="shared" si="153"/>
        <v>A</v>
      </c>
      <c r="G441" s="130">
        <f ca="1">SUMIF($A:E,$A441,K:K)</f>
        <v>58</v>
      </c>
      <c r="H441" s="97" t="s">
        <v>927</v>
      </c>
      <c r="I441" s="98">
        <v>58</v>
      </c>
      <c r="J441" s="97">
        <v>58</v>
      </c>
      <c r="K441" s="143">
        <f t="shared" si="144"/>
        <v>58</v>
      </c>
      <c r="L441" s="144">
        <f t="shared" si="155"/>
        <v>0</v>
      </c>
      <c r="M441" s="275">
        <f t="shared" si="143"/>
        <v>58</v>
      </c>
      <c r="N441" s="98">
        <v>1</v>
      </c>
      <c r="O441" s="93">
        <f t="shared" si="154"/>
        <v>100</v>
      </c>
      <c r="GW441" s="100">
        <v>4</v>
      </c>
      <c r="GX441" s="100">
        <v>3</v>
      </c>
      <c r="GY441" s="100">
        <v>4</v>
      </c>
      <c r="GZ441" s="100">
        <v>4</v>
      </c>
      <c r="HC441" s="100">
        <v>7</v>
      </c>
      <c r="HD441" s="100">
        <v>6</v>
      </c>
      <c r="HE441" s="100">
        <v>1</v>
      </c>
      <c r="HF441" s="100">
        <v>15</v>
      </c>
      <c r="HI441" s="100">
        <v>8</v>
      </c>
      <c r="HJ441" s="100">
        <v>6</v>
      </c>
      <c r="ON441" s="100">
        <f t="shared" si="145"/>
        <v>0</v>
      </c>
    </row>
    <row r="442" spans="1:404" ht="34.5" customHeight="1">
      <c r="A442" s="97" t="str">
        <f t="shared" si="151"/>
        <v>099A/POTTERYPOT-2168-72700-03-A</v>
      </c>
      <c r="B442" s="95" t="s">
        <v>838</v>
      </c>
      <c r="C442" s="127">
        <f t="shared" ca="1" si="152"/>
        <v>-660</v>
      </c>
      <c r="D442" s="147" t="s">
        <v>839</v>
      </c>
      <c r="E442" s="253" t="s">
        <v>226</v>
      </c>
      <c r="F442" s="132" t="str">
        <f t="shared" si="153"/>
        <v>A</v>
      </c>
      <c r="G442" s="130">
        <f ca="1">SUMIF($A:E,$A442,K:K)</f>
        <v>12</v>
      </c>
      <c r="H442" s="97" t="s">
        <v>840</v>
      </c>
      <c r="I442" s="196">
        <v>12</v>
      </c>
      <c r="J442" s="146">
        <v>12</v>
      </c>
      <c r="K442" s="143">
        <f t="shared" si="144"/>
        <v>12</v>
      </c>
      <c r="L442" s="144">
        <f t="shared" si="155"/>
        <v>0</v>
      </c>
      <c r="M442" s="275">
        <f t="shared" si="143"/>
        <v>12</v>
      </c>
      <c r="N442" s="98">
        <v>1</v>
      </c>
      <c r="O442" s="93">
        <f t="shared" si="154"/>
        <v>100</v>
      </c>
      <c r="ER442" s="100">
        <v>1</v>
      </c>
      <c r="ET442" s="100">
        <v>6</v>
      </c>
      <c r="EU442" s="100">
        <v>2</v>
      </c>
      <c r="EV442" s="100">
        <v>3</v>
      </c>
      <c r="ON442" s="100">
        <f t="shared" si="145"/>
        <v>0</v>
      </c>
    </row>
    <row r="443" spans="1:404" ht="34.5" customHeight="1">
      <c r="A443" s="97" t="str">
        <f t="shared" si="151"/>
        <v>102A/POTTERYPOT-2168-72700-03-A</v>
      </c>
      <c r="B443" s="95">
        <v>44447</v>
      </c>
      <c r="C443" s="127">
        <f t="shared" ca="1" si="152"/>
        <v>-617</v>
      </c>
      <c r="D443" s="147" t="s">
        <v>843</v>
      </c>
      <c r="E443" s="253" t="s">
        <v>226</v>
      </c>
      <c r="F443" s="132" t="str">
        <f t="shared" si="153"/>
        <v>A</v>
      </c>
      <c r="G443" s="130">
        <f ca="1">SUMIF($A:E,$A443,K:K)</f>
        <v>18</v>
      </c>
      <c r="H443" s="97" t="s">
        <v>840</v>
      </c>
      <c r="I443" s="98">
        <v>18</v>
      </c>
      <c r="J443" s="97">
        <v>18</v>
      </c>
      <c r="K443" s="143">
        <f t="shared" si="144"/>
        <v>18</v>
      </c>
      <c r="L443" s="144">
        <f t="shared" si="155"/>
        <v>0</v>
      </c>
      <c r="M443" s="275">
        <f t="shared" ref="M443:M498" si="156">IF(OR(MID(E443,10,1)="0",MID(E443,10,1)="F"),I443,IF(OR(,MID(E443,10,1)="S",MID(E443,10,1)="L",MID(E443,10,1)="B",MID(E443,10,1)="X"),MID(E443,11,1)*I443,0))</f>
        <v>18</v>
      </c>
      <c r="N443" s="98">
        <v>1</v>
      </c>
      <c r="O443" s="93">
        <f t="shared" si="154"/>
        <v>100</v>
      </c>
      <c r="FW443" s="100">
        <v>1</v>
      </c>
      <c r="FX443" s="100">
        <v>3</v>
      </c>
      <c r="FZ443" s="100">
        <v>12</v>
      </c>
      <c r="GC443" s="100">
        <v>2</v>
      </c>
      <c r="ON443" s="100">
        <f t="shared" si="145"/>
        <v>0</v>
      </c>
    </row>
    <row r="444" spans="1:404" ht="30.75" customHeight="1">
      <c r="A444" s="97" t="str">
        <f t="shared" si="151"/>
        <v>101A/POTTERYPOT-2168-72700-03-A</v>
      </c>
      <c r="B444" s="114" t="s">
        <v>846</v>
      </c>
      <c r="C444" s="127">
        <f t="shared" ca="1" si="152"/>
        <v>-658</v>
      </c>
      <c r="D444" s="147" t="s">
        <v>844</v>
      </c>
      <c r="E444" s="253" t="s">
        <v>226</v>
      </c>
      <c r="F444" s="132" t="str">
        <f t="shared" si="153"/>
        <v>A</v>
      </c>
      <c r="G444" s="130">
        <f ca="1">SUMIF($A:E,$A444,K:K)</f>
        <v>22</v>
      </c>
      <c r="H444" s="97" t="s">
        <v>840</v>
      </c>
      <c r="I444" s="98">
        <v>22</v>
      </c>
      <c r="J444" s="97">
        <v>22</v>
      </c>
      <c r="K444" s="143">
        <f t="shared" si="144"/>
        <v>22</v>
      </c>
      <c r="L444" s="144">
        <f t="shared" si="155"/>
        <v>0</v>
      </c>
      <c r="M444" s="275">
        <f t="shared" si="156"/>
        <v>22</v>
      </c>
      <c r="N444" s="98">
        <v>1</v>
      </c>
      <c r="O444" s="93">
        <f t="shared" si="154"/>
        <v>100</v>
      </c>
      <c r="EN444" s="100">
        <v>2</v>
      </c>
      <c r="EO444" s="100">
        <v>6</v>
      </c>
      <c r="EP444" s="100">
        <v>3</v>
      </c>
      <c r="EQ444" s="100">
        <v>11</v>
      </c>
      <c r="ON444" s="100">
        <f t="shared" si="145"/>
        <v>0</v>
      </c>
    </row>
    <row r="445" spans="1:404" ht="34.5" customHeight="1">
      <c r="A445" s="97" t="str">
        <f t="shared" si="151"/>
        <v>100A/POTTERYPOT-2168-72700-03-A</v>
      </c>
      <c r="B445" s="95" t="s">
        <v>838</v>
      </c>
      <c r="C445" s="127">
        <f t="shared" ca="1" si="152"/>
        <v>-660</v>
      </c>
      <c r="D445" s="147" t="s">
        <v>845</v>
      </c>
      <c r="E445" s="253" t="s">
        <v>226</v>
      </c>
      <c r="F445" s="132" t="str">
        <f t="shared" si="153"/>
        <v>A</v>
      </c>
      <c r="G445" s="130">
        <f ca="1">SUMIF($A:E,$A445,K:K)</f>
        <v>12</v>
      </c>
      <c r="H445" s="97" t="s">
        <v>840</v>
      </c>
      <c r="I445" s="98">
        <v>12</v>
      </c>
      <c r="J445" s="97">
        <v>12</v>
      </c>
      <c r="K445" s="143">
        <f t="shared" si="144"/>
        <v>12</v>
      </c>
      <c r="L445" s="144">
        <f t="shared" si="155"/>
        <v>0</v>
      </c>
      <c r="M445" s="275">
        <f t="shared" si="156"/>
        <v>12</v>
      </c>
      <c r="N445" s="98">
        <v>1</v>
      </c>
      <c r="O445" s="93">
        <f t="shared" si="154"/>
        <v>100</v>
      </c>
      <c r="EJ445" s="100">
        <v>2</v>
      </c>
      <c r="EL445" s="100">
        <v>6</v>
      </c>
      <c r="EM445" s="100">
        <v>3</v>
      </c>
      <c r="EN445" s="100">
        <v>1</v>
      </c>
      <c r="ON445" s="100">
        <f t="shared" si="145"/>
        <v>0</v>
      </c>
    </row>
    <row r="446" spans="1:404" ht="30.75" customHeight="1">
      <c r="A446" s="97" t="str">
        <f t="shared" si="151"/>
        <v>123/POTTERYPOT-2168-72700-03-A</v>
      </c>
      <c r="B446" s="114">
        <v>44436</v>
      </c>
      <c r="C446" s="127">
        <f t="shared" ca="1" si="152"/>
        <v>-628</v>
      </c>
      <c r="D446" s="96" t="s">
        <v>926</v>
      </c>
      <c r="E446" s="94" t="s">
        <v>226</v>
      </c>
      <c r="F446" s="132" t="str">
        <f t="shared" si="153"/>
        <v>A</v>
      </c>
      <c r="G446" s="130">
        <f ca="1">SUMIF($A:E,$A446,K:K)</f>
        <v>6</v>
      </c>
      <c r="H446" s="97" t="s">
        <v>927</v>
      </c>
      <c r="I446" s="98">
        <v>6</v>
      </c>
      <c r="J446" s="97">
        <v>6</v>
      </c>
      <c r="K446" s="143">
        <f t="shared" si="144"/>
        <v>6</v>
      </c>
      <c r="L446" s="144">
        <f t="shared" si="155"/>
        <v>0</v>
      </c>
      <c r="M446" s="275">
        <f t="shared" si="156"/>
        <v>6</v>
      </c>
      <c r="N446" s="98">
        <v>1</v>
      </c>
      <c r="O446" s="93">
        <f t="shared" si="154"/>
        <v>100</v>
      </c>
      <c r="HK446" s="100">
        <v>3</v>
      </c>
      <c r="HL446" s="100">
        <v>3</v>
      </c>
      <c r="ON446" s="100">
        <f t="shared" si="145"/>
        <v>0</v>
      </c>
    </row>
    <row r="447" spans="1:404" ht="30.75" customHeight="1">
      <c r="A447" s="97" t="str">
        <f t="shared" si="151"/>
        <v>160/POTTERYPOT-2168-72700-03-A</v>
      </c>
      <c r="B447" s="114">
        <v>44453</v>
      </c>
      <c r="C447" s="127">
        <f t="shared" ca="1" si="152"/>
        <v>-611</v>
      </c>
      <c r="D447" s="96" t="s">
        <v>1006</v>
      </c>
      <c r="E447" s="94" t="s">
        <v>226</v>
      </c>
      <c r="F447" s="132" t="str">
        <f t="shared" si="153"/>
        <v>A</v>
      </c>
      <c r="G447" s="130">
        <f ca="1">SUMIF($A:E,$A447,K:K)</f>
        <v>2</v>
      </c>
      <c r="H447" s="97" t="s">
        <v>601</v>
      </c>
      <c r="I447" s="98">
        <v>2</v>
      </c>
      <c r="J447" s="97">
        <v>2</v>
      </c>
      <c r="K447" s="143">
        <f t="shared" si="144"/>
        <v>2</v>
      </c>
      <c r="L447" s="144">
        <f t="shared" si="155"/>
        <v>0</v>
      </c>
      <c r="M447" s="275">
        <f t="shared" si="156"/>
        <v>2</v>
      </c>
      <c r="N447" s="98">
        <v>1</v>
      </c>
      <c r="O447" s="93">
        <f t="shared" si="154"/>
        <v>100</v>
      </c>
      <c r="HK447" s="100">
        <v>2</v>
      </c>
      <c r="ON447" s="100">
        <f t="shared" si="145"/>
        <v>0</v>
      </c>
    </row>
    <row r="448" spans="1:404" ht="30.75" customHeight="1">
      <c r="A448" s="97" t="str">
        <f t="shared" si="151"/>
        <v>216/POTTERYPOT-2168-72700-03-A</v>
      </c>
      <c r="B448" s="114">
        <v>44591</v>
      </c>
      <c r="C448" s="127">
        <f t="shared" ca="1" si="152"/>
        <v>-473</v>
      </c>
      <c r="D448" s="96" t="s">
        <v>1022</v>
      </c>
      <c r="E448" s="280" t="s">
        <v>226</v>
      </c>
      <c r="F448" s="132" t="str">
        <f t="shared" si="153"/>
        <v>A</v>
      </c>
      <c r="G448" s="130">
        <f ca="1">SUMIF($A:E,$A448,K:K)</f>
        <v>9</v>
      </c>
      <c r="H448" s="97" t="s">
        <v>601</v>
      </c>
      <c r="I448" s="98">
        <v>9</v>
      </c>
      <c r="J448" s="99">
        <v>9</v>
      </c>
      <c r="K448" s="143">
        <f t="shared" si="144"/>
        <v>9</v>
      </c>
      <c r="L448" s="151">
        <f t="shared" ref="L448:L497" si="157">J448-K448</f>
        <v>0</v>
      </c>
      <c r="M448" s="275">
        <f t="shared" si="156"/>
        <v>9</v>
      </c>
      <c r="N448" s="98" t="s">
        <v>1768</v>
      </c>
      <c r="O448" s="93">
        <f t="shared" si="154"/>
        <v>100</v>
      </c>
      <c r="LE448" s="100">
        <v>6</v>
      </c>
      <c r="LG448" s="100">
        <v>3</v>
      </c>
      <c r="ON448" s="100">
        <f t="shared" si="145"/>
        <v>0</v>
      </c>
    </row>
    <row r="449" spans="1:404" ht="30.75" customHeight="1">
      <c r="A449" s="97" t="str">
        <f t="shared" si="151"/>
        <v>075/NY/PP-USA-2168-72700-03-A</v>
      </c>
      <c r="B449" s="114">
        <v>44594</v>
      </c>
      <c r="C449" s="127">
        <f t="shared" ca="1" si="152"/>
        <v>-470</v>
      </c>
      <c r="D449" s="96" t="s">
        <v>1023</v>
      </c>
      <c r="E449" s="280" t="s">
        <v>226</v>
      </c>
      <c r="F449" s="132" t="str">
        <f t="shared" si="153"/>
        <v>A</v>
      </c>
      <c r="G449" s="130">
        <f ca="1">SUMIF($A:E,$A449,K:K)</f>
        <v>22</v>
      </c>
      <c r="H449" s="97" t="s">
        <v>508</v>
      </c>
      <c r="I449" s="98">
        <v>22</v>
      </c>
      <c r="J449" s="97">
        <v>22</v>
      </c>
      <c r="K449" s="143">
        <f t="shared" si="144"/>
        <v>22</v>
      </c>
      <c r="L449" s="151">
        <f t="shared" si="157"/>
        <v>0</v>
      </c>
      <c r="M449" s="275">
        <f t="shared" si="156"/>
        <v>22</v>
      </c>
      <c r="N449" s="98" t="s">
        <v>1776</v>
      </c>
      <c r="O449" s="93">
        <f t="shared" si="154"/>
        <v>100</v>
      </c>
      <c r="LB449" s="100">
        <v>11</v>
      </c>
      <c r="LC449" s="100">
        <v>4</v>
      </c>
      <c r="LD449" s="100">
        <v>7</v>
      </c>
      <c r="ON449" s="100">
        <f t="shared" si="145"/>
        <v>0</v>
      </c>
    </row>
    <row r="450" spans="1:404" ht="30.75" customHeight="1">
      <c r="A450" s="97" t="str">
        <f t="shared" si="151"/>
        <v>058/NY/PP-USA-2168-72700-03-A</v>
      </c>
      <c r="B450" s="95">
        <v>44575</v>
      </c>
      <c r="C450" s="127">
        <f t="shared" ca="1" si="152"/>
        <v>-489</v>
      </c>
      <c r="D450" s="96" t="s">
        <v>1029</v>
      </c>
      <c r="E450" s="280" t="s">
        <v>226</v>
      </c>
      <c r="F450" s="132" t="str">
        <f t="shared" si="153"/>
        <v>A</v>
      </c>
      <c r="G450" s="130">
        <f ca="1">SUMIF($A:E,$A450,K:K)</f>
        <v>18</v>
      </c>
      <c r="H450" s="97" t="s">
        <v>933</v>
      </c>
      <c r="I450" s="98">
        <v>18</v>
      </c>
      <c r="J450" s="97">
        <v>18</v>
      </c>
      <c r="K450" s="143">
        <f t="shared" si="144"/>
        <v>18</v>
      </c>
      <c r="L450" s="151">
        <f t="shared" si="157"/>
        <v>0</v>
      </c>
      <c r="M450" s="275">
        <f t="shared" si="156"/>
        <v>18</v>
      </c>
      <c r="N450" s="98" t="s">
        <v>1776</v>
      </c>
      <c r="O450" s="93">
        <f t="shared" si="154"/>
        <v>100</v>
      </c>
      <c r="KQ450" s="100">
        <v>1</v>
      </c>
      <c r="KR450" s="100">
        <v>4</v>
      </c>
      <c r="KU450" s="100">
        <v>4</v>
      </c>
      <c r="KW450" s="100">
        <v>9</v>
      </c>
      <c r="ON450" s="100">
        <f t="shared" si="145"/>
        <v>0</v>
      </c>
    </row>
    <row r="451" spans="1:404" ht="30.75" customHeight="1">
      <c r="A451" s="97" t="str">
        <f t="shared" si="151"/>
        <v>059/NY/PP-USA-2168-72700-03-A</v>
      </c>
      <c r="B451" s="95">
        <v>44663</v>
      </c>
      <c r="C451" s="127">
        <f t="shared" ca="1" si="152"/>
        <v>-401</v>
      </c>
      <c r="D451" s="96" t="s">
        <v>1030</v>
      </c>
      <c r="E451" s="280" t="s">
        <v>226</v>
      </c>
      <c r="F451" s="132" t="str">
        <f t="shared" si="153"/>
        <v>A</v>
      </c>
      <c r="G451" s="130">
        <f ca="1">SUMIF($A:E,$A451,K:K)</f>
        <v>0</v>
      </c>
      <c r="H451" s="97" t="s">
        <v>933</v>
      </c>
      <c r="I451" s="98">
        <v>18</v>
      </c>
      <c r="J451" s="97">
        <v>18</v>
      </c>
      <c r="K451" s="143">
        <f t="shared" si="144"/>
        <v>0</v>
      </c>
      <c r="L451" s="151">
        <f t="shared" si="157"/>
        <v>18</v>
      </c>
      <c r="M451" s="275">
        <f t="shared" si="156"/>
        <v>18</v>
      </c>
      <c r="N451" s="98"/>
      <c r="O451" s="93">
        <f>K451/J451*100</f>
        <v>0</v>
      </c>
      <c r="ON451" s="100">
        <f t="shared" si="145"/>
        <v>0</v>
      </c>
    </row>
    <row r="452" spans="1:404" ht="30.75" customHeight="1">
      <c r="A452" s="97" t="str">
        <f t="shared" si="151"/>
        <v>060/NY/PP-USA-2168-72700-03-A</v>
      </c>
      <c r="B452" s="95">
        <v>44578</v>
      </c>
      <c r="C452" s="127">
        <f t="shared" ca="1" si="152"/>
        <v>-486</v>
      </c>
      <c r="D452" s="96" t="s">
        <v>1031</v>
      </c>
      <c r="E452" s="280" t="s">
        <v>226</v>
      </c>
      <c r="F452" s="132" t="str">
        <f t="shared" si="153"/>
        <v>A</v>
      </c>
      <c r="G452" s="130">
        <f ca="1">SUMIF($A:E,$A452,K:K)</f>
        <v>28</v>
      </c>
      <c r="H452" s="97" t="s">
        <v>933</v>
      </c>
      <c r="I452" s="98">
        <v>28</v>
      </c>
      <c r="J452" s="98">
        <v>28</v>
      </c>
      <c r="K452" s="143">
        <f t="shared" ref="K452:K515" si="158">SUM(P452:BBC452)</f>
        <v>28</v>
      </c>
      <c r="L452" s="151">
        <f t="shared" si="157"/>
        <v>0</v>
      </c>
      <c r="M452" s="275">
        <f t="shared" si="156"/>
        <v>28</v>
      </c>
      <c r="N452" s="98" t="s">
        <v>1768</v>
      </c>
      <c r="O452" s="93">
        <f t="shared" si="154"/>
        <v>100</v>
      </c>
      <c r="KW452" s="100">
        <v>7</v>
      </c>
      <c r="KX452" s="100">
        <v>8</v>
      </c>
      <c r="KY452" s="100">
        <v>8</v>
      </c>
      <c r="LB452" s="100">
        <v>5</v>
      </c>
      <c r="ON452" s="100">
        <f t="shared" ref="ON452:ON515" si="159">SUM(NS452:OM452)</f>
        <v>0</v>
      </c>
    </row>
    <row r="453" spans="1:404" ht="30.75" customHeight="1">
      <c r="A453" s="97" t="str">
        <f t="shared" si="151"/>
        <v>191/POTTERYPOT-2168-72700-03-A</v>
      </c>
      <c r="B453" s="95">
        <v>44671</v>
      </c>
      <c r="C453" s="127">
        <f t="shared" ca="1" si="152"/>
        <v>-393</v>
      </c>
      <c r="D453" s="96" t="s">
        <v>1033</v>
      </c>
      <c r="E453" s="280" t="s">
        <v>226</v>
      </c>
      <c r="F453" s="132" t="str">
        <f t="shared" si="153"/>
        <v>A</v>
      </c>
      <c r="G453" s="130">
        <f ca="1">SUMIF($A:E,$A453,K:K)</f>
        <v>0</v>
      </c>
      <c r="H453" s="97" t="s">
        <v>601</v>
      </c>
      <c r="I453" s="98">
        <v>10</v>
      </c>
      <c r="J453" s="97">
        <v>10</v>
      </c>
      <c r="K453" s="143">
        <f t="shared" si="158"/>
        <v>0</v>
      </c>
      <c r="L453" s="151">
        <f t="shared" si="157"/>
        <v>10</v>
      </c>
      <c r="M453" s="275">
        <f t="shared" si="156"/>
        <v>10</v>
      </c>
      <c r="N453" s="98"/>
      <c r="O453" s="93">
        <f>K453/J453*100</f>
        <v>0</v>
      </c>
      <c r="ON453" s="100">
        <f t="shared" si="159"/>
        <v>0</v>
      </c>
    </row>
    <row r="454" spans="1:404" ht="30.75" customHeight="1">
      <c r="A454" s="97" t="str">
        <f t="shared" si="151"/>
        <v>192/POTTERYPOT-2168-72700-03-A</v>
      </c>
      <c r="B454" s="114">
        <v>44445</v>
      </c>
      <c r="C454" s="127">
        <f t="shared" ca="1" si="152"/>
        <v>-619</v>
      </c>
      <c r="D454" s="96" t="s">
        <v>1034</v>
      </c>
      <c r="E454" s="94" t="s">
        <v>226</v>
      </c>
      <c r="F454" s="132" t="str">
        <f t="shared" si="153"/>
        <v>A</v>
      </c>
      <c r="G454" s="130">
        <f ca="1">SUMIF($A:E,$A454,K:K)</f>
        <v>18</v>
      </c>
      <c r="H454" s="97" t="s">
        <v>601</v>
      </c>
      <c r="I454" s="98">
        <v>18</v>
      </c>
      <c r="J454" s="97">
        <v>18</v>
      </c>
      <c r="K454" s="143">
        <f t="shared" si="158"/>
        <v>18</v>
      </c>
      <c r="L454" s="144">
        <f t="shared" si="157"/>
        <v>0</v>
      </c>
      <c r="M454" s="275">
        <f t="shared" si="156"/>
        <v>18</v>
      </c>
      <c r="N454" s="98">
        <v>1</v>
      </c>
      <c r="O454" s="93">
        <f t="shared" si="154"/>
        <v>100</v>
      </c>
      <c r="HL454" s="100">
        <v>7</v>
      </c>
      <c r="HM454" s="100">
        <v>2</v>
      </c>
      <c r="HN454" s="100">
        <v>9</v>
      </c>
      <c r="ON454" s="100">
        <f t="shared" si="159"/>
        <v>0</v>
      </c>
    </row>
    <row r="455" spans="1:404" ht="30.75" customHeight="1">
      <c r="A455" s="97" t="str">
        <f t="shared" si="151"/>
        <v>193/POTTERYPOT-2168-72700-03-A</v>
      </c>
      <c r="B455" s="114">
        <v>44464</v>
      </c>
      <c r="C455" s="127">
        <f t="shared" ca="1" si="152"/>
        <v>-600</v>
      </c>
      <c r="D455" s="96" t="s">
        <v>1035</v>
      </c>
      <c r="E455" s="94" t="s">
        <v>226</v>
      </c>
      <c r="F455" s="132" t="str">
        <f t="shared" si="153"/>
        <v>A</v>
      </c>
      <c r="G455" s="130">
        <f ca="1">SUMIF($A:E,$A455,K:K)</f>
        <v>18</v>
      </c>
      <c r="H455" s="97" t="s">
        <v>601</v>
      </c>
      <c r="I455" s="98">
        <v>18</v>
      </c>
      <c r="J455" s="97">
        <v>18</v>
      </c>
      <c r="K455" s="143">
        <f t="shared" si="158"/>
        <v>18</v>
      </c>
      <c r="L455" s="144">
        <f t="shared" si="157"/>
        <v>0</v>
      </c>
      <c r="M455" s="275">
        <f t="shared" si="156"/>
        <v>18</v>
      </c>
      <c r="N455" s="98">
        <v>1</v>
      </c>
      <c r="O455" s="93">
        <f t="shared" si="154"/>
        <v>100</v>
      </c>
      <c r="HN455" s="100">
        <v>5</v>
      </c>
      <c r="HP455" s="100">
        <v>10</v>
      </c>
      <c r="HQ455" s="100">
        <v>3</v>
      </c>
      <c r="ON455" s="100">
        <f t="shared" si="159"/>
        <v>0</v>
      </c>
    </row>
    <row r="456" spans="1:404" ht="30.75" customHeight="1">
      <c r="A456" s="97" t="str">
        <f t="shared" si="151"/>
        <v>194/POTTERYPOT-2168-72700-03-A</v>
      </c>
      <c r="B456" s="114">
        <v>44469</v>
      </c>
      <c r="C456" s="127">
        <f t="shared" ca="1" si="152"/>
        <v>-595</v>
      </c>
      <c r="D456" s="96" t="s">
        <v>1036</v>
      </c>
      <c r="E456" s="94" t="s">
        <v>226</v>
      </c>
      <c r="F456" s="132" t="str">
        <f t="shared" si="153"/>
        <v>A</v>
      </c>
      <c r="G456" s="130">
        <f ca="1">SUMIF($A:E,$A456,K:K)</f>
        <v>18</v>
      </c>
      <c r="H456" s="97" t="s">
        <v>601</v>
      </c>
      <c r="I456" s="98">
        <v>18</v>
      </c>
      <c r="J456" s="97">
        <v>18</v>
      </c>
      <c r="K456" s="143">
        <f t="shared" si="158"/>
        <v>18</v>
      </c>
      <c r="L456" s="144">
        <f t="shared" si="157"/>
        <v>0</v>
      </c>
      <c r="M456" s="275">
        <f t="shared" si="156"/>
        <v>18</v>
      </c>
      <c r="N456" s="98">
        <v>1</v>
      </c>
      <c r="O456" s="93">
        <f t="shared" si="154"/>
        <v>100</v>
      </c>
      <c r="HQ456" s="100">
        <v>8</v>
      </c>
      <c r="HR456" s="100">
        <v>1</v>
      </c>
      <c r="HS456" s="100">
        <v>7</v>
      </c>
      <c r="HU456" s="100">
        <v>2</v>
      </c>
      <c r="ON456" s="100">
        <f t="shared" si="159"/>
        <v>0</v>
      </c>
    </row>
    <row r="457" spans="1:404" ht="30.75" customHeight="1">
      <c r="A457" s="97" t="str">
        <f t="shared" si="151"/>
        <v>195/POTTERYPOT-2168-72700-03-A</v>
      </c>
      <c r="B457" s="114">
        <v>44468</v>
      </c>
      <c r="C457" s="127">
        <f t="shared" ca="1" si="152"/>
        <v>-596</v>
      </c>
      <c r="D457" s="96" t="s">
        <v>1037</v>
      </c>
      <c r="E457" s="94" t="s">
        <v>226</v>
      </c>
      <c r="F457" s="132" t="str">
        <f t="shared" si="153"/>
        <v>A</v>
      </c>
      <c r="G457" s="130">
        <f ca="1">SUMIF($A:E,$A457,K:K)</f>
        <v>18</v>
      </c>
      <c r="H457" s="97" t="s">
        <v>601</v>
      </c>
      <c r="I457" s="98">
        <v>18</v>
      </c>
      <c r="J457" s="97">
        <v>18</v>
      </c>
      <c r="K457" s="143">
        <f t="shared" si="158"/>
        <v>18</v>
      </c>
      <c r="L457" s="144">
        <f t="shared" si="157"/>
        <v>0</v>
      </c>
      <c r="M457" s="275">
        <f t="shared" si="156"/>
        <v>18</v>
      </c>
      <c r="N457" s="98">
        <v>1</v>
      </c>
      <c r="O457" s="93">
        <f t="shared" si="154"/>
        <v>100</v>
      </c>
      <c r="HU457" s="100">
        <v>11</v>
      </c>
      <c r="HX457" s="100">
        <v>4</v>
      </c>
      <c r="IB457" s="100">
        <v>3</v>
      </c>
      <c r="ON457" s="100">
        <f t="shared" si="159"/>
        <v>0</v>
      </c>
    </row>
    <row r="458" spans="1:404" ht="30.75" customHeight="1">
      <c r="A458" s="97" t="str">
        <f t="shared" si="151"/>
        <v>196/POTTERYPOT-2168-72700-03-A</v>
      </c>
      <c r="B458" s="95">
        <v>44671</v>
      </c>
      <c r="C458" s="127">
        <f t="shared" ca="1" si="152"/>
        <v>-393</v>
      </c>
      <c r="D458" s="96" t="s">
        <v>1038</v>
      </c>
      <c r="E458" s="280" t="s">
        <v>226</v>
      </c>
      <c r="F458" s="132" t="str">
        <f t="shared" si="153"/>
        <v>A</v>
      </c>
      <c r="G458" s="130">
        <f ca="1">SUMIF($A:E,$A458,K:K)</f>
        <v>0</v>
      </c>
      <c r="H458" s="97" t="s">
        <v>601</v>
      </c>
      <c r="I458" s="98">
        <v>72</v>
      </c>
      <c r="J458" s="98">
        <v>72</v>
      </c>
      <c r="K458" s="143">
        <f t="shared" si="158"/>
        <v>0</v>
      </c>
      <c r="L458" s="151">
        <f t="shared" si="157"/>
        <v>72</v>
      </c>
      <c r="M458" s="275">
        <f t="shared" si="156"/>
        <v>72</v>
      </c>
      <c r="N458" s="98"/>
      <c r="O458" s="93">
        <f>K458/J458*100</f>
        <v>0</v>
      </c>
      <c r="ON458" s="100">
        <f t="shared" si="159"/>
        <v>0</v>
      </c>
    </row>
    <row r="459" spans="1:404" ht="34.5" customHeight="1">
      <c r="A459" s="97" t="str">
        <f t="shared" si="151"/>
        <v>125A/POTTERYPOT-2168-72700-03-A</v>
      </c>
      <c r="B459" s="95">
        <v>44453</v>
      </c>
      <c r="C459" s="127">
        <f t="shared" ca="1" si="152"/>
        <v>-611</v>
      </c>
      <c r="D459" s="96" t="s">
        <v>1076</v>
      </c>
      <c r="E459" s="94" t="s">
        <v>226</v>
      </c>
      <c r="F459" s="132" t="str">
        <f t="shared" si="153"/>
        <v>A</v>
      </c>
      <c r="G459" s="130">
        <f ca="1">SUMIF($A:E,$A459,K:K)</f>
        <v>19</v>
      </c>
      <c r="H459" s="97" t="s">
        <v>964</v>
      </c>
      <c r="I459" s="98">
        <v>19</v>
      </c>
      <c r="J459" s="97">
        <v>19</v>
      </c>
      <c r="K459" s="143">
        <f t="shared" si="158"/>
        <v>19</v>
      </c>
      <c r="L459" s="144">
        <f t="shared" si="157"/>
        <v>0</v>
      </c>
      <c r="M459" s="275">
        <f t="shared" si="156"/>
        <v>19</v>
      </c>
      <c r="N459" s="98">
        <v>1</v>
      </c>
      <c r="O459" s="93">
        <f t="shared" si="154"/>
        <v>100</v>
      </c>
      <c r="HX459" s="100">
        <v>12</v>
      </c>
      <c r="HY459" s="100">
        <v>3</v>
      </c>
      <c r="ID459" s="100">
        <v>4</v>
      </c>
      <c r="ON459" s="100">
        <f t="shared" si="159"/>
        <v>0</v>
      </c>
    </row>
    <row r="460" spans="1:404" ht="30.75" customHeight="1">
      <c r="A460" s="97" t="str">
        <f t="shared" si="151"/>
        <v>228/POTTERYPOT-2168-72700-03-A</v>
      </c>
      <c r="B460" s="114">
        <v>44566</v>
      </c>
      <c r="C460" s="127">
        <f t="shared" ca="1" si="152"/>
        <v>-498</v>
      </c>
      <c r="D460" s="96" t="s">
        <v>1083</v>
      </c>
      <c r="E460" s="94" t="s">
        <v>226</v>
      </c>
      <c r="F460" s="132" t="str">
        <f t="shared" si="153"/>
        <v>A</v>
      </c>
      <c r="G460" s="130">
        <f ca="1">SUMIF($A:E,$A460,K:K)</f>
        <v>8</v>
      </c>
      <c r="H460" s="97" t="s">
        <v>601</v>
      </c>
      <c r="I460" s="98">
        <v>8</v>
      </c>
      <c r="J460" s="97">
        <v>8</v>
      </c>
      <c r="K460" s="143">
        <f t="shared" si="158"/>
        <v>8</v>
      </c>
      <c r="L460" s="144">
        <f t="shared" si="157"/>
        <v>0</v>
      </c>
      <c r="M460" s="275">
        <f t="shared" si="156"/>
        <v>8</v>
      </c>
      <c r="N460" s="98">
        <v>1</v>
      </c>
      <c r="O460" s="93">
        <f t="shared" si="154"/>
        <v>100</v>
      </c>
      <c r="IV460" s="100">
        <v>8</v>
      </c>
      <c r="ON460" s="100">
        <f t="shared" si="159"/>
        <v>0</v>
      </c>
    </row>
    <row r="461" spans="1:404" ht="34.5" customHeight="1">
      <c r="A461" s="97" t="str">
        <f t="shared" si="151"/>
        <v>227/POTERTYPOT-2168-72700-03-A</v>
      </c>
      <c r="B461" s="95">
        <v>44557</v>
      </c>
      <c r="C461" s="127">
        <f t="shared" ca="1" si="152"/>
        <v>-507</v>
      </c>
      <c r="D461" s="96" t="s">
        <v>1084</v>
      </c>
      <c r="E461" s="94" t="s">
        <v>226</v>
      </c>
      <c r="F461" s="132" t="str">
        <f t="shared" si="153"/>
        <v>A</v>
      </c>
      <c r="G461" s="130">
        <f ca="1">SUMIF($A:E,$A461,K:K)</f>
        <v>8</v>
      </c>
      <c r="H461" s="97" t="s">
        <v>601</v>
      </c>
      <c r="I461" s="98">
        <v>8</v>
      </c>
      <c r="J461" s="97">
        <v>8</v>
      </c>
      <c r="K461" s="143">
        <f t="shared" si="158"/>
        <v>8</v>
      </c>
      <c r="L461" s="144">
        <f t="shared" si="157"/>
        <v>0</v>
      </c>
      <c r="M461" s="275">
        <f t="shared" si="156"/>
        <v>8</v>
      </c>
      <c r="N461" s="98">
        <v>1</v>
      </c>
      <c r="O461" s="93">
        <f t="shared" si="154"/>
        <v>100</v>
      </c>
      <c r="IV461" s="100">
        <v>8</v>
      </c>
      <c r="ON461" s="100">
        <f t="shared" si="159"/>
        <v>0</v>
      </c>
    </row>
    <row r="462" spans="1:404" ht="30.75" customHeight="1">
      <c r="A462" s="97" t="str">
        <f t="shared" si="151"/>
        <v>217/POTERTYPOT-2168-72700-03-A</v>
      </c>
      <c r="B462" s="114">
        <v>44625</v>
      </c>
      <c r="C462" s="127">
        <f t="shared" ca="1" si="152"/>
        <v>-439</v>
      </c>
      <c r="D462" s="96" t="s">
        <v>1085</v>
      </c>
      <c r="E462" s="94" t="s">
        <v>226</v>
      </c>
      <c r="F462" s="132" t="str">
        <f t="shared" si="153"/>
        <v>A</v>
      </c>
      <c r="G462" s="130">
        <f ca="1">SUMIF($A:E,$A462,K:K)</f>
        <v>0</v>
      </c>
      <c r="H462" s="97" t="s">
        <v>601</v>
      </c>
      <c r="I462" s="98">
        <v>32</v>
      </c>
      <c r="J462" s="97">
        <v>32</v>
      </c>
      <c r="K462" s="143">
        <f t="shared" si="158"/>
        <v>0</v>
      </c>
      <c r="L462" s="151">
        <f t="shared" si="157"/>
        <v>32</v>
      </c>
      <c r="M462" s="275">
        <f t="shared" si="156"/>
        <v>32</v>
      </c>
      <c r="N462" s="98"/>
      <c r="O462" s="93">
        <f>K462/J462*100</f>
        <v>0</v>
      </c>
      <c r="ON462" s="100">
        <f t="shared" si="159"/>
        <v>0</v>
      </c>
    </row>
    <row r="463" spans="1:404" ht="30.75" customHeight="1">
      <c r="A463" s="97" t="str">
        <f t="shared" si="151"/>
        <v>056/NY/PP-USA-2168-72700-03-A</v>
      </c>
      <c r="B463" s="114">
        <v>44541</v>
      </c>
      <c r="C463" s="127">
        <f t="shared" ca="1" si="152"/>
        <v>-523</v>
      </c>
      <c r="D463" s="96" t="s">
        <v>1087</v>
      </c>
      <c r="E463" s="280" t="s">
        <v>226</v>
      </c>
      <c r="F463" s="132" t="str">
        <f t="shared" si="153"/>
        <v>A</v>
      </c>
      <c r="G463" s="130">
        <f ca="1">SUMIF($A:E,$A463,K:K)</f>
        <v>6</v>
      </c>
      <c r="H463" s="97" t="s">
        <v>616</v>
      </c>
      <c r="I463" s="98">
        <v>6</v>
      </c>
      <c r="J463" s="98">
        <v>6</v>
      </c>
      <c r="K463" s="143">
        <f t="shared" si="158"/>
        <v>6</v>
      </c>
      <c r="L463" s="151">
        <f t="shared" si="157"/>
        <v>0</v>
      </c>
      <c r="M463" s="275">
        <f t="shared" si="156"/>
        <v>6</v>
      </c>
      <c r="N463" s="98" t="s">
        <v>1768</v>
      </c>
      <c r="O463" s="93">
        <f t="shared" si="154"/>
        <v>100</v>
      </c>
      <c r="JC463" s="100">
        <v>3</v>
      </c>
      <c r="JG463" s="100">
        <v>3</v>
      </c>
      <c r="ON463" s="100">
        <f t="shared" si="159"/>
        <v>0</v>
      </c>
    </row>
    <row r="464" spans="1:404" ht="30.75" customHeight="1">
      <c r="A464" s="97" t="str">
        <f t="shared" si="151"/>
        <v>216/KHBS-2168-72700-03-A</v>
      </c>
      <c r="B464" s="114">
        <v>44392</v>
      </c>
      <c r="C464" s="127">
        <f t="shared" ca="1" si="152"/>
        <v>-672</v>
      </c>
      <c r="D464" s="96" t="s">
        <v>1306</v>
      </c>
      <c r="E464" s="94" t="s">
        <v>226</v>
      </c>
      <c r="F464" s="132" t="str">
        <f t="shared" si="153"/>
        <v>A</v>
      </c>
      <c r="G464" s="130">
        <f ca="1">SUMIF($A:E,$A464,K:K)</f>
        <v>4</v>
      </c>
      <c r="H464" s="97" t="s">
        <v>601</v>
      </c>
      <c r="I464" s="98">
        <v>4</v>
      </c>
      <c r="J464" s="99">
        <v>4</v>
      </c>
      <c r="K464" s="143">
        <f t="shared" si="158"/>
        <v>4</v>
      </c>
      <c r="L464" s="144">
        <f t="shared" si="157"/>
        <v>0</v>
      </c>
      <c r="M464" s="275">
        <f t="shared" si="156"/>
        <v>4</v>
      </c>
      <c r="N464" s="98">
        <v>1</v>
      </c>
      <c r="O464" s="93">
        <f t="shared" si="154"/>
        <v>100</v>
      </c>
      <c r="GB464" s="100">
        <v>3</v>
      </c>
      <c r="GC464" s="100">
        <v>1</v>
      </c>
      <c r="ON464" s="100">
        <f t="shared" si="159"/>
        <v>0</v>
      </c>
    </row>
    <row r="465" spans="1:404" ht="30.75" customHeight="1">
      <c r="A465" s="97" t="str">
        <f t="shared" si="151"/>
        <v>321/POTTERYPOT-2168-72700-03-A</v>
      </c>
      <c r="B465" s="95">
        <v>44669</v>
      </c>
      <c r="C465" s="97">
        <f t="shared" ca="1" si="152"/>
        <v>-395</v>
      </c>
      <c r="D465" s="112" t="s">
        <v>1337</v>
      </c>
      <c r="E465" s="279" t="s">
        <v>226</v>
      </c>
      <c r="F465" s="98" t="str">
        <f t="shared" si="153"/>
        <v>A</v>
      </c>
      <c r="G465" s="110">
        <f ca="1">SUMIF($A:E,$A465,K:K)</f>
        <v>0</v>
      </c>
      <c r="H465" s="135" t="s">
        <v>1360</v>
      </c>
      <c r="I465" s="175">
        <v>11</v>
      </c>
      <c r="J465" s="115">
        <v>11</v>
      </c>
      <c r="K465" s="143">
        <f t="shared" si="158"/>
        <v>0</v>
      </c>
      <c r="L465" s="144">
        <f t="shared" si="157"/>
        <v>11</v>
      </c>
      <c r="M465" s="275">
        <f t="shared" si="156"/>
        <v>11</v>
      </c>
      <c r="N465" s="98" t="s">
        <v>1776</v>
      </c>
      <c r="O465" s="93">
        <f t="shared" si="154"/>
        <v>0</v>
      </c>
      <c r="ON465" s="100">
        <f t="shared" si="159"/>
        <v>0</v>
      </c>
    </row>
    <row r="466" spans="1:404" ht="30.75" customHeight="1">
      <c r="A466" s="97" t="str">
        <f t="shared" si="151"/>
        <v>328/POTTERYPOT-2168-72700-03-A</v>
      </c>
      <c r="B466" s="114">
        <v>44850</v>
      </c>
      <c r="C466" s="135">
        <f t="shared" ca="1" si="152"/>
        <v>-214</v>
      </c>
      <c r="D466" s="352" t="s">
        <v>1344</v>
      </c>
      <c r="E466" s="353" t="s">
        <v>226</v>
      </c>
      <c r="F466" s="136" t="str">
        <f t="shared" si="153"/>
        <v>A</v>
      </c>
      <c r="G466" s="137">
        <f ca="1">SUMIF($A:E,$A466,K:K)</f>
        <v>0</v>
      </c>
      <c r="H466" s="135" t="s">
        <v>1360</v>
      </c>
      <c r="I466" s="354">
        <v>16</v>
      </c>
      <c r="J466" s="355">
        <v>16</v>
      </c>
      <c r="K466" s="166">
        <f t="shared" si="158"/>
        <v>0</v>
      </c>
      <c r="L466" s="155">
        <f t="shared" si="157"/>
        <v>16</v>
      </c>
      <c r="M466" s="275">
        <f t="shared" si="156"/>
        <v>16</v>
      </c>
      <c r="N466" s="136"/>
      <c r="O466" s="93">
        <f t="shared" si="154"/>
        <v>0</v>
      </c>
      <c r="ON466" s="100">
        <f t="shared" si="159"/>
        <v>0</v>
      </c>
    </row>
    <row r="467" spans="1:404" ht="30.75" customHeight="1">
      <c r="A467" s="97" t="str">
        <f t="shared" si="151"/>
        <v>329/POTTERYPOT-2168-72700-03-A</v>
      </c>
      <c r="B467" s="114">
        <v>44611</v>
      </c>
      <c r="C467" s="97">
        <f t="shared" ca="1" si="152"/>
        <v>-453</v>
      </c>
      <c r="D467" s="112" t="s">
        <v>1345</v>
      </c>
      <c r="E467" s="279" t="s">
        <v>226</v>
      </c>
      <c r="F467" s="98" t="str">
        <f t="shared" si="153"/>
        <v>A</v>
      </c>
      <c r="G467" s="110">
        <f ca="1">SUMIF($A:E,$A467,K:K)</f>
        <v>49</v>
      </c>
      <c r="H467" s="97" t="s">
        <v>1360</v>
      </c>
      <c r="I467" s="175">
        <v>48</v>
      </c>
      <c r="J467" s="115">
        <v>48</v>
      </c>
      <c r="K467" s="143">
        <f t="shared" si="158"/>
        <v>49</v>
      </c>
      <c r="L467" s="144">
        <f t="shared" si="157"/>
        <v>-1</v>
      </c>
      <c r="M467" s="275">
        <f t="shared" si="156"/>
        <v>48</v>
      </c>
      <c r="N467" s="98" t="s">
        <v>1776</v>
      </c>
      <c r="O467" s="93">
        <f t="shared" si="154"/>
        <v>102.08333333333333</v>
      </c>
      <c r="MH467" s="100">
        <v>1</v>
      </c>
      <c r="ML467" s="100">
        <v>2</v>
      </c>
      <c r="MN467" s="100">
        <v>2</v>
      </c>
      <c r="MO467" s="100">
        <v>4</v>
      </c>
      <c r="MQ467" s="100">
        <v>2</v>
      </c>
      <c r="MR467" s="100">
        <v>2</v>
      </c>
      <c r="MS467" s="100">
        <v>2</v>
      </c>
      <c r="MT467" s="100">
        <v>2</v>
      </c>
      <c r="MU467" s="100">
        <v>2</v>
      </c>
      <c r="MW467" s="100">
        <v>2</v>
      </c>
      <c r="MX467" s="100">
        <v>2</v>
      </c>
      <c r="MY467" s="100">
        <v>2</v>
      </c>
      <c r="MZ467" s="100">
        <v>2</v>
      </c>
      <c r="NA467" s="100">
        <v>2</v>
      </c>
      <c r="ND467" s="100">
        <v>2</v>
      </c>
      <c r="NE467" s="100">
        <v>2</v>
      </c>
      <c r="NF467" s="100">
        <v>2</v>
      </c>
      <c r="NG467" s="100">
        <v>2</v>
      </c>
      <c r="NI467" s="100">
        <v>2</v>
      </c>
      <c r="NK467" s="100">
        <v>2</v>
      </c>
      <c r="NL467" s="100">
        <v>2</v>
      </c>
      <c r="NM467" s="100">
        <v>2</v>
      </c>
      <c r="NN467" s="100">
        <v>2</v>
      </c>
      <c r="NU467" s="100">
        <v>1</v>
      </c>
      <c r="ON467" s="100">
        <f t="shared" si="159"/>
        <v>1</v>
      </c>
    </row>
    <row r="468" spans="1:404" ht="30.75" customHeight="1">
      <c r="A468" s="97" t="str">
        <f t="shared" si="151"/>
        <v>330/POTTERYPOT-2168-72700-03-A</v>
      </c>
      <c r="B468" s="95">
        <v>44639</v>
      </c>
      <c r="C468" s="97">
        <f t="shared" ca="1" si="152"/>
        <v>-425</v>
      </c>
      <c r="D468" s="112" t="s">
        <v>1346</v>
      </c>
      <c r="E468" s="279" t="s">
        <v>226</v>
      </c>
      <c r="F468" s="136" t="str">
        <f t="shared" si="153"/>
        <v>A</v>
      </c>
      <c r="G468" s="137">
        <f ca="1">SUMIF($A:E,$A468,K:K)</f>
        <v>66</v>
      </c>
      <c r="H468" s="138" t="s">
        <v>1360</v>
      </c>
      <c r="I468" s="236">
        <v>48</v>
      </c>
      <c r="J468" s="240">
        <v>48</v>
      </c>
      <c r="K468" s="143">
        <f t="shared" si="158"/>
        <v>66</v>
      </c>
      <c r="L468" s="144">
        <f t="shared" si="157"/>
        <v>-18</v>
      </c>
      <c r="M468" s="275">
        <f t="shared" si="156"/>
        <v>48</v>
      </c>
      <c r="N468" s="133" t="s">
        <v>1776</v>
      </c>
      <c r="O468" s="93">
        <f t="shared" si="154"/>
        <v>137.5</v>
      </c>
      <c r="NU468" s="100">
        <v>5</v>
      </c>
      <c r="OF468" s="100">
        <v>8</v>
      </c>
      <c r="OG468" s="100">
        <v>2</v>
      </c>
      <c r="OH468" s="100">
        <v>4</v>
      </c>
      <c r="OI468" s="100">
        <v>4</v>
      </c>
      <c r="OJ468" s="100">
        <v>4</v>
      </c>
      <c r="OK468" s="100">
        <v>4</v>
      </c>
      <c r="OM468" s="100">
        <v>2</v>
      </c>
      <c r="ON468" s="100">
        <f t="shared" si="159"/>
        <v>33</v>
      </c>
    </row>
    <row r="469" spans="1:404" ht="38.25" customHeight="1">
      <c r="A469" s="97" t="str">
        <f t="shared" si="151"/>
        <v>331/POTTERYPOT-2168-72700-03-A</v>
      </c>
      <c r="B469" s="95">
        <v>44647</v>
      </c>
      <c r="C469" s="127">
        <f t="shared" ca="1" si="152"/>
        <v>-417</v>
      </c>
      <c r="D469" s="112" t="s">
        <v>1347</v>
      </c>
      <c r="E469" s="279" t="s">
        <v>226</v>
      </c>
      <c r="F469" s="132" t="str">
        <f t="shared" si="153"/>
        <v>A</v>
      </c>
      <c r="G469" s="130">
        <f ca="1">SUMIF($A:E,$A469,K:K)</f>
        <v>0</v>
      </c>
      <c r="H469" s="97" t="s">
        <v>927</v>
      </c>
      <c r="I469" s="175">
        <v>47</v>
      </c>
      <c r="J469" s="115">
        <v>47</v>
      </c>
      <c r="K469" s="143">
        <f t="shared" si="158"/>
        <v>0</v>
      </c>
      <c r="L469" s="151">
        <f t="shared" si="157"/>
        <v>47</v>
      </c>
      <c r="M469" s="275">
        <f t="shared" si="156"/>
        <v>47</v>
      </c>
      <c r="N469" s="98" t="s">
        <v>1776</v>
      </c>
      <c r="O469" s="93">
        <f t="shared" si="154"/>
        <v>0</v>
      </c>
      <c r="ON469" s="100">
        <f t="shared" si="159"/>
        <v>0</v>
      </c>
    </row>
    <row r="470" spans="1:404" ht="38.25" customHeight="1">
      <c r="A470" s="97" t="s">
        <v>1908</v>
      </c>
      <c r="B470" s="95">
        <v>44564</v>
      </c>
      <c r="C470" s="127">
        <v>100</v>
      </c>
      <c r="D470" s="112" t="s">
        <v>1348</v>
      </c>
      <c r="E470" s="123" t="s">
        <v>226</v>
      </c>
      <c r="F470" s="132" t="s">
        <v>1775</v>
      </c>
      <c r="G470" s="130">
        <v>0</v>
      </c>
      <c r="H470" s="97" t="s">
        <v>927</v>
      </c>
      <c r="I470" s="175">
        <v>45</v>
      </c>
      <c r="J470" s="115">
        <v>13</v>
      </c>
      <c r="K470" s="143">
        <f t="shared" si="158"/>
        <v>13</v>
      </c>
      <c r="L470" s="144">
        <f t="shared" si="157"/>
        <v>0</v>
      </c>
      <c r="M470" s="275">
        <f t="shared" si="156"/>
        <v>45</v>
      </c>
      <c r="N470" s="98">
        <v>1</v>
      </c>
      <c r="O470" s="93">
        <f t="shared" si="154"/>
        <v>100</v>
      </c>
      <c r="IV470" s="100">
        <v>13</v>
      </c>
      <c r="ON470" s="100">
        <f t="shared" si="159"/>
        <v>0</v>
      </c>
    </row>
    <row r="471" spans="1:404" ht="38.25" customHeight="1">
      <c r="A471" s="97" t="str">
        <f t="shared" ref="A471:A503" si="160">D471&amp;E471</f>
        <v>332/POTTERYPOT-2168-72700-03-A</v>
      </c>
      <c r="B471" s="95">
        <v>44564</v>
      </c>
      <c r="C471" s="127">
        <f t="shared" ref="C471:C503" ca="1" si="161">B471-TODAY()</f>
        <v>-500</v>
      </c>
      <c r="D471" s="112" t="s">
        <v>1348</v>
      </c>
      <c r="E471" s="279" t="s">
        <v>226</v>
      </c>
      <c r="F471" s="132" t="str">
        <f t="shared" ref="F471:F503" si="162">MID(E471,13,2)</f>
        <v>A</v>
      </c>
      <c r="G471" s="130">
        <f ca="1">SUMIF($A:E,$A471,K:K)</f>
        <v>45</v>
      </c>
      <c r="H471" s="97" t="s">
        <v>927</v>
      </c>
      <c r="I471" s="175">
        <v>45</v>
      </c>
      <c r="J471" s="115">
        <f>45-J470</f>
        <v>32</v>
      </c>
      <c r="K471" s="143">
        <f t="shared" si="158"/>
        <v>32</v>
      </c>
      <c r="L471" s="151">
        <f t="shared" ref="L471" si="163">J471-K471</f>
        <v>0</v>
      </c>
      <c r="M471" s="275">
        <f t="shared" si="156"/>
        <v>45</v>
      </c>
      <c r="N471" s="98" t="s">
        <v>1768</v>
      </c>
      <c r="O471" s="93">
        <f t="shared" ref="O471:O503" si="164">K471/J471*100</f>
        <v>100</v>
      </c>
      <c r="JC471" s="100">
        <v>5</v>
      </c>
      <c r="JF471" s="100">
        <v>12</v>
      </c>
      <c r="JH471" s="100">
        <v>15</v>
      </c>
      <c r="ON471" s="100">
        <f t="shared" si="159"/>
        <v>0</v>
      </c>
    </row>
    <row r="472" spans="1:404" ht="38.25" customHeight="1">
      <c r="A472" s="97" t="str">
        <f t="shared" si="160"/>
        <v>333/POTTERYPOT-2168-72700-03-A</v>
      </c>
      <c r="B472" s="95">
        <v>44605</v>
      </c>
      <c r="C472" s="127">
        <f t="shared" ca="1" si="161"/>
        <v>-459</v>
      </c>
      <c r="D472" s="112" t="s">
        <v>1349</v>
      </c>
      <c r="E472" s="279" t="s">
        <v>226</v>
      </c>
      <c r="F472" s="132" t="str">
        <f t="shared" si="162"/>
        <v>A</v>
      </c>
      <c r="G472" s="130">
        <f ca="1">SUMIF($A:E,$A472,K:K)</f>
        <v>135</v>
      </c>
      <c r="H472" s="97" t="s">
        <v>1360</v>
      </c>
      <c r="I472" s="175">
        <v>135</v>
      </c>
      <c r="J472" s="115">
        <v>135</v>
      </c>
      <c r="K472" s="143">
        <f t="shared" si="158"/>
        <v>135</v>
      </c>
      <c r="L472" s="151">
        <f t="shared" si="157"/>
        <v>0</v>
      </c>
      <c r="M472" s="275">
        <f t="shared" si="156"/>
        <v>135</v>
      </c>
      <c r="N472" s="98" t="s">
        <v>1768</v>
      </c>
      <c r="O472" s="93">
        <f t="shared" si="164"/>
        <v>100</v>
      </c>
      <c r="LF472" s="100">
        <v>4</v>
      </c>
      <c r="LI472" s="100">
        <v>8</v>
      </c>
      <c r="LK472" s="100">
        <v>11</v>
      </c>
      <c r="LL472" s="100">
        <v>8</v>
      </c>
      <c r="LM472" s="100">
        <v>8</v>
      </c>
      <c r="LN472" s="100">
        <v>8</v>
      </c>
      <c r="LP472" s="100">
        <v>8</v>
      </c>
      <c r="LQ472" s="100">
        <v>4</v>
      </c>
      <c r="LR472" s="100">
        <v>8</v>
      </c>
      <c r="LS472" s="100">
        <v>8</v>
      </c>
      <c r="LT472" s="100">
        <v>6</v>
      </c>
      <c r="LU472" s="100">
        <v>7</v>
      </c>
      <c r="LW472" s="100">
        <v>7</v>
      </c>
      <c r="LX472" s="100">
        <v>4</v>
      </c>
      <c r="LY472" s="100">
        <v>6</v>
      </c>
      <c r="LZ472" s="100">
        <v>8</v>
      </c>
      <c r="MA472" s="100">
        <v>8</v>
      </c>
      <c r="MB472" s="100">
        <v>5</v>
      </c>
      <c r="MD472" s="100">
        <v>9</v>
      </c>
      <c r="ON472" s="100">
        <f t="shared" si="159"/>
        <v>0</v>
      </c>
    </row>
    <row r="473" spans="1:404" ht="30.75" customHeight="1">
      <c r="A473" s="97" t="str">
        <f t="shared" si="160"/>
        <v>334/POTTERYPOT-2168-72700-03-A</v>
      </c>
      <c r="B473" s="114">
        <v>44629</v>
      </c>
      <c r="C473" s="127">
        <f t="shared" ca="1" si="161"/>
        <v>-435</v>
      </c>
      <c r="D473" s="112" t="s">
        <v>1350</v>
      </c>
      <c r="E473" s="279" t="s">
        <v>226</v>
      </c>
      <c r="F473" s="132" t="str">
        <f t="shared" si="162"/>
        <v>A</v>
      </c>
      <c r="G473" s="130">
        <f ca="1">SUMIF($A:E,$A473,K:K)</f>
        <v>219</v>
      </c>
      <c r="H473" s="97" t="s">
        <v>1360</v>
      </c>
      <c r="I473" s="175">
        <v>135</v>
      </c>
      <c r="J473" s="115">
        <v>135</v>
      </c>
      <c r="K473" s="143">
        <f t="shared" si="158"/>
        <v>219</v>
      </c>
      <c r="L473" s="151">
        <f t="shared" si="157"/>
        <v>-84</v>
      </c>
      <c r="M473" s="275">
        <f t="shared" si="156"/>
        <v>135</v>
      </c>
      <c r="N473" s="98" t="s">
        <v>1768</v>
      </c>
      <c r="O473" s="93">
        <f t="shared" si="164"/>
        <v>162.22222222222223</v>
      </c>
      <c r="NG473" s="100">
        <v>4</v>
      </c>
      <c r="NI473" s="100">
        <v>8</v>
      </c>
      <c r="NK473" s="100">
        <v>6</v>
      </c>
      <c r="NL473" s="100">
        <v>9</v>
      </c>
      <c r="NM473" s="100">
        <v>12</v>
      </c>
      <c r="NN473" s="100">
        <v>12</v>
      </c>
      <c r="NS473" s="100">
        <v>11</v>
      </c>
      <c r="NU473" s="100">
        <v>14</v>
      </c>
      <c r="NV473" s="100">
        <v>8</v>
      </c>
      <c r="NY473" s="100">
        <v>7</v>
      </c>
      <c r="NZ473" s="100">
        <v>7</v>
      </c>
      <c r="OA473" s="100">
        <v>13</v>
      </c>
      <c r="OB473" s="100">
        <v>14</v>
      </c>
      <c r="OC473" s="100">
        <v>10</v>
      </c>
      <c r="ON473" s="100">
        <f t="shared" si="159"/>
        <v>84</v>
      </c>
    </row>
    <row r="474" spans="1:404" ht="34.5" customHeight="1">
      <c r="A474" s="97" t="str">
        <f t="shared" si="160"/>
        <v>335/POTTERYPOT-2168-72700-03-A</v>
      </c>
      <c r="B474" s="95">
        <v>44642</v>
      </c>
      <c r="C474" s="127">
        <f t="shared" ca="1" si="161"/>
        <v>-422</v>
      </c>
      <c r="D474" s="112" t="s">
        <v>1351</v>
      </c>
      <c r="E474" s="279" t="s">
        <v>226</v>
      </c>
      <c r="F474" s="132" t="str">
        <f t="shared" si="162"/>
        <v>A</v>
      </c>
      <c r="G474" s="130">
        <f ca="1">SUMIF($A:E,$A474,K:K)</f>
        <v>170</v>
      </c>
      <c r="H474" s="97" t="s">
        <v>1360</v>
      </c>
      <c r="I474" s="175">
        <v>102</v>
      </c>
      <c r="J474" s="115">
        <v>102</v>
      </c>
      <c r="K474" s="143">
        <f t="shared" si="158"/>
        <v>170</v>
      </c>
      <c r="L474" s="151">
        <f t="shared" si="157"/>
        <v>-68</v>
      </c>
      <c r="M474" s="275">
        <f t="shared" si="156"/>
        <v>102</v>
      </c>
      <c r="N474" s="98" t="s">
        <v>1768</v>
      </c>
      <c r="O474" s="93">
        <f t="shared" si="164"/>
        <v>166.66666666666669</v>
      </c>
      <c r="OC474" s="100">
        <v>1</v>
      </c>
      <c r="OD474" s="100">
        <v>14</v>
      </c>
      <c r="OF474" s="100">
        <v>6</v>
      </c>
      <c r="OG474" s="100">
        <v>11</v>
      </c>
      <c r="OH474" s="100">
        <v>11</v>
      </c>
      <c r="OI474" s="100">
        <v>10</v>
      </c>
      <c r="OJ474" s="100">
        <v>10</v>
      </c>
      <c r="OK474" s="100">
        <v>10</v>
      </c>
      <c r="OM474" s="100">
        <v>12</v>
      </c>
      <c r="ON474" s="100">
        <f t="shared" si="159"/>
        <v>85</v>
      </c>
    </row>
    <row r="475" spans="1:404" ht="30.75" customHeight="1">
      <c r="A475" s="97" t="str">
        <f t="shared" si="160"/>
        <v>095/NY/PP-USA-2168-72700-03-A</v>
      </c>
      <c r="B475" s="114">
        <v>44577</v>
      </c>
      <c r="C475" s="127">
        <f t="shared" ca="1" si="161"/>
        <v>-487</v>
      </c>
      <c r="D475" s="112" t="s">
        <v>1429</v>
      </c>
      <c r="E475" s="279" t="s">
        <v>226</v>
      </c>
      <c r="F475" s="132" t="str">
        <f t="shared" si="162"/>
        <v>A</v>
      </c>
      <c r="G475" s="130">
        <f ca="1">SUMIF($A:E,$A475,K:K)</f>
        <v>63</v>
      </c>
      <c r="H475" s="97" t="s">
        <v>616</v>
      </c>
      <c r="I475" s="175">
        <v>63</v>
      </c>
      <c r="J475" s="115">
        <v>63</v>
      </c>
      <c r="K475" s="143">
        <f t="shared" si="158"/>
        <v>63</v>
      </c>
      <c r="L475" s="151">
        <f t="shared" si="157"/>
        <v>0</v>
      </c>
      <c r="M475" s="275">
        <f t="shared" si="156"/>
        <v>63</v>
      </c>
      <c r="N475" s="98" t="s">
        <v>1768</v>
      </c>
      <c r="O475" s="93">
        <f t="shared" si="164"/>
        <v>100</v>
      </c>
      <c r="JI475" s="100">
        <v>6</v>
      </c>
      <c r="JK475" s="100">
        <v>5</v>
      </c>
      <c r="JM475" s="100">
        <v>14</v>
      </c>
      <c r="JN475" s="100">
        <v>5</v>
      </c>
      <c r="JO475" s="100">
        <v>9</v>
      </c>
      <c r="JP475" s="100">
        <v>4</v>
      </c>
      <c r="JQ475" s="100">
        <v>6</v>
      </c>
      <c r="JR475" s="100">
        <v>8</v>
      </c>
      <c r="JT475" s="100">
        <v>6</v>
      </c>
      <c r="ON475" s="100">
        <f t="shared" si="159"/>
        <v>0</v>
      </c>
    </row>
    <row r="476" spans="1:404" ht="30.75" customHeight="1">
      <c r="A476" s="97" t="str">
        <f t="shared" si="160"/>
        <v>096/NY/PP-USA-2168-72700-03-A</v>
      </c>
      <c r="B476" s="114">
        <v>44577</v>
      </c>
      <c r="C476" s="127">
        <f t="shared" ca="1" si="161"/>
        <v>-487</v>
      </c>
      <c r="D476" s="112" t="s">
        <v>1430</v>
      </c>
      <c r="E476" s="279" t="s">
        <v>226</v>
      </c>
      <c r="F476" s="132" t="str">
        <f t="shared" si="162"/>
        <v>A</v>
      </c>
      <c r="G476" s="130">
        <f ca="1">SUMIF($A:E,$A476,K:K)</f>
        <v>63</v>
      </c>
      <c r="H476" s="97" t="s">
        <v>616</v>
      </c>
      <c r="I476" s="175">
        <v>63</v>
      </c>
      <c r="J476" s="115">
        <v>63</v>
      </c>
      <c r="K476" s="143">
        <f t="shared" si="158"/>
        <v>63</v>
      </c>
      <c r="L476" s="151">
        <f t="shared" si="157"/>
        <v>0</v>
      </c>
      <c r="M476" s="275">
        <f t="shared" si="156"/>
        <v>63</v>
      </c>
      <c r="N476" s="98" t="s">
        <v>1768</v>
      </c>
      <c r="O476" s="93">
        <f t="shared" si="164"/>
        <v>100</v>
      </c>
      <c r="JT476" s="100">
        <v>15</v>
      </c>
      <c r="JU476" s="100">
        <v>2</v>
      </c>
      <c r="JW476" s="100">
        <v>6</v>
      </c>
      <c r="JX476" s="100">
        <v>4</v>
      </c>
      <c r="KA476" s="100">
        <v>12</v>
      </c>
      <c r="KB476" s="100">
        <v>4</v>
      </c>
      <c r="KC476" s="100">
        <v>8</v>
      </c>
      <c r="KD476" s="100">
        <v>7</v>
      </c>
      <c r="KE476" s="100">
        <v>4</v>
      </c>
      <c r="KF476" s="100">
        <v>1</v>
      </c>
      <c r="ON476" s="100">
        <f t="shared" si="159"/>
        <v>0</v>
      </c>
    </row>
    <row r="477" spans="1:404" ht="30.75" customHeight="1">
      <c r="A477" s="97" t="str">
        <f t="shared" si="160"/>
        <v>097/NY/PP-USA-2168-72700-03-A</v>
      </c>
      <c r="B477" s="114">
        <v>44577</v>
      </c>
      <c r="C477" s="127">
        <f t="shared" ca="1" si="161"/>
        <v>-487</v>
      </c>
      <c r="D477" s="112" t="s">
        <v>1431</v>
      </c>
      <c r="E477" s="279" t="s">
        <v>226</v>
      </c>
      <c r="F477" s="132" t="str">
        <f t="shared" si="162"/>
        <v>A</v>
      </c>
      <c r="G477" s="130">
        <f ca="1">SUMIF($A:E,$A477,K:K)</f>
        <v>63</v>
      </c>
      <c r="H477" s="97" t="s">
        <v>616</v>
      </c>
      <c r="I477" s="175">
        <v>63</v>
      </c>
      <c r="J477" s="115">
        <v>63</v>
      </c>
      <c r="K477" s="143">
        <f t="shared" si="158"/>
        <v>63</v>
      </c>
      <c r="L477" s="151">
        <f t="shared" si="157"/>
        <v>0</v>
      </c>
      <c r="M477" s="275">
        <f t="shared" si="156"/>
        <v>63</v>
      </c>
      <c r="N477" s="98" t="s">
        <v>1768</v>
      </c>
      <c r="O477" s="93">
        <f t="shared" si="164"/>
        <v>100</v>
      </c>
      <c r="KF477" s="100">
        <v>8</v>
      </c>
      <c r="KG477" s="100">
        <v>8</v>
      </c>
      <c r="KH477" s="100">
        <v>4</v>
      </c>
      <c r="KI477" s="100">
        <v>8</v>
      </c>
      <c r="KJ477" s="100">
        <v>6</v>
      </c>
      <c r="KN477" s="100">
        <v>6</v>
      </c>
      <c r="KO477" s="100">
        <v>8</v>
      </c>
      <c r="KP477" s="100">
        <v>8</v>
      </c>
      <c r="KQ477" s="100">
        <v>7</v>
      </c>
      <c r="ON477" s="100">
        <f t="shared" si="159"/>
        <v>0</v>
      </c>
    </row>
    <row r="478" spans="1:404" ht="30.75" customHeight="1">
      <c r="A478" s="97" t="str">
        <f t="shared" si="160"/>
        <v>439/POTTERYPOT-2168-72700-03-A</v>
      </c>
      <c r="B478" s="114">
        <v>44636</v>
      </c>
      <c r="C478" s="127">
        <f t="shared" ca="1" si="161"/>
        <v>-428</v>
      </c>
      <c r="D478" s="112" t="s">
        <v>1601</v>
      </c>
      <c r="E478" s="279" t="s">
        <v>226</v>
      </c>
      <c r="F478" s="132" t="str">
        <f t="shared" si="162"/>
        <v>A</v>
      </c>
      <c r="G478" s="130">
        <f ca="1">SUMIF($A:E,$A478,K:K)</f>
        <v>0</v>
      </c>
      <c r="H478" s="97" t="s">
        <v>927</v>
      </c>
      <c r="I478" s="175">
        <v>12</v>
      </c>
      <c r="J478" s="115">
        <v>12</v>
      </c>
      <c r="K478" s="143">
        <f t="shared" si="158"/>
        <v>0</v>
      </c>
      <c r="L478" s="151">
        <f t="shared" si="157"/>
        <v>12</v>
      </c>
      <c r="M478" s="275">
        <f t="shared" si="156"/>
        <v>12</v>
      </c>
      <c r="N478" s="98" t="s">
        <v>1768</v>
      </c>
      <c r="O478" s="93">
        <f>K478/J478*100</f>
        <v>0</v>
      </c>
      <c r="ON478" s="100">
        <f t="shared" si="159"/>
        <v>0</v>
      </c>
    </row>
    <row r="479" spans="1:404" ht="30.75" customHeight="1">
      <c r="A479" s="97" t="str">
        <f t="shared" si="160"/>
        <v>001/COCOON-2168-72700-03-05</v>
      </c>
      <c r="B479" s="114">
        <v>44324</v>
      </c>
      <c r="C479" s="127">
        <f t="shared" ca="1" si="161"/>
        <v>-740</v>
      </c>
      <c r="D479" s="145" t="s">
        <v>717</v>
      </c>
      <c r="E479" s="253" t="s">
        <v>489</v>
      </c>
      <c r="F479" s="132" t="str">
        <f t="shared" si="162"/>
        <v>05</v>
      </c>
      <c r="G479" s="130">
        <f ca="1">SUMIF($A:E,$A479,K:K)</f>
        <v>12</v>
      </c>
      <c r="H479" s="97" t="s">
        <v>721</v>
      </c>
      <c r="I479" s="196">
        <v>12</v>
      </c>
      <c r="J479" s="146">
        <v>12</v>
      </c>
      <c r="K479" s="143">
        <f t="shared" si="158"/>
        <v>12</v>
      </c>
      <c r="L479" s="144">
        <f t="shared" si="157"/>
        <v>0</v>
      </c>
      <c r="M479" s="275">
        <f t="shared" si="156"/>
        <v>12</v>
      </c>
      <c r="N479" s="98">
        <v>1</v>
      </c>
      <c r="O479" s="93">
        <f t="shared" si="164"/>
        <v>100</v>
      </c>
      <c r="CM479" s="101">
        <v>7</v>
      </c>
      <c r="CN479" s="101">
        <v>3</v>
      </c>
      <c r="CP479" s="101">
        <v>2</v>
      </c>
      <c r="ON479" s="100">
        <f t="shared" si="159"/>
        <v>0</v>
      </c>
    </row>
    <row r="480" spans="1:404" ht="30.75" customHeight="1">
      <c r="A480" s="97" t="str">
        <f t="shared" si="160"/>
        <v>004/COCOON-2168-72700-03-05</v>
      </c>
      <c r="B480" s="114">
        <v>44386</v>
      </c>
      <c r="C480" s="127">
        <f t="shared" ca="1" si="161"/>
        <v>-678</v>
      </c>
      <c r="D480" s="145" t="s">
        <v>780</v>
      </c>
      <c r="E480" s="253" t="s">
        <v>489</v>
      </c>
      <c r="F480" s="132" t="str">
        <f t="shared" si="162"/>
        <v>05</v>
      </c>
      <c r="G480" s="130">
        <f ca="1">SUMIF($A:E,$A480,K:K)</f>
        <v>12</v>
      </c>
      <c r="H480" s="97" t="s">
        <v>784</v>
      </c>
      <c r="I480" s="196">
        <v>12</v>
      </c>
      <c r="J480" s="146">
        <v>12</v>
      </c>
      <c r="K480" s="143">
        <f t="shared" si="158"/>
        <v>12</v>
      </c>
      <c r="L480" s="144">
        <f t="shared" si="157"/>
        <v>0</v>
      </c>
      <c r="M480" s="275">
        <f t="shared" si="156"/>
        <v>12</v>
      </c>
      <c r="N480" s="98">
        <v>1</v>
      </c>
      <c r="O480" s="93">
        <f t="shared" si="164"/>
        <v>100</v>
      </c>
      <c r="DO480" s="101">
        <v>3</v>
      </c>
      <c r="DP480" s="101">
        <v>2</v>
      </c>
      <c r="DS480" s="100">
        <v>3</v>
      </c>
      <c r="EA480" s="100">
        <v>3</v>
      </c>
      <c r="EJ480" s="100">
        <v>1</v>
      </c>
      <c r="ON480" s="100">
        <f t="shared" si="159"/>
        <v>0</v>
      </c>
    </row>
    <row r="481" spans="1:404" ht="34.5" customHeight="1">
      <c r="A481" s="97" t="str">
        <f t="shared" si="160"/>
        <v>001/COCOON-2168-72700-03-01</v>
      </c>
      <c r="B481" s="95">
        <v>44324</v>
      </c>
      <c r="C481" s="127">
        <f t="shared" ca="1" si="161"/>
        <v>-740</v>
      </c>
      <c r="D481" s="145" t="s">
        <v>717</v>
      </c>
      <c r="E481" s="253" t="s">
        <v>450</v>
      </c>
      <c r="F481" s="132" t="str">
        <f t="shared" si="162"/>
        <v>01</v>
      </c>
      <c r="G481" s="130">
        <f ca="1">SUMIF($A:E,$A481,K:K)</f>
        <v>24</v>
      </c>
      <c r="H481" s="97" t="s">
        <v>721</v>
      </c>
      <c r="I481" s="196">
        <v>24</v>
      </c>
      <c r="J481" s="146">
        <v>24</v>
      </c>
      <c r="K481" s="143">
        <f t="shared" si="158"/>
        <v>24</v>
      </c>
      <c r="L481" s="144">
        <f t="shared" si="157"/>
        <v>0</v>
      </c>
      <c r="M481" s="275">
        <f t="shared" si="156"/>
        <v>24</v>
      </c>
      <c r="N481" s="98">
        <v>1</v>
      </c>
      <c r="O481" s="93">
        <f t="shared" si="164"/>
        <v>100</v>
      </c>
      <c r="BU481" s="101">
        <v>1</v>
      </c>
      <c r="BV481" s="101">
        <v>2</v>
      </c>
      <c r="BX481" s="101">
        <v>2</v>
      </c>
      <c r="BY481" s="101">
        <v>2</v>
      </c>
      <c r="BZ481" s="101">
        <v>2</v>
      </c>
      <c r="CA481" s="101">
        <v>5</v>
      </c>
      <c r="CB481" s="101">
        <v>1</v>
      </c>
      <c r="CC481" s="101">
        <v>2</v>
      </c>
      <c r="CD481" s="101">
        <v>1</v>
      </c>
      <c r="CE481" s="101">
        <v>1</v>
      </c>
      <c r="CF481" s="101">
        <v>1</v>
      </c>
      <c r="CH481" s="101">
        <v>1</v>
      </c>
      <c r="CI481" s="101">
        <v>3</v>
      </c>
      <c r="ON481" s="100">
        <f t="shared" si="159"/>
        <v>0</v>
      </c>
    </row>
    <row r="482" spans="1:404" ht="34.5" customHeight="1">
      <c r="A482" s="97" t="str">
        <f t="shared" si="160"/>
        <v>004/COCOON-2168-72700-03-01</v>
      </c>
      <c r="B482" s="95">
        <v>44386</v>
      </c>
      <c r="C482" s="127">
        <f t="shared" ca="1" si="161"/>
        <v>-678</v>
      </c>
      <c r="D482" s="145" t="s">
        <v>780</v>
      </c>
      <c r="E482" s="253" t="s">
        <v>450</v>
      </c>
      <c r="F482" s="132" t="str">
        <f t="shared" si="162"/>
        <v>01</v>
      </c>
      <c r="G482" s="130">
        <f ca="1">SUMIF($A:E,$A482,K:K)</f>
        <v>12</v>
      </c>
      <c r="H482" s="97" t="s">
        <v>784</v>
      </c>
      <c r="I482" s="196">
        <v>12</v>
      </c>
      <c r="J482" s="146">
        <v>12</v>
      </c>
      <c r="K482" s="143">
        <f t="shared" si="158"/>
        <v>12</v>
      </c>
      <c r="L482" s="144">
        <f t="shared" si="157"/>
        <v>0</v>
      </c>
      <c r="M482" s="275">
        <f t="shared" si="156"/>
        <v>12</v>
      </c>
      <c r="N482" s="98">
        <v>1</v>
      </c>
      <c r="O482" s="93">
        <f t="shared" si="164"/>
        <v>100</v>
      </c>
      <c r="DU482" s="100">
        <v>2</v>
      </c>
      <c r="DV482" s="100">
        <v>2</v>
      </c>
      <c r="DW482" s="100">
        <v>6</v>
      </c>
      <c r="DY482" s="100">
        <v>2</v>
      </c>
      <c r="ON482" s="100">
        <f t="shared" si="159"/>
        <v>0</v>
      </c>
    </row>
    <row r="483" spans="1:404" ht="30.75" customHeight="1">
      <c r="A483" s="97" t="str">
        <f t="shared" si="160"/>
        <v>005/COCOON-21 (đợt 1)68-72700-03-01</v>
      </c>
      <c r="B483" s="95">
        <v>44424</v>
      </c>
      <c r="C483" s="97">
        <f t="shared" ca="1" si="161"/>
        <v>-640</v>
      </c>
      <c r="D483" s="96" t="s">
        <v>1071</v>
      </c>
      <c r="E483" s="94" t="s">
        <v>450</v>
      </c>
      <c r="F483" s="98" t="str">
        <f t="shared" si="162"/>
        <v>01</v>
      </c>
      <c r="G483" s="110">
        <f ca="1">SUMIF($A:E,$A483,K:K)</f>
        <v>42</v>
      </c>
      <c r="H483" s="97" t="s">
        <v>721</v>
      </c>
      <c r="I483" s="98">
        <v>42</v>
      </c>
      <c r="J483" s="97">
        <v>42</v>
      </c>
      <c r="K483" s="143">
        <f t="shared" si="158"/>
        <v>42</v>
      </c>
      <c r="L483" s="144">
        <f t="shared" si="157"/>
        <v>0</v>
      </c>
      <c r="M483" s="275">
        <f t="shared" si="156"/>
        <v>42</v>
      </c>
      <c r="N483" s="98">
        <v>1</v>
      </c>
      <c r="O483" s="165">
        <f t="shared" si="164"/>
        <v>100</v>
      </c>
      <c r="GN483" s="100">
        <v>3</v>
      </c>
      <c r="GP483" s="100">
        <v>8</v>
      </c>
      <c r="GQ483" s="100">
        <v>7</v>
      </c>
      <c r="GR483" s="100">
        <v>4</v>
      </c>
      <c r="GS483" s="100">
        <v>8</v>
      </c>
      <c r="GU483" s="100">
        <v>4</v>
      </c>
      <c r="GV483" s="100">
        <v>7</v>
      </c>
      <c r="GW483" s="100">
        <v>1</v>
      </c>
      <c r="ON483" s="100">
        <f t="shared" si="159"/>
        <v>0</v>
      </c>
    </row>
    <row r="484" spans="1:404" ht="30.75" customHeight="1">
      <c r="A484" s="97" t="str">
        <f t="shared" si="160"/>
        <v>104A/POTTERYPOT-2168-72700-02-A</v>
      </c>
      <c r="B484" s="114">
        <v>44423</v>
      </c>
      <c r="C484" s="127">
        <f t="shared" ca="1" si="161"/>
        <v>-641</v>
      </c>
      <c r="D484" s="147" t="s">
        <v>841</v>
      </c>
      <c r="E484" s="253" t="s">
        <v>225</v>
      </c>
      <c r="F484" s="132" t="str">
        <f t="shared" si="162"/>
        <v>A</v>
      </c>
      <c r="G484" s="130">
        <f ca="1">SUMIF($A:E,$A484,K:K)</f>
        <v>10</v>
      </c>
      <c r="H484" s="97" t="s">
        <v>840</v>
      </c>
      <c r="I484" s="98">
        <v>10</v>
      </c>
      <c r="J484" s="97">
        <v>10</v>
      </c>
      <c r="K484" s="143">
        <f t="shared" si="158"/>
        <v>10</v>
      </c>
      <c r="L484" s="144">
        <f t="shared" si="157"/>
        <v>0</v>
      </c>
      <c r="M484" s="275">
        <f t="shared" si="156"/>
        <v>10</v>
      </c>
      <c r="N484" s="98">
        <v>1</v>
      </c>
      <c r="O484" s="93">
        <f t="shared" si="164"/>
        <v>100</v>
      </c>
      <c r="FJ484" s="100">
        <v>1</v>
      </c>
      <c r="FK484" s="100">
        <v>3</v>
      </c>
      <c r="FL484" s="100">
        <v>2</v>
      </c>
      <c r="FO484" s="100">
        <v>2</v>
      </c>
      <c r="FR484" s="100">
        <v>2</v>
      </c>
      <c r="ON484" s="100">
        <f t="shared" si="159"/>
        <v>0</v>
      </c>
    </row>
    <row r="485" spans="1:404" ht="30.75" customHeight="1">
      <c r="A485" s="97" t="str">
        <f t="shared" si="160"/>
        <v>076/POTTERYPOT-2168-72700-02-A</v>
      </c>
      <c r="B485" s="114">
        <v>44423</v>
      </c>
      <c r="C485" s="127">
        <f t="shared" ca="1" si="161"/>
        <v>-641</v>
      </c>
      <c r="D485" s="147" t="s">
        <v>847</v>
      </c>
      <c r="E485" s="253" t="s">
        <v>225</v>
      </c>
      <c r="F485" s="132" t="str">
        <f t="shared" si="162"/>
        <v>A</v>
      </c>
      <c r="G485" s="130">
        <f ca="1">SUMIF($A:E,$A485,K:K)</f>
        <v>16</v>
      </c>
      <c r="H485" s="97" t="s">
        <v>840</v>
      </c>
      <c r="I485" s="98">
        <v>16</v>
      </c>
      <c r="J485" s="97">
        <v>16</v>
      </c>
      <c r="K485" s="143">
        <f t="shared" si="158"/>
        <v>16</v>
      </c>
      <c r="L485" s="144">
        <f t="shared" si="157"/>
        <v>0</v>
      </c>
      <c r="M485" s="275">
        <f t="shared" si="156"/>
        <v>16</v>
      </c>
      <c r="N485" s="98">
        <v>1</v>
      </c>
      <c r="O485" s="93">
        <f t="shared" si="164"/>
        <v>100</v>
      </c>
      <c r="FP485" s="100">
        <v>4</v>
      </c>
      <c r="FQ485" s="100">
        <v>2</v>
      </c>
      <c r="FS485" s="100">
        <v>2</v>
      </c>
      <c r="FT485" s="100">
        <v>2</v>
      </c>
      <c r="FU485" s="100">
        <v>2</v>
      </c>
      <c r="FV485" s="100">
        <v>2</v>
      </c>
      <c r="FW485" s="100">
        <v>2</v>
      </c>
      <c r="ON485" s="100">
        <f t="shared" si="159"/>
        <v>0</v>
      </c>
    </row>
    <row r="486" spans="1:404" ht="30.75" customHeight="1">
      <c r="A486" s="97" t="str">
        <f t="shared" si="160"/>
        <v>051/POTTERYPOT-2168-72700-02-A</v>
      </c>
      <c r="B486" s="114" t="s">
        <v>838</v>
      </c>
      <c r="C486" s="127">
        <f t="shared" ca="1" si="161"/>
        <v>-660</v>
      </c>
      <c r="D486" s="145" t="s">
        <v>837</v>
      </c>
      <c r="E486" s="253" t="s">
        <v>225</v>
      </c>
      <c r="F486" s="132" t="str">
        <f t="shared" si="162"/>
        <v>A</v>
      </c>
      <c r="G486" s="130">
        <f ca="1">SUMIF($A:E,$A486,K:K)</f>
        <v>6</v>
      </c>
      <c r="H486" s="97" t="s">
        <v>840</v>
      </c>
      <c r="I486" s="196">
        <v>6</v>
      </c>
      <c r="J486" s="146">
        <v>6</v>
      </c>
      <c r="K486" s="143">
        <f t="shared" si="158"/>
        <v>6</v>
      </c>
      <c r="L486" s="144">
        <f t="shared" si="157"/>
        <v>0</v>
      </c>
      <c r="M486" s="275">
        <f t="shared" si="156"/>
        <v>6</v>
      </c>
      <c r="N486" s="98">
        <v>1</v>
      </c>
      <c r="O486" s="93">
        <f t="shared" si="164"/>
        <v>100</v>
      </c>
      <c r="EA486" s="100">
        <v>1</v>
      </c>
      <c r="EC486" s="100">
        <v>4</v>
      </c>
      <c r="ED486" s="100">
        <v>1</v>
      </c>
      <c r="ON486" s="100">
        <f t="shared" si="159"/>
        <v>0</v>
      </c>
    </row>
    <row r="487" spans="1:404" ht="30.75" customHeight="1">
      <c r="A487" s="97" t="str">
        <f t="shared" si="160"/>
        <v>099A/POTTERYPOT-2168-72700-02-A</v>
      </c>
      <c r="B487" s="114" t="s">
        <v>838</v>
      </c>
      <c r="C487" s="127">
        <f t="shared" ca="1" si="161"/>
        <v>-660</v>
      </c>
      <c r="D487" s="147" t="s">
        <v>839</v>
      </c>
      <c r="E487" s="253" t="s">
        <v>225</v>
      </c>
      <c r="F487" s="132" t="str">
        <f t="shared" si="162"/>
        <v>A</v>
      </c>
      <c r="G487" s="130">
        <f ca="1">SUMIF($A:E,$A487,K:K)</f>
        <v>12</v>
      </c>
      <c r="H487" s="97" t="s">
        <v>840</v>
      </c>
      <c r="I487" s="196">
        <v>12</v>
      </c>
      <c r="J487" s="146">
        <v>12</v>
      </c>
      <c r="K487" s="143">
        <f t="shared" si="158"/>
        <v>12</v>
      </c>
      <c r="L487" s="144">
        <f t="shared" si="157"/>
        <v>0</v>
      </c>
      <c r="M487" s="275">
        <f t="shared" si="156"/>
        <v>12</v>
      </c>
      <c r="N487" s="98">
        <v>1</v>
      </c>
      <c r="O487" s="93">
        <f t="shared" si="164"/>
        <v>100</v>
      </c>
      <c r="ED487" s="100">
        <v>1</v>
      </c>
      <c r="EF487" s="100">
        <v>2</v>
      </c>
      <c r="EG487" s="100">
        <v>2</v>
      </c>
      <c r="EJ487" s="100">
        <v>4</v>
      </c>
      <c r="EL487" s="100">
        <v>3</v>
      </c>
      <c r="ON487" s="100">
        <f t="shared" si="159"/>
        <v>0</v>
      </c>
    </row>
    <row r="488" spans="1:404" ht="30.75" customHeight="1">
      <c r="A488" s="97" t="str">
        <f t="shared" si="160"/>
        <v>103A/POTTERYPOT-2168-72700-02-A</v>
      </c>
      <c r="B488" s="114">
        <v>44447</v>
      </c>
      <c r="C488" s="127">
        <f t="shared" ca="1" si="161"/>
        <v>-617</v>
      </c>
      <c r="D488" s="147" t="s">
        <v>842</v>
      </c>
      <c r="E488" s="253" t="s">
        <v>225</v>
      </c>
      <c r="F488" s="132" t="str">
        <f t="shared" si="162"/>
        <v>A</v>
      </c>
      <c r="G488" s="130">
        <f ca="1">SUMIF($A:E,$A488,K:K)</f>
        <v>18</v>
      </c>
      <c r="H488" s="97" t="s">
        <v>840</v>
      </c>
      <c r="I488" s="98">
        <v>18</v>
      </c>
      <c r="J488" s="97">
        <v>18</v>
      </c>
      <c r="K488" s="143">
        <f t="shared" si="158"/>
        <v>18</v>
      </c>
      <c r="L488" s="144">
        <f t="shared" si="157"/>
        <v>0</v>
      </c>
      <c r="M488" s="275">
        <f t="shared" si="156"/>
        <v>18</v>
      </c>
      <c r="N488" s="98">
        <v>1</v>
      </c>
      <c r="O488" s="93">
        <f t="shared" si="164"/>
        <v>100</v>
      </c>
      <c r="FX488" s="100">
        <v>2</v>
      </c>
      <c r="FZ488" s="100">
        <v>1</v>
      </c>
      <c r="GB488" s="100">
        <v>2</v>
      </c>
      <c r="GC488" s="100">
        <v>3</v>
      </c>
      <c r="GD488" s="100">
        <v>1</v>
      </c>
      <c r="GE488" s="100">
        <v>2</v>
      </c>
      <c r="GH488" s="100">
        <v>4</v>
      </c>
      <c r="GI488" s="100">
        <v>1</v>
      </c>
      <c r="GJ488" s="100">
        <v>2</v>
      </c>
      <c r="ON488" s="100">
        <f t="shared" si="159"/>
        <v>0</v>
      </c>
    </row>
    <row r="489" spans="1:404" ht="30.75" customHeight="1">
      <c r="A489" s="97" t="str">
        <f t="shared" si="160"/>
        <v>102A/POTTERYPOT-2168-72700-02-A</v>
      </c>
      <c r="B489" s="114">
        <v>44447</v>
      </c>
      <c r="C489" s="127">
        <f t="shared" ca="1" si="161"/>
        <v>-617</v>
      </c>
      <c r="D489" s="147" t="s">
        <v>843</v>
      </c>
      <c r="E489" s="253" t="s">
        <v>225</v>
      </c>
      <c r="F489" s="132" t="str">
        <f t="shared" si="162"/>
        <v>A</v>
      </c>
      <c r="G489" s="130">
        <f ca="1">SUMIF($A:E,$A489,K:K)</f>
        <v>6</v>
      </c>
      <c r="H489" s="97" t="s">
        <v>840</v>
      </c>
      <c r="I489" s="98">
        <v>6</v>
      </c>
      <c r="J489" s="97">
        <v>6</v>
      </c>
      <c r="K489" s="143">
        <f t="shared" si="158"/>
        <v>6</v>
      </c>
      <c r="L489" s="144">
        <f t="shared" si="157"/>
        <v>0</v>
      </c>
      <c r="M489" s="275">
        <f t="shared" si="156"/>
        <v>6</v>
      </c>
      <c r="N489" s="98">
        <v>1</v>
      </c>
      <c r="O489" s="93">
        <f t="shared" si="164"/>
        <v>100</v>
      </c>
      <c r="GJ489" s="100">
        <v>1</v>
      </c>
      <c r="GK489" s="100">
        <v>2</v>
      </c>
      <c r="GL489" s="100">
        <v>2</v>
      </c>
      <c r="GN489" s="100">
        <v>1</v>
      </c>
      <c r="ON489" s="100">
        <f t="shared" si="159"/>
        <v>0</v>
      </c>
    </row>
    <row r="490" spans="1:404" ht="30.75" customHeight="1">
      <c r="A490" s="97" t="str">
        <f t="shared" si="160"/>
        <v>101A/POTTERYPOT-2168-72700-02-A</v>
      </c>
      <c r="B490" s="114" t="s">
        <v>846</v>
      </c>
      <c r="C490" s="127">
        <f t="shared" ca="1" si="161"/>
        <v>-658</v>
      </c>
      <c r="D490" s="147" t="s">
        <v>844</v>
      </c>
      <c r="E490" s="253" t="s">
        <v>225</v>
      </c>
      <c r="F490" s="132" t="str">
        <f t="shared" si="162"/>
        <v>A</v>
      </c>
      <c r="G490" s="130">
        <f ca="1">SUMIF($A:E,$A490,K:K)</f>
        <v>22</v>
      </c>
      <c r="H490" s="97" t="s">
        <v>840</v>
      </c>
      <c r="I490" s="98">
        <v>22</v>
      </c>
      <c r="J490" s="97">
        <v>22</v>
      </c>
      <c r="K490" s="143">
        <f t="shared" si="158"/>
        <v>22</v>
      </c>
      <c r="L490" s="144">
        <f t="shared" si="157"/>
        <v>0</v>
      </c>
      <c r="M490" s="275">
        <f t="shared" si="156"/>
        <v>22</v>
      </c>
      <c r="N490" s="98">
        <v>1</v>
      </c>
      <c r="O490" s="93">
        <f t="shared" si="164"/>
        <v>100</v>
      </c>
      <c r="ER490" s="100">
        <v>2</v>
      </c>
      <c r="EU490" s="100">
        <v>1</v>
      </c>
      <c r="EV490" s="100">
        <v>2</v>
      </c>
      <c r="EW490" s="100">
        <v>2</v>
      </c>
      <c r="EX490" s="100">
        <v>2</v>
      </c>
      <c r="FA490" s="100">
        <v>3</v>
      </c>
      <c r="FB490" s="100">
        <v>2</v>
      </c>
      <c r="FC490" s="100">
        <v>2</v>
      </c>
      <c r="FD490" s="100">
        <v>4</v>
      </c>
      <c r="FE490" s="100">
        <v>2</v>
      </c>
      <c r="ON490" s="100">
        <f t="shared" si="159"/>
        <v>0</v>
      </c>
    </row>
    <row r="491" spans="1:404" ht="30.75" customHeight="1">
      <c r="A491" s="97" t="str">
        <f t="shared" si="160"/>
        <v>100A/POTTERYPOT-2168-72700-02-A</v>
      </c>
      <c r="B491" s="114" t="s">
        <v>838</v>
      </c>
      <c r="C491" s="127">
        <f t="shared" ca="1" si="161"/>
        <v>-660</v>
      </c>
      <c r="D491" s="147" t="s">
        <v>845</v>
      </c>
      <c r="E491" s="253" t="s">
        <v>225</v>
      </c>
      <c r="F491" s="132" t="str">
        <f t="shared" si="162"/>
        <v>A</v>
      </c>
      <c r="G491" s="130">
        <f ca="1">SUMIF($A:E,$A491,K:K)</f>
        <v>12</v>
      </c>
      <c r="H491" s="97" t="s">
        <v>840</v>
      </c>
      <c r="I491" s="98">
        <v>12</v>
      </c>
      <c r="J491" s="97">
        <v>12</v>
      </c>
      <c r="K491" s="143">
        <f t="shared" si="158"/>
        <v>12</v>
      </c>
      <c r="L491" s="144">
        <f t="shared" si="157"/>
        <v>0</v>
      </c>
      <c r="M491" s="275">
        <f t="shared" si="156"/>
        <v>12</v>
      </c>
      <c r="N491" s="98">
        <v>1</v>
      </c>
      <c r="O491" s="93">
        <f t="shared" si="164"/>
        <v>100</v>
      </c>
      <c r="EN491" s="100">
        <v>2</v>
      </c>
      <c r="EO491" s="100">
        <v>2</v>
      </c>
      <c r="EP491" s="100">
        <v>2</v>
      </c>
      <c r="EQ491" s="100">
        <v>6</v>
      </c>
      <c r="ON491" s="100">
        <f t="shared" si="159"/>
        <v>0</v>
      </c>
    </row>
    <row r="492" spans="1:404" ht="30.75" customHeight="1">
      <c r="A492" s="97" t="str">
        <f t="shared" si="160"/>
        <v>035/NY/PP-USA-2168-72700-02-A</v>
      </c>
      <c r="B492" s="114">
        <v>44422</v>
      </c>
      <c r="C492" s="127">
        <f t="shared" ca="1" si="161"/>
        <v>-642</v>
      </c>
      <c r="D492" s="96" t="s">
        <v>848</v>
      </c>
      <c r="E492" s="94" t="s">
        <v>225</v>
      </c>
      <c r="F492" s="132" t="str">
        <f t="shared" si="162"/>
        <v>A</v>
      </c>
      <c r="G492" s="130">
        <f ca="1">SUMIF($A:E,$A492,K:K)</f>
        <v>4</v>
      </c>
      <c r="H492" s="97" t="s">
        <v>840</v>
      </c>
      <c r="I492" s="98">
        <v>4</v>
      </c>
      <c r="J492" s="99">
        <v>4</v>
      </c>
      <c r="K492" s="143">
        <f t="shared" si="158"/>
        <v>4</v>
      </c>
      <c r="L492" s="144">
        <f t="shared" si="157"/>
        <v>0</v>
      </c>
      <c r="M492" s="275">
        <f t="shared" si="156"/>
        <v>4</v>
      </c>
      <c r="N492" s="98">
        <v>1</v>
      </c>
      <c r="O492" s="93">
        <f t="shared" si="164"/>
        <v>100</v>
      </c>
      <c r="FH492" s="100">
        <v>2</v>
      </c>
      <c r="FI492" s="100">
        <v>1</v>
      </c>
      <c r="FJ492" s="100">
        <v>1</v>
      </c>
      <c r="ON492" s="100">
        <f t="shared" si="159"/>
        <v>0</v>
      </c>
    </row>
    <row r="493" spans="1:404" ht="30.75" customHeight="1">
      <c r="A493" s="97" t="str">
        <f t="shared" si="160"/>
        <v>085A/POTTERYPOT-2168-72700-02-A</v>
      </c>
      <c r="B493" s="114">
        <v>44425</v>
      </c>
      <c r="C493" s="127">
        <f t="shared" ca="1" si="161"/>
        <v>-639</v>
      </c>
      <c r="D493" s="147" t="s">
        <v>883</v>
      </c>
      <c r="E493" s="94" t="s">
        <v>225</v>
      </c>
      <c r="F493" s="132" t="str">
        <f t="shared" si="162"/>
        <v>A</v>
      </c>
      <c r="G493" s="130">
        <f ca="1">SUMIF($A:E,$A493,K:K)</f>
        <v>18</v>
      </c>
      <c r="H493" s="97" t="s">
        <v>840</v>
      </c>
      <c r="I493" s="98">
        <v>18</v>
      </c>
      <c r="J493" s="99">
        <v>18</v>
      </c>
      <c r="K493" s="143">
        <f t="shared" si="158"/>
        <v>18</v>
      </c>
      <c r="L493" s="144">
        <f t="shared" si="157"/>
        <v>0</v>
      </c>
      <c r="M493" s="275">
        <f t="shared" si="156"/>
        <v>18</v>
      </c>
      <c r="N493" s="98">
        <v>1</v>
      </c>
      <c r="O493" s="93">
        <f t="shared" si="164"/>
        <v>100</v>
      </c>
      <c r="GP493" s="100">
        <v>1</v>
      </c>
      <c r="GR493" s="100">
        <v>4</v>
      </c>
      <c r="GU493" s="100">
        <v>2</v>
      </c>
      <c r="GV493" s="100">
        <v>2</v>
      </c>
      <c r="GX493" s="100">
        <v>2</v>
      </c>
      <c r="GY493" s="100">
        <v>2</v>
      </c>
      <c r="GZ493" s="100">
        <v>2</v>
      </c>
      <c r="HB493" s="100">
        <v>2</v>
      </c>
      <c r="HC493" s="100">
        <v>1</v>
      </c>
      <c r="ON493" s="100">
        <f t="shared" si="159"/>
        <v>0</v>
      </c>
    </row>
    <row r="494" spans="1:404" ht="30.75" customHeight="1">
      <c r="A494" s="97" t="str">
        <f t="shared" si="160"/>
        <v>086/POTTERYPOT-2168-72700-02-A</v>
      </c>
      <c r="B494" s="114">
        <v>44434</v>
      </c>
      <c r="C494" s="127">
        <f t="shared" ca="1" si="161"/>
        <v>-630</v>
      </c>
      <c r="D494" s="96" t="s">
        <v>884</v>
      </c>
      <c r="E494" s="94" t="s">
        <v>225</v>
      </c>
      <c r="F494" s="132" t="str">
        <f t="shared" si="162"/>
        <v>A</v>
      </c>
      <c r="G494" s="130">
        <f ca="1">SUMIF($A:E,$A494,K:K)</f>
        <v>4</v>
      </c>
      <c r="H494" s="97" t="s">
        <v>616</v>
      </c>
      <c r="I494" s="98">
        <v>4</v>
      </c>
      <c r="J494" s="97">
        <v>4</v>
      </c>
      <c r="K494" s="143">
        <f t="shared" si="158"/>
        <v>4</v>
      </c>
      <c r="L494" s="144">
        <f t="shared" si="157"/>
        <v>0</v>
      </c>
      <c r="M494" s="275">
        <f t="shared" si="156"/>
        <v>4</v>
      </c>
      <c r="N494" s="98">
        <v>1</v>
      </c>
      <c r="O494" s="93">
        <f t="shared" si="164"/>
        <v>100</v>
      </c>
      <c r="GN494" s="100">
        <v>1</v>
      </c>
      <c r="GO494" s="100">
        <v>2</v>
      </c>
      <c r="GP494" s="100">
        <v>1</v>
      </c>
      <c r="ON494" s="100">
        <f t="shared" si="159"/>
        <v>0</v>
      </c>
    </row>
    <row r="495" spans="1:404" ht="34.5" customHeight="1">
      <c r="A495" s="97" t="str">
        <f t="shared" si="160"/>
        <v>123/POTTERYPOT-2168-72700-02-A</v>
      </c>
      <c r="B495" s="95">
        <v>44436</v>
      </c>
      <c r="C495" s="127">
        <f t="shared" ca="1" si="161"/>
        <v>-628</v>
      </c>
      <c r="D495" s="96" t="s">
        <v>926</v>
      </c>
      <c r="E495" s="94" t="s">
        <v>225</v>
      </c>
      <c r="F495" s="132" t="str">
        <f t="shared" si="162"/>
        <v>A</v>
      </c>
      <c r="G495" s="130">
        <f ca="1">SUMIF($A:E,$A495,K:K)</f>
        <v>8</v>
      </c>
      <c r="H495" s="97" t="s">
        <v>927</v>
      </c>
      <c r="I495" s="98">
        <v>8</v>
      </c>
      <c r="J495" s="97">
        <v>8</v>
      </c>
      <c r="K495" s="143">
        <f t="shared" si="158"/>
        <v>8</v>
      </c>
      <c r="L495" s="144">
        <f t="shared" si="157"/>
        <v>0</v>
      </c>
      <c r="M495" s="275">
        <f t="shared" si="156"/>
        <v>8</v>
      </c>
      <c r="N495" s="98">
        <v>1</v>
      </c>
      <c r="O495" s="93">
        <f t="shared" si="164"/>
        <v>100</v>
      </c>
      <c r="HC495" s="100">
        <v>3</v>
      </c>
      <c r="HD495" s="100">
        <v>2</v>
      </c>
      <c r="HF495" s="100">
        <v>3</v>
      </c>
      <c r="ON495" s="100">
        <f t="shared" si="159"/>
        <v>0</v>
      </c>
    </row>
    <row r="496" spans="1:404" ht="30.75" customHeight="1">
      <c r="A496" s="97" t="str">
        <f t="shared" si="160"/>
        <v>160/POTTERYPOT-2168-72700-02-A</v>
      </c>
      <c r="B496" s="114">
        <v>44453</v>
      </c>
      <c r="C496" s="127">
        <f t="shared" ca="1" si="161"/>
        <v>-611</v>
      </c>
      <c r="D496" s="96" t="s">
        <v>1006</v>
      </c>
      <c r="E496" s="94" t="s">
        <v>225</v>
      </c>
      <c r="F496" s="132" t="str">
        <f t="shared" si="162"/>
        <v>A</v>
      </c>
      <c r="G496" s="130">
        <f ca="1">SUMIF($A:E,$A496,K:K)</f>
        <v>2</v>
      </c>
      <c r="H496" s="97" t="s">
        <v>601</v>
      </c>
      <c r="I496" s="98">
        <v>2</v>
      </c>
      <c r="J496" s="97">
        <v>2</v>
      </c>
      <c r="K496" s="143">
        <f t="shared" si="158"/>
        <v>2</v>
      </c>
      <c r="L496" s="144">
        <f t="shared" si="157"/>
        <v>0</v>
      </c>
      <c r="M496" s="275">
        <f t="shared" si="156"/>
        <v>2</v>
      </c>
      <c r="N496" s="98">
        <v>1</v>
      </c>
      <c r="O496" s="93">
        <f t="shared" si="164"/>
        <v>100</v>
      </c>
      <c r="HK496" s="100">
        <v>2</v>
      </c>
      <c r="ON496" s="100">
        <f t="shared" si="159"/>
        <v>0</v>
      </c>
    </row>
    <row r="497" spans="1:404" ht="34.5" customHeight="1">
      <c r="A497" s="97" t="str">
        <f t="shared" si="160"/>
        <v>216/POTTERYPOT-2168-72700-02-A</v>
      </c>
      <c r="B497" s="95">
        <v>44591</v>
      </c>
      <c r="C497" s="127">
        <f t="shared" ca="1" si="161"/>
        <v>-473</v>
      </c>
      <c r="D497" s="96" t="s">
        <v>1022</v>
      </c>
      <c r="E497" s="280" t="s">
        <v>225</v>
      </c>
      <c r="F497" s="132" t="str">
        <f t="shared" si="162"/>
        <v>A</v>
      </c>
      <c r="G497" s="130">
        <f ca="1">SUMIF($A:E,$A497,K:K)</f>
        <v>9</v>
      </c>
      <c r="H497" s="97" t="s">
        <v>601</v>
      </c>
      <c r="I497" s="98">
        <v>9</v>
      </c>
      <c r="J497" s="99">
        <v>9</v>
      </c>
      <c r="K497" s="143">
        <f t="shared" si="158"/>
        <v>9</v>
      </c>
      <c r="L497" s="151">
        <f t="shared" si="157"/>
        <v>0</v>
      </c>
      <c r="M497" s="275">
        <f t="shared" si="156"/>
        <v>9</v>
      </c>
      <c r="N497" s="98" t="s">
        <v>1768</v>
      </c>
      <c r="O497" s="93">
        <f t="shared" si="164"/>
        <v>100</v>
      </c>
      <c r="LQ497" s="100">
        <v>2</v>
      </c>
      <c r="LR497" s="100">
        <v>2</v>
      </c>
      <c r="LS497" s="100">
        <v>2</v>
      </c>
      <c r="LT497" s="100">
        <v>2</v>
      </c>
      <c r="LW497" s="100">
        <v>1</v>
      </c>
      <c r="ON497" s="100">
        <f t="shared" si="159"/>
        <v>0</v>
      </c>
    </row>
    <row r="498" spans="1:404" ht="30.75" customHeight="1">
      <c r="A498" s="97" t="str">
        <f t="shared" si="160"/>
        <v>075/NY/PP-USA-2168-72700-02-A</v>
      </c>
      <c r="B498" s="114">
        <v>44594</v>
      </c>
      <c r="C498" s="97">
        <f t="shared" ca="1" si="161"/>
        <v>-470</v>
      </c>
      <c r="D498" s="96" t="s">
        <v>1023</v>
      </c>
      <c r="E498" s="280" t="s">
        <v>225</v>
      </c>
      <c r="F498" s="132" t="str">
        <f t="shared" si="162"/>
        <v>A</v>
      </c>
      <c r="G498" s="130">
        <f ca="1">SUMIF($A:E,$A498,K:K)</f>
        <v>22</v>
      </c>
      <c r="H498" s="97" t="s">
        <v>508</v>
      </c>
      <c r="I498" s="98">
        <v>22</v>
      </c>
      <c r="J498" s="97">
        <v>22</v>
      </c>
      <c r="K498" s="143">
        <f t="shared" si="158"/>
        <v>22</v>
      </c>
      <c r="L498" s="151">
        <f t="shared" ref="L498:L548" si="165">J498-K498</f>
        <v>0</v>
      </c>
      <c r="M498" s="275">
        <f t="shared" si="156"/>
        <v>22</v>
      </c>
      <c r="N498" s="98" t="s">
        <v>1768</v>
      </c>
      <c r="O498" s="93">
        <f t="shared" si="164"/>
        <v>100</v>
      </c>
      <c r="LW498" s="100">
        <v>3</v>
      </c>
      <c r="LX498" s="100">
        <v>2</v>
      </c>
      <c r="LY498" s="100">
        <v>2</v>
      </c>
      <c r="LZ498" s="100">
        <v>2</v>
      </c>
      <c r="MA498" s="100">
        <v>2</v>
      </c>
      <c r="ME498" s="100">
        <v>6</v>
      </c>
      <c r="MH498" s="100">
        <v>5</v>
      </c>
      <c r="ON498" s="100">
        <f t="shared" si="159"/>
        <v>0</v>
      </c>
    </row>
    <row r="499" spans="1:404" ht="34.5" customHeight="1">
      <c r="A499" s="97" t="str">
        <f t="shared" si="160"/>
        <v>058/NY/PP-USA-2168-72700-02-A</v>
      </c>
      <c r="B499" s="95">
        <v>44663</v>
      </c>
      <c r="C499" s="127">
        <f t="shared" ca="1" si="161"/>
        <v>-401</v>
      </c>
      <c r="D499" s="96" t="s">
        <v>1029</v>
      </c>
      <c r="E499" s="280" t="s">
        <v>225</v>
      </c>
      <c r="F499" s="132" t="str">
        <f t="shared" si="162"/>
        <v>A</v>
      </c>
      <c r="G499" s="130">
        <f ca="1">SUMIF($A:E,$A499,K:K)</f>
        <v>18</v>
      </c>
      <c r="H499" s="97" t="s">
        <v>933</v>
      </c>
      <c r="I499" s="98">
        <v>18</v>
      </c>
      <c r="J499" s="97">
        <v>18</v>
      </c>
      <c r="K499" s="143">
        <f t="shared" si="158"/>
        <v>18</v>
      </c>
      <c r="L499" s="151">
        <f t="shared" si="165"/>
        <v>0</v>
      </c>
      <c r="M499" s="275">
        <f t="shared" ref="M499:M549" si="166">IF(OR(MID(E499,10,1)="0",MID(E499,10,1)="F"),I499,IF(OR(,MID(E499,10,1)="S",MID(E499,10,1)="L",MID(E499,10,1)="B",MID(E499,10,1)="X"),MID(E499,11,1)*I499,0))</f>
        <v>18</v>
      </c>
      <c r="N499" s="98" t="s">
        <v>1768</v>
      </c>
      <c r="O499" s="93">
        <f t="shared" si="164"/>
        <v>100</v>
      </c>
      <c r="LD499" s="100">
        <v>2</v>
      </c>
      <c r="LE499" s="100">
        <v>2</v>
      </c>
      <c r="LG499" s="100">
        <v>4</v>
      </c>
      <c r="LI499" s="100">
        <v>2</v>
      </c>
      <c r="LJ499" s="100">
        <v>2</v>
      </c>
      <c r="LK499" s="100">
        <v>2</v>
      </c>
      <c r="LM499" s="100">
        <v>4</v>
      </c>
      <c r="ON499" s="100">
        <f t="shared" si="159"/>
        <v>0</v>
      </c>
    </row>
    <row r="500" spans="1:404" ht="34.5" customHeight="1">
      <c r="A500" s="97" t="str">
        <f t="shared" si="160"/>
        <v>060/NY/PP-USA-2168-72700-02-A</v>
      </c>
      <c r="B500" s="95">
        <v>44578</v>
      </c>
      <c r="C500" s="127">
        <f t="shared" ca="1" si="161"/>
        <v>-486</v>
      </c>
      <c r="D500" s="96" t="s">
        <v>1031</v>
      </c>
      <c r="E500" s="280" t="s">
        <v>225</v>
      </c>
      <c r="F500" s="132" t="str">
        <f t="shared" si="162"/>
        <v>A</v>
      </c>
      <c r="G500" s="130">
        <f ca="1">SUMIF($A:E,$A500,K:K)</f>
        <v>4</v>
      </c>
      <c r="H500" s="97" t="s">
        <v>933</v>
      </c>
      <c r="I500" s="98">
        <v>4</v>
      </c>
      <c r="J500" s="98">
        <v>4</v>
      </c>
      <c r="K500" s="143">
        <f t="shared" si="158"/>
        <v>4</v>
      </c>
      <c r="L500" s="151">
        <f t="shared" si="165"/>
        <v>0</v>
      </c>
      <c r="M500" s="275">
        <f t="shared" si="166"/>
        <v>4</v>
      </c>
      <c r="N500" s="98" t="s">
        <v>1768</v>
      </c>
      <c r="O500" s="93">
        <f t="shared" si="164"/>
        <v>100</v>
      </c>
      <c r="LN500" s="100">
        <v>2</v>
      </c>
      <c r="LP500" s="100">
        <v>2</v>
      </c>
      <c r="ON500" s="100">
        <f t="shared" si="159"/>
        <v>0</v>
      </c>
    </row>
    <row r="501" spans="1:404" ht="30.75" customHeight="1">
      <c r="A501" s="97" t="str">
        <f t="shared" si="160"/>
        <v>191/POTTERYPOT-2168-72700-02-A</v>
      </c>
      <c r="B501" s="95">
        <v>44671</v>
      </c>
      <c r="C501" s="127">
        <f t="shared" ca="1" si="161"/>
        <v>-393</v>
      </c>
      <c r="D501" s="96" t="s">
        <v>1033</v>
      </c>
      <c r="E501" s="280" t="s">
        <v>225</v>
      </c>
      <c r="F501" s="132" t="str">
        <f t="shared" si="162"/>
        <v>A</v>
      </c>
      <c r="G501" s="130">
        <f ca="1">SUMIF($A:E,$A501,K:K)</f>
        <v>0</v>
      </c>
      <c r="H501" s="97" t="s">
        <v>601</v>
      </c>
      <c r="I501" s="98">
        <v>10</v>
      </c>
      <c r="J501" s="97">
        <v>10</v>
      </c>
      <c r="K501" s="143">
        <f t="shared" si="158"/>
        <v>0</v>
      </c>
      <c r="L501" s="151">
        <f t="shared" si="165"/>
        <v>10</v>
      </c>
      <c r="M501" s="275">
        <f t="shared" si="166"/>
        <v>10</v>
      </c>
      <c r="N501" s="98"/>
      <c r="O501" s="93">
        <f>K501/J501*100</f>
        <v>0</v>
      </c>
      <c r="ON501" s="100">
        <f t="shared" si="159"/>
        <v>0</v>
      </c>
    </row>
    <row r="502" spans="1:404" ht="34.5" customHeight="1">
      <c r="A502" s="97" t="str">
        <f t="shared" si="160"/>
        <v>192/POTTERYPOT-2168-72700-02-A</v>
      </c>
      <c r="B502" s="95">
        <v>44445</v>
      </c>
      <c r="C502" s="127">
        <f t="shared" ca="1" si="161"/>
        <v>-619</v>
      </c>
      <c r="D502" s="96" t="s">
        <v>1034</v>
      </c>
      <c r="E502" s="94" t="s">
        <v>225</v>
      </c>
      <c r="F502" s="132" t="str">
        <f t="shared" si="162"/>
        <v>A</v>
      </c>
      <c r="G502" s="130">
        <f ca="1">SUMIF($A:E,$A502,K:K)</f>
        <v>18</v>
      </c>
      <c r="H502" s="97" t="s">
        <v>601</v>
      </c>
      <c r="I502" s="98">
        <v>18</v>
      </c>
      <c r="J502" s="97">
        <v>18</v>
      </c>
      <c r="K502" s="143">
        <f t="shared" si="158"/>
        <v>18</v>
      </c>
      <c r="L502" s="144">
        <f t="shared" si="165"/>
        <v>0</v>
      </c>
      <c r="M502" s="275">
        <f t="shared" si="166"/>
        <v>18</v>
      </c>
      <c r="N502" s="98">
        <v>1</v>
      </c>
      <c r="O502" s="93">
        <f t="shared" si="164"/>
        <v>100</v>
      </c>
      <c r="HF502" s="100">
        <v>1</v>
      </c>
      <c r="HG502" s="100">
        <v>2</v>
      </c>
      <c r="HJ502" s="100">
        <v>3</v>
      </c>
      <c r="HK502" s="100">
        <v>2</v>
      </c>
      <c r="HL502" s="100">
        <v>2</v>
      </c>
      <c r="HM502" s="100">
        <v>2</v>
      </c>
      <c r="HP502" s="100">
        <v>2</v>
      </c>
      <c r="HQ502" s="100">
        <v>4</v>
      </c>
      <c r="ON502" s="100">
        <f t="shared" si="159"/>
        <v>0</v>
      </c>
    </row>
    <row r="503" spans="1:404" ht="30.75" customHeight="1">
      <c r="A503" s="97" t="str">
        <f t="shared" si="160"/>
        <v>193/POTTERYPOT-2168-72700-02-A</v>
      </c>
      <c r="B503" s="114">
        <v>44464</v>
      </c>
      <c r="C503" s="127">
        <f t="shared" ca="1" si="161"/>
        <v>-600</v>
      </c>
      <c r="D503" s="96" t="s">
        <v>1035</v>
      </c>
      <c r="E503" s="94" t="s">
        <v>225</v>
      </c>
      <c r="F503" s="132" t="str">
        <f t="shared" si="162"/>
        <v>A</v>
      </c>
      <c r="G503" s="130">
        <f ca="1">SUMIF($A:E,$A503,K:K)</f>
        <v>18</v>
      </c>
      <c r="H503" s="97" t="s">
        <v>601</v>
      </c>
      <c r="I503" s="98">
        <v>18</v>
      </c>
      <c r="J503" s="97">
        <v>18</v>
      </c>
      <c r="K503" s="143">
        <f t="shared" si="158"/>
        <v>18</v>
      </c>
      <c r="L503" s="144">
        <f t="shared" si="165"/>
        <v>0</v>
      </c>
      <c r="M503" s="275">
        <f t="shared" si="166"/>
        <v>18</v>
      </c>
      <c r="N503" s="98">
        <v>1</v>
      </c>
      <c r="O503" s="93">
        <f t="shared" si="164"/>
        <v>100</v>
      </c>
      <c r="HT503" s="100">
        <v>2</v>
      </c>
      <c r="HU503" s="100">
        <v>1</v>
      </c>
      <c r="HW503" s="100">
        <v>2</v>
      </c>
      <c r="HX503" s="100">
        <v>3</v>
      </c>
      <c r="HY503" s="100">
        <v>2</v>
      </c>
      <c r="IB503" s="100">
        <v>1</v>
      </c>
      <c r="ID503" s="100">
        <v>2</v>
      </c>
      <c r="IE503" s="100">
        <v>2</v>
      </c>
      <c r="IG503" s="100">
        <v>2</v>
      </c>
      <c r="IL503" s="100">
        <v>1</v>
      </c>
      <c r="ON503" s="100">
        <f t="shared" si="159"/>
        <v>0</v>
      </c>
    </row>
    <row r="504" spans="1:404" ht="30.75" customHeight="1">
      <c r="A504" s="97" t="s">
        <v>1774</v>
      </c>
      <c r="B504" s="114">
        <v>44469</v>
      </c>
      <c r="C504" s="127">
        <v>18</v>
      </c>
      <c r="D504" s="96" t="s">
        <v>1036</v>
      </c>
      <c r="E504" s="94" t="s">
        <v>225</v>
      </c>
      <c r="F504" s="132" t="s">
        <v>1775</v>
      </c>
      <c r="G504" s="130">
        <v>0</v>
      </c>
      <c r="H504" s="97" t="s">
        <v>601</v>
      </c>
      <c r="I504" s="98">
        <v>18</v>
      </c>
      <c r="J504" s="97">
        <v>2</v>
      </c>
      <c r="K504" s="143">
        <f t="shared" si="158"/>
        <v>2</v>
      </c>
      <c r="L504" s="144">
        <f t="shared" si="165"/>
        <v>0</v>
      </c>
      <c r="M504" s="275">
        <f t="shared" si="166"/>
        <v>18</v>
      </c>
      <c r="N504" s="98">
        <v>1</v>
      </c>
      <c r="O504" s="93">
        <f>K504/J504*100</f>
        <v>100</v>
      </c>
      <c r="IL504" s="100">
        <v>1</v>
      </c>
      <c r="IU504" s="100">
        <v>1</v>
      </c>
      <c r="ON504" s="100">
        <f t="shared" si="159"/>
        <v>0</v>
      </c>
    </row>
    <row r="505" spans="1:404" ht="30.75" customHeight="1">
      <c r="A505" s="97" t="str">
        <f t="shared" ref="A505:A531" si="167">D505&amp;E505</f>
        <v>194/POTTERYPOT-2168-72700-02-A</v>
      </c>
      <c r="B505" s="114">
        <v>44469</v>
      </c>
      <c r="C505" s="127">
        <f t="shared" ref="C505:C531" ca="1" si="168">B505-TODAY()</f>
        <v>-595</v>
      </c>
      <c r="D505" s="96" t="s">
        <v>1036</v>
      </c>
      <c r="E505" s="280" t="s">
        <v>225</v>
      </c>
      <c r="F505" s="132" t="str">
        <f t="shared" ref="F505:F531" si="169">MID(E505,13,2)</f>
        <v>A</v>
      </c>
      <c r="G505" s="130">
        <f ca="1">SUMIF($A:E,$A505,K:K)</f>
        <v>16</v>
      </c>
      <c r="H505" s="97" t="s">
        <v>601</v>
      </c>
      <c r="I505" s="98">
        <v>18</v>
      </c>
      <c r="J505" s="97">
        <v>16</v>
      </c>
      <c r="K505" s="143">
        <f t="shared" si="158"/>
        <v>16</v>
      </c>
      <c r="L505" s="151">
        <f t="shared" si="165"/>
        <v>0</v>
      </c>
      <c r="M505" s="275">
        <f t="shared" si="166"/>
        <v>18</v>
      </c>
      <c r="N505" s="98" t="s">
        <v>1768</v>
      </c>
      <c r="O505" s="93">
        <f t="shared" ref="O505:O517" si="170">K505/J505*100</f>
        <v>100</v>
      </c>
      <c r="IL505" s="100">
        <v>3</v>
      </c>
      <c r="IN505" s="100">
        <v>4</v>
      </c>
      <c r="IP505" s="100">
        <v>6</v>
      </c>
      <c r="IR505" s="100">
        <v>3</v>
      </c>
      <c r="ON505" s="100">
        <f t="shared" si="159"/>
        <v>0</v>
      </c>
    </row>
    <row r="506" spans="1:404" ht="30.75" customHeight="1">
      <c r="A506" s="97" t="str">
        <f t="shared" si="167"/>
        <v>195/POTTERYPOT-2168-72700-02-A</v>
      </c>
      <c r="B506" s="114">
        <v>44468</v>
      </c>
      <c r="C506" s="127">
        <f t="shared" ca="1" si="168"/>
        <v>-596</v>
      </c>
      <c r="D506" s="96" t="s">
        <v>1037</v>
      </c>
      <c r="E506" s="280" t="s">
        <v>225</v>
      </c>
      <c r="F506" s="132" t="str">
        <f t="shared" si="169"/>
        <v>A</v>
      </c>
      <c r="G506" s="130">
        <f ca="1">SUMIF($A:E,$A506,K:K)</f>
        <v>18</v>
      </c>
      <c r="H506" s="97" t="s">
        <v>601</v>
      </c>
      <c r="I506" s="98">
        <v>18</v>
      </c>
      <c r="J506" s="97">
        <v>18</v>
      </c>
      <c r="K506" s="143">
        <f t="shared" si="158"/>
        <v>18</v>
      </c>
      <c r="L506" s="144">
        <f t="shared" si="165"/>
        <v>0</v>
      </c>
      <c r="M506" s="275">
        <f t="shared" si="166"/>
        <v>18</v>
      </c>
      <c r="N506" s="98" t="s">
        <v>1768</v>
      </c>
      <c r="O506" s="93">
        <f t="shared" si="170"/>
        <v>100</v>
      </c>
      <c r="IT506" s="100">
        <v>2</v>
      </c>
      <c r="IU506" s="100">
        <v>4</v>
      </c>
      <c r="IV506" s="100">
        <v>3</v>
      </c>
      <c r="IY506" s="100">
        <v>3</v>
      </c>
      <c r="IZ506" s="100">
        <v>5</v>
      </c>
      <c r="JA506" s="100">
        <v>1</v>
      </c>
      <c r="ON506" s="100">
        <f t="shared" si="159"/>
        <v>0</v>
      </c>
    </row>
    <row r="507" spans="1:404" ht="30.75" customHeight="1">
      <c r="A507" s="97" t="str">
        <f t="shared" si="167"/>
        <v>196/POTTERYPOT-2168-72700-02-A</v>
      </c>
      <c r="B507" s="95">
        <v>44671</v>
      </c>
      <c r="C507" s="127">
        <f t="shared" ca="1" si="168"/>
        <v>-393</v>
      </c>
      <c r="D507" s="96" t="s">
        <v>1038</v>
      </c>
      <c r="E507" s="280" t="s">
        <v>225</v>
      </c>
      <c r="F507" s="132" t="str">
        <f t="shared" si="169"/>
        <v>A</v>
      </c>
      <c r="G507" s="130">
        <f ca="1">SUMIF($A:E,$A507,K:K)</f>
        <v>0</v>
      </c>
      <c r="H507" s="97" t="s">
        <v>601</v>
      </c>
      <c r="I507" s="98">
        <v>18</v>
      </c>
      <c r="J507" s="98">
        <v>18</v>
      </c>
      <c r="K507" s="143">
        <f t="shared" si="158"/>
        <v>0</v>
      </c>
      <c r="L507" s="151">
        <f t="shared" si="165"/>
        <v>18</v>
      </c>
      <c r="M507" s="275">
        <f t="shared" si="166"/>
        <v>18</v>
      </c>
      <c r="N507" s="98"/>
      <c r="O507" s="93">
        <f>K507/J507*100</f>
        <v>0</v>
      </c>
      <c r="ON507" s="100">
        <f t="shared" si="159"/>
        <v>0</v>
      </c>
    </row>
    <row r="508" spans="1:404" ht="30.75" customHeight="1">
      <c r="A508" s="97" t="str">
        <f t="shared" si="167"/>
        <v>125A/POTTERYPOT-2168-72700-02-A</v>
      </c>
      <c r="B508" s="114">
        <v>44453</v>
      </c>
      <c r="C508" s="127">
        <f t="shared" ca="1" si="168"/>
        <v>-611</v>
      </c>
      <c r="D508" s="96" t="s">
        <v>1076</v>
      </c>
      <c r="E508" s="94" t="s">
        <v>225</v>
      </c>
      <c r="F508" s="132" t="str">
        <f t="shared" si="169"/>
        <v>A</v>
      </c>
      <c r="G508" s="130">
        <f ca="1">SUMIF($A:E,$A508,K:K)</f>
        <v>4</v>
      </c>
      <c r="H508" s="97" t="s">
        <v>964</v>
      </c>
      <c r="I508" s="98">
        <v>4</v>
      </c>
      <c r="J508" s="97">
        <v>4</v>
      </c>
      <c r="K508" s="143">
        <f t="shared" si="158"/>
        <v>4</v>
      </c>
      <c r="L508" s="144">
        <f t="shared" si="165"/>
        <v>0</v>
      </c>
      <c r="M508" s="275">
        <f t="shared" si="166"/>
        <v>4</v>
      </c>
      <c r="N508" s="98">
        <v>1</v>
      </c>
      <c r="O508" s="93">
        <f t="shared" si="170"/>
        <v>100</v>
      </c>
      <c r="HR508" s="100">
        <v>2</v>
      </c>
      <c r="HS508" s="100">
        <v>2</v>
      </c>
      <c r="ON508" s="100">
        <f t="shared" si="159"/>
        <v>0</v>
      </c>
    </row>
    <row r="509" spans="1:404" ht="30.75" customHeight="1">
      <c r="A509" s="97" t="str">
        <f t="shared" si="167"/>
        <v>228/POTTERYPOT-2168-72700-02-A</v>
      </c>
      <c r="B509" s="114">
        <v>44566</v>
      </c>
      <c r="C509" s="127">
        <f t="shared" ca="1" si="168"/>
        <v>-498</v>
      </c>
      <c r="D509" s="96" t="s">
        <v>1083</v>
      </c>
      <c r="E509" s="280" t="s">
        <v>225</v>
      </c>
      <c r="F509" s="132" t="str">
        <f t="shared" si="169"/>
        <v>A</v>
      </c>
      <c r="G509" s="130">
        <f ca="1">SUMIF($A:E,$A509,K:K)</f>
        <v>8</v>
      </c>
      <c r="H509" s="97" t="s">
        <v>601</v>
      </c>
      <c r="I509" s="98">
        <v>8</v>
      </c>
      <c r="J509" s="97">
        <v>8</v>
      </c>
      <c r="K509" s="143">
        <f t="shared" si="158"/>
        <v>8</v>
      </c>
      <c r="L509" s="151">
        <f t="shared" si="165"/>
        <v>0</v>
      </c>
      <c r="M509" s="275">
        <f t="shared" si="166"/>
        <v>8</v>
      </c>
      <c r="N509" s="98" t="s">
        <v>1768</v>
      </c>
      <c r="O509" s="93">
        <f t="shared" si="170"/>
        <v>100</v>
      </c>
      <c r="JF509" s="100">
        <v>3</v>
      </c>
      <c r="JH509" s="100">
        <v>4</v>
      </c>
      <c r="JI509" s="100">
        <v>1</v>
      </c>
      <c r="ON509" s="100">
        <f t="shared" si="159"/>
        <v>0</v>
      </c>
    </row>
    <row r="510" spans="1:404" ht="30.75" customHeight="1">
      <c r="A510" s="97" t="str">
        <f t="shared" si="167"/>
        <v>227/POTERTYPOT-2168-72700-02-A</v>
      </c>
      <c r="B510" s="114">
        <v>44557</v>
      </c>
      <c r="C510" s="127">
        <f t="shared" ca="1" si="168"/>
        <v>-507</v>
      </c>
      <c r="D510" s="96" t="s">
        <v>1084</v>
      </c>
      <c r="E510" s="280" t="s">
        <v>225</v>
      </c>
      <c r="F510" s="132" t="str">
        <f t="shared" si="169"/>
        <v>A</v>
      </c>
      <c r="G510" s="130">
        <f ca="1">SUMIF($A:E,$A510,K:K)</f>
        <v>8</v>
      </c>
      <c r="H510" s="97" t="s">
        <v>601</v>
      </c>
      <c r="I510" s="98">
        <v>8</v>
      </c>
      <c r="J510" s="97">
        <v>8</v>
      </c>
      <c r="K510" s="143">
        <f t="shared" si="158"/>
        <v>8</v>
      </c>
      <c r="L510" s="144">
        <f t="shared" si="165"/>
        <v>0</v>
      </c>
      <c r="M510" s="275">
        <f t="shared" si="166"/>
        <v>8</v>
      </c>
      <c r="N510" s="98" t="s">
        <v>1768</v>
      </c>
      <c r="O510" s="93">
        <f t="shared" si="170"/>
        <v>100</v>
      </c>
      <c r="JA510" s="100">
        <v>1</v>
      </c>
      <c r="JD510" s="100">
        <v>4</v>
      </c>
      <c r="JF510" s="100">
        <v>3</v>
      </c>
      <c r="ON510" s="100">
        <f t="shared" si="159"/>
        <v>0</v>
      </c>
    </row>
    <row r="511" spans="1:404" ht="30.75" customHeight="1">
      <c r="A511" s="97" t="str">
        <f t="shared" si="167"/>
        <v>217/POTERTYPOT-2168-72700-02-A</v>
      </c>
      <c r="B511" s="114">
        <v>44625</v>
      </c>
      <c r="C511" s="127">
        <f t="shared" ca="1" si="168"/>
        <v>-439</v>
      </c>
      <c r="D511" s="96" t="s">
        <v>1085</v>
      </c>
      <c r="E511" s="94" t="s">
        <v>225</v>
      </c>
      <c r="F511" s="132" t="str">
        <f t="shared" si="169"/>
        <v>A</v>
      </c>
      <c r="G511" s="130">
        <f ca="1">SUMIF($A:E,$A511,K:K)</f>
        <v>32</v>
      </c>
      <c r="H511" s="97" t="s">
        <v>601</v>
      </c>
      <c r="I511" s="98">
        <v>16</v>
      </c>
      <c r="J511" s="97">
        <v>16</v>
      </c>
      <c r="K511" s="143">
        <f t="shared" si="158"/>
        <v>32</v>
      </c>
      <c r="L511" s="151">
        <f t="shared" si="165"/>
        <v>-16</v>
      </c>
      <c r="M511" s="275">
        <f t="shared" si="166"/>
        <v>16</v>
      </c>
      <c r="N511" s="98" t="s">
        <v>1768</v>
      </c>
      <c r="O511" s="93">
        <f>K511/J511*100</f>
        <v>200</v>
      </c>
      <c r="NV511" s="100">
        <v>2</v>
      </c>
      <c r="NY511" s="100">
        <v>2</v>
      </c>
      <c r="NZ511" s="100">
        <v>2</v>
      </c>
      <c r="OA511" s="100">
        <v>2</v>
      </c>
      <c r="OB511" s="100">
        <v>4</v>
      </c>
      <c r="OC511" s="100">
        <v>4</v>
      </c>
      <c r="ON511" s="100">
        <f t="shared" si="159"/>
        <v>16</v>
      </c>
    </row>
    <row r="512" spans="1:404" ht="30.75" customHeight="1">
      <c r="A512" s="97" t="str">
        <f t="shared" si="167"/>
        <v>081A/NY/PP-USA-2168-72700-02-A</v>
      </c>
      <c r="B512" s="114">
        <v>44774</v>
      </c>
      <c r="C512" s="127">
        <f t="shared" ca="1" si="168"/>
        <v>-290</v>
      </c>
      <c r="D512" s="96" t="s">
        <v>1270</v>
      </c>
      <c r="E512" s="280" t="s">
        <v>225</v>
      </c>
      <c r="F512" s="132" t="str">
        <f t="shared" si="169"/>
        <v>A</v>
      </c>
      <c r="G512" s="130">
        <f ca="1">SUMIF($A:E,$A512,K:K)</f>
        <v>18</v>
      </c>
      <c r="H512" s="97" t="s">
        <v>933</v>
      </c>
      <c r="I512" s="98">
        <v>18</v>
      </c>
      <c r="J512" s="98">
        <v>18</v>
      </c>
      <c r="K512" s="143">
        <f t="shared" si="158"/>
        <v>18</v>
      </c>
      <c r="L512" s="151">
        <f t="shared" si="165"/>
        <v>0</v>
      </c>
      <c r="M512" s="275">
        <f t="shared" si="166"/>
        <v>18</v>
      </c>
      <c r="N512" s="98" t="s">
        <v>1768</v>
      </c>
      <c r="O512" s="93">
        <f t="shared" si="170"/>
        <v>100</v>
      </c>
      <c r="KR512" s="100">
        <v>2</v>
      </c>
      <c r="KU512" s="100">
        <v>2</v>
      </c>
      <c r="KW512" s="100">
        <v>4</v>
      </c>
      <c r="KX512" s="100">
        <v>1</v>
      </c>
      <c r="KY512" s="100">
        <v>2</v>
      </c>
      <c r="LB512" s="100">
        <v>5</v>
      </c>
      <c r="LC512" s="100">
        <v>2</v>
      </c>
      <c r="ON512" s="100">
        <f t="shared" si="159"/>
        <v>0</v>
      </c>
    </row>
    <row r="513" spans="1:404" ht="30.75" customHeight="1">
      <c r="A513" s="97" t="str">
        <f t="shared" si="167"/>
        <v>382A/POTTERYPOT-2168-72700-02-A</v>
      </c>
      <c r="B513" s="114">
        <v>44746</v>
      </c>
      <c r="C513" s="127">
        <f t="shared" ca="1" si="168"/>
        <v>-318</v>
      </c>
      <c r="D513" s="128" t="s">
        <v>1285</v>
      </c>
      <c r="E513" s="287" t="s">
        <v>225</v>
      </c>
      <c r="F513" s="132" t="str">
        <f t="shared" si="169"/>
        <v>A</v>
      </c>
      <c r="G513" s="130">
        <f ca="1">SUMIF($A:E,$A513,K:K)</f>
        <v>0</v>
      </c>
      <c r="H513" s="127" t="s">
        <v>964</v>
      </c>
      <c r="I513" s="132">
        <v>8</v>
      </c>
      <c r="J513" s="127">
        <v>8</v>
      </c>
      <c r="K513" s="143">
        <f t="shared" si="158"/>
        <v>0</v>
      </c>
      <c r="L513" s="151">
        <f t="shared" si="165"/>
        <v>8</v>
      </c>
      <c r="M513" s="275">
        <f t="shared" si="166"/>
        <v>8</v>
      </c>
      <c r="N513" s="132" t="s">
        <v>1768</v>
      </c>
      <c r="O513" s="93">
        <f>K513/J513*100</f>
        <v>0</v>
      </c>
      <c r="ON513" s="100">
        <f t="shared" si="159"/>
        <v>0</v>
      </c>
    </row>
    <row r="514" spans="1:404" ht="30.75" customHeight="1">
      <c r="A514" s="97" t="str">
        <f t="shared" si="167"/>
        <v>216/KHBS-2168-72700-02-A</v>
      </c>
      <c r="B514" s="114">
        <v>44392</v>
      </c>
      <c r="C514" s="97">
        <f t="shared" ca="1" si="168"/>
        <v>-672</v>
      </c>
      <c r="D514" s="96" t="s">
        <v>1306</v>
      </c>
      <c r="E514" s="94" t="s">
        <v>225</v>
      </c>
      <c r="F514" s="98" t="str">
        <f t="shared" si="169"/>
        <v>A</v>
      </c>
      <c r="G514" s="110">
        <f ca="1">SUMIF($A:E,$A514,K:K)</f>
        <v>2</v>
      </c>
      <c r="H514" s="97" t="s">
        <v>601</v>
      </c>
      <c r="I514" s="98">
        <v>2</v>
      </c>
      <c r="J514" s="99">
        <v>2</v>
      </c>
      <c r="K514" s="143">
        <f t="shared" si="158"/>
        <v>2</v>
      </c>
      <c r="L514" s="144">
        <f t="shared" si="165"/>
        <v>0</v>
      </c>
      <c r="M514" s="275">
        <f t="shared" si="166"/>
        <v>2</v>
      </c>
      <c r="N514" s="98">
        <v>1</v>
      </c>
      <c r="O514" s="93">
        <f t="shared" si="170"/>
        <v>100</v>
      </c>
      <c r="GA514" s="100">
        <v>2</v>
      </c>
      <c r="ON514" s="100">
        <f t="shared" si="159"/>
        <v>0</v>
      </c>
    </row>
    <row r="515" spans="1:404" ht="30.75" customHeight="1">
      <c r="A515" s="97" t="str">
        <f t="shared" si="167"/>
        <v>321/POTTERYPOT-2168-72700-02-A</v>
      </c>
      <c r="B515" s="95">
        <v>44669</v>
      </c>
      <c r="C515" s="97">
        <f t="shared" ca="1" si="168"/>
        <v>-395</v>
      </c>
      <c r="D515" s="112" t="s">
        <v>1337</v>
      </c>
      <c r="E515" s="279" t="s">
        <v>225</v>
      </c>
      <c r="F515" s="98" t="str">
        <f t="shared" si="169"/>
        <v>A</v>
      </c>
      <c r="G515" s="110">
        <f ca="1">SUMIF($A:E,$A515,K:K)</f>
        <v>0</v>
      </c>
      <c r="H515" s="135" t="s">
        <v>1360</v>
      </c>
      <c r="I515" s="175">
        <v>11</v>
      </c>
      <c r="J515" s="115">
        <v>12</v>
      </c>
      <c r="K515" s="143">
        <f t="shared" si="158"/>
        <v>0</v>
      </c>
      <c r="L515" s="144">
        <f t="shared" si="165"/>
        <v>12</v>
      </c>
      <c r="M515" s="275">
        <f t="shared" si="166"/>
        <v>11</v>
      </c>
      <c r="N515" s="98" t="s">
        <v>1776</v>
      </c>
      <c r="O515" s="93">
        <f t="shared" si="170"/>
        <v>0</v>
      </c>
      <c r="ON515" s="100">
        <f t="shared" si="159"/>
        <v>0</v>
      </c>
    </row>
    <row r="516" spans="1:404" ht="30.75" customHeight="1">
      <c r="A516" s="97" t="str">
        <f t="shared" si="167"/>
        <v>328/POTTERYPOT-2168-72700-02-A</v>
      </c>
      <c r="B516" s="114">
        <v>44850</v>
      </c>
      <c r="C516" s="135">
        <f t="shared" ca="1" si="168"/>
        <v>-214</v>
      </c>
      <c r="D516" s="234" t="s">
        <v>1344</v>
      </c>
      <c r="E516" s="284" t="s">
        <v>225</v>
      </c>
      <c r="F516" s="136" t="str">
        <f t="shared" si="169"/>
        <v>A</v>
      </c>
      <c r="G516" s="137">
        <f ca="1">SUMIF($A:E,$A516,K:K)</f>
        <v>0</v>
      </c>
      <c r="H516" s="138" t="s">
        <v>1360</v>
      </c>
      <c r="I516" s="236">
        <v>16</v>
      </c>
      <c r="J516" s="240">
        <v>16</v>
      </c>
      <c r="K516" s="166">
        <f t="shared" ref="K516:K579" si="171">SUM(P516:BBC516)</f>
        <v>0</v>
      </c>
      <c r="L516" s="150">
        <f t="shared" si="165"/>
        <v>16</v>
      </c>
      <c r="M516" s="275">
        <f t="shared" si="166"/>
        <v>16</v>
      </c>
      <c r="N516" s="133"/>
      <c r="O516" s="93">
        <f t="shared" si="170"/>
        <v>0</v>
      </c>
      <c r="ON516" s="100">
        <f t="shared" ref="ON516:ON579" si="172">SUM(NS516:OM516)</f>
        <v>0</v>
      </c>
    </row>
    <row r="517" spans="1:404" ht="34.5" customHeight="1">
      <c r="A517" s="97" t="str">
        <f t="shared" si="167"/>
        <v>329/POTTERYPOT-2168-72700-02-A</v>
      </c>
      <c r="B517" s="95">
        <v>44611</v>
      </c>
      <c r="C517" s="127">
        <f t="shared" ca="1" si="168"/>
        <v>-453</v>
      </c>
      <c r="D517" s="112" t="s">
        <v>1345</v>
      </c>
      <c r="E517" s="279" t="s">
        <v>225</v>
      </c>
      <c r="F517" s="132" t="str">
        <f t="shared" si="169"/>
        <v>A</v>
      </c>
      <c r="G517" s="130">
        <f ca="1">SUMIF($A:E,$A517,K:K)</f>
        <v>49</v>
      </c>
      <c r="H517" s="97" t="s">
        <v>1360</v>
      </c>
      <c r="I517" s="175">
        <v>48</v>
      </c>
      <c r="J517" s="115">
        <v>48</v>
      </c>
      <c r="K517" s="143">
        <f t="shared" si="171"/>
        <v>49</v>
      </c>
      <c r="L517" s="151">
        <f t="shared" si="165"/>
        <v>-1</v>
      </c>
      <c r="M517" s="275">
        <f t="shared" si="166"/>
        <v>48</v>
      </c>
      <c r="N517" s="98" t="s">
        <v>1768</v>
      </c>
      <c r="O517" s="93">
        <f t="shared" si="170"/>
        <v>102.08333333333333</v>
      </c>
      <c r="MH517" s="100">
        <v>1</v>
      </c>
      <c r="ML517" s="100">
        <v>2</v>
      </c>
      <c r="MN517" s="100">
        <v>2</v>
      </c>
      <c r="MO517" s="100">
        <v>4</v>
      </c>
      <c r="MQ517" s="100">
        <v>2</v>
      </c>
      <c r="MR517" s="100">
        <v>2</v>
      </c>
      <c r="MS517" s="100">
        <v>2</v>
      </c>
      <c r="MT517" s="100">
        <v>2</v>
      </c>
      <c r="MU517" s="100">
        <v>2</v>
      </c>
      <c r="MW517" s="100">
        <v>2</v>
      </c>
      <c r="MX517" s="100">
        <v>2</v>
      </c>
      <c r="MY517" s="100">
        <v>2</v>
      </c>
      <c r="MZ517" s="100">
        <v>2</v>
      </c>
      <c r="NA517" s="100">
        <v>2</v>
      </c>
      <c r="ND517" s="100">
        <v>2</v>
      </c>
      <c r="NE517" s="100">
        <v>2</v>
      </c>
      <c r="NF517" s="100">
        <v>2</v>
      </c>
      <c r="NG517" s="100">
        <v>2</v>
      </c>
      <c r="NI517" s="100">
        <v>2</v>
      </c>
      <c r="NK517" s="100">
        <v>2</v>
      </c>
      <c r="NL517" s="100">
        <v>2</v>
      </c>
      <c r="NM517" s="100">
        <v>2</v>
      </c>
      <c r="NN517" s="100">
        <v>2</v>
      </c>
      <c r="NU517" s="100">
        <v>1</v>
      </c>
      <c r="ON517" s="100">
        <f t="shared" si="172"/>
        <v>1</v>
      </c>
    </row>
    <row r="518" spans="1:404" ht="30.75" customHeight="1">
      <c r="A518" s="97" t="str">
        <f t="shared" si="167"/>
        <v>330/POTTERYPOT-2168-72700-02-A</v>
      </c>
      <c r="B518" s="114">
        <v>44639</v>
      </c>
      <c r="C518" s="127">
        <f t="shared" ca="1" si="168"/>
        <v>-425</v>
      </c>
      <c r="D518" s="112" t="s">
        <v>1346</v>
      </c>
      <c r="E518" s="279" t="s">
        <v>225</v>
      </c>
      <c r="F518" s="132" t="str">
        <f t="shared" si="169"/>
        <v>A</v>
      </c>
      <c r="G518" s="130">
        <f ca="1">SUMIF($A:E,$A518,K:K)</f>
        <v>66</v>
      </c>
      <c r="H518" s="97" t="s">
        <v>1360</v>
      </c>
      <c r="I518" s="175">
        <v>48</v>
      </c>
      <c r="J518" s="115">
        <v>48</v>
      </c>
      <c r="K518" s="143">
        <f t="shared" si="171"/>
        <v>66</v>
      </c>
      <c r="L518" s="151">
        <f t="shared" si="165"/>
        <v>-18</v>
      </c>
      <c r="M518" s="275">
        <f t="shared" si="166"/>
        <v>48</v>
      </c>
      <c r="N518" s="98" t="s">
        <v>1768</v>
      </c>
      <c r="O518" s="93">
        <f>K518/J518*100</f>
        <v>137.5</v>
      </c>
      <c r="NU518" s="100">
        <v>5</v>
      </c>
      <c r="OF518" s="100">
        <v>8</v>
      </c>
      <c r="OG518" s="100">
        <v>2</v>
      </c>
      <c r="OH518" s="100">
        <v>4</v>
      </c>
      <c r="OI518" s="100">
        <v>4</v>
      </c>
      <c r="OJ518" s="100">
        <v>4</v>
      </c>
      <c r="OK518" s="100">
        <v>4</v>
      </c>
      <c r="OM518" s="100">
        <v>2</v>
      </c>
      <c r="ON518" s="100">
        <f t="shared" si="172"/>
        <v>33</v>
      </c>
    </row>
    <row r="519" spans="1:404" ht="34.5" customHeight="1">
      <c r="A519" s="97" t="str">
        <f t="shared" si="167"/>
        <v>331/POTTERYPOT-2168-72700-02-A</v>
      </c>
      <c r="B519" s="95">
        <v>44647</v>
      </c>
      <c r="C519" s="127">
        <f t="shared" ca="1" si="168"/>
        <v>-417</v>
      </c>
      <c r="D519" s="112" t="s">
        <v>1347</v>
      </c>
      <c r="E519" s="279" t="s">
        <v>225</v>
      </c>
      <c r="F519" s="132" t="str">
        <f t="shared" si="169"/>
        <v>A</v>
      </c>
      <c r="G519" s="130">
        <f ca="1">SUMIF($A:E,$A519,K:K)</f>
        <v>0</v>
      </c>
      <c r="H519" s="97" t="s">
        <v>927</v>
      </c>
      <c r="I519" s="175">
        <v>14</v>
      </c>
      <c r="J519" s="115">
        <v>14</v>
      </c>
      <c r="K519" s="143">
        <f t="shared" si="171"/>
        <v>0</v>
      </c>
      <c r="L519" s="151">
        <f t="shared" si="165"/>
        <v>14</v>
      </c>
      <c r="M519" s="275">
        <f t="shared" si="166"/>
        <v>14</v>
      </c>
      <c r="N519" s="98" t="s">
        <v>1776</v>
      </c>
      <c r="O519" s="93">
        <v>7</v>
      </c>
      <c r="ON519" s="100">
        <f t="shared" si="172"/>
        <v>0</v>
      </c>
    </row>
    <row r="520" spans="1:404" ht="30.75" customHeight="1">
      <c r="A520" s="97" t="str">
        <f t="shared" si="167"/>
        <v>004/COCOON-2168-72700-02-05</v>
      </c>
      <c r="B520" s="114">
        <v>44386</v>
      </c>
      <c r="C520" s="127">
        <f t="shared" ca="1" si="168"/>
        <v>-678</v>
      </c>
      <c r="D520" s="145" t="s">
        <v>780</v>
      </c>
      <c r="E520" s="253" t="s">
        <v>563</v>
      </c>
      <c r="F520" s="132" t="str">
        <f t="shared" si="169"/>
        <v>05</v>
      </c>
      <c r="G520" s="130">
        <f ca="1">SUMIF($A:E,$A520,K:K)</f>
        <v>8</v>
      </c>
      <c r="H520" s="97" t="s">
        <v>784</v>
      </c>
      <c r="I520" s="196">
        <v>8</v>
      </c>
      <c r="J520" s="146">
        <v>8</v>
      </c>
      <c r="K520" s="143">
        <f t="shared" si="171"/>
        <v>8</v>
      </c>
      <c r="L520" s="144">
        <f t="shared" si="165"/>
        <v>0</v>
      </c>
      <c r="M520" s="275">
        <f t="shared" si="166"/>
        <v>8</v>
      </c>
      <c r="N520" s="98">
        <v>1</v>
      </c>
      <c r="O520" s="93">
        <f t="shared" ref="O520:O546" si="173">K520/J520*100</f>
        <v>100</v>
      </c>
      <c r="DO520" s="101">
        <v>2</v>
      </c>
      <c r="DP520" s="101">
        <v>1</v>
      </c>
      <c r="DR520" s="101">
        <v>1</v>
      </c>
      <c r="DS520" s="100">
        <v>4</v>
      </c>
      <c r="ON520" s="100">
        <f t="shared" si="172"/>
        <v>0</v>
      </c>
    </row>
    <row r="521" spans="1:404" ht="30.75" customHeight="1">
      <c r="A521" s="97" t="str">
        <f t="shared" si="167"/>
        <v>005/COCOON-21 (đợt 2)68-72700-02-05</v>
      </c>
      <c r="B521" s="114">
        <v>44565</v>
      </c>
      <c r="C521" s="127">
        <f t="shared" ca="1" si="168"/>
        <v>-499</v>
      </c>
      <c r="D521" s="96" t="s">
        <v>1072</v>
      </c>
      <c r="E521" s="280" t="s">
        <v>563</v>
      </c>
      <c r="F521" s="132" t="str">
        <f t="shared" si="169"/>
        <v>05</v>
      </c>
      <c r="G521" s="130">
        <f ca="1">SUMIF($A:E,$A521,K:K)</f>
        <v>20</v>
      </c>
      <c r="H521" s="97" t="s">
        <v>721</v>
      </c>
      <c r="I521" s="98">
        <v>20</v>
      </c>
      <c r="J521" s="99">
        <v>20</v>
      </c>
      <c r="K521" s="143">
        <f t="shared" si="171"/>
        <v>20</v>
      </c>
      <c r="L521" s="151">
        <f t="shared" ref="L521" si="174">J521-K521</f>
        <v>0</v>
      </c>
      <c r="M521" s="275">
        <f t="shared" si="166"/>
        <v>20</v>
      </c>
      <c r="N521" s="98" t="s">
        <v>1768</v>
      </c>
      <c r="O521" s="93">
        <v>3</v>
      </c>
      <c r="KB521" s="100">
        <v>2</v>
      </c>
      <c r="KC521" s="100">
        <v>2</v>
      </c>
      <c r="KE521" s="100">
        <v>3</v>
      </c>
      <c r="KF521" s="100">
        <v>2</v>
      </c>
      <c r="KH521" s="100">
        <v>3</v>
      </c>
      <c r="KJ521" s="100">
        <v>2</v>
      </c>
      <c r="KN521" s="100">
        <v>2</v>
      </c>
      <c r="KO521" s="100">
        <v>2</v>
      </c>
      <c r="KP521" s="100">
        <v>2</v>
      </c>
      <c r="ON521" s="100">
        <f t="shared" si="172"/>
        <v>0</v>
      </c>
    </row>
    <row r="522" spans="1:404" ht="30.75" customHeight="1">
      <c r="A522" s="97" t="str">
        <f t="shared" si="167"/>
        <v>001/COCOON-2168-72700-02-01</v>
      </c>
      <c r="B522" s="114">
        <v>44324</v>
      </c>
      <c r="C522" s="127">
        <f t="shared" ca="1" si="168"/>
        <v>-740</v>
      </c>
      <c r="D522" s="145" t="s">
        <v>717</v>
      </c>
      <c r="E522" s="253" t="s">
        <v>551</v>
      </c>
      <c r="F522" s="132" t="str">
        <f t="shared" si="169"/>
        <v>01</v>
      </c>
      <c r="G522" s="130">
        <f ca="1">SUMIF($A:E,$A522,K:K)</f>
        <v>12</v>
      </c>
      <c r="H522" s="97" t="s">
        <v>721</v>
      </c>
      <c r="I522" s="196">
        <v>12</v>
      </c>
      <c r="J522" s="146">
        <v>12</v>
      </c>
      <c r="K522" s="143">
        <f t="shared" si="171"/>
        <v>12</v>
      </c>
      <c r="L522" s="144">
        <f t="shared" si="165"/>
        <v>0</v>
      </c>
      <c r="M522" s="275">
        <f t="shared" si="166"/>
        <v>12</v>
      </c>
      <c r="N522" s="98">
        <v>1</v>
      </c>
      <c r="O522" s="93">
        <f t="shared" si="173"/>
        <v>100</v>
      </c>
      <c r="BR522" s="101">
        <v>2</v>
      </c>
      <c r="BS522" s="101">
        <v>2</v>
      </c>
      <c r="BT522" s="101">
        <v>2</v>
      </c>
      <c r="BU522" s="121">
        <v>4</v>
      </c>
      <c r="BV522" s="101">
        <v>2</v>
      </c>
      <c r="ON522" s="100">
        <f t="shared" si="172"/>
        <v>0</v>
      </c>
    </row>
    <row r="523" spans="1:404" ht="30.75" customHeight="1">
      <c r="A523" s="97" t="str">
        <f t="shared" si="167"/>
        <v>004/COCOON-2168-72700-02-01</v>
      </c>
      <c r="B523" s="114">
        <v>44386</v>
      </c>
      <c r="C523" s="127">
        <f t="shared" ca="1" si="168"/>
        <v>-678</v>
      </c>
      <c r="D523" s="145" t="s">
        <v>780</v>
      </c>
      <c r="E523" s="253" t="s">
        <v>551</v>
      </c>
      <c r="F523" s="132" t="str">
        <f t="shared" si="169"/>
        <v>01</v>
      </c>
      <c r="G523" s="130">
        <f ca="1">SUMIF($A:E,$A523,K:K)</f>
        <v>8</v>
      </c>
      <c r="H523" s="97" t="s">
        <v>784</v>
      </c>
      <c r="I523" s="196">
        <v>8</v>
      </c>
      <c r="J523" s="146">
        <v>8</v>
      </c>
      <c r="K523" s="143">
        <f t="shared" si="171"/>
        <v>8</v>
      </c>
      <c r="L523" s="144">
        <f t="shared" si="165"/>
        <v>0</v>
      </c>
      <c r="M523" s="275">
        <f t="shared" si="166"/>
        <v>8</v>
      </c>
      <c r="N523" s="98">
        <v>1</v>
      </c>
      <c r="O523" s="93">
        <f t="shared" si="173"/>
        <v>100</v>
      </c>
      <c r="DU523" s="100">
        <v>3</v>
      </c>
      <c r="DZ523" s="100">
        <v>3</v>
      </c>
      <c r="EA523" s="100">
        <v>2</v>
      </c>
      <c r="ON523" s="100">
        <f t="shared" si="172"/>
        <v>0</v>
      </c>
    </row>
    <row r="524" spans="1:404" ht="30.75" customHeight="1">
      <c r="A524" s="97" t="str">
        <f t="shared" si="167"/>
        <v>005/COCOON-21 (đợt 2)68-72700-02-01</v>
      </c>
      <c r="B524" s="114">
        <v>44565</v>
      </c>
      <c r="C524" s="127">
        <f t="shared" ca="1" si="168"/>
        <v>-499</v>
      </c>
      <c r="D524" s="96" t="s">
        <v>1072</v>
      </c>
      <c r="E524" s="280" t="s">
        <v>551</v>
      </c>
      <c r="F524" s="132" t="str">
        <f t="shared" si="169"/>
        <v>01</v>
      </c>
      <c r="G524" s="130">
        <f ca="1">SUMIF($A:E,$A524,K:K)</f>
        <v>20</v>
      </c>
      <c r="H524" s="97" t="s">
        <v>721</v>
      </c>
      <c r="I524" s="98">
        <v>20</v>
      </c>
      <c r="J524" s="99">
        <v>20</v>
      </c>
      <c r="K524" s="143">
        <f t="shared" si="171"/>
        <v>20</v>
      </c>
      <c r="L524" s="151">
        <f t="shared" si="165"/>
        <v>0</v>
      </c>
      <c r="M524" s="275">
        <f t="shared" si="166"/>
        <v>20</v>
      </c>
      <c r="N524" s="98" t="s">
        <v>1768</v>
      </c>
      <c r="O524" s="93">
        <f t="shared" si="173"/>
        <v>100</v>
      </c>
      <c r="JI524" s="100">
        <v>1</v>
      </c>
      <c r="JK524" s="100">
        <v>4</v>
      </c>
      <c r="JM524" s="100">
        <v>2</v>
      </c>
      <c r="JN524" s="100">
        <v>2</v>
      </c>
      <c r="JO524" s="100">
        <v>2</v>
      </c>
      <c r="JQ524" s="100">
        <v>4</v>
      </c>
      <c r="JT524" s="100">
        <v>4</v>
      </c>
      <c r="JU524" s="100">
        <v>1</v>
      </c>
      <c r="ON524" s="100">
        <f t="shared" si="172"/>
        <v>0</v>
      </c>
    </row>
    <row r="525" spans="1:404" ht="30.75" customHeight="1">
      <c r="A525" s="97" t="str">
        <f t="shared" si="167"/>
        <v>104A/POTTERYPOT-2168-72700-01-A</v>
      </c>
      <c r="B525" s="114">
        <v>44423</v>
      </c>
      <c r="C525" s="127">
        <f t="shared" ca="1" si="168"/>
        <v>-641</v>
      </c>
      <c r="D525" s="147" t="s">
        <v>841</v>
      </c>
      <c r="E525" s="253" t="s">
        <v>224</v>
      </c>
      <c r="F525" s="132" t="str">
        <f t="shared" si="169"/>
        <v>A</v>
      </c>
      <c r="G525" s="130">
        <f ca="1">SUMIF($A:E,$A525,K:K)</f>
        <v>10</v>
      </c>
      <c r="H525" s="97" t="s">
        <v>840</v>
      </c>
      <c r="I525" s="98">
        <v>10</v>
      </c>
      <c r="J525" s="97">
        <v>10</v>
      </c>
      <c r="K525" s="143">
        <f t="shared" si="171"/>
        <v>10</v>
      </c>
      <c r="L525" s="144">
        <f t="shared" si="165"/>
        <v>0</v>
      </c>
      <c r="M525" s="275">
        <f t="shared" si="166"/>
        <v>10</v>
      </c>
      <c r="N525" s="98">
        <v>1</v>
      </c>
      <c r="O525" s="93">
        <f t="shared" si="173"/>
        <v>100</v>
      </c>
      <c r="FH525" s="100">
        <v>2</v>
      </c>
      <c r="FI525" s="100">
        <v>2</v>
      </c>
      <c r="FJ525" s="100">
        <v>1</v>
      </c>
      <c r="FK525" s="100">
        <v>2</v>
      </c>
      <c r="FL525" s="100">
        <v>2</v>
      </c>
      <c r="FO525" s="100">
        <v>1</v>
      </c>
      <c r="ON525" s="100">
        <f t="shared" si="172"/>
        <v>0</v>
      </c>
    </row>
    <row r="526" spans="1:404" ht="30.75" customHeight="1">
      <c r="A526" s="97" t="str">
        <f t="shared" si="167"/>
        <v>099A/POTTERYPOT-2168-72700-01-A</v>
      </c>
      <c r="B526" s="114" t="s">
        <v>838</v>
      </c>
      <c r="C526" s="127">
        <f t="shared" ca="1" si="168"/>
        <v>-660</v>
      </c>
      <c r="D526" s="147" t="s">
        <v>839</v>
      </c>
      <c r="E526" s="253" t="s">
        <v>224</v>
      </c>
      <c r="F526" s="132" t="str">
        <f t="shared" si="169"/>
        <v>A</v>
      </c>
      <c r="G526" s="130">
        <f ca="1">SUMIF($A:E,$A526,K:K)</f>
        <v>12</v>
      </c>
      <c r="H526" s="97" t="s">
        <v>840</v>
      </c>
      <c r="I526" s="196">
        <v>12</v>
      </c>
      <c r="J526" s="146">
        <v>12</v>
      </c>
      <c r="K526" s="143">
        <f t="shared" si="171"/>
        <v>12</v>
      </c>
      <c r="L526" s="144">
        <f t="shared" si="165"/>
        <v>0</v>
      </c>
      <c r="M526" s="275">
        <f t="shared" si="166"/>
        <v>12</v>
      </c>
      <c r="N526" s="98">
        <v>1</v>
      </c>
      <c r="O526" s="93">
        <f t="shared" si="173"/>
        <v>100</v>
      </c>
      <c r="ED526" s="100">
        <v>4</v>
      </c>
      <c r="EF526" s="100">
        <v>2</v>
      </c>
      <c r="EH526" s="100">
        <v>2</v>
      </c>
      <c r="EI526" s="100">
        <v>2</v>
      </c>
      <c r="EJ526" s="100">
        <v>2</v>
      </c>
      <c r="ON526" s="100">
        <f t="shared" si="172"/>
        <v>0</v>
      </c>
    </row>
    <row r="527" spans="1:404" ht="30.75" customHeight="1">
      <c r="A527" s="97" t="str">
        <f t="shared" si="167"/>
        <v>103A/POTTERYPOT-2168-72700-01-A</v>
      </c>
      <c r="B527" s="114">
        <v>44447</v>
      </c>
      <c r="C527" s="127">
        <f t="shared" ca="1" si="168"/>
        <v>-617</v>
      </c>
      <c r="D527" s="147" t="s">
        <v>842</v>
      </c>
      <c r="E527" s="253" t="s">
        <v>224</v>
      </c>
      <c r="F527" s="132" t="str">
        <f t="shared" si="169"/>
        <v>A</v>
      </c>
      <c r="G527" s="130">
        <f ca="1">SUMIF($A:E,$A527,K:K)</f>
        <v>8</v>
      </c>
      <c r="H527" s="97" t="s">
        <v>840</v>
      </c>
      <c r="I527" s="98">
        <v>8</v>
      </c>
      <c r="J527" s="97">
        <v>8</v>
      </c>
      <c r="K527" s="143">
        <f t="shared" si="171"/>
        <v>8</v>
      </c>
      <c r="L527" s="144">
        <f t="shared" si="165"/>
        <v>0</v>
      </c>
      <c r="M527" s="275">
        <f t="shared" si="166"/>
        <v>8</v>
      </c>
      <c r="N527" s="98">
        <v>1</v>
      </c>
      <c r="O527" s="93">
        <f t="shared" si="173"/>
        <v>100</v>
      </c>
      <c r="FO527" s="100">
        <v>1</v>
      </c>
      <c r="FP527" s="100">
        <v>3</v>
      </c>
      <c r="FQ527" s="100">
        <v>2</v>
      </c>
      <c r="FR527" s="100">
        <v>2</v>
      </c>
      <c r="ON527" s="100">
        <f t="shared" si="172"/>
        <v>0</v>
      </c>
    </row>
    <row r="528" spans="1:404" ht="30.75" customHeight="1">
      <c r="A528" s="97" t="str">
        <f t="shared" si="167"/>
        <v>102A/POTTERYPOT-2168-72700-01-A</v>
      </c>
      <c r="B528" s="114">
        <v>44447</v>
      </c>
      <c r="C528" s="127">
        <f t="shared" ca="1" si="168"/>
        <v>-617</v>
      </c>
      <c r="D528" s="147" t="s">
        <v>843</v>
      </c>
      <c r="E528" s="253" t="s">
        <v>224</v>
      </c>
      <c r="F528" s="132" t="str">
        <f t="shared" si="169"/>
        <v>A</v>
      </c>
      <c r="G528" s="130">
        <f ca="1">SUMIF($A:E,$A528,K:K)</f>
        <v>6</v>
      </c>
      <c r="H528" s="97" t="s">
        <v>840</v>
      </c>
      <c r="I528" s="98">
        <v>6</v>
      </c>
      <c r="J528" s="97">
        <v>6</v>
      </c>
      <c r="K528" s="143">
        <f t="shared" si="171"/>
        <v>6</v>
      </c>
      <c r="L528" s="144">
        <f t="shared" si="165"/>
        <v>0</v>
      </c>
      <c r="M528" s="275">
        <f t="shared" si="166"/>
        <v>6</v>
      </c>
      <c r="N528" s="98">
        <v>1</v>
      </c>
      <c r="O528" s="93">
        <f t="shared" si="173"/>
        <v>100</v>
      </c>
      <c r="FA528" s="100">
        <v>1</v>
      </c>
      <c r="FB528" s="100">
        <v>1</v>
      </c>
      <c r="FD528" s="100">
        <v>1</v>
      </c>
      <c r="FE528" s="100">
        <v>1</v>
      </c>
      <c r="FH528" s="100">
        <v>2</v>
      </c>
      <c r="ON528" s="100">
        <f t="shared" si="172"/>
        <v>0</v>
      </c>
    </row>
    <row r="529" spans="1:404" ht="30.75" customHeight="1">
      <c r="A529" s="97" t="str">
        <f t="shared" si="167"/>
        <v>101A/POTTERYPOT-2168-72700-01-A</v>
      </c>
      <c r="B529" s="114" t="s">
        <v>846</v>
      </c>
      <c r="C529" s="127">
        <f t="shared" ca="1" si="168"/>
        <v>-658</v>
      </c>
      <c r="D529" s="147" t="s">
        <v>844</v>
      </c>
      <c r="E529" s="253" t="s">
        <v>224</v>
      </c>
      <c r="F529" s="132" t="str">
        <f t="shared" si="169"/>
        <v>A</v>
      </c>
      <c r="G529" s="130">
        <f ca="1">SUMIF($A:E,$A529,K:K)</f>
        <v>12</v>
      </c>
      <c r="H529" s="97" t="s">
        <v>840</v>
      </c>
      <c r="I529" s="98">
        <v>12</v>
      </c>
      <c r="J529" s="97">
        <v>12</v>
      </c>
      <c r="K529" s="143">
        <f t="shared" si="171"/>
        <v>12</v>
      </c>
      <c r="L529" s="144">
        <f t="shared" si="165"/>
        <v>0</v>
      </c>
      <c r="M529" s="275">
        <f t="shared" si="166"/>
        <v>12</v>
      </c>
      <c r="N529" s="98">
        <v>1</v>
      </c>
      <c r="O529" s="93">
        <f t="shared" si="173"/>
        <v>100</v>
      </c>
      <c r="EL529" s="100">
        <v>2</v>
      </c>
      <c r="EM529" s="100">
        <v>2</v>
      </c>
      <c r="EO529" s="100">
        <v>1</v>
      </c>
      <c r="EP529" s="100">
        <v>3</v>
      </c>
      <c r="EQ529" s="100">
        <v>2</v>
      </c>
      <c r="ER529" s="100">
        <v>2</v>
      </c>
      <c r="ON529" s="100">
        <f t="shared" si="172"/>
        <v>0</v>
      </c>
    </row>
    <row r="530" spans="1:404" ht="30.75" customHeight="1">
      <c r="A530" s="97" t="str">
        <f t="shared" si="167"/>
        <v>100A/POTTERYPOT-2168-72700-01-A</v>
      </c>
      <c r="B530" s="114" t="s">
        <v>838</v>
      </c>
      <c r="C530" s="127">
        <f t="shared" ca="1" si="168"/>
        <v>-660</v>
      </c>
      <c r="D530" s="147" t="s">
        <v>845</v>
      </c>
      <c r="E530" s="253" t="s">
        <v>224</v>
      </c>
      <c r="F530" s="132" t="str">
        <f t="shared" si="169"/>
        <v>A</v>
      </c>
      <c r="G530" s="130">
        <f ca="1">SUMIF($A:E,$A530,K:K)</f>
        <v>12</v>
      </c>
      <c r="H530" s="97" t="s">
        <v>840</v>
      </c>
      <c r="I530" s="98">
        <v>12</v>
      </c>
      <c r="J530" s="97">
        <v>12</v>
      </c>
      <c r="K530" s="143">
        <f t="shared" si="171"/>
        <v>12</v>
      </c>
      <c r="L530" s="144">
        <f t="shared" si="165"/>
        <v>0</v>
      </c>
      <c r="M530" s="275">
        <f t="shared" si="166"/>
        <v>12</v>
      </c>
      <c r="N530" s="98">
        <v>1</v>
      </c>
      <c r="O530" s="93">
        <f t="shared" si="173"/>
        <v>100</v>
      </c>
      <c r="EU530" s="100">
        <v>2</v>
      </c>
      <c r="EV530" s="100">
        <v>1</v>
      </c>
      <c r="EW530" s="100">
        <v>2</v>
      </c>
      <c r="EX530" s="100">
        <v>2</v>
      </c>
      <c r="EY530" s="100">
        <v>2</v>
      </c>
      <c r="FA530" s="100">
        <v>3</v>
      </c>
      <c r="ON530" s="100">
        <f t="shared" si="172"/>
        <v>0</v>
      </c>
    </row>
    <row r="531" spans="1:404" ht="30.75" customHeight="1">
      <c r="A531" s="97" t="str">
        <f t="shared" si="167"/>
        <v>123/POTTERYPOT-2168-72700-01-A</v>
      </c>
      <c r="B531" s="114">
        <v>44436</v>
      </c>
      <c r="C531" s="127">
        <f t="shared" ca="1" si="168"/>
        <v>-628</v>
      </c>
      <c r="D531" s="96" t="s">
        <v>926</v>
      </c>
      <c r="E531" s="94" t="s">
        <v>224</v>
      </c>
      <c r="F531" s="132" t="str">
        <f t="shared" si="169"/>
        <v>A</v>
      </c>
      <c r="G531" s="130">
        <f ca="1">SUMIF($A:E,$A531,K:K)</f>
        <v>2</v>
      </c>
      <c r="H531" s="97" t="s">
        <v>927</v>
      </c>
      <c r="I531" s="98">
        <v>2</v>
      </c>
      <c r="J531" s="97">
        <v>2</v>
      </c>
      <c r="K531" s="143">
        <f t="shared" si="171"/>
        <v>2</v>
      </c>
      <c r="L531" s="144">
        <f t="shared" si="165"/>
        <v>0</v>
      </c>
      <c r="M531" s="275">
        <f t="shared" si="166"/>
        <v>2</v>
      </c>
      <c r="N531" s="98">
        <v>1</v>
      </c>
      <c r="O531" s="93">
        <f t="shared" si="173"/>
        <v>100</v>
      </c>
      <c r="FX531" s="100">
        <v>2</v>
      </c>
      <c r="ON531" s="100">
        <f t="shared" si="172"/>
        <v>0</v>
      </c>
    </row>
    <row r="532" spans="1:404" ht="30.75" customHeight="1">
      <c r="A532" s="97" t="str">
        <f t="shared" ref="A532:A553" si="175">D532&amp;E532</f>
        <v>076/POTTERYPOT-2168-72700-01-A</v>
      </c>
      <c r="B532" s="114">
        <v>44423</v>
      </c>
      <c r="C532" s="127">
        <f t="shared" ref="C532:C553" ca="1" si="176">B532-TODAY()</f>
        <v>-641</v>
      </c>
      <c r="D532" s="147" t="s">
        <v>847</v>
      </c>
      <c r="E532" s="253" t="s">
        <v>224</v>
      </c>
      <c r="F532" s="132" t="str">
        <f t="shared" ref="F532:F553" si="177">MID(E532,13,2)</f>
        <v>A</v>
      </c>
      <c r="G532" s="130">
        <f ca="1">SUMIF($A:E,$A532,K:K)</f>
        <v>10</v>
      </c>
      <c r="H532" s="97" t="s">
        <v>840</v>
      </c>
      <c r="I532" s="98">
        <v>10</v>
      </c>
      <c r="J532" s="97">
        <v>10</v>
      </c>
      <c r="K532" s="143">
        <f t="shared" si="171"/>
        <v>10</v>
      </c>
      <c r="L532" s="144">
        <f t="shared" si="165"/>
        <v>0</v>
      </c>
      <c r="M532" s="275">
        <f t="shared" si="166"/>
        <v>10</v>
      </c>
      <c r="N532" s="98">
        <v>1</v>
      </c>
      <c r="O532" s="93">
        <f t="shared" si="173"/>
        <v>100</v>
      </c>
      <c r="FS532" s="100">
        <v>2</v>
      </c>
      <c r="FT532" s="100">
        <v>2</v>
      </c>
      <c r="FU532" s="100">
        <v>2</v>
      </c>
      <c r="FV532" s="100">
        <v>2</v>
      </c>
      <c r="FW532" s="100">
        <v>2</v>
      </c>
      <c r="ON532" s="100">
        <f t="shared" si="172"/>
        <v>0</v>
      </c>
    </row>
    <row r="533" spans="1:404" ht="30.75" customHeight="1">
      <c r="A533" s="97" t="str">
        <f t="shared" si="175"/>
        <v>216/POTTERYPOT-2168-72700-01-A</v>
      </c>
      <c r="B533" s="114">
        <v>44591</v>
      </c>
      <c r="C533" s="127">
        <f t="shared" ca="1" si="176"/>
        <v>-473</v>
      </c>
      <c r="D533" s="96" t="s">
        <v>1022</v>
      </c>
      <c r="E533" s="280" t="s">
        <v>224</v>
      </c>
      <c r="F533" s="132" t="str">
        <f t="shared" si="177"/>
        <v>A</v>
      </c>
      <c r="G533" s="130">
        <f ca="1">SUMIF($A:E,$A533,K:K)</f>
        <v>9</v>
      </c>
      <c r="H533" s="97" t="s">
        <v>601</v>
      </c>
      <c r="I533" s="98">
        <v>9</v>
      </c>
      <c r="J533" s="99">
        <v>9</v>
      </c>
      <c r="K533" s="143">
        <f t="shared" si="171"/>
        <v>9</v>
      </c>
      <c r="L533" s="151">
        <f t="shared" si="165"/>
        <v>0</v>
      </c>
      <c r="M533" s="275">
        <f t="shared" si="166"/>
        <v>9</v>
      </c>
      <c r="N533" s="98" t="s">
        <v>1768</v>
      </c>
      <c r="O533" s="93">
        <f>K533/J533*100</f>
        <v>100</v>
      </c>
      <c r="MX533" s="100">
        <v>4</v>
      </c>
      <c r="MY533" s="100">
        <v>2</v>
      </c>
      <c r="MZ533" s="100">
        <v>2</v>
      </c>
      <c r="NA533" s="100">
        <v>1</v>
      </c>
      <c r="ON533" s="100">
        <f t="shared" si="172"/>
        <v>0</v>
      </c>
    </row>
    <row r="534" spans="1:404" ht="30.75" customHeight="1">
      <c r="A534" s="97" t="str">
        <f t="shared" si="175"/>
        <v>075/NY/PP-USA-2168-72700-01-A</v>
      </c>
      <c r="B534" s="114">
        <v>44594</v>
      </c>
      <c r="C534" s="127">
        <f t="shared" ca="1" si="176"/>
        <v>-470</v>
      </c>
      <c r="D534" s="96" t="s">
        <v>1023</v>
      </c>
      <c r="E534" s="94" t="s">
        <v>224</v>
      </c>
      <c r="F534" s="132" t="str">
        <f t="shared" si="177"/>
        <v>A</v>
      </c>
      <c r="G534" s="130">
        <f ca="1">SUMIF($A:E,$A534,K:K)</f>
        <v>10</v>
      </c>
      <c r="H534" s="97" t="s">
        <v>508</v>
      </c>
      <c r="I534" s="98">
        <v>10</v>
      </c>
      <c r="J534" s="97">
        <v>10</v>
      </c>
      <c r="K534" s="143">
        <f t="shared" si="171"/>
        <v>10</v>
      </c>
      <c r="L534" s="151">
        <f t="shared" si="165"/>
        <v>0</v>
      </c>
      <c r="M534" s="275">
        <f t="shared" si="166"/>
        <v>10</v>
      </c>
      <c r="N534" s="98" t="s">
        <v>1768</v>
      </c>
      <c r="O534" s="93">
        <f t="shared" si="173"/>
        <v>100</v>
      </c>
      <c r="MQ534" s="100">
        <v>2</v>
      </c>
      <c r="MR534" s="100">
        <v>2</v>
      </c>
      <c r="MS534" s="100">
        <v>2</v>
      </c>
      <c r="MT534" s="100">
        <v>2</v>
      </c>
      <c r="MW534" s="100">
        <v>2</v>
      </c>
      <c r="ON534" s="100">
        <f t="shared" si="172"/>
        <v>0</v>
      </c>
    </row>
    <row r="535" spans="1:404" ht="30.75" customHeight="1">
      <c r="A535" s="97" t="str">
        <f t="shared" si="175"/>
        <v>058/NY/PP-USA-2168-72700-01-A</v>
      </c>
      <c r="B535" s="95">
        <v>44575</v>
      </c>
      <c r="C535" s="127">
        <f t="shared" ca="1" si="176"/>
        <v>-489</v>
      </c>
      <c r="D535" s="96" t="s">
        <v>1029</v>
      </c>
      <c r="E535" s="280" t="s">
        <v>224</v>
      </c>
      <c r="F535" s="132" t="str">
        <f t="shared" si="177"/>
        <v>A</v>
      </c>
      <c r="G535" s="130">
        <f ca="1">SUMIF($A:E,$A535,K:K)</f>
        <v>18</v>
      </c>
      <c r="H535" s="97" t="s">
        <v>933</v>
      </c>
      <c r="I535" s="98">
        <v>18</v>
      </c>
      <c r="J535" s="97">
        <v>18</v>
      </c>
      <c r="K535" s="143">
        <f t="shared" si="171"/>
        <v>18</v>
      </c>
      <c r="L535" s="151">
        <f t="shared" si="165"/>
        <v>0</v>
      </c>
      <c r="M535" s="275">
        <f t="shared" si="166"/>
        <v>18</v>
      </c>
      <c r="N535" s="98" t="s">
        <v>1768</v>
      </c>
      <c r="O535" s="93">
        <f t="shared" si="173"/>
        <v>100</v>
      </c>
      <c r="MA535" s="100">
        <v>2</v>
      </c>
      <c r="MD535" s="100">
        <v>6</v>
      </c>
      <c r="ME535" s="100">
        <v>2</v>
      </c>
      <c r="MG535" s="100">
        <v>3</v>
      </c>
      <c r="MH535" s="100">
        <v>3</v>
      </c>
      <c r="MK535" s="100">
        <v>1</v>
      </c>
      <c r="ML535" s="100">
        <v>1</v>
      </c>
      <c r="ON535" s="100">
        <f t="shared" si="172"/>
        <v>0</v>
      </c>
    </row>
    <row r="536" spans="1:404" ht="30.75" customHeight="1">
      <c r="A536" s="97" t="str">
        <f t="shared" si="175"/>
        <v>059/NY/PP-USA-2168-72700-01-A</v>
      </c>
      <c r="B536" s="95">
        <v>44663</v>
      </c>
      <c r="C536" s="127">
        <f t="shared" ca="1" si="176"/>
        <v>-401</v>
      </c>
      <c r="D536" s="96" t="s">
        <v>1030</v>
      </c>
      <c r="E536" s="280" t="s">
        <v>224</v>
      </c>
      <c r="F536" s="132" t="str">
        <f t="shared" si="177"/>
        <v>A</v>
      </c>
      <c r="G536" s="130">
        <f ca="1">SUMIF($A:E,$A536,K:K)</f>
        <v>18</v>
      </c>
      <c r="H536" s="97" t="s">
        <v>933</v>
      </c>
      <c r="I536" s="98">
        <v>18</v>
      </c>
      <c r="J536" s="97">
        <v>18</v>
      </c>
      <c r="K536" s="143">
        <f t="shared" si="171"/>
        <v>18</v>
      </c>
      <c r="L536" s="151">
        <f t="shared" si="165"/>
        <v>0</v>
      </c>
      <c r="M536" s="275">
        <f t="shared" si="166"/>
        <v>18</v>
      </c>
      <c r="N536" s="98" t="s">
        <v>1768</v>
      </c>
      <c r="O536" s="93">
        <f>K536/J536*100</f>
        <v>100</v>
      </c>
      <c r="ND536" s="100">
        <v>2</v>
      </c>
      <c r="NE536" s="100">
        <v>2</v>
      </c>
      <c r="NF536" s="100">
        <v>2</v>
      </c>
      <c r="NG536" s="100">
        <v>2</v>
      </c>
      <c r="NI536" s="100">
        <v>2</v>
      </c>
      <c r="NK536" s="100">
        <v>2</v>
      </c>
      <c r="NL536" s="100">
        <v>2</v>
      </c>
      <c r="NM536" s="100">
        <v>2</v>
      </c>
      <c r="NN536" s="100">
        <v>2</v>
      </c>
      <c r="ON536" s="100">
        <f t="shared" si="172"/>
        <v>0</v>
      </c>
    </row>
    <row r="537" spans="1:404" ht="30.75" customHeight="1">
      <c r="A537" s="97" t="str">
        <f t="shared" si="175"/>
        <v>060/NY/PP-USA-2168-72700-01-A</v>
      </c>
      <c r="B537" s="95">
        <v>44578</v>
      </c>
      <c r="C537" s="127">
        <f t="shared" ca="1" si="176"/>
        <v>-486</v>
      </c>
      <c r="D537" s="96" t="s">
        <v>1031</v>
      </c>
      <c r="E537" s="280" t="s">
        <v>224</v>
      </c>
      <c r="F537" s="132" t="str">
        <f t="shared" si="177"/>
        <v>A</v>
      </c>
      <c r="G537" s="130">
        <f ca="1">SUMIF($A:E,$A537,K:K)</f>
        <v>4</v>
      </c>
      <c r="H537" s="97" t="s">
        <v>933</v>
      </c>
      <c r="I537" s="98">
        <v>4</v>
      </c>
      <c r="J537" s="97">
        <v>4</v>
      </c>
      <c r="K537" s="143">
        <f t="shared" si="171"/>
        <v>4</v>
      </c>
      <c r="L537" s="151">
        <f t="shared" ref="L537" si="178">J537-K537</f>
        <v>0</v>
      </c>
      <c r="M537" s="275">
        <f t="shared" si="166"/>
        <v>4</v>
      </c>
      <c r="N537" s="98" t="s">
        <v>1768</v>
      </c>
      <c r="O537" s="93">
        <f t="shared" si="173"/>
        <v>100</v>
      </c>
      <c r="ML537" s="100">
        <v>2</v>
      </c>
      <c r="MM537" s="100">
        <v>2</v>
      </c>
      <c r="ON537" s="100">
        <f t="shared" si="172"/>
        <v>0</v>
      </c>
    </row>
    <row r="538" spans="1:404" ht="30.75" customHeight="1">
      <c r="A538" s="97" t="str">
        <f t="shared" si="175"/>
        <v>191/POTTERYPOT-2168-72700-01-A</v>
      </c>
      <c r="B538" s="95">
        <v>44671</v>
      </c>
      <c r="C538" s="127">
        <f t="shared" ca="1" si="176"/>
        <v>-393</v>
      </c>
      <c r="D538" s="96" t="s">
        <v>1033</v>
      </c>
      <c r="E538" s="280" t="s">
        <v>224</v>
      </c>
      <c r="F538" s="132" t="str">
        <f t="shared" si="177"/>
        <v>A</v>
      </c>
      <c r="G538" s="130">
        <f ca="1">SUMIF($A:E,$A538,K:K)</f>
        <v>20</v>
      </c>
      <c r="H538" s="97" t="s">
        <v>601</v>
      </c>
      <c r="I538" s="98">
        <v>10</v>
      </c>
      <c r="J538" s="97">
        <v>10</v>
      </c>
      <c r="K538" s="143">
        <f t="shared" si="171"/>
        <v>20</v>
      </c>
      <c r="L538" s="151">
        <f t="shared" si="165"/>
        <v>-10</v>
      </c>
      <c r="M538" s="275">
        <f t="shared" si="166"/>
        <v>10</v>
      </c>
      <c r="N538" s="98" t="s">
        <v>1768</v>
      </c>
      <c r="O538" s="93">
        <f>K538/J538*100</f>
        <v>200</v>
      </c>
      <c r="NY538" s="100">
        <v>2</v>
      </c>
      <c r="NZ538" s="100">
        <v>2</v>
      </c>
      <c r="OA538" s="100">
        <v>2</v>
      </c>
      <c r="OB538" s="100">
        <v>2</v>
      </c>
      <c r="OC538" s="100">
        <v>2</v>
      </c>
      <c r="ON538" s="100">
        <f t="shared" si="172"/>
        <v>10</v>
      </c>
    </row>
    <row r="539" spans="1:404" ht="30.75" customHeight="1">
      <c r="A539" s="97" t="str">
        <f t="shared" si="175"/>
        <v>192/POTTERYPOT-2168-72700-01-A</v>
      </c>
      <c r="B539" s="114">
        <v>44445</v>
      </c>
      <c r="C539" s="127">
        <f t="shared" ca="1" si="176"/>
        <v>-619</v>
      </c>
      <c r="D539" s="96" t="s">
        <v>1034</v>
      </c>
      <c r="E539" s="94" t="s">
        <v>224</v>
      </c>
      <c r="F539" s="132" t="str">
        <f t="shared" si="177"/>
        <v>A</v>
      </c>
      <c r="G539" s="130">
        <f ca="1">SUMIF($A:E,$A539,K:K)</f>
        <v>18</v>
      </c>
      <c r="H539" s="97" t="s">
        <v>601</v>
      </c>
      <c r="I539" s="98">
        <v>18</v>
      </c>
      <c r="J539" s="97">
        <v>18</v>
      </c>
      <c r="K539" s="143">
        <f t="shared" si="171"/>
        <v>18</v>
      </c>
      <c r="L539" s="144">
        <f t="shared" si="165"/>
        <v>0</v>
      </c>
      <c r="M539" s="275">
        <f t="shared" si="166"/>
        <v>18</v>
      </c>
      <c r="N539" s="98">
        <v>1</v>
      </c>
      <c r="O539" s="93">
        <f t="shared" si="173"/>
        <v>100</v>
      </c>
      <c r="FZ539" s="100">
        <v>2</v>
      </c>
      <c r="GA539" s="100">
        <v>2</v>
      </c>
      <c r="GB539" s="100">
        <v>2</v>
      </c>
      <c r="GC539" s="100">
        <v>2</v>
      </c>
      <c r="GD539" s="100">
        <v>2</v>
      </c>
      <c r="GE539" s="100">
        <v>2</v>
      </c>
      <c r="GH539" s="100">
        <v>4</v>
      </c>
      <c r="GI539" s="100">
        <v>2</v>
      </c>
      <c r="ON539" s="100">
        <f t="shared" si="172"/>
        <v>0</v>
      </c>
    </row>
    <row r="540" spans="1:404" ht="30.75" customHeight="1">
      <c r="A540" s="97" t="str">
        <f t="shared" si="175"/>
        <v>193/POTTERYPOT-2168-72700-01-A</v>
      </c>
      <c r="B540" s="114">
        <v>44464</v>
      </c>
      <c r="C540" s="127">
        <f t="shared" ca="1" si="176"/>
        <v>-600</v>
      </c>
      <c r="D540" s="96" t="s">
        <v>1035</v>
      </c>
      <c r="E540" s="94" t="s">
        <v>224</v>
      </c>
      <c r="F540" s="132" t="str">
        <f t="shared" si="177"/>
        <v>A</v>
      </c>
      <c r="G540" s="130">
        <f ca="1">SUMIF($A:E,$A540,K:K)</f>
        <v>18</v>
      </c>
      <c r="H540" s="97" t="s">
        <v>601</v>
      </c>
      <c r="I540" s="98">
        <v>18</v>
      </c>
      <c r="J540" s="97">
        <v>18</v>
      </c>
      <c r="K540" s="143">
        <f t="shared" si="171"/>
        <v>18</v>
      </c>
      <c r="L540" s="144">
        <f t="shared" si="165"/>
        <v>0</v>
      </c>
      <c r="M540" s="275">
        <f t="shared" si="166"/>
        <v>18</v>
      </c>
      <c r="N540" s="98">
        <v>1</v>
      </c>
      <c r="O540" s="93">
        <f t="shared" si="173"/>
        <v>100</v>
      </c>
      <c r="GJ540" s="100">
        <v>2</v>
      </c>
      <c r="GL540" s="100">
        <v>2</v>
      </c>
      <c r="GO540" s="100">
        <v>4</v>
      </c>
      <c r="GP540" s="100">
        <v>2</v>
      </c>
      <c r="GR540" s="100">
        <v>4</v>
      </c>
      <c r="GS540" s="100">
        <v>2</v>
      </c>
      <c r="GU540" s="100">
        <v>2</v>
      </c>
      <c r="ON540" s="100">
        <f t="shared" si="172"/>
        <v>0</v>
      </c>
    </row>
    <row r="541" spans="1:404" ht="30.75" customHeight="1">
      <c r="A541" s="97" t="str">
        <f t="shared" si="175"/>
        <v>194/POTTERYPOT-2168-72700-01-A</v>
      </c>
      <c r="B541" s="114">
        <v>44469</v>
      </c>
      <c r="C541" s="127">
        <f t="shared" ca="1" si="176"/>
        <v>-595</v>
      </c>
      <c r="D541" s="96" t="s">
        <v>1036</v>
      </c>
      <c r="E541" s="94" t="s">
        <v>224</v>
      </c>
      <c r="F541" s="132" t="str">
        <f t="shared" si="177"/>
        <v>A</v>
      </c>
      <c r="G541" s="130">
        <f ca="1">SUMIF($A:E,$A541,K:K)</f>
        <v>18</v>
      </c>
      <c r="H541" s="97" t="s">
        <v>601</v>
      </c>
      <c r="I541" s="98">
        <v>18</v>
      </c>
      <c r="J541" s="97">
        <v>18</v>
      </c>
      <c r="K541" s="143">
        <f t="shared" si="171"/>
        <v>18</v>
      </c>
      <c r="L541" s="144">
        <f t="shared" si="165"/>
        <v>0</v>
      </c>
      <c r="M541" s="275">
        <f t="shared" si="166"/>
        <v>18</v>
      </c>
      <c r="N541" s="98">
        <v>1</v>
      </c>
      <c r="O541" s="93">
        <f t="shared" si="173"/>
        <v>100</v>
      </c>
      <c r="GW541" s="100">
        <v>4</v>
      </c>
      <c r="GX541" s="100">
        <v>2</v>
      </c>
      <c r="GY541" s="100">
        <v>2</v>
      </c>
      <c r="GZ541" s="100">
        <v>2</v>
      </c>
      <c r="HC541" s="100">
        <v>3</v>
      </c>
      <c r="HD541" s="100">
        <v>3</v>
      </c>
      <c r="HF541" s="100">
        <v>2</v>
      </c>
      <c r="ON541" s="100">
        <f t="shared" si="172"/>
        <v>0</v>
      </c>
    </row>
    <row r="542" spans="1:404" ht="30.75" customHeight="1">
      <c r="A542" s="97" t="str">
        <f t="shared" si="175"/>
        <v>195/POTTERYPOT-2168-72700-01-A</v>
      </c>
      <c r="B542" s="114">
        <v>44468</v>
      </c>
      <c r="C542" s="127">
        <f t="shared" ca="1" si="176"/>
        <v>-596</v>
      </c>
      <c r="D542" s="96" t="s">
        <v>1037</v>
      </c>
      <c r="E542" s="94" t="s">
        <v>224</v>
      </c>
      <c r="F542" s="132" t="str">
        <f t="shared" si="177"/>
        <v>A</v>
      </c>
      <c r="G542" s="130">
        <f ca="1">SUMIF($A:E,$A542,K:K)</f>
        <v>18</v>
      </c>
      <c r="H542" s="97" t="s">
        <v>601</v>
      </c>
      <c r="I542" s="98">
        <v>18</v>
      </c>
      <c r="J542" s="97">
        <v>18</v>
      </c>
      <c r="K542" s="143">
        <f t="shared" si="171"/>
        <v>18</v>
      </c>
      <c r="L542" s="144">
        <f t="shared" si="165"/>
        <v>0</v>
      </c>
      <c r="M542" s="275">
        <f t="shared" si="166"/>
        <v>18</v>
      </c>
      <c r="N542" s="98">
        <v>1</v>
      </c>
      <c r="O542" s="93">
        <f t="shared" si="173"/>
        <v>100</v>
      </c>
      <c r="HF542" s="100">
        <v>2</v>
      </c>
      <c r="HG542" s="100">
        <v>2</v>
      </c>
      <c r="HJ542" s="100">
        <v>2</v>
      </c>
      <c r="HK542" s="100">
        <v>4</v>
      </c>
      <c r="HL542" s="100">
        <v>2</v>
      </c>
      <c r="HM542" s="100">
        <v>2</v>
      </c>
      <c r="HP542" s="100">
        <v>4</v>
      </c>
      <c r="ON542" s="100">
        <f t="shared" si="172"/>
        <v>0</v>
      </c>
    </row>
    <row r="543" spans="1:404" ht="30.75" customHeight="1">
      <c r="A543" s="97" t="str">
        <f t="shared" si="175"/>
        <v>196/POTTERYPOT-2168-72700-01-A</v>
      </c>
      <c r="B543" s="95">
        <v>44671</v>
      </c>
      <c r="C543" s="127">
        <f t="shared" ca="1" si="176"/>
        <v>-393</v>
      </c>
      <c r="D543" s="96" t="s">
        <v>1038</v>
      </c>
      <c r="E543" s="280" t="s">
        <v>224</v>
      </c>
      <c r="F543" s="132" t="str">
        <f t="shared" si="177"/>
        <v>A</v>
      </c>
      <c r="G543" s="130">
        <f ca="1">SUMIF($A:E,$A543,K:K)</f>
        <v>24</v>
      </c>
      <c r="H543" s="97" t="s">
        <v>601</v>
      </c>
      <c r="I543" s="98">
        <v>18</v>
      </c>
      <c r="J543" s="98">
        <v>18</v>
      </c>
      <c r="K543" s="143">
        <f t="shared" si="171"/>
        <v>24</v>
      </c>
      <c r="L543" s="151">
        <f t="shared" si="165"/>
        <v>-6</v>
      </c>
      <c r="M543" s="275">
        <f t="shared" si="166"/>
        <v>18</v>
      </c>
      <c r="N543" s="98" t="s">
        <v>1768</v>
      </c>
      <c r="O543" s="93">
        <f t="shared" si="173"/>
        <v>133.33333333333331</v>
      </c>
      <c r="OF543" s="100">
        <v>2</v>
      </c>
      <c r="OG543" s="100">
        <v>2</v>
      </c>
      <c r="OI543" s="100">
        <v>2</v>
      </c>
      <c r="OJ543" s="100">
        <v>3</v>
      </c>
      <c r="OK543" s="100">
        <v>3</v>
      </c>
      <c r="ON543" s="100">
        <f t="shared" si="172"/>
        <v>12</v>
      </c>
    </row>
    <row r="544" spans="1:404" ht="23.25" customHeight="1">
      <c r="A544" s="97" t="str">
        <f t="shared" si="175"/>
        <v>081A/NY/PP-USA-2168-72700-01-A</v>
      </c>
      <c r="B544" s="117">
        <v>44569</v>
      </c>
      <c r="C544" s="97">
        <f t="shared" ca="1" si="176"/>
        <v>-495</v>
      </c>
      <c r="D544" s="118" t="s">
        <v>1270</v>
      </c>
      <c r="E544" s="286" t="s">
        <v>224</v>
      </c>
      <c r="F544" s="132" t="str">
        <f t="shared" si="177"/>
        <v>A</v>
      </c>
      <c r="G544" s="130">
        <f ca="1">SUMIF($A:E,$A544,K:K)</f>
        <v>6</v>
      </c>
      <c r="H544" s="127" t="s">
        <v>933</v>
      </c>
      <c r="I544" s="120">
        <v>6</v>
      </c>
      <c r="J544" s="127">
        <v>6</v>
      </c>
      <c r="K544" s="143">
        <f t="shared" si="171"/>
        <v>6</v>
      </c>
      <c r="L544" s="151">
        <f t="shared" si="165"/>
        <v>0</v>
      </c>
      <c r="M544" s="275">
        <f t="shared" si="166"/>
        <v>6</v>
      </c>
      <c r="N544" s="132" t="s">
        <v>1768</v>
      </c>
      <c r="O544" s="93">
        <f t="shared" si="173"/>
        <v>100</v>
      </c>
      <c r="MN544" s="100">
        <v>2</v>
      </c>
      <c r="MO544" s="100">
        <v>2</v>
      </c>
      <c r="MP544" s="100">
        <v>2</v>
      </c>
      <c r="ON544" s="100">
        <f t="shared" si="172"/>
        <v>0</v>
      </c>
    </row>
    <row r="545" spans="1:404" ht="23.25" customHeight="1">
      <c r="A545" s="97" t="str">
        <f t="shared" si="175"/>
        <v>382A/POTTERYPOT-2168-72700-01-A</v>
      </c>
      <c r="B545" s="95">
        <v>44749</v>
      </c>
      <c r="C545" s="127">
        <f t="shared" ca="1" si="176"/>
        <v>-315</v>
      </c>
      <c r="D545" s="96" t="s">
        <v>1285</v>
      </c>
      <c r="E545" s="280" t="s">
        <v>224</v>
      </c>
      <c r="F545" s="98" t="str">
        <f t="shared" si="177"/>
        <v>A</v>
      </c>
      <c r="G545" s="110">
        <f ca="1">SUMIF($A:E,$A545,K:K)</f>
        <v>16</v>
      </c>
      <c r="H545" s="97" t="s">
        <v>964</v>
      </c>
      <c r="I545" s="98">
        <v>8</v>
      </c>
      <c r="J545" s="97">
        <v>8</v>
      </c>
      <c r="K545" s="143">
        <f t="shared" si="171"/>
        <v>16</v>
      </c>
      <c r="L545" s="151">
        <f t="shared" si="165"/>
        <v>-8</v>
      </c>
      <c r="M545" s="275">
        <f t="shared" si="166"/>
        <v>8</v>
      </c>
      <c r="N545" s="98" t="s">
        <v>1768</v>
      </c>
      <c r="O545" s="93">
        <f t="shared" si="173"/>
        <v>200</v>
      </c>
      <c r="NU545" s="100">
        <v>6</v>
      </c>
      <c r="NV545" s="100">
        <v>2</v>
      </c>
      <c r="ON545" s="100">
        <f t="shared" si="172"/>
        <v>8</v>
      </c>
    </row>
    <row r="546" spans="1:404" ht="23.25" customHeight="1">
      <c r="A546" s="97" t="str">
        <f t="shared" si="175"/>
        <v>321/POTTERYPOT-2168-72700-01-A</v>
      </c>
      <c r="B546" s="95">
        <v>44669</v>
      </c>
      <c r="C546" s="97">
        <f t="shared" ca="1" si="176"/>
        <v>-395</v>
      </c>
      <c r="D546" s="112" t="s">
        <v>1337</v>
      </c>
      <c r="E546" s="279" t="s">
        <v>224</v>
      </c>
      <c r="F546" s="98" t="str">
        <f t="shared" si="177"/>
        <v>A</v>
      </c>
      <c r="G546" s="110">
        <f ca="1">SUMIF($A:E,$A546,K:K)</f>
        <v>0</v>
      </c>
      <c r="H546" s="135" t="s">
        <v>1360</v>
      </c>
      <c r="I546" s="175">
        <v>11</v>
      </c>
      <c r="J546" s="115">
        <v>12</v>
      </c>
      <c r="K546" s="143">
        <f t="shared" si="171"/>
        <v>0</v>
      </c>
      <c r="L546" s="144">
        <f t="shared" si="165"/>
        <v>12</v>
      </c>
      <c r="M546" s="275">
        <f t="shared" si="166"/>
        <v>11</v>
      </c>
      <c r="N546" s="98" t="s">
        <v>1768</v>
      </c>
      <c r="O546" s="93">
        <f t="shared" si="173"/>
        <v>0</v>
      </c>
      <c r="ON546" s="100">
        <f t="shared" si="172"/>
        <v>0</v>
      </c>
    </row>
    <row r="547" spans="1:404" ht="23.25" customHeight="1">
      <c r="A547" s="97" t="str">
        <f t="shared" si="175"/>
        <v>005/YAMATEI-21( Đợt 2)68-72600-S4-06</v>
      </c>
      <c r="B547" s="95">
        <v>44496</v>
      </c>
      <c r="C547" s="127">
        <f t="shared" ca="1" si="176"/>
        <v>-568</v>
      </c>
      <c r="D547" s="96" t="s">
        <v>1211</v>
      </c>
      <c r="E547" s="94" t="s">
        <v>477</v>
      </c>
      <c r="F547" s="132" t="str">
        <f t="shared" si="177"/>
        <v>06</v>
      </c>
      <c r="G547" s="130">
        <f ca="1">SUMIF($A:E,$A547,K:K)</f>
        <v>10</v>
      </c>
      <c r="H547" s="97" t="s">
        <v>1753</v>
      </c>
      <c r="I547" s="98">
        <v>10</v>
      </c>
      <c r="J547" s="97">
        <v>10</v>
      </c>
      <c r="K547" s="143">
        <f t="shared" si="171"/>
        <v>10</v>
      </c>
      <c r="L547" s="151">
        <f t="shared" si="165"/>
        <v>0</v>
      </c>
      <c r="M547" s="275">
        <f t="shared" si="166"/>
        <v>40</v>
      </c>
      <c r="N547" s="98">
        <v>2</v>
      </c>
      <c r="O547" s="93">
        <f t="shared" ref="O547:O559" si="179">K547/J547*100</f>
        <v>100</v>
      </c>
      <c r="HG547" s="100">
        <v>1</v>
      </c>
      <c r="HI547" s="100">
        <v>1</v>
      </c>
      <c r="HJ547" s="100">
        <v>4</v>
      </c>
      <c r="ID547" s="100">
        <v>1</v>
      </c>
      <c r="IF547" s="100">
        <v>3</v>
      </c>
      <c r="ON547" s="100">
        <f t="shared" si="172"/>
        <v>0</v>
      </c>
    </row>
    <row r="548" spans="1:404" ht="23.25" customHeight="1">
      <c r="A548" s="97" t="str">
        <f t="shared" si="175"/>
        <v>001/HERSTERA-2168-72600-S4-01</v>
      </c>
      <c r="B548" s="95">
        <v>44339</v>
      </c>
      <c r="C548" s="127">
        <f t="shared" ca="1" si="176"/>
        <v>-725</v>
      </c>
      <c r="D548" s="96" t="s">
        <v>776</v>
      </c>
      <c r="E548" s="94" t="s">
        <v>282</v>
      </c>
      <c r="F548" s="98" t="str">
        <f t="shared" si="177"/>
        <v>01</v>
      </c>
      <c r="G548" s="110">
        <f ca="1">SUMIF($A:E,$A548,K:K)</f>
        <v>16</v>
      </c>
      <c r="H548" s="97" t="s">
        <v>505</v>
      </c>
      <c r="I548" s="98">
        <v>16</v>
      </c>
      <c r="J548" s="99">
        <v>16</v>
      </c>
      <c r="K548" s="143">
        <f t="shared" si="171"/>
        <v>16</v>
      </c>
      <c r="L548" s="151">
        <f t="shared" si="165"/>
        <v>0</v>
      </c>
      <c r="M548" s="275">
        <f t="shared" si="166"/>
        <v>64</v>
      </c>
      <c r="N548" s="98">
        <v>2</v>
      </c>
      <c r="O548" s="93">
        <f t="shared" si="179"/>
        <v>100</v>
      </c>
      <c r="DK548" s="101">
        <v>1</v>
      </c>
      <c r="DL548" s="101">
        <v>1</v>
      </c>
      <c r="DM548" s="101">
        <v>1</v>
      </c>
      <c r="DN548" s="101">
        <v>1</v>
      </c>
      <c r="DO548" s="101">
        <v>1</v>
      </c>
      <c r="DP548" s="97">
        <v>1</v>
      </c>
      <c r="DR548" s="101">
        <v>1</v>
      </c>
      <c r="DS548" s="100">
        <v>1</v>
      </c>
      <c r="DT548" s="100">
        <v>1</v>
      </c>
      <c r="DV548" s="100">
        <v>1</v>
      </c>
      <c r="DW548" s="100">
        <v>1</v>
      </c>
      <c r="DY548" s="100">
        <v>1</v>
      </c>
      <c r="DZ548" s="100">
        <v>1</v>
      </c>
      <c r="EA548" s="100">
        <v>2</v>
      </c>
      <c r="EC548" s="100">
        <v>1</v>
      </c>
      <c r="ON548" s="100">
        <f t="shared" si="172"/>
        <v>0</v>
      </c>
    </row>
    <row r="549" spans="1:404" ht="23.25" customHeight="1">
      <c r="A549" s="97" t="str">
        <f t="shared" si="175"/>
        <v>005/YAMATEI-21( Đợt 2)68-72600-S4-01</v>
      </c>
      <c r="B549" s="95">
        <v>44496</v>
      </c>
      <c r="C549" s="127">
        <f t="shared" ca="1" si="176"/>
        <v>-568</v>
      </c>
      <c r="D549" s="96" t="s">
        <v>1211</v>
      </c>
      <c r="E549" s="94" t="s">
        <v>282</v>
      </c>
      <c r="F549" s="98" t="str">
        <f t="shared" si="177"/>
        <v>01</v>
      </c>
      <c r="G549" s="110">
        <f ca="1">SUMIF($A:E,$A549,K:K)</f>
        <v>2</v>
      </c>
      <c r="H549" s="97" t="s">
        <v>1753</v>
      </c>
      <c r="I549" s="98">
        <v>2</v>
      </c>
      <c r="J549" s="97">
        <v>2</v>
      </c>
      <c r="K549" s="143">
        <f t="shared" si="171"/>
        <v>2</v>
      </c>
      <c r="L549" s="151">
        <f t="shared" ref="L549:L594" si="180">J549-K549</f>
        <v>0</v>
      </c>
      <c r="M549" s="275">
        <f t="shared" si="166"/>
        <v>8</v>
      </c>
      <c r="N549" s="98">
        <v>2</v>
      </c>
      <c r="O549" s="93">
        <f t="shared" si="179"/>
        <v>100</v>
      </c>
      <c r="HL549" s="100">
        <v>2</v>
      </c>
      <c r="ON549" s="100">
        <f t="shared" si="172"/>
        <v>0</v>
      </c>
    </row>
    <row r="550" spans="1:404" ht="23.25" customHeight="1">
      <c r="A550" s="97" t="str">
        <f t="shared" si="175"/>
        <v>001/HAWTHORE-2168-72600-L2-01</v>
      </c>
      <c r="B550" s="95">
        <v>44375</v>
      </c>
      <c r="C550" s="127">
        <f t="shared" ca="1" si="176"/>
        <v>-689</v>
      </c>
      <c r="D550" s="96" t="s">
        <v>737</v>
      </c>
      <c r="E550" s="123" t="s">
        <v>738</v>
      </c>
      <c r="F550" s="98" t="str">
        <f t="shared" si="177"/>
        <v>01</v>
      </c>
      <c r="G550" s="110">
        <f ca="1">SUMIF($A:E,$A550,K:K)</f>
        <v>6</v>
      </c>
      <c r="H550" s="97" t="s">
        <v>505</v>
      </c>
      <c r="I550" s="175">
        <v>6</v>
      </c>
      <c r="J550" s="115">
        <v>6</v>
      </c>
      <c r="K550" s="143">
        <f t="shared" si="171"/>
        <v>6</v>
      </c>
      <c r="L550" s="151">
        <f t="shared" si="180"/>
        <v>0</v>
      </c>
      <c r="M550" s="275">
        <f t="shared" ref="M550:M596" si="181">IF(OR(MID(E550,10,1)="0",MID(E550,10,1)="F"),I550,IF(OR(,MID(E550,10,1)="S",MID(E550,10,1)="L",MID(E550,10,1)="B",MID(E550,10,1)="X"),MID(E550,11,1)*I550,0))</f>
        <v>12</v>
      </c>
      <c r="N550" s="98">
        <v>2</v>
      </c>
      <c r="O550" s="93">
        <f t="shared" si="179"/>
        <v>100</v>
      </c>
      <c r="EH550" s="100">
        <v>2</v>
      </c>
      <c r="EI550" s="100">
        <v>2</v>
      </c>
      <c r="EJ550" s="100">
        <v>2</v>
      </c>
      <c r="ON550" s="100">
        <f t="shared" si="172"/>
        <v>0</v>
      </c>
    </row>
    <row r="551" spans="1:404" ht="23.25" customHeight="1">
      <c r="A551" s="97" t="str">
        <f t="shared" si="175"/>
        <v>005/YAMATEI-21( Đợt 1)68-72600-B3-01</v>
      </c>
      <c r="B551" s="95">
        <v>44437</v>
      </c>
      <c r="C551" s="127">
        <f t="shared" ca="1" si="176"/>
        <v>-627</v>
      </c>
      <c r="D551" s="96" t="s">
        <v>1210</v>
      </c>
      <c r="E551" s="94" t="s">
        <v>402</v>
      </c>
      <c r="F551" s="98" t="str">
        <f t="shared" si="177"/>
        <v>01</v>
      </c>
      <c r="G551" s="110">
        <f ca="1">SUMIF($A:E,$A551,K:K)</f>
        <v>6</v>
      </c>
      <c r="H551" s="97" t="s">
        <v>1177</v>
      </c>
      <c r="I551" s="98">
        <v>6</v>
      </c>
      <c r="J551" s="97">
        <v>6</v>
      </c>
      <c r="K551" s="143">
        <f t="shared" si="171"/>
        <v>6</v>
      </c>
      <c r="L551" s="151">
        <f t="shared" si="180"/>
        <v>0</v>
      </c>
      <c r="M551" s="275">
        <f t="shared" si="181"/>
        <v>18</v>
      </c>
      <c r="N551" s="98">
        <v>2</v>
      </c>
      <c r="O551" s="93">
        <f t="shared" si="179"/>
        <v>100</v>
      </c>
      <c r="HM551" s="100">
        <v>2</v>
      </c>
      <c r="HR551" s="100">
        <v>1</v>
      </c>
      <c r="HW551" s="100">
        <v>3</v>
      </c>
      <c r="ON551" s="100">
        <f t="shared" si="172"/>
        <v>0</v>
      </c>
    </row>
    <row r="552" spans="1:404" ht="23.25" customHeight="1">
      <c r="A552" s="97" t="str">
        <f t="shared" si="175"/>
        <v>005/YAMATEI-21( Đợt 1)68-72600-B2-06</v>
      </c>
      <c r="B552" s="95">
        <v>44437</v>
      </c>
      <c r="C552" s="127">
        <f t="shared" ca="1" si="176"/>
        <v>-627</v>
      </c>
      <c r="D552" s="96" t="s">
        <v>1210</v>
      </c>
      <c r="E552" s="94" t="s">
        <v>596</v>
      </c>
      <c r="F552" s="132" t="str">
        <f t="shared" si="177"/>
        <v>06</v>
      </c>
      <c r="G552" s="130">
        <f ca="1">SUMIF($A:E,$A552,K:K)</f>
        <v>16</v>
      </c>
      <c r="H552" s="97" t="s">
        <v>1177</v>
      </c>
      <c r="I552" s="98">
        <v>16</v>
      </c>
      <c r="J552" s="97">
        <v>16</v>
      </c>
      <c r="K552" s="143">
        <f t="shared" si="171"/>
        <v>16</v>
      </c>
      <c r="L552" s="151">
        <f t="shared" si="180"/>
        <v>0</v>
      </c>
      <c r="M552" s="275">
        <f t="shared" si="181"/>
        <v>32</v>
      </c>
      <c r="N552" s="98">
        <v>2</v>
      </c>
      <c r="O552" s="93">
        <f t="shared" si="179"/>
        <v>100</v>
      </c>
      <c r="HC552" s="100">
        <v>6</v>
      </c>
      <c r="HD552" s="100">
        <v>3</v>
      </c>
      <c r="HE552" s="100">
        <v>1</v>
      </c>
      <c r="HJ552" s="100">
        <v>1</v>
      </c>
      <c r="HR552" s="100">
        <v>1</v>
      </c>
      <c r="HT552" s="100">
        <v>1</v>
      </c>
      <c r="HU552" s="100">
        <v>2</v>
      </c>
      <c r="HW552" s="100">
        <v>1</v>
      </c>
      <c r="ON552" s="100">
        <f t="shared" si="172"/>
        <v>0</v>
      </c>
    </row>
    <row r="553" spans="1:404" ht="23.25" customHeight="1">
      <c r="A553" s="97" t="str">
        <f t="shared" si="175"/>
        <v>005/YAMATEI-21( Đợt 1)68-72600-B2-01</v>
      </c>
      <c r="B553" s="95">
        <v>44437</v>
      </c>
      <c r="C553" s="127">
        <f t="shared" ca="1" si="176"/>
        <v>-627</v>
      </c>
      <c r="D553" s="96" t="s">
        <v>1210</v>
      </c>
      <c r="E553" s="94" t="s">
        <v>218</v>
      </c>
      <c r="F553" s="98" t="str">
        <f t="shared" si="177"/>
        <v>01</v>
      </c>
      <c r="G553" s="110">
        <f ca="1">SUMIF($A:E,$A553,K:K)</f>
        <v>64</v>
      </c>
      <c r="H553" s="97" t="s">
        <v>1177</v>
      </c>
      <c r="I553" s="98">
        <v>64</v>
      </c>
      <c r="J553" s="97">
        <v>64</v>
      </c>
      <c r="K553" s="143">
        <f t="shared" si="171"/>
        <v>64</v>
      </c>
      <c r="L553" s="144">
        <f t="shared" si="180"/>
        <v>0</v>
      </c>
      <c r="M553" s="275">
        <f t="shared" si="181"/>
        <v>128</v>
      </c>
      <c r="N553" s="98">
        <v>2</v>
      </c>
      <c r="O553" s="93">
        <f t="shared" si="179"/>
        <v>100</v>
      </c>
      <c r="FV553" s="100">
        <v>4</v>
      </c>
      <c r="FW553" s="100">
        <v>8</v>
      </c>
      <c r="FZ553" s="100">
        <v>1</v>
      </c>
      <c r="GA553" s="100">
        <v>5</v>
      </c>
      <c r="GC553" s="100">
        <v>1</v>
      </c>
      <c r="GD553" s="100">
        <v>4</v>
      </c>
      <c r="GG553" s="100">
        <v>2</v>
      </c>
      <c r="GL553" s="100">
        <v>1</v>
      </c>
      <c r="GQ553" s="100">
        <v>6</v>
      </c>
      <c r="GR553" s="100">
        <v>2</v>
      </c>
      <c r="GU553" s="100">
        <v>3</v>
      </c>
      <c r="GV553" s="100">
        <v>2</v>
      </c>
      <c r="GW553" s="100">
        <v>3</v>
      </c>
      <c r="GX553" s="100">
        <v>3</v>
      </c>
      <c r="GY553" s="100">
        <v>6</v>
      </c>
      <c r="HB553" s="100">
        <v>2</v>
      </c>
      <c r="HD553" s="100">
        <v>5</v>
      </c>
      <c r="HQ553" s="100">
        <v>3</v>
      </c>
      <c r="HR553" s="100">
        <v>3</v>
      </c>
      <c r="ON553" s="100">
        <f t="shared" si="172"/>
        <v>0</v>
      </c>
    </row>
    <row r="554" spans="1:404" ht="23.25" customHeight="1">
      <c r="A554" s="97" t="str">
        <f t="shared" ref="A554:A558" si="182">D554&amp;E554</f>
        <v>073/KHBS-2168-72600-04-A</v>
      </c>
      <c r="B554" s="95">
        <v>44280</v>
      </c>
      <c r="C554" s="97">
        <f t="shared" ref="C554:C573" ca="1" si="183">B554-TODAY()</f>
        <v>-784</v>
      </c>
      <c r="D554" s="96" t="s">
        <v>741</v>
      </c>
      <c r="E554" s="94" t="s">
        <v>223</v>
      </c>
      <c r="F554" s="132" t="str">
        <f t="shared" ref="F554:F573" si="184">MID(E554,13,2)</f>
        <v>A</v>
      </c>
      <c r="G554" s="130">
        <f ca="1">SUMIF($A:E,$A554,K:K)</f>
        <v>1</v>
      </c>
      <c r="H554" s="97" t="s">
        <v>508</v>
      </c>
      <c r="I554" s="98">
        <v>1</v>
      </c>
      <c r="J554" s="99">
        <v>1</v>
      </c>
      <c r="K554" s="143">
        <f t="shared" si="171"/>
        <v>1</v>
      </c>
      <c r="L554" s="144">
        <f t="shared" si="180"/>
        <v>0</v>
      </c>
      <c r="M554" s="275">
        <f t="shared" si="181"/>
        <v>1</v>
      </c>
      <c r="N554" s="132">
        <v>2</v>
      </c>
      <c r="O554" s="93">
        <f t="shared" si="179"/>
        <v>100</v>
      </c>
      <c r="BL554" s="101">
        <v>1</v>
      </c>
      <c r="DP554" s="97"/>
      <c r="ON554" s="100">
        <f t="shared" si="172"/>
        <v>0</v>
      </c>
    </row>
    <row r="555" spans="1:404" ht="23.25" customHeight="1" thickBot="1">
      <c r="A555" s="97" t="str">
        <f t="shared" si="182"/>
        <v>004/POTTERYPOT-2168-72600-04-A</v>
      </c>
      <c r="B555" s="95">
        <v>44391</v>
      </c>
      <c r="C555" s="97">
        <f t="shared" ca="1" si="183"/>
        <v>-673</v>
      </c>
      <c r="D555" s="96" t="s">
        <v>775</v>
      </c>
      <c r="E555" s="94" t="s">
        <v>223</v>
      </c>
      <c r="F555" s="98" t="str">
        <f t="shared" si="184"/>
        <v>A</v>
      </c>
      <c r="G555" s="110">
        <f ca="1">SUMIF($A:E,$A555,K:K)</f>
        <v>56</v>
      </c>
      <c r="H555" s="97" t="s">
        <v>601</v>
      </c>
      <c r="I555" s="98">
        <v>56</v>
      </c>
      <c r="J555" s="97">
        <v>56</v>
      </c>
      <c r="K555" s="143">
        <f t="shared" si="171"/>
        <v>56</v>
      </c>
      <c r="L555" s="151">
        <f t="shared" si="180"/>
        <v>0</v>
      </c>
      <c r="M555" s="275">
        <f t="shared" si="181"/>
        <v>56</v>
      </c>
      <c r="N555" s="98">
        <v>2</v>
      </c>
      <c r="O555" s="93">
        <f t="shared" si="179"/>
        <v>100</v>
      </c>
      <c r="FB555" s="100">
        <v>1</v>
      </c>
      <c r="FC555" s="100">
        <v>3</v>
      </c>
      <c r="FE555" s="100">
        <v>3</v>
      </c>
      <c r="FF555" s="100">
        <v>4</v>
      </c>
      <c r="FH555" s="100">
        <v>4</v>
      </c>
      <c r="FI555" s="100">
        <v>2</v>
      </c>
      <c r="FJ555" s="100">
        <v>6</v>
      </c>
      <c r="FL555" s="100">
        <v>3</v>
      </c>
      <c r="FO555" s="100">
        <v>17</v>
      </c>
      <c r="FP555" s="100">
        <v>3</v>
      </c>
      <c r="FQ555" s="100">
        <v>7</v>
      </c>
      <c r="FR555" s="100">
        <v>1</v>
      </c>
      <c r="FV555" s="100">
        <v>2</v>
      </c>
      <c r="ON555" s="100">
        <f t="shared" si="172"/>
        <v>0</v>
      </c>
    </row>
    <row r="556" spans="1:404" ht="23.25" customHeight="1" thickBot="1">
      <c r="A556" s="97" t="str">
        <f t="shared" si="182"/>
        <v>175/KHBS-21 (343A/POTTERYPOT-21)68-72600-04-A</v>
      </c>
      <c r="B556" s="95">
        <v>44354</v>
      </c>
      <c r="C556" s="97">
        <f t="shared" ca="1" si="183"/>
        <v>-710</v>
      </c>
      <c r="D556" s="96" t="s">
        <v>1026</v>
      </c>
      <c r="E556" s="94" t="s">
        <v>223</v>
      </c>
      <c r="F556" s="98" t="str">
        <f t="shared" si="184"/>
        <v>A</v>
      </c>
      <c r="G556" s="110">
        <f ca="1">SUMIF($A:E,$A556,K:K)</f>
        <v>1</v>
      </c>
      <c r="H556" s="97" t="s">
        <v>964</v>
      </c>
      <c r="I556" s="98">
        <v>1</v>
      </c>
      <c r="J556" s="99">
        <v>1</v>
      </c>
      <c r="K556" s="161">
        <f t="shared" si="171"/>
        <v>1</v>
      </c>
      <c r="L556" s="144">
        <f t="shared" si="180"/>
        <v>0</v>
      </c>
      <c r="M556" s="275">
        <f t="shared" si="181"/>
        <v>1</v>
      </c>
      <c r="N556" s="198">
        <v>2</v>
      </c>
      <c r="O556" s="93">
        <f t="shared" si="179"/>
        <v>100</v>
      </c>
      <c r="DW556" s="199"/>
      <c r="EO556" s="100">
        <v>1</v>
      </c>
      <c r="ON556" s="100">
        <f t="shared" si="172"/>
        <v>0</v>
      </c>
    </row>
    <row r="557" spans="1:404" ht="23.25" customHeight="1">
      <c r="A557" s="97" t="str">
        <f t="shared" si="182"/>
        <v>001/YAMATEI-2168-72600-04-06</v>
      </c>
      <c r="B557" s="126">
        <v>44416</v>
      </c>
      <c r="C557" s="127">
        <f t="shared" ca="1" si="183"/>
        <v>-648</v>
      </c>
      <c r="D557" s="152" t="s">
        <v>759</v>
      </c>
      <c r="E557" s="254" t="s">
        <v>760</v>
      </c>
      <c r="F557" s="132" t="str">
        <f t="shared" si="184"/>
        <v>06</v>
      </c>
      <c r="G557" s="130">
        <f ca="1">SUMIF($A:E,$A557,K:K)</f>
        <v>40</v>
      </c>
      <c r="H557" s="127" t="s">
        <v>1177</v>
      </c>
      <c r="I557" s="156">
        <v>40</v>
      </c>
      <c r="J557" s="153">
        <v>40</v>
      </c>
      <c r="K557" s="143">
        <f t="shared" si="171"/>
        <v>40</v>
      </c>
      <c r="L557" s="144">
        <f t="shared" si="180"/>
        <v>0</v>
      </c>
      <c r="M557" s="275">
        <f t="shared" si="181"/>
        <v>40</v>
      </c>
      <c r="N557" s="132">
        <v>2</v>
      </c>
      <c r="O557" s="93">
        <f t="shared" si="179"/>
        <v>100</v>
      </c>
      <c r="DP557" s="97"/>
      <c r="GG557" s="100">
        <v>4</v>
      </c>
      <c r="GH557" s="100">
        <v>8</v>
      </c>
      <c r="GI557" s="100">
        <v>4</v>
      </c>
      <c r="GL557" s="100">
        <v>14</v>
      </c>
      <c r="GO557" s="100">
        <v>7</v>
      </c>
      <c r="GP557" s="100">
        <v>1</v>
      </c>
      <c r="GU557" s="100">
        <v>2</v>
      </c>
      <c r="ON557" s="100">
        <f t="shared" si="172"/>
        <v>0</v>
      </c>
    </row>
    <row r="558" spans="1:404" ht="23.25" customHeight="1">
      <c r="A558" s="97" t="str">
        <f t="shared" si="182"/>
        <v>004/POTTERYPOT-2168-72600-03-A</v>
      </c>
      <c r="B558" s="114">
        <v>44391</v>
      </c>
      <c r="C558" s="138">
        <f t="shared" ca="1" si="183"/>
        <v>-673</v>
      </c>
      <c r="D558" s="262" t="s">
        <v>775</v>
      </c>
      <c r="E558" s="261" t="s">
        <v>222</v>
      </c>
      <c r="F558" s="98" t="str">
        <f t="shared" si="184"/>
        <v>A</v>
      </c>
      <c r="G558" s="110">
        <f ca="1">SUMIF($A:E,$A558,K:K)</f>
        <v>24</v>
      </c>
      <c r="H558" s="138" t="s">
        <v>601</v>
      </c>
      <c r="I558" s="133">
        <v>24</v>
      </c>
      <c r="J558" s="138">
        <v>24</v>
      </c>
      <c r="K558" s="161">
        <f t="shared" si="171"/>
        <v>24</v>
      </c>
      <c r="L558" s="144">
        <f t="shared" si="180"/>
        <v>0</v>
      </c>
      <c r="M558" s="275">
        <f t="shared" si="181"/>
        <v>24</v>
      </c>
      <c r="N558" s="200">
        <v>2</v>
      </c>
      <c r="O558" s="93">
        <f t="shared" si="179"/>
        <v>100</v>
      </c>
      <c r="EM558" s="100">
        <v>9</v>
      </c>
      <c r="EN558" s="100">
        <v>1</v>
      </c>
      <c r="EO558" s="100">
        <v>2</v>
      </c>
      <c r="EQ558" s="100">
        <v>5</v>
      </c>
      <c r="ER558" s="100">
        <v>4</v>
      </c>
      <c r="ET558" s="100">
        <v>3</v>
      </c>
      <c r="ON558" s="100">
        <f t="shared" si="172"/>
        <v>0</v>
      </c>
    </row>
    <row r="559" spans="1:404" ht="23.25" customHeight="1">
      <c r="A559" s="97" t="e">
        <f>D559&amp;#REF!</f>
        <v>#REF!</v>
      </c>
      <c r="B559" s="126">
        <v>44375</v>
      </c>
      <c r="C559" s="127">
        <f t="shared" ca="1" si="183"/>
        <v>-689</v>
      </c>
      <c r="D559" s="128" t="s">
        <v>1181</v>
      </c>
      <c r="E559" s="129" t="s">
        <v>1182</v>
      </c>
      <c r="F559" s="98" t="str">
        <f t="shared" si="184"/>
        <v>B</v>
      </c>
      <c r="G559" s="110">
        <f ca="1">SUMIF($A:E,$A559,K:K)</f>
        <v>1754</v>
      </c>
      <c r="H559" s="127" t="s">
        <v>933</v>
      </c>
      <c r="I559" s="132">
        <v>4</v>
      </c>
      <c r="J559" s="131">
        <v>4</v>
      </c>
      <c r="K559" s="143">
        <f t="shared" si="171"/>
        <v>4</v>
      </c>
      <c r="L559" s="151">
        <f t="shared" si="180"/>
        <v>0</v>
      </c>
      <c r="M559" s="275">
        <f t="shared" si="181"/>
        <v>4</v>
      </c>
      <c r="N559" s="132">
        <v>2</v>
      </c>
      <c r="O559" s="93">
        <f t="shared" si="179"/>
        <v>100</v>
      </c>
      <c r="FL559" s="100">
        <v>4</v>
      </c>
      <c r="ON559" s="100">
        <f t="shared" si="172"/>
        <v>0</v>
      </c>
    </row>
    <row r="560" spans="1:404" ht="23.25" customHeight="1">
      <c r="A560" s="97" t="str">
        <f t="shared" ref="A560:A587" si="185">D560&amp;E560</f>
        <v>103A/POTTERYPOT-2168-72600-02-A</v>
      </c>
      <c r="B560" s="117">
        <v>44447</v>
      </c>
      <c r="C560" s="101">
        <f t="shared" ca="1" si="183"/>
        <v>-617</v>
      </c>
      <c r="D560" s="266" t="s">
        <v>842</v>
      </c>
      <c r="E560" s="254" t="s">
        <v>221</v>
      </c>
      <c r="F560" s="132" t="str">
        <f t="shared" si="184"/>
        <v>A</v>
      </c>
      <c r="G560" s="130">
        <f ca="1">SUMIF($A:E,$A560,K:K)</f>
        <v>20</v>
      </c>
      <c r="H560" s="127" t="s">
        <v>840</v>
      </c>
      <c r="I560" s="132">
        <v>20</v>
      </c>
      <c r="J560" s="127">
        <v>20</v>
      </c>
      <c r="K560" s="143">
        <f t="shared" si="171"/>
        <v>20</v>
      </c>
      <c r="L560" s="151">
        <f t="shared" si="180"/>
        <v>0</v>
      </c>
      <c r="M560" s="275">
        <f t="shared" si="181"/>
        <v>20</v>
      </c>
      <c r="N560" s="132">
        <v>2</v>
      </c>
      <c r="O560" s="93">
        <f t="shared" ref="O560:O568" si="186">K560/J560*100</f>
        <v>100</v>
      </c>
      <c r="FI560" s="100">
        <v>4</v>
      </c>
      <c r="FJ560" s="100">
        <v>4</v>
      </c>
      <c r="FL560" s="100">
        <v>4</v>
      </c>
      <c r="FM560" s="100">
        <v>2</v>
      </c>
      <c r="FO560" s="100">
        <v>6</v>
      </c>
      <c r="ON560" s="100">
        <f t="shared" si="172"/>
        <v>0</v>
      </c>
    </row>
    <row r="561" spans="1:404" ht="23.25" customHeight="1">
      <c r="A561" s="97" t="str">
        <f t="shared" si="185"/>
        <v>099A/POTTERYPOT-2168-72600-02-A</v>
      </c>
      <c r="B561" s="95" t="s">
        <v>838</v>
      </c>
      <c r="C561" s="97">
        <f t="shared" ca="1" si="183"/>
        <v>-660</v>
      </c>
      <c r="D561" s="147" t="s">
        <v>839</v>
      </c>
      <c r="E561" s="253" t="s">
        <v>221</v>
      </c>
      <c r="F561" s="98" t="str">
        <f t="shared" si="184"/>
        <v>A</v>
      </c>
      <c r="G561" s="110">
        <f ca="1">SUMIF($A:E,$A561,K:K)</f>
        <v>6</v>
      </c>
      <c r="H561" s="97" t="s">
        <v>840</v>
      </c>
      <c r="I561" s="196">
        <v>6</v>
      </c>
      <c r="J561" s="146">
        <v>6</v>
      </c>
      <c r="K561" s="143">
        <f t="shared" si="171"/>
        <v>6</v>
      </c>
      <c r="L561" s="144">
        <f t="shared" si="180"/>
        <v>0</v>
      </c>
      <c r="M561" s="275">
        <f t="shared" si="181"/>
        <v>6</v>
      </c>
      <c r="N561" s="98">
        <v>2</v>
      </c>
      <c r="O561" s="93">
        <f t="shared" si="186"/>
        <v>100</v>
      </c>
      <c r="EL561" s="100">
        <v>1</v>
      </c>
      <c r="EQ561" s="100">
        <v>2</v>
      </c>
      <c r="ER561" s="100">
        <v>2</v>
      </c>
      <c r="ET561" s="100">
        <v>1</v>
      </c>
      <c r="ON561" s="100">
        <f t="shared" si="172"/>
        <v>0</v>
      </c>
    </row>
    <row r="562" spans="1:404" ht="23.25" customHeight="1">
      <c r="A562" s="97" t="str">
        <f t="shared" si="185"/>
        <v>104A/POTTERYPOT-2168-72600-02-A</v>
      </c>
      <c r="B562" s="126">
        <v>44423</v>
      </c>
      <c r="C562" s="127">
        <f t="shared" ca="1" si="183"/>
        <v>-641</v>
      </c>
      <c r="D562" s="158" t="s">
        <v>841</v>
      </c>
      <c r="E562" s="254" t="s">
        <v>221</v>
      </c>
      <c r="F562" s="132" t="str">
        <f t="shared" si="184"/>
        <v>A</v>
      </c>
      <c r="G562" s="130">
        <f ca="1">SUMIF($A:E,$A562,K:K)</f>
        <v>12</v>
      </c>
      <c r="H562" s="127" t="s">
        <v>840</v>
      </c>
      <c r="I562" s="132">
        <v>12</v>
      </c>
      <c r="J562" s="127">
        <v>12</v>
      </c>
      <c r="K562" s="143">
        <f t="shared" si="171"/>
        <v>12</v>
      </c>
      <c r="L562" s="151">
        <f t="shared" si="180"/>
        <v>0</v>
      </c>
      <c r="M562" s="275">
        <f t="shared" si="181"/>
        <v>12</v>
      </c>
      <c r="N562" s="132">
        <v>2</v>
      </c>
      <c r="O562" s="93">
        <f t="shared" si="186"/>
        <v>100</v>
      </c>
      <c r="FO562" s="100">
        <v>2</v>
      </c>
      <c r="FP562" s="100">
        <v>2</v>
      </c>
      <c r="FQ562" s="100">
        <v>4</v>
      </c>
      <c r="FT562" s="100">
        <v>4</v>
      </c>
      <c r="ON562" s="100">
        <f t="shared" si="172"/>
        <v>0</v>
      </c>
    </row>
    <row r="563" spans="1:404" ht="23.25" customHeight="1">
      <c r="A563" s="97" t="str">
        <f t="shared" si="185"/>
        <v>102A/POTTERYPOT-2168-72600-02-A</v>
      </c>
      <c r="B563" s="95">
        <v>44447</v>
      </c>
      <c r="C563" s="97">
        <f t="shared" ca="1" si="183"/>
        <v>-617</v>
      </c>
      <c r="D563" s="147" t="s">
        <v>843</v>
      </c>
      <c r="E563" s="253" t="s">
        <v>221</v>
      </c>
      <c r="F563" s="98" t="str">
        <f t="shared" si="184"/>
        <v>A</v>
      </c>
      <c r="G563" s="110">
        <f ca="1">SUMIF($A:E,$A563,K:K)</f>
        <v>10</v>
      </c>
      <c r="H563" s="97" t="s">
        <v>840</v>
      </c>
      <c r="I563" s="98">
        <v>10</v>
      </c>
      <c r="J563" s="97">
        <v>10</v>
      </c>
      <c r="K563" s="143">
        <f t="shared" si="171"/>
        <v>10</v>
      </c>
      <c r="L563" s="144">
        <f t="shared" si="180"/>
        <v>0</v>
      </c>
      <c r="M563" s="275">
        <f t="shared" si="181"/>
        <v>10</v>
      </c>
      <c r="N563" s="132">
        <v>2</v>
      </c>
      <c r="O563" s="93">
        <f t="shared" si="186"/>
        <v>100</v>
      </c>
      <c r="FT563" s="100">
        <v>4</v>
      </c>
      <c r="FV563" s="100">
        <v>4</v>
      </c>
      <c r="FW563" s="100">
        <v>2</v>
      </c>
      <c r="ON563" s="100">
        <f t="shared" si="172"/>
        <v>0</v>
      </c>
    </row>
    <row r="564" spans="1:404" ht="23.25" customHeight="1">
      <c r="A564" s="97" t="str">
        <f t="shared" si="185"/>
        <v>076/POTTERYPOT-2168-72600-02-A</v>
      </c>
      <c r="B564" s="95">
        <v>44423</v>
      </c>
      <c r="C564" s="97">
        <f t="shared" ca="1" si="183"/>
        <v>-641</v>
      </c>
      <c r="D564" s="147" t="s">
        <v>847</v>
      </c>
      <c r="E564" s="253" t="s">
        <v>221</v>
      </c>
      <c r="F564" s="98" t="str">
        <f t="shared" si="184"/>
        <v>A</v>
      </c>
      <c r="G564" s="110">
        <f ca="1">SUMIF($A:E,$A564,K:K)</f>
        <v>40</v>
      </c>
      <c r="H564" s="97" t="s">
        <v>840</v>
      </c>
      <c r="I564" s="98">
        <v>40</v>
      </c>
      <c r="J564" s="97">
        <v>40</v>
      </c>
      <c r="K564" s="143">
        <f t="shared" si="171"/>
        <v>40</v>
      </c>
      <c r="L564" s="144">
        <f t="shared" si="180"/>
        <v>0</v>
      </c>
      <c r="M564" s="275">
        <f t="shared" si="181"/>
        <v>40</v>
      </c>
      <c r="N564" s="98">
        <v>2</v>
      </c>
      <c r="O564" s="93">
        <f t="shared" si="186"/>
        <v>100</v>
      </c>
      <c r="FW564" s="100">
        <v>2</v>
      </c>
      <c r="FZ564" s="100">
        <v>2</v>
      </c>
      <c r="GA564" s="100">
        <v>1</v>
      </c>
      <c r="GB564" s="100">
        <v>1</v>
      </c>
      <c r="GD564" s="100">
        <v>3</v>
      </c>
      <c r="GG564" s="100">
        <v>2</v>
      </c>
      <c r="GH564" s="100">
        <v>4</v>
      </c>
      <c r="GL564" s="100">
        <v>4</v>
      </c>
      <c r="GO564" s="100">
        <v>1</v>
      </c>
      <c r="GP564" s="100">
        <v>2</v>
      </c>
      <c r="GV564" s="100">
        <v>2</v>
      </c>
      <c r="GX564" s="100">
        <v>3</v>
      </c>
      <c r="GY564" s="100">
        <v>2</v>
      </c>
      <c r="GZ564" s="100">
        <v>1</v>
      </c>
      <c r="HC564" s="100">
        <v>4</v>
      </c>
      <c r="HD564" s="100">
        <v>2</v>
      </c>
      <c r="HE564" s="100">
        <v>2</v>
      </c>
      <c r="HF564" s="100">
        <v>2</v>
      </c>
      <c r="ON564" s="100">
        <f t="shared" si="172"/>
        <v>0</v>
      </c>
    </row>
    <row r="565" spans="1:404" ht="23.25" customHeight="1">
      <c r="A565" s="97" t="str">
        <f t="shared" si="185"/>
        <v>101A/POTTERYPOT-2168-72600-02-A</v>
      </c>
      <c r="B565" s="95" t="s">
        <v>846</v>
      </c>
      <c r="C565" s="97">
        <f t="shared" ca="1" si="183"/>
        <v>-658</v>
      </c>
      <c r="D565" s="147" t="s">
        <v>844</v>
      </c>
      <c r="E565" s="253" t="s">
        <v>221</v>
      </c>
      <c r="F565" s="98" t="str">
        <f t="shared" si="184"/>
        <v>A</v>
      </c>
      <c r="G565" s="110">
        <f ca="1">SUMIF($A:E,$A565,K:K)</f>
        <v>10</v>
      </c>
      <c r="H565" s="97" t="s">
        <v>840</v>
      </c>
      <c r="I565" s="98">
        <v>10</v>
      </c>
      <c r="J565" s="97">
        <v>10</v>
      </c>
      <c r="K565" s="143">
        <f t="shared" si="171"/>
        <v>10</v>
      </c>
      <c r="L565" s="144">
        <f t="shared" si="180"/>
        <v>0</v>
      </c>
      <c r="M565" s="275">
        <f t="shared" si="181"/>
        <v>10</v>
      </c>
      <c r="N565" s="98">
        <v>2</v>
      </c>
      <c r="O565" s="93">
        <f t="shared" si="186"/>
        <v>100</v>
      </c>
      <c r="ET565" s="100">
        <v>2</v>
      </c>
      <c r="EU565" s="100">
        <v>2</v>
      </c>
      <c r="EW565" s="100">
        <v>4</v>
      </c>
      <c r="EX565" s="100">
        <v>2</v>
      </c>
      <c r="ON565" s="100">
        <f t="shared" si="172"/>
        <v>0</v>
      </c>
    </row>
    <row r="566" spans="1:404" ht="23.25" customHeight="1">
      <c r="A566" s="97" t="str">
        <f t="shared" si="185"/>
        <v>100A/POTTERYPOT-2168-72600-02-A</v>
      </c>
      <c r="B566" s="95" t="s">
        <v>838</v>
      </c>
      <c r="C566" s="97">
        <f t="shared" ca="1" si="183"/>
        <v>-660</v>
      </c>
      <c r="D566" s="147" t="s">
        <v>845</v>
      </c>
      <c r="E566" s="253" t="s">
        <v>221</v>
      </c>
      <c r="F566" s="98" t="str">
        <f t="shared" si="184"/>
        <v>A</v>
      </c>
      <c r="G566" s="110">
        <f ca="1">SUMIF($A:E,$A566,K:K)</f>
        <v>14</v>
      </c>
      <c r="H566" s="97" t="s">
        <v>840</v>
      </c>
      <c r="I566" s="98">
        <v>14</v>
      </c>
      <c r="J566" s="97">
        <v>14</v>
      </c>
      <c r="K566" s="143">
        <f t="shared" si="171"/>
        <v>14</v>
      </c>
      <c r="L566" s="144">
        <f t="shared" si="180"/>
        <v>0</v>
      </c>
      <c r="M566" s="275">
        <f t="shared" si="181"/>
        <v>14</v>
      </c>
      <c r="N566" s="98">
        <v>2</v>
      </c>
      <c r="O566" s="93">
        <f t="shared" si="186"/>
        <v>100</v>
      </c>
      <c r="EY566" s="100">
        <v>4</v>
      </c>
      <c r="FA566" s="100">
        <v>2</v>
      </c>
      <c r="FB566" s="100">
        <v>2</v>
      </c>
      <c r="FC566" s="100">
        <v>2</v>
      </c>
      <c r="FF566" s="100">
        <v>2</v>
      </c>
      <c r="FI566" s="100">
        <v>2</v>
      </c>
      <c r="ON566" s="100">
        <f t="shared" si="172"/>
        <v>0</v>
      </c>
    </row>
    <row r="567" spans="1:404" ht="23.25" customHeight="1">
      <c r="A567" s="97" t="str">
        <f t="shared" si="185"/>
        <v>086/POTTERYPOT-2168-72600-02-A</v>
      </c>
      <c r="B567" s="95">
        <v>44434</v>
      </c>
      <c r="C567" s="97">
        <f t="shared" ca="1" si="183"/>
        <v>-630</v>
      </c>
      <c r="D567" s="96" t="s">
        <v>884</v>
      </c>
      <c r="E567" s="94" t="s">
        <v>221</v>
      </c>
      <c r="F567" s="98" t="str">
        <f t="shared" si="184"/>
        <v>A</v>
      </c>
      <c r="G567" s="110">
        <f ca="1">SUMIF($A:E,$A567,K:K)</f>
        <v>10</v>
      </c>
      <c r="H567" s="97" t="s">
        <v>616</v>
      </c>
      <c r="I567" s="98">
        <v>10</v>
      </c>
      <c r="J567" s="97">
        <v>10</v>
      </c>
      <c r="K567" s="143">
        <f t="shared" si="171"/>
        <v>10</v>
      </c>
      <c r="L567" s="144">
        <f t="shared" si="180"/>
        <v>0</v>
      </c>
      <c r="M567" s="275">
        <f t="shared" si="181"/>
        <v>10</v>
      </c>
      <c r="N567" s="98">
        <v>2</v>
      </c>
      <c r="O567" s="93">
        <f t="shared" si="186"/>
        <v>100</v>
      </c>
      <c r="HQ567" s="100">
        <v>7</v>
      </c>
      <c r="HR567" s="100">
        <v>3</v>
      </c>
      <c r="ON567" s="100">
        <f t="shared" si="172"/>
        <v>0</v>
      </c>
    </row>
    <row r="568" spans="1:404" ht="23.25" customHeight="1">
      <c r="A568" s="97" t="str">
        <f t="shared" si="185"/>
        <v>123/POTTERYPOT-2168-72600-02-A</v>
      </c>
      <c r="B568" s="95">
        <v>44436</v>
      </c>
      <c r="C568" s="97">
        <f t="shared" ca="1" si="183"/>
        <v>-628</v>
      </c>
      <c r="D568" s="96" t="s">
        <v>926</v>
      </c>
      <c r="E568" s="94" t="s">
        <v>221</v>
      </c>
      <c r="F568" s="98" t="str">
        <f t="shared" si="184"/>
        <v>A</v>
      </c>
      <c r="G568" s="110">
        <f ca="1">SUMIF($A:E,$A568,K:K)</f>
        <v>16</v>
      </c>
      <c r="H568" s="97" t="s">
        <v>927</v>
      </c>
      <c r="I568" s="98">
        <v>16</v>
      </c>
      <c r="J568" s="97">
        <v>16</v>
      </c>
      <c r="K568" s="143">
        <f t="shared" si="171"/>
        <v>16</v>
      </c>
      <c r="L568" s="144">
        <f t="shared" si="180"/>
        <v>0</v>
      </c>
      <c r="M568" s="275">
        <f t="shared" si="181"/>
        <v>16</v>
      </c>
      <c r="N568" s="98">
        <v>2</v>
      </c>
      <c r="O568" s="93">
        <f t="shared" si="186"/>
        <v>100</v>
      </c>
      <c r="HS568" s="100">
        <v>5</v>
      </c>
      <c r="HT568" s="100">
        <v>5</v>
      </c>
      <c r="HU568" s="100">
        <v>6</v>
      </c>
      <c r="ON568" s="100">
        <f t="shared" si="172"/>
        <v>0</v>
      </c>
    </row>
    <row r="569" spans="1:404" ht="23.25" customHeight="1">
      <c r="A569" s="97" t="str">
        <f t="shared" si="185"/>
        <v>147A/POTTERYPOT-2168-72600-02-A</v>
      </c>
      <c r="B569" s="126">
        <v>44461</v>
      </c>
      <c r="C569" s="97">
        <f t="shared" ca="1" si="183"/>
        <v>-603</v>
      </c>
      <c r="D569" s="96" t="s">
        <v>1424</v>
      </c>
      <c r="E569" s="94" t="s">
        <v>221</v>
      </c>
      <c r="F569" s="132" t="str">
        <f t="shared" si="184"/>
        <v>A</v>
      </c>
      <c r="G569" s="130">
        <f ca="1">SUMIF($A:E,$A569,K:K)</f>
        <v>2</v>
      </c>
      <c r="H569" s="127" t="s">
        <v>601</v>
      </c>
      <c r="I569" s="132">
        <v>2</v>
      </c>
      <c r="J569" s="131">
        <v>2</v>
      </c>
      <c r="K569" s="143">
        <f t="shared" si="171"/>
        <v>2</v>
      </c>
      <c r="L569" s="151">
        <f t="shared" si="180"/>
        <v>0</v>
      </c>
      <c r="M569" s="275">
        <f t="shared" si="181"/>
        <v>2</v>
      </c>
      <c r="N569" s="120">
        <v>2</v>
      </c>
      <c r="O569" s="93">
        <f>K569/J569*100</f>
        <v>100</v>
      </c>
      <c r="HU569" s="100">
        <v>1</v>
      </c>
      <c r="HX569" s="100">
        <v>1</v>
      </c>
      <c r="ON569" s="100">
        <f t="shared" si="172"/>
        <v>0</v>
      </c>
    </row>
    <row r="570" spans="1:404" ht="23.25" customHeight="1">
      <c r="A570" s="97" t="str">
        <f t="shared" si="185"/>
        <v>176A/POTTERYPOT-2168-72600-02-A</v>
      </c>
      <c r="B570" s="95">
        <v>44454</v>
      </c>
      <c r="C570" s="97">
        <f t="shared" ca="1" si="183"/>
        <v>-610</v>
      </c>
      <c r="D570" s="96" t="s">
        <v>1005</v>
      </c>
      <c r="E570" s="94" t="s">
        <v>221</v>
      </c>
      <c r="F570" s="132" t="str">
        <f t="shared" si="184"/>
        <v>A</v>
      </c>
      <c r="G570" s="130">
        <f ca="1">SUMIF($A:E,$A570,K:K)</f>
        <v>4</v>
      </c>
      <c r="H570" s="97" t="s">
        <v>601</v>
      </c>
      <c r="I570" s="98">
        <v>4</v>
      </c>
      <c r="J570" s="97">
        <v>4</v>
      </c>
      <c r="K570" s="143">
        <f t="shared" si="171"/>
        <v>4</v>
      </c>
      <c r="L570" s="151">
        <f t="shared" si="180"/>
        <v>0</v>
      </c>
      <c r="M570" s="275">
        <f t="shared" si="181"/>
        <v>4</v>
      </c>
      <c r="N570" s="98">
        <v>2</v>
      </c>
      <c r="O570" s="93">
        <f t="shared" ref="O570:O598" si="187">K570/J570*100</f>
        <v>100</v>
      </c>
      <c r="HX570" s="100">
        <v>1</v>
      </c>
      <c r="IH570" s="100">
        <v>3</v>
      </c>
      <c r="ON570" s="100">
        <f t="shared" si="172"/>
        <v>0</v>
      </c>
    </row>
    <row r="571" spans="1:404" ht="23.25" customHeight="1">
      <c r="A571" s="97" t="str">
        <f t="shared" si="185"/>
        <v>160/POTTERYPOT-2168-72600-02-A</v>
      </c>
      <c r="B571" s="95">
        <v>44453</v>
      </c>
      <c r="C571" s="97">
        <f t="shared" ca="1" si="183"/>
        <v>-611</v>
      </c>
      <c r="D571" s="96" t="s">
        <v>1006</v>
      </c>
      <c r="E571" s="94" t="s">
        <v>221</v>
      </c>
      <c r="F571" s="98" t="str">
        <f t="shared" si="184"/>
        <v>A</v>
      </c>
      <c r="G571" s="110">
        <f ca="1">SUMIF($A:E,$A571,K:K)</f>
        <v>2</v>
      </c>
      <c r="H571" s="97" t="s">
        <v>601</v>
      </c>
      <c r="I571" s="98">
        <v>2</v>
      </c>
      <c r="J571" s="97">
        <v>2</v>
      </c>
      <c r="K571" s="143">
        <f t="shared" si="171"/>
        <v>2</v>
      </c>
      <c r="L571" s="144">
        <f t="shared" si="180"/>
        <v>0</v>
      </c>
      <c r="M571" s="275">
        <f t="shared" si="181"/>
        <v>2</v>
      </c>
      <c r="N571" s="98">
        <v>2</v>
      </c>
      <c r="O571" s="93">
        <f t="shared" si="187"/>
        <v>100</v>
      </c>
      <c r="IH571" s="100">
        <v>1</v>
      </c>
      <c r="IK571" s="100">
        <v>1</v>
      </c>
      <c r="ON571" s="100">
        <f t="shared" si="172"/>
        <v>0</v>
      </c>
    </row>
    <row r="572" spans="1:404" ht="23.25" customHeight="1">
      <c r="A572" s="97" t="str">
        <f t="shared" si="185"/>
        <v>216/POTTERYPOT-2168-72600-02-A</v>
      </c>
      <c r="B572" s="95">
        <v>44591</v>
      </c>
      <c r="C572" s="97">
        <f t="shared" ca="1" si="183"/>
        <v>-473</v>
      </c>
      <c r="D572" s="96" t="s">
        <v>1022</v>
      </c>
      <c r="E572" s="280" t="s">
        <v>221</v>
      </c>
      <c r="F572" s="132" t="str">
        <f t="shared" si="184"/>
        <v>A</v>
      </c>
      <c r="G572" s="130">
        <f ca="1">SUMIF($A:E,$A572,K:K)</f>
        <v>14</v>
      </c>
      <c r="H572" s="97" t="s">
        <v>601</v>
      </c>
      <c r="I572" s="98">
        <v>14</v>
      </c>
      <c r="J572" s="99">
        <v>14</v>
      </c>
      <c r="K572" s="143">
        <f t="shared" si="171"/>
        <v>14</v>
      </c>
      <c r="L572" s="151">
        <f t="shared" si="180"/>
        <v>0</v>
      </c>
      <c r="M572" s="275">
        <f t="shared" si="181"/>
        <v>14</v>
      </c>
      <c r="N572" s="98" t="s">
        <v>1776</v>
      </c>
      <c r="O572" s="93">
        <f t="shared" si="187"/>
        <v>100</v>
      </c>
      <c r="KE572" s="100">
        <v>2</v>
      </c>
      <c r="KF572" s="100">
        <v>2</v>
      </c>
      <c r="KG572" s="100">
        <v>2</v>
      </c>
      <c r="KH572" s="100">
        <v>2</v>
      </c>
      <c r="KI572" s="100">
        <v>2</v>
      </c>
      <c r="KJ572" s="100">
        <v>2</v>
      </c>
      <c r="KN572" s="100">
        <v>2</v>
      </c>
      <c r="ON572" s="100">
        <f t="shared" si="172"/>
        <v>0</v>
      </c>
    </row>
    <row r="573" spans="1:404" ht="23.25" customHeight="1">
      <c r="A573" s="97" t="str">
        <f t="shared" si="185"/>
        <v>075/NY/PP-USA-2168-72600-02-A</v>
      </c>
      <c r="B573" s="114">
        <v>44594</v>
      </c>
      <c r="C573" s="101">
        <f t="shared" ca="1" si="183"/>
        <v>-470</v>
      </c>
      <c r="D573" s="96" t="s">
        <v>1023</v>
      </c>
      <c r="E573" s="280" t="s">
        <v>221</v>
      </c>
      <c r="F573" s="98" t="str">
        <f t="shared" si="184"/>
        <v>A</v>
      </c>
      <c r="G573" s="110">
        <f ca="1">SUMIF($A:E,$A573,K:K)</f>
        <v>20</v>
      </c>
      <c r="H573" s="97" t="s">
        <v>508</v>
      </c>
      <c r="I573" s="98">
        <v>20</v>
      </c>
      <c r="J573" s="97">
        <v>20</v>
      </c>
      <c r="K573" s="143">
        <f t="shared" si="171"/>
        <v>20</v>
      </c>
      <c r="L573" s="151">
        <f t="shared" si="180"/>
        <v>0</v>
      </c>
      <c r="M573" s="275">
        <f t="shared" si="181"/>
        <v>20</v>
      </c>
      <c r="N573" s="98" t="s">
        <v>1776</v>
      </c>
      <c r="O573" s="93">
        <f t="shared" si="187"/>
        <v>100</v>
      </c>
      <c r="JU573" s="100">
        <v>4</v>
      </c>
      <c r="JW573" s="100">
        <v>2</v>
      </c>
      <c r="JX573" s="100">
        <v>4</v>
      </c>
      <c r="KA573" s="100">
        <v>2</v>
      </c>
      <c r="KB573" s="100">
        <v>4</v>
      </c>
      <c r="KC573" s="100">
        <v>2</v>
      </c>
      <c r="KD573" s="100">
        <v>2</v>
      </c>
      <c r="ON573" s="100">
        <f t="shared" si="172"/>
        <v>0</v>
      </c>
    </row>
    <row r="574" spans="1:404" ht="23.25" customHeight="1">
      <c r="A574" s="97" t="str">
        <f t="shared" si="185"/>
        <v>072/NY/PP-USA-2168-72600-02-A</v>
      </c>
      <c r="B574" s="95">
        <v>44671</v>
      </c>
      <c r="C574" s="101">
        <f t="shared" ref="C574:C602" ca="1" si="188">B574-TODAY()</f>
        <v>-393</v>
      </c>
      <c r="D574" s="96" t="s">
        <v>1032</v>
      </c>
      <c r="E574" s="280" t="s">
        <v>221</v>
      </c>
      <c r="F574" s="98" t="str">
        <f t="shared" ref="F574:F590" si="189">MID(E574,13,2)</f>
        <v>A</v>
      </c>
      <c r="G574" s="110">
        <f ca="1">SUMIF($A:E,$A574,K:K)</f>
        <v>0</v>
      </c>
      <c r="H574" s="97" t="s">
        <v>933</v>
      </c>
      <c r="I574" s="98">
        <v>40</v>
      </c>
      <c r="J574" s="99">
        <v>40</v>
      </c>
      <c r="K574" s="143">
        <f t="shared" si="171"/>
        <v>0</v>
      </c>
      <c r="L574" s="144">
        <f t="shared" si="180"/>
        <v>40</v>
      </c>
      <c r="M574" s="275">
        <f t="shared" si="181"/>
        <v>40</v>
      </c>
      <c r="N574" s="98" t="s">
        <v>1768</v>
      </c>
      <c r="O574" s="93">
        <f t="shared" si="187"/>
        <v>0</v>
      </c>
      <c r="ON574" s="100">
        <f t="shared" si="172"/>
        <v>0</v>
      </c>
    </row>
    <row r="575" spans="1:404" ht="23.25" customHeight="1">
      <c r="A575" s="97" t="str">
        <f t="shared" si="185"/>
        <v>191/POTTERYPOT-2168-72600-02-A</v>
      </c>
      <c r="B575" s="95">
        <v>44671</v>
      </c>
      <c r="C575" s="101">
        <f t="shared" ca="1" si="188"/>
        <v>-393</v>
      </c>
      <c r="D575" s="128" t="s">
        <v>1033</v>
      </c>
      <c r="E575" s="286" t="s">
        <v>221</v>
      </c>
      <c r="F575" s="132" t="str">
        <f t="shared" si="189"/>
        <v>A</v>
      </c>
      <c r="G575" s="130">
        <f ca="1">SUMIF($A:E,$A575,K:K)</f>
        <v>0</v>
      </c>
      <c r="H575" s="127" t="s">
        <v>601</v>
      </c>
      <c r="I575" s="132">
        <v>20</v>
      </c>
      <c r="J575" s="127">
        <v>20</v>
      </c>
      <c r="K575" s="143">
        <f t="shared" si="171"/>
        <v>0</v>
      </c>
      <c r="L575" s="151">
        <f t="shared" si="180"/>
        <v>20</v>
      </c>
      <c r="M575" s="275">
        <f t="shared" si="181"/>
        <v>20</v>
      </c>
      <c r="N575" s="98" t="s">
        <v>1768</v>
      </c>
      <c r="O575" s="93">
        <f t="shared" si="187"/>
        <v>0</v>
      </c>
      <c r="ON575" s="100">
        <f t="shared" si="172"/>
        <v>0</v>
      </c>
    </row>
    <row r="576" spans="1:404" ht="23.25" customHeight="1">
      <c r="A576" s="97" t="str">
        <f t="shared" si="185"/>
        <v>125A/POTTERYPOT-2168-72600-02-A</v>
      </c>
      <c r="B576" s="95">
        <v>44453</v>
      </c>
      <c r="C576" s="97">
        <f t="shared" ca="1" si="188"/>
        <v>-611</v>
      </c>
      <c r="D576" s="96" t="s">
        <v>1076</v>
      </c>
      <c r="E576" s="94" t="s">
        <v>221</v>
      </c>
      <c r="F576" s="98" t="str">
        <f t="shared" si="189"/>
        <v>A</v>
      </c>
      <c r="G576" s="110">
        <f ca="1">SUMIF($A:E,$A576,K:K)</f>
        <v>6</v>
      </c>
      <c r="H576" s="97" t="s">
        <v>964</v>
      </c>
      <c r="I576" s="98">
        <v>6</v>
      </c>
      <c r="J576" s="97">
        <v>6</v>
      </c>
      <c r="K576" s="143">
        <f t="shared" si="171"/>
        <v>6</v>
      </c>
      <c r="L576" s="151">
        <f t="shared" si="180"/>
        <v>0</v>
      </c>
      <c r="M576" s="275">
        <f t="shared" si="181"/>
        <v>6</v>
      </c>
      <c r="N576" s="98">
        <v>2</v>
      </c>
      <c r="O576" s="93">
        <f t="shared" si="187"/>
        <v>100</v>
      </c>
      <c r="IK576" s="100">
        <v>2</v>
      </c>
      <c r="IL576" s="100">
        <v>4</v>
      </c>
      <c r="ON576" s="100">
        <f t="shared" si="172"/>
        <v>0</v>
      </c>
    </row>
    <row r="577" spans="1:404" ht="23.25" customHeight="1">
      <c r="A577" s="97" t="str">
        <f t="shared" si="185"/>
        <v>228/POTTERYPOT-2168-72600-02-A</v>
      </c>
      <c r="B577" s="95">
        <v>44566</v>
      </c>
      <c r="C577" s="97">
        <f t="shared" ca="1" si="188"/>
        <v>-498</v>
      </c>
      <c r="D577" s="96" t="s">
        <v>1083</v>
      </c>
      <c r="E577" s="280" t="s">
        <v>221</v>
      </c>
      <c r="F577" s="98" t="str">
        <f t="shared" si="189"/>
        <v>A</v>
      </c>
      <c r="G577" s="110">
        <f ca="1">SUMIF($A:E,$A577,K:K)</f>
        <v>24</v>
      </c>
      <c r="H577" s="97" t="s">
        <v>601</v>
      </c>
      <c r="I577" s="98">
        <v>24</v>
      </c>
      <c r="J577" s="97">
        <v>24</v>
      </c>
      <c r="K577" s="143">
        <f t="shared" si="171"/>
        <v>24</v>
      </c>
      <c r="L577" s="151">
        <f t="shared" si="180"/>
        <v>0</v>
      </c>
      <c r="M577" s="275">
        <f t="shared" si="181"/>
        <v>24</v>
      </c>
      <c r="N577" s="98" t="s">
        <v>1776</v>
      </c>
      <c r="O577" s="93">
        <f t="shared" si="187"/>
        <v>100</v>
      </c>
      <c r="JH577" s="100">
        <v>4</v>
      </c>
      <c r="JI577" s="100">
        <v>4</v>
      </c>
      <c r="JK577" s="100">
        <v>4</v>
      </c>
      <c r="JM577" s="100">
        <v>2</v>
      </c>
      <c r="JN577" s="100">
        <v>2</v>
      </c>
      <c r="JO577" s="100">
        <v>2</v>
      </c>
      <c r="JQ577" s="100">
        <v>4</v>
      </c>
      <c r="JT577" s="100">
        <v>2</v>
      </c>
      <c r="ON577" s="100">
        <f t="shared" si="172"/>
        <v>0</v>
      </c>
    </row>
    <row r="578" spans="1:404" ht="23.25" customHeight="1">
      <c r="A578" s="97" t="str">
        <f t="shared" si="185"/>
        <v>227/POTERTYPOT-2168-72600-02-A</v>
      </c>
      <c r="B578" s="95">
        <v>44557</v>
      </c>
      <c r="C578" s="97">
        <f t="shared" ca="1" si="188"/>
        <v>-507</v>
      </c>
      <c r="D578" s="96" t="s">
        <v>1084</v>
      </c>
      <c r="E578" s="280" t="s">
        <v>221</v>
      </c>
      <c r="F578" s="198" t="str">
        <f t="shared" si="189"/>
        <v>A</v>
      </c>
      <c r="G578" s="110">
        <f ca="1">SUMIF($A:E,$A578,K:K)</f>
        <v>12</v>
      </c>
      <c r="H578" s="97" t="s">
        <v>601</v>
      </c>
      <c r="I578" s="98">
        <v>12</v>
      </c>
      <c r="J578" s="97">
        <v>12</v>
      </c>
      <c r="K578" s="143">
        <f t="shared" si="171"/>
        <v>12</v>
      </c>
      <c r="L578" s="151">
        <f t="shared" si="180"/>
        <v>0</v>
      </c>
      <c r="M578" s="275">
        <f t="shared" si="181"/>
        <v>12</v>
      </c>
      <c r="N578" s="98" t="s">
        <v>1776</v>
      </c>
      <c r="O578" s="93">
        <f t="shared" si="187"/>
        <v>100</v>
      </c>
      <c r="JD578" s="100">
        <v>2</v>
      </c>
      <c r="JF578" s="100">
        <v>7</v>
      </c>
      <c r="JG578" s="100">
        <v>3</v>
      </c>
      <c r="ON578" s="100">
        <f t="shared" si="172"/>
        <v>0</v>
      </c>
    </row>
    <row r="579" spans="1:404" ht="23.25" customHeight="1">
      <c r="A579" s="97" t="str">
        <f t="shared" si="185"/>
        <v>382A/POTTERYPOT-2168-72600-02-A</v>
      </c>
      <c r="B579" s="95">
        <v>44746</v>
      </c>
      <c r="C579" s="97">
        <f t="shared" ca="1" si="188"/>
        <v>-318</v>
      </c>
      <c r="D579" s="96" t="s">
        <v>1285</v>
      </c>
      <c r="E579" s="280" t="s">
        <v>221</v>
      </c>
      <c r="F579" s="98" t="str">
        <f t="shared" si="189"/>
        <v>A</v>
      </c>
      <c r="G579" s="110">
        <f ca="1">SUMIF($A:E,$A579,K:K)</f>
        <v>16</v>
      </c>
      <c r="H579" s="97" t="s">
        <v>964</v>
      </c>
      <c r="I579" s="98">
        <v>8</v>
      </c>
      <c r="J579" s="97">
        <v>8</v>
      </c>
      <c r="K579" s="143">
        <f t="shared" si="171"/>
        <v>16</v>
      </c>
      <c r="L579" s="151">
        <f t="shared" si="180"/>
        <v>-8</v>
      </c>
      <c r="M579" s="275">
        <f t="shared" si="181"/>
        <v>8</v>
      </c>
      <c r="N579" s="98" t="s">
        <v>1776</v>
      </c>
      <c r="O579" s="93">
        <f>K579/J579*100</f>
        <v>200</v>
      </c>
      <c r="OF579" s="100">
        <v>2</v>
      </c>
      <c r="OG579" s="100">
        <v>2</v>
      </c>
      <c r="OH579" s="100">
        <v>4</v>
      </c>
      <c r="ON579" s="100">
        <f t="shared" si="172"/>
        <v>8</v>
      </c>
    </row>
    <row r="580" spans="1:404" ht="23.25" customHeight="1">
      <c r="A580" s="97" t="str">
        <f t="shared" si="185"/>
        <v>320/POTTERYPOT-2168-72600-02-A</v>
      </c>
      <c r="B580" s="95">
        <v>44649</v>
      </c>
      <c r="C580" s="97">
        <f t="shared" ca="1" si="188"/>
        <v>-415</v>
      </c>
      <c r="D580" s="112" t="s">
        <v>1336</v>
      </c>
      <c r="E580" s="279" t="s">
        <v>221</v>
      </c>
      <c r="F580" s="98" t="str">
        <f t="shared" si="189"/>
        <v>A</v>
      </c>
      <c r="G580" s="110">
        <f ca="1">SUMIF($A:E,$A580,K:K)</f>
        <v>38</v>
      </c>
      <c r="H580" s="97" t="s">
        <v>1360</v>
      </c>
      <c r="I580" s="175">
        <v>38</v>
      </c>
      <c r="J580" s="115">
        <v>38</v>
      </c>
      <c r="K580" s="143">
        <f t="shared" ref="K580:K643" si="190">SUM(P580:BBC580)</f>
        <v>38</v>
      </c>
      <c r="L580" s="151">
        <f t="shared" si="180"/>
        <v>0</v>
      </c>
      <c r="M580" s="275">
        <f t="shared" si="181"/>
        <v>38</v>
      </c>
      <c r="N580" s="98" t="s">
        <v>1776</v>
      </c>
      <c r="O580" s="93">
        <f t="shared" si="187"/>
        <v>100</v>
      </c>
      <c r="MK580" s="100">
        <v>2</v>
      </c>
      <c r="ML580" s="100">
        <v>2</v>
      </c>
      <c r="MM580" s="100">
        <v>2</v>
      </c>
      <c r="MN580" s="100">
        <v>2</v>
      </c>
      <c r="MO580" s="100">
        <v>2</v>
      </c>
      <c r="MP580" s="100">
        <v>2</v>
      </c>
      <c r="MQ580" s="100">
        <v>2</v>
      </c>
      <c r="MR580" s="100">
        <v>2</v>
      </c>
      <c r="MS580" s="100">
        <v>2</v>
      </c>
      <c r="MT580" s="100">
        <v>2</v>
      </c>
      <c r="MU580" s="100">
        <v>2</v>
      </c>
      <c r="MW580" s="100">
        <v>2</v>
      </c>
      <c r="MX580" s="100">
        <v>2</v>
      </c>
      <c r="MY580" s="100">
        <v>2</v>
      </c>
      <c r="MZ580" s="100">
        <v>2</v>
      </c>
      <c r="ND580" s="100">
        <v>2</v>
      </c>
      <c r="NE580" s="100">
        <v>2</v>
      </c>
      <c r="NF580" s="100">
        <v>2</v>
      </c>
      <c r="NG580" s="100">
        <v>2</v>
      </c>
      <c r="ON580" s="100">
        <f t="shared" ref="ON580:ON643" si="191">SUM(NS580:OM580)</f>
        <v>0</v>
      </c>
    </row>
    <row r="581" spans="1:404" ht="23.25" customHeight="1">
      <c r="A581" s="97" t="str">
        <f t="shared" si="185"/>
        <v>321/POTTERYPOT-2168-72600-02-A</v>
      </c>
      <c r="B581" s="95">
        <v>44669</v>
      </c>
      <c r="C581" s="97">
        <f t="shared" ca="1" si="188"/>
        <v>-395</v>
      </c>
      <c r="D581" s="112" t="s">
        <v>1337</v>
      </c>
      <c r="E581" s="279" t="s">
        <v>221</v>
      </c>
      <c r="F581" s="98" t="str">
        <f t="shared" si="189"/>
        <v>A</v>
      </c>
      <c r="G581" s="110">
        <f ca="1">SUMIF($A:E,$A581,K:K)</f>
        <v>36</v>
      </c>
      <c r="H581" s="97" t="s">
        <v>927</v>
      </c>
      <c r="I581" s="175">
        <v>36</v>
      </c>
      <c r="J581" s="115">
        <v>36</v>
      </c>
      <c r="K581" s="143">
        <f t="shared" si="190"/>
        <v>36</v>
      </c>
      <c r="L581" s="144">
        <f t="shared" si="180"/>
        <v>0</v>
      </c>
      <c r="M581" s="275">
        <f t="shared" si="181"/>
        <v>36</v>
      </c>
      <c r="N581" s="98" t="s">
        <v>1776</v>
      </c>
      <c r="O581" s="93">
        <f t="shared" si="187"/>
        <v>100</v>
      </c>
      <c r="KR581" s="100">
        <v>2</v>
      </c>
      <c r="KU581" s="100">
        <v>2</v>
      </c>
      <c r="KW581" s="100">
        <v>4</v>
      </c>
      <c r="KX581" s="100">
        <v>2</v>
      </c>
      <c r="KY581" s="100">
        <v>2</v>
      </c>
      <c r="LB581" s="100">
        <v>4</v>
      </c>
      <c r="LC581" s="100">
        <v>2</v>
      </c>
      <c r="LD581" s="100">
        <v>2</v>
      </c>
      <c r="LE581" s="100">
        <v>2</v>
      </c>
      <c r="LG581" s="100">
        <v>4</v>
      </c>
      <c r="LI581" s="100">
        <v>2</v>
      </c>
      <c r="LJ581" s="100">
        <v>2</v>
      </c>
      <c r="LK581" s="100">
        <v>2</v>
      </c>
      <c r="LL581" s="100">
        <v>2</v>
      </c>
      <c r="LM581" s="100">
        <v>2</v>
      </c>
      <c r="ON581" s="100">
        <f t="shared" si="191"/>
        <v>0</v>
      </c>
    </row>
    <row r="582" spans="1:404" ht="23.25" customHeight="1">
      <c r="A582" s="97" t="str">
        <f t="shared" si="185"/>
        <v>322/POTTERYPOT-2168-72600-02-A</v>
      </c>
      <c r="B582" s="114">
        <v>44684</v>
      </c>
      <c r="C582" s="138">
        <f t="shared" ca="1" si="188"/>
        <v>-380</v>
      </c>
      <c r="D582" s="234" t="s">
        <v>1338</v>
      </c>
      <c r="E582" s="284" t="s">
        <v>221</v>
      </c>
      <c r="F582" s="200" t="str">
        <f t="shared" si="189"/>
        <v>A</v>
      </c>
      <c r="G582" s="140">
        <f ca="1">SUMIF($A:E,$A582,K:K)</f>
        <v>0</v>
      </c>
      <c r="H582" s="138" t="s">
        <v>927</v>
      </c>
      <c r="I582" s="236">
        <v>26</v>
      </c>
      <c r="J582" s="240">
        <v>26</v>
      </c>
      <c r="K582" s="166">
        <f t="shared" si="190"/>
        <v>0</v>
      </c>
      <c r="L582" s="155">
        <f t="shared" si="180"/>
        <v>26</v>
      </c>
      <c r="M582" s="275">
        <f t="shared" si="181"/>
        <v>26</v>
      </c>
      <c r="N582" s="133"/>
      <c r="O582" s="93">
        <f t="shared" si="187"/>
        <v>0</v>
      </c>
      <c r="ON582" s="100">
        <f t="shared" si="191"/>
        <v>0</v>
      </c>
    </row>
    <row r="583" spans="1:404" ht="23.25" customHeight="1">
      <c r="A583" s="97" t="str">
        <f t="shared" si="185"/>
        <v>323/POTTERYPOT-2168-72600-02-A</v>
      </c>
      <c r="B583" s="95">
        <v>44702</v>
      </c>
      <c r="C583" s="97">
        <f t="shared" ca="1" si="188"/>
        <v>-362</v>
      </c>
      <c r="D583" s="112" t="s">
        <v>1339</v>
      </c>
      <c r="E583" s="279" t="s">
        <v>221</v>
      </c>
      <c r="F583" s="198" t="str">
        <f t="shared" si="189"/>
        <v>A</v>
      </c>
      <c r="G583" s="110">
        <f ca="1">SUMIF($A:E,$A583,K:K)</f>
        <v>0</v>
      </c>
      <c r="H583" s="97" t="s">
        <v>927</v>
      </c>
      <c r="I583" s="175">
        <v>26</v>
      </c>
      <c r="J583" s="115">
        <v>26</v>
      </c>
      <c r="K583" s="143">
        <f t="shared" si="190"/>
        <v>0</v>
      </c>
      <c r="L583" s="151">
        <f t="shared" si="180"/>
        <v>26</v>
      </c>
      <c r="M583" s="275">
        <f t="shared" si="181"/>
        <v>26</v>
      </c>
      <c r="N583" s="98"/>
      <c r="O583" s="93">
        <f t="shared" si="187"/>
        <v>0</v>
      </c>
      <c r="ON583" s="100">
        <f t="shared" si="191"/>
        <v>0</v>
      </c>
    </row>
    <row r="584" spans="1:404" ht="23.25" customHeight="1">
      <c r="A584" s="97" t="str">
        <f t="shared" si="185"/>
        <v>324/POTTERYPOT-2168-72600-02-A</v>
      </c>
      <c r="B584" s="95">
        <v>44731</v>
      </c>
      <c r="C584" s="97">
        <f t="shared" ca="1" si="188"/>
        <v>-333</v>
      </c>
      <c r="D584" s="112" t="s">
        <v>1340</v>
      </c>
      <c r="E584" s="279" t="s">
        <v>221</v>
      </c>
      <c r="F584" s="198" t="str">
        <f t="shared" si="189"/>
        <v>A</v>
      </c>
      <c r="G584" s="110">
        <f ca="1">SUMIF($A:E,$A584,K:K)</f>
        <v>0</v>
      </c>
      <c r="H584" s="97" t="s">
        <v>927</v>
      </c>
      <c r="I584" s="175">
        <v>52</v>
      </c>
      <c r="J584" s="115">
        <v>52</v>
      </c>
      <c r="K584" s="143">
        <f t="shared" si="190"/>
        <v>0</v>
      </c>
      <c r="L584" s="151">
        <f t="shared" si="180"/>
        <v>52</v>
      </c>
      <c r="M584" s="275">
        <f t="shared" si="181"/>
        <v>52</v>
      </c>
      <c r="N584" s="98"/>
      <c r="O584" s="93">
        <f t="shared" si="187"/>
        <v>0</v>
      </c>
      <c r="ON584" s="100">
        <f t="shared" si="191"/>
        <v>0</v>
      </c>
    </row>
    <row r="585" spans="1:404" ht="23.25" customHeight="1">
      <c r="A585" s="97" t="str">
        <f t="shared" si="185"/>
        <v>325/POTTERYPOT-2168-72600-02-A</v>
      </c>
      <c r="B585" s="126">
        <v>44761</v>
      </c>
      <c r="C585" s="127">
        <f t="shared" ca="1" si="188"/>
        <v>-303</v>
      </c>
      <c r="D585" s="112" t="s">
        <v>1341</v>
      </c>
      <c r="E585" s="279" t="s">
        <v>221</v>
      </c>
      <c r="F585" s="120" t="str">
        <f t="shared" si="189"/>
        <v>A</v>
      </c>
      <c r="G585" s="110">
        <f ca="1">SUMIF($A:E,$A585,K:K)</f>
        <v>0</v>
      </c>
      <c r="H585" s="127" t="s">
        <v>927</v>
      </c>
      <c r="I585" s="175">
        <v>52</v>
      </c>
      <c r="J585" s="115">
        <v>52</v>
      </c>
      <c r="K585" s="143">
        <f t="shared" si="190"/>
        <v>0</v>
      </c>
      <c r="L585" s="151">
        <f t="shared" si="180"/>
        <v>52</v>
      </c>
      <c r="M585" s="275">
        <f t="shared" si="181"/>
        <v>52</v>
      </c>
      <c r="O585" s="93">
        <f t="shared" si="187"/>
        <v>0</v>
      </c>
      <c r="ON585" s="100">
        <f t="shared" si="191"/>
        <v>0</v>
      </c>
    </row>
    <row r="586" spans="1:404" ht="23.25" customHeight="1">
      <c r="A586" s="97" t="str">
        <f t="shared" si="185"/>
        <v>326/POTTERYPOT-2168-72600-02-A</v>
      </c>
      <c r="B586" s="95">
        <v>44791</v>
      </c>
      <c r="C586" s="97">
        <f t="shared" ca="1" si="188"/>
        <v>-273</v>
      </c>
      <c r="D586" s="112" t="s">
        <v>1342</v>
      </c>
      <c r="E586" s="279" t="s">
        <v>221</v>
      </c>
      <c r="F586" s="98" t="str">
        <f t="shared" si="189"/>
        <v>A</v>
      </c>
      <c r="G586" s="110">
        <f ca="1">SUMIF($A:E,$A586,K:K)</f>
        <v>0</v>
      </c>
      <c r="H586" s="127" t="s">
        <v>927</v>
      </c>
      <c r="I586" s="175">
        <v>52</v>
      </c>
      <c r="J586" s="115">
        <v>52</v>
      </c>
      <c r="K586" s="143">
        <f t="shared" si="190"/>
        <v>0</v>
      </c>
      <c r="L586" s="151">
        <f t="shared" si="180"/>
        <v>52</v>
      </c>
      <c r="M586" s="275">
        <f t="shared" si="181"/>
        <v>52</v>
      </c>
      <c r="N586" s="98"/>
      <c r="O586" s="93">
        <f t="shared" si="187"/>
        <v>0</v>
      </c>
      <c r="ON586" s="100">
        <f t="shared" si="191"/>
        <v>0</v>
      </c>
    </row>
    <row r="587" spans="1:404" ht="23.25" customHeight="1">
      <c r="A587" s="97" t="str">
        <f t="shared" si="185"/>
        <v>327/POTTERYPOT-2168-72600-02-A</v>
      </c>
      <c r="B587" s="95">
        <v>44822</v>
      </c>
      <c r="C587" s="97">
        <f t="shared" ca="1" si="188"/>
        <v>-242</v>
      </c>
      <c r="D587" s="112" t="s">
        <v>1343</v>
      </c>
      <c r="E587" s="279" t="s">
        <v>221</v>
      </c>
      <c r="F587" s="98" t="str">
        <f t="shared" si="189"/>
        <v>A</v>
      </c>
      <c r="G587" s="110">
        <f ca="1">SUMIF($A:E,$A587,K:K)</f>
        <v>0</v>
      </c>
      <c r="H587" s="127" t="s">
        <v>927</v>
      </c>
      <c r="I587" s="175">
        <v>52</v>
      </c>
      <c r="J587" s="115">
        <v>52</v>
      </c>
      <c r="K587" s="143">
        <f t="shared" si="190"/>
        <v>0</v>
      </c>
      <c r="L587" s="151">
        <f t="shared" si="180"/>
        <v>52</v>
      </c>
      <c r="M587" s="275">
        <f t="shared" si="181"/>
        <v>52</v>
      </c>
      <c r="N587" s="98"/>
      <c r="O587" s="93">
        <f t="shared" si="187"/>
        <v>0</v>
      </c>
      <c r="ON587" s="100">
        <f t="shared" si="191"/>
        <v>0</v>
      </c>
    </row>
    <row r="588" spans="1:404" ht="23.25" customHeight="1">
      <c r="A588" s="97" t="str">
        <f t="shared" ref="A588:A611" si="192">D588&amp;E588</f>
        <v>328/POTTERYPOT-2168-72600-02-A</v>
      </c>
      <c r="B588" s="95">
        <v>44850</v>
      </c>
      <c r="C588" s="97">
        <f t="shared" ca="1" si="188"/>
        <v>-214</v>
      </c>
      <c r="D588" s="112" t="s">
        <v>1344</v>
      </c>
      <c r="E588" s="279" t="s">
        <v>221</v>
      </c>
      <c r="F588" s="98" t="str">
        <f t="shared" si="189"/>
        <v>A</v>
      </c>
      <c r="G588" s="110">
        <f ca="1">SUMIF($A:E,$A588,K:K)</f>
        <v>0</v>
      </c>
      <c r="H588" s="127" t="s">
        <v>927</v>
      </c>
      <c r="I588" s="175">
        <v>32</v>
      </c>
      <c r="J588" s="115">
        <v>32</v>
      </c>
      <c r="K588" s="143">
        <f t="shared" si="190"/>
        <v>0</v>
      </c>
      <c r="L588" s="151">
        <f t="shared" si="180"/>
        <v>32</v>
      </c>
      <c r="M588" s="275">
        <f t="shared" si="181"/>
        <v>32</v>
      </c>
      <c r="N588" s="98"/>
      <c r="O588" s="93">
        <f t="shared" si="187"/>
        <v>0</v>
      </c>
      <c r="ON588" s="100">
        <f t="shared" si="191"/>
        <v>0</v>
      </c>
    </row>
    <row r="589" spans="1:404" ht="23.25" customHeight="1">
      <c r="A589" s="97" t="str">
        <f t="shared" si="192"/>
        <v>001/YAMATEI-2168-72600-02-01</v>
      </c>
      <c r="B589" s="95">
        <v>44416</v>
      </c>
      <c r="C589" s="97">
        <f t="shared" ca="1" si="188"/>
        <v>-648</v>
      </c>
      <c r="D589" s="145" t="s">
        <v>759</v>
      </c>
      <c r="E589" s="253" t="s">
        <v>571</v>
      </c>
      <c r="F589" s="98" t="str">
        <f t="shared" si="189"/>
        <v>01</v>
      </c>
      <c r="G589" s="110">
        <f ca="1">SUMIF($A:E,$A589,K:K)</f>
        <v>9</v>
      </c>
      <c r="H589" s="127" t="s">
        <v>1161</v>
      </c>
      <c r="I589" s="196">
        <v>9</v>
      </c>
      <c r="J589" s="146">
        <v>9</v>
      </c>
      <c r="K589" s="143">
        <f t="shared" si="190"/>
        <v>9</v>
      </c>
      <c r="L589" s="151">
        <f t="shared" si="180"/>
        <v>0</v>
      </c>
      <c r="M589" s="275">
        <f t="shared" si="181"/>
        <v>9</v>
      </c>
      <c r="N589" s="98">
        <v>2</v>
      </c>
      <c r="O589" s="93">
        <f t="shared" si="187"/>
        <v>100</v>
      </c>
      <c r="GQ589" s="100">
        <v>3</v>
      </c>
      <c r="GR589" s="100">
        <v>1</v>
      </c>
      <c r="GS589" s="100">
        <v>1</v>
      </c>
      <c r="GV589" s="100">
        <v>2</v>
      </c>
      <c r="HC589" s="100">
        <v>2</v>
      </c>
      <c r="ON589" s="100">
        <f t="shared" si="191"/>
        <v>0</v>
      </c>
    </row>
    <row r="590" spans="1:404" ht="23.25" customHeight="1">
      <c r="A590" s="97" t="str">
        <f t="shared" si="192"/>
        <v>002T/REJUVENATION-2168-72600-02-01</v>
      </c>
      <c r="B590" s="95">
        <v>44366</v>
      </c>
      <c r="C590" s="97">
        <f t="shared" ca="1" si="188"/>
        <v>-698</v>
      </c>
      <c r="D590" s="145" t="s">
        <v>755</v>
      </c>
      <c r="E590" s="253" t="s">
        <v>571</v>
      </c>
      <c r="F590" s="98" t="str">
        <f t="shared" si="189"/>
        <v>01</v>
      </c>
      <c r="G590" s="110">
        <f ca="1">SUMIF($A:E,$A590,K:K)</f>
        <v>25</v>
      </c>
      <c r="H590" s="127" t="s">
        <v>972</v>
      </c>
      <c r="I590" s="196">
        <v>25</v>
      </c>
      <c r="J590" s="146">
        <v>25</v>
      </c>
      <c r="K590" s="143">
        <f t="shared" si="190"/>
        <v>25</v>
      </c>
      <c r="L590" s="151">
        <f t="shared" si="180"/>
        <v>0</v>
      </c>
      <c r="M590" s="275">
        <f t="shared" si="181"/>
        <v>25</v>
      </c>
      <c r="N590" s="98">
        <v>2</v>
      </c>
      <c r="O590" s="93">
        <f t="shared" si="187"/>
        <v>100</v>
      </c>
      <c r="DD590" s="101">
        <v>1</v>
      </c>
      <c r="DE590" s="101">
        <v>1</v>
      </c>
      <c r="DF590" s="101">
        <v>2</v>
      </c>
      <c r="DG590" s="101">
        <v>2</v>
      </c>
      <c r="DK590" s="101">
        <v>1</v>
      </c>
      <c r="DL590" s="101">
        <v>1</v>
      </c>
      <c r="DM590" s="101">
        <v>1</v>
      </c>
      <c r="DN590" s="101">
        <v>1</v>
      </c>
      <c r="DO590" s="101">
        <v>1</v>
      </c>
      <c r="DP590" s="101">
        <v>1</v>
      </c>
      <c r="DR590" s="101">
        <v>1</v>
      </c>
      <c r="DS590" s="100">
        <v>1</v>
      </c>
      <c r="DT590" s="100">
        <v>1</v>
      </c>
      <c r="DV590" s="100">
        <v>2</v>
      </c>
      <c r="DW590" s="100">
        <v>1</v>
      </c>
      <c r="DY590" s="100">
        <v>1</v>
      </c>
      <c r="DZ590" s="100">
        <v>1</v>
      </c>
      <c r="EC590" s="100">
        <v>1</v>
      </c>
      <c r="EF590" s="100">
        <v>1</v>
      </c>
      <c r="EH590" s="100">
        <v>3</v>
      </c>
      <c r="ON590" s="100">
        <f t="shared" si="191"/>
        <v>0</v>
      </c>
    </row>
    <row r="591" spans="1:404" ht="23.25" customHeight="1">
      <c r="A591" s="97" t="str">
        <f t="shared" si="192"/>
        <v>004/NOI DIA-2168-72600-01-B</v>
      </c>
      <c r="B591" s="95">
        <v>44341</v>
      </c>
      <c r="C591" s="97">
        <f t="shared" ca="1" si="188"/>
        <v>-723</v>
      </c>
      <c r="D591" s="112" t="s">
        <v>1007</v>
      </c>
      <c r="E591" s="123" t="s">
        <v>1008</v>
      </c>
      <c r="F591" s="98"/>
      <c r="G591" s="110"/>
      <c r="H591" s="127" t="s">
        <v>601</v>
      </c>
      <c r="I591" s="98">
        <v>2</v>
      </c>
      <c r="J591" s="99">
        <v>2</v>
      </c>
      <c r="K591" s="143">
        <f t="shared" si="190"/>
        <v>2</v>
      </c>
      <c r="L591" s="151">
        <f t="shared" si="180"/>
        <v>0</v>
      </c>
      <c r="M591" s="275">
        <f t="shared" si="181"/>
        <v>2</v>
      </c>
      <c r="N591" s="98">
        <v>2</v>
      </c>
      <c r="O591" s="93">
        <f t="shared" si="187"/>
        <v>100</v>
      </c>
      <c r="EF591" s="100">
        <v>2</v>
      </c>
      <c r="ON591" s="100">
        <f t="shared" si="191"/>
        <v>0</v>
      </c>
    </row>
    <row r="592" spans="1:404" ht="23.25" customHeight="1">
      <c r="A592" s="97" t="str">
        <f t="shared" si="192"/>
        <v>099A/POTTERYPOT-2168-72600-01-A</v>
      </c>
      <c r="B592" s="95" t="s">
        <v>838</v>
      </c>
      <c r="C592" s="97">
        <f t="shared" ca="1" si="188"/>
        <v>-660</v>
      </c>
      <c r="D592" s="147" t="s">
        <v>839</v>
      </c>
      <c r="E592" s="253" t="s">
        <v>511</v>
      </c>
      <c r="F592" s="98" t="str">
        <f t="shared" ref="F592:F621" si="193">MID(E592,13,2)</f>
        <v>A</v>
      </c>
      <c r="G592" s="110">
        <f ca="1">SUMIF($A:E,$A592,K:K)</f>
        <v>6</v>
      </c>
      <c r="H592" s="127" t="s">
        <v>840</v>
      </c>
      <c r="I592" s="196">
        <v>6</v>
      </c>
      <c r="J592" s="146">
        <v>6</v>
      </c>
      <c r="K592" s="143">
        <f t="shared" si="190"/>
        <v>6</v>
      </c>
      <c r="L592" s="151">
        <f t="shared" si="180"/>
        <v>0</v>
      </c>
      <c r="M592" s="275">
        <f t="shared" si="181"/>
        <v>6</v>
      </c>
      <c r="N592" s="98">
        <v>2</v>
      </c>
      <c r="O592" s="93">
        <f t="shared" si="187"/>
        <v>100</v>
      </c>
      <c r="EW592" s="100">
        <v>2</v>
      </c>
      <c r="EX592" s="100">
        <v>2</v>
      </c>
      <c r="EY592" s="100">
        <v>2</v>
      </c>
      <c r="ON592" s="100">
        <f t="shared" si="191"/>
        <v>0</v>
      </c>
    </row>
    <row r="593" spans="1:404" ht="23.25" customHeight="1">
      <c r="A593" s="97" t="str">
        <f t="shared" si="192"/>
        <v>104A/POTTERYPOT-2168-72600-01-A</v>
      </c>
      <c r="B593" s="95">
        <v>44423</v>
      </c>
      <c r="C593" s="97">
        <f t="shared" ca="1" si="188"/>
        <v>-641</v>
      </c>
      <c r="D593" s="147" t="s">
        <v>841</v>
      </c>
      <c r="E593" s="253" t="s">
        <v>511</v>
      </c>
      <c r="F593" s="98" t="str">
        <f t="shared" si="193"/>
        <v>A</v>
      </c>
      <c r="G593" s="110">
        <f ca="1">SUMIF($A:E,$A593,K:K)</f>
        <v>12</v>
      </c>
      <c r="H593" s="127" t="s">
        <v>840</v>
      </c>
      <c r="I593" s="98">
        <v>12</v>
      </c>
      <c r="J593" s="97">
        <v>12</v>
      </c>
      <c r="K593" s="143">
        <f t="shared" si="190"/>
        <v>12</v>
      </c>
      <c r="L593" s="151">
        <f t="shared" si="180"/>
        <v>0</v>
      </c>
      <c r="M593" s="275">
        <f t="shared" si="181"/>
        <v>12</v>
      </c>
      <c r="N593" s="98">
        <v>2</v>
      </c>
      <c r="O593" s="93">
        <f t="shared" si="187"/>
        <v>100</v>
      </c>
      <c r="FA593" s="100">
        <v>1</v>
      </c>
      <c r="FD593" s="100">
        <v>2</v>
      </c>
      <c r="FE593" s="100">
        <v>2</v>
      </c>
      <c r="FF593" s="100">
        <v>2</v>
      </c>
      <c r="FI593" s="100">
        <v>4</v>
      </c>
      <c r="FJ593" s="100">
        <v>1</v>
      </c>
      <c r="ON593" s="100">
        <f t="shared" si="191"/>
        <v>0</v>
      </c>
    </row>
    <row r="594" spans="1:404" ht="23.25" customHeight="1">
      <c r="A594" s="97" t="str">
        <f t="shared" si="192"/>
        <v>103A/POTTERYPOT-2168-72600-01-A</v>
      </c>
      <c r="B594" s="95">
        <v>44447</v>
      </c>
      <c r="C594" s="97">
        <f t="shared" ca="1" si="188"/>
        <v>-617</v>
      </c>
      <c r="D594" s="147" t="s">
        <v>842</v>
      </c>
      <c r="E594" s="253" t="s">
        <v>511</v>
      </c>
      <c r="F594" s="98" t="str">
        <f t="shared" si="193"/>
        <v>A</v>
      </c>
      <c r="G594" s="110">
        <f ca="1">SUMIF($A:E,$A594,K:K)</f>
        <v>8</v>
      </c>
      <c r="H594" s="127" t="s">
        <v>840</v>
      </c>
      <c r="I594" s="98">
        <v>8</v>
      </c>
      <c r="J594" s="97">
        <v>8</v>
      </c>
      <c r="K594" s="143">
        <f t="shared" si="190"/>
        <v>8</v>
      </c>
      <c r="L594" s="151">
        <f t="shared" si="180"/>
        <v>0</v>
      </c>
      <c r="M594" s="275">
        <f t="shared" si="181"/>
        <v>8</v>
      </c>
      <c r="N594" s="98">
        <v>2</v>
      </c>
      <c r="O594" s="93">
        <f t="shared" si="187"/>
        <v>100</v>
      </c>
      <c r="FJ594" s="100">
        <v>1</v>
      </c>
      <c r="FL594" s="100">
        <v>4</v>
      </c>
      <c r="FM594" s="100">
        <v>1</v>
      </c>
      <c r="FQ594" s="100">
        <v>2</v>
      </c>
      <c r="ON594" s="100">
        <f t="shared" si="191"/>
        <v>0</v>
      </c>
    </row>
    <row r="595" spans="1:404" ht="23.25" customHeight="1">
      <c r="A595" s="97" t="str">
        <f t="shared" si="192"/>
        <v>101A/POTTERYPOT-2168-72600-01-A</v>
      </c>
      <c r="B595" s="95" t="s">
        <v>846</v>
      </c>
      <c r="C595" s="97">
        <f t="shared" ca="1" si="188"/>
        <v>-658</v>
      </c>
      <c r="D595" s="147" t="s">
        <v>844</v>
      </c>
      <c r="E595" s="253" t="s">
        <v>511</v>
      </c>
      <c r="F595" s="98" t="str">
        <f t="shared" si="193"/>
        <v>A</v>
      </c>
      <c r="G595" s="110">
        <f ca="1">SUMIF($A:E,$A595,K:K)</f>
        <v>8</v>
      </c>
      <c r="H595" s="97" t="s">
        <v>840</v>
      </c>
      <c r="I595" s="98">
        <v>8</v>
      </c>
      <c r="J595" s="97">
        <v>8</v>
      </c>
      <c r="K595" s="143">
        <f t="shared" si="190"/>
        <v>8</v>
      </c>
      <c r="L595" s="151">
        <f t="shared" ref="L595:L643" si="194">J595-K595</f>
        <v>0</v>
      </c>
      <c r="M595" s="275">
        <f t="shared" si="181"/>
        <v>8</v>
      </c>
      <c r="N595" s="98">
        <v>2</v>
      </c>
      <c r="O595" s="93">
        <f t="shared" si="187"/>
        <v>100</v>
      </c>
      <c r="FT595" s="100">
        <v>4</v>
      </c>
      <c r="FU595" s="100">
        <v>2</v>
      </c>
      <c r="FV595" s="100">
        <v>1</v>
      </c>
      <c r="FW595" s="100">
        <v>1</v>
      </c>
      <c r="ON595" s="100">
        <f t="shared" si="191"/>
        <v>0</v>
      </c>
    </row>
    <row r="596" spans="1:404" ht="23.25" customHeight="1">
      <c r="A596" s="97" t="str">
        <f t="shared" si="192"/>
        <v>100A/POTTERYPOT-2168-72600-01-A</v>
      </c>
      <c r="B596" s="95" t="s">
        <v>838</v>
      </c>
      <c r="C596" s="97">
        <f t="shared" ca="1" si="188"/>
        <v>-660</v>
      </c>
      <c r="D596" s="147" t="s">
        <v>845</v>
      </c>
      <c r="E596" s="253" t="s">
        <v>511</v>
      </c>
      <c r="F596" s="98" t="str">
        <f t="shared" si="193"/>
        <v>A</v>
      </c>
      <c r="G596" s="110">
        <f ca="1">SUMIF($A:E,$A596,K:K)</f>
        <v>4</v>
      </c>
      <c r="H596" s="97" t="s">
        <v>840</v>
      </c>
      <c r="I596" s="98">
        <v>4</v>
      </c>
      <c r="J596" s="97">
        <v>4</v>
      </c>
      <c r="K596" s="143">
        <f t="shared" si="190"/>
        <v>4</v>
      </c>
      <c r="L596" s="151">
        <f t="shared" si="194"/>
        <v>0</v>
      </c>
      <c r="M596" s="275">
        <f t="shared" si="181"/>
        <v>4</v>
      </c>
      <c r="N596" s="98">
        <v>2</v>
      </c>
      <c r="O596" s="93">
        <f t="shared" si="187"/>
        <v>100</v>
      </c>
      <c r="FW596" s="100">
        <v>4</v>
      </c>
      <c r="ON596" s="100">
        <f t="shared" si="191"/>
        <v>0</v>
      </c>
    </row>
    <row r="597" spans="1:404" ht="23.25" customHeight="1">
      <c r="A597" s="97" t="str">
        <f t="shared" si="192"/>
        <v>123/POTTERYPOT-2168-72600-01-A</v>
      </c>
      <c r="B597" s="95">
        <v>44436</v>
      </c>
      <c r="C597" s="97">
        <f t="shared" ca="1" si="188"/>
        <v>-628</v>
      </c>
      <c r="D597" s="96" t="s">
        <v>926</v>
      </c>
      <c r="E597" s="94" t="s">
        <v>511</v>
      </c>
      <c r="F597" s="98" t="str">
        <f t="shared" si="193"/>
        <v>A</v>
      </c>
      <c r="G597" s="110">
        <f ca="1">SUMIF($A:E,$A597,K:K)</f>
        <v>4</v>
      </c>
      <c r="H597" s="122" t="s">
        <v>927</v>
      </c>
      <c r="I597" s="98">
        <v>4</v>
      </c>
      <c r="J597" s="97">
        <v>4</v>
      </c>
      <c r="K597" s="143">
        <f t="shared" si="190"/>
        <v>4</v>
      </c>
      <c r="L597" s="151">
        <f t="shared" si="194"/>
        <v>0</v>
      </c>
      <c r="M597" s="275">
        <f t="shared" ref="M597:M643" si="195">IF(OR(MID(E597,10,1)="0",MID(E597,10,1)="F"),I597,IF(OR(,MID(E597,10,1)="S",MID(E597,10,1)="L",MID(E597,10,1)="B",MID(E597,10,1)="X"),MID(E597,11,1)*I597,0))</f>
        <v>4</v>
      </c>
      <c r="N597" s="98">
        <v>2</v>
      </c>
      <c r="O597" s="93">
        <f t="shared" si="187"/>
        <v>100</v>
      </c>
      <c r="GP597" s="100">
        <v>1</v>
      </c>
      <c r="GV597" s="100">
        <v>2</v>
      </c>
      <c r="GW597" s="100">
        <v>1</v>
      </c>
      <c r="ON597" s="100">
        <f t="shared" si="191"/>
        <v>0</v>
      </c>
    </row>
    <row r="598" spans="1:404" ht="23.25" customHeight="1">
      <c r="A598" s="97" t="str">
        <f t="shared" si="192"/>
        <v>102A/POTTERYPOT-2168-72600-01-A</v>
      </c>
      <c r="B598" s="95">
        <v>44447</v>
      </c>
      <c r="C598" s="97">
        <f t="shared" ca="1" si="188"/>
        <v>-617</v>
      </c>
      <c r="D598" s="147" t="s">
        <v>843</v>
      </c>
      <c r="E598" s="253" t="s">
        <v>511</v>
      </c>
      <c r="F598" s="98" t="str">
        <f t="shared" si="193"/>
        <v>A</v>
      </c>
      <c r="G598" s="110">
        <f ca="1">SUMIF($A:E,$A598,K:K)</f>
        <v>10</v>
      </c>
      <c r="H598" s="97" t="s">
        <v>840</v>
      </c>
      <c r="I598" s="98">
        <v>10</v>
      </c>
      <c r="J598" s="97">
        <v>10</v>
      </c>
      <c r="K598" s="143">
        <f t="shared" si="190"/>
        <v>10</v>
      </c>
      <c r="L598" s="151">
        <f t="shared" si="194"/>
        <v>0</v>
      </c>
      <c r="M598" s="275">
        <f t="shared" si="195"/>
        <v>10</v>
      </c>
      <c r="N598" s="98">
        <v>2</v>
      </c>
      <c r="O598" s="93">
        <f t="shared" si="187"/>
        <v>100</v>
      </c>
      <c r="GH598" s="100">
        <v>2</v>
      </c>
      <c r="GK598" s="100">
        <v>3</v>
      </c>
      <c r="GL598" s="100">
        <v>2</v>
      </c>
      <c r="GN598" s="100">
        <v>2</v>
      </c>
      <c r="GO598" s="100">
        <v>1</v>
      </c>
      <c r="ON598" s="100">
        <f t="shared" si="191"/>
        <v>0</v>
      </c>
    </row>
    <row r="599" spans="1:404" ht="23.25" customHeight="1">
      <c r="A599" s="97" t="str">
        <f t="shared" si="192"/>
        <v>085A/POTTERYPOT-2168-72600-01-A</v>
      </c>
      <c r="B599" s="95">
        <v>44425</v>
      </c>
      <c r="C599" s="97">
        <f t="shared" ca="1" si="188"/>
        <v>-639</v>
      </c>
      <c r="D599" s="147" t="s">
        <v>883</v>
      </c>
      <c r="E599" s="94" t="s">
        <v>511</v>
      </c>
      <c r="F599" s="98" t="str">
        <f t="shared" si="193"/>
        <v>A</v>
      </c>
      <c r="G599" s="110">
        <f ca="1">SUMIF($A:E,$A599,K:K)</f>
        <v>10</v>
      </c>
      <c r="H599" s="97" t="s">
        <v>840</v>
      </c>
      <c r="I599" s="98">
        <v>10</v>
      </c>
      <c r="J599" s="99">
        <v>10</v>
      </c>
      <c r="K599" s="143">
        <f t="shared" si="190"/>
        <v>10</v>
      </c>
      <c r="L599" s="151">
        <f t="shared" si="194"/>
        <v>0</v>
      </c>
      <c r="M599" s="275">
        <f t="shared" si="195"/>
        <v>10</v>
      </c>
      <c r="N599" s="98">
        <v>2</v>
      </c>
      <c r="O599" s="93">
        <f t="shared" ref="O599:O635" si="196">K599/J599*100</f>
        <v>100</v>
      </c>
      <c r="FZ599" s="100">
        <v>2</v>
      </c>
      <c r="GA599" s="100">
        <v>2</v>
      </c>
      <c r="GB599" s="100">
        <v>2</v>
      </c>
      <c r="GD599" s="100">
        <v>3</v>
      </c>
      <c r="GH599" s="100">
        <v>1</v>
      </c>
      <c r="ON599" s="100">
        <f t="shared" si="191"/>
        <v>0</v>
      </c>
    </row>
    <row r="600" spans="1:404" ht="23.25" customHeight="1">
      <c r="A600" s="97" t="str">
        <f t="shared" si="192"/>
        <v>176A/POTTERYPOT-2168-72600-01-A</v>
      </c>
      <c r="B600" s="95">
        <v>44457</v>
      </c>
      <c r="C600" s="97">
        <f t="shared" ca="1" si="188"/>
        <v>-607</v>
      </c>
      <c r="D600" s="96" t="s">
        <v>1005</v>
      </c>
      <c r="E600" s="94" t="s">
        <v>511</v>
      </c>
      <c r="F600" s="98" t="str">
        <f t="shared" si="193"/>
        <v>A</v>
      </c>
      <c r="G600" s="110">
        <f ca="1">SUMIF($A:E,$A600,K:K)</f>
        <v>4</v>
      </c>
      <c r="H600" s="122" t="s">
        <v>601</v>
      </c>
      <c r="I600" s="98">
        <v>4</v>
      </c>
      <c r="J600" s="97">
        <v>4</v>
      </c>
      <c r="K600" s="143">
        <f t="shared" si="190"/>
        <v>4</v>
      </c>
      <c r="L600" s="151">
        <f t="shared" si="194"/>
        <v>0</v>
      </c>
      <c r="M600" s="275">
        <f t="shared" si="195"/>
        <v>4</v>
      </c>
      <c r="N600" s="98">
        <v>2</v>
      </c>
      <c r="O600" s="93">
        <f t="shared" si="196"/>
        <v>100</v>
      </c>
      <c r="GQ600" s="100">
        <v>3</v>
      </c>
      <c r="GS600" s="100">
        <v>1</v>
      </c>
      <c r="ON600" s="100">
        <f t="shared" si="191"/>
        <v>0</v>
      </c>
    </row>
    <row r="601" spans="1:404" ht="23.25" customHeight="1">
      <c r="A601" s="97" t="str">
        <f t="shared" si="192"/>
        <v>160/POTTERYPOT-2168-72600-01-A</v>
      </c>
      <c r="B601" s="95">
        <v>44453</v>
      </c>
      <c r="C601" s="97">
        <f t="shared" ca="1" si="188"/>
        <v>-611</v>
      </c>
      <c r="D601" s="96" t="s">
        <v>1006</v>
      </c>
      <c r="E601" s="94" t="s">
        <v>511</v>
      </c>
      <c r="F601" s="98" t="str">
        <f t="shared" si="193"/>
        <v>A</v>
      </c>
      <c r="G601" s="110">
        <f ca="1">SUMIF($A:E,$A601,K:K)</f>
        <v>2</v>
      </c>
      <c r="H601" s="97" t="s">
        <v>601</v>
      </c>
      <c r="I601" s="98">
        <v>2</v>
      </c>
      <c r="J601" s="97">
        <v>2</v>
      </c>
      <c r="K601" s="143">
        <f t="shared" si="190"/>
        <v>2</v>
      </c>
      <c r="L601" s="151">
        <f t="shared" si="194"/>
        <v>0</v>
      </c>
      <c r="M601" s="275">
        <f t="shared" si="195"/>
        <v>2</v>
      </c>
      <c r="N601" s="98">
        <v>2</v>
      </c>
      <c r="O601" s="93">
        <f t="shared" si="196"/>
        <v>100</v>
      </c>
      <c r="GS601" s="100">
        <v>1</v>
      </c>
      <c r="GU601" s="100">
        <v>1</v>
      </c>
      <c r="ON601" s="100">
        <f t="shared" si="191"/>
        <v>0</v>
      </c>
    </row>
    <row r="602" spans="1:404" ht="23.25" customHeight="1">
      <c r="A602" s="97" t="str">
        <f t="shared" si="192"/>
        <v>216/POTTERYPOT-2168-72600-01-A</v>
      </c>
      <c r="B602" s="95">
        <v>44591</v>
      </c>
      <c r="C602" s="97">
        <f t="shared" ca="1" si="188"/>
        <v>-473</v>
      </c>
      <c r="D602" s="96" t="s">
        <v>1022</v>
      </c>
      <c r="E602" s="280" t="s">
        <v>511</v>
      </c>
      <c r="F602" s="98" t="str">
        <f t="shared" si="193"/>
        <v>A</v>
      </c>
      <c r="G602" s="110">
        <f ca="1">SUMIF($A:E,$A602,K:K)</f>
        <v>14</v>
      </c>
      <c r="H602" s="97" t="s">
        <v>601</v>
      </c>
      <c r="I602" s="98">
        <v>14</v>
      </c>
      <c r="J602" s="99">
        <v>14</v>
      </c>
      <c r="K602" s="143">
        <f t="shared" si="190"/>
        <v>14</v>
      </c>
      <c r="L602" s="151">
        <f t="shared" si="194"/>
        <v>0</v>
      </c>
      <c r="M602" s="275">
        <f t="shared" si="195"/>
        <v>14</v>
      </c>
      <c r="N602" s="98" t="s">
        <v>1776</v>
      </c>
      <c r="O602" s="93">
        <f t="shared" si="196"/>
        <v>100</v>
      </c>
      <c r="KQ602" s="100">
        <v>2</v>
      </c>
      <c r="KR602" s="100">
        <v>2</v>
      </c>
      <c r="KW602" s="100">
        <v>2</v>
      </c>
      <c r="KX602" s="100">
        <v>2</v>
      </c>
      <c r="LB602" s="100">
        <v>4</v>
      </c>
      <c r="LC602" s="100">
        <v>2</v>
      </c>
      <c r="ON602" s="100">
        <f t="shared" si="191"/>
        <v>0</v>
      </c>
    </row>
    <row r="603" spans="1:404" ht="23.25" customHeight="1">
      <c r="A603" s="97" t="str">
        <f t="shared" si="192"/>
        <v>075/NY/PP-USA-2168-72600-01-A</v>
      </c>
      <c r="B603" s="114">
        <v>44594</v>
      </c>
      <c r="C603" s="97">
        <f t="shared" ref="C603:C621" ca="1" si="197">B603-TODAY()</f>
        <v>-470</v>
      </c>
      <c r="D603" s="96" t="s">
        <v>1023</v>
      </c>
      <c r="E603" s="94" t="s">
        <v>511</v>
      </c>
      <c r="F603" s="98" t="str">
        <f t="shared" si="193"/>
        <v>A</v>
      </c>
      <c r="G603" s="110">
        <f ca="1">SUMIF($A:E,$A603,K:K)</f>
        <v>30</v>
      </c>
      <c r="H603" s="122" t="s">
        <v>508</v>
      </c>
      <c r="I603" s="98">
        <v>20</v>
      </c>
      <c r="J603" s="97">
        <v>20</v>
      </c>
      <c r="K603" s="143">
        <f t="shared" si="190"/>
        <v>30</v>
      </c>
      <c r="L603" s="151">
        <f t="shared" si="194"/>
        <v>-10</v>
      </c>
      <c r="M603" s="275">
        <f t="shared" si="195"/>
        <v>20</v>
      </c>
      <c r="N603" s="98" t="s">
        <v>1776</v>
      </c>
      <c r="O603" s="93">
        <f t="shared" si="196"/>
        <v>150</v>
      </c>
      <c r="NI603" s="100">
        <v>2</v>
      </c>
      <c r="NK603" s="100">
        <v>2</v>
      </c>
      <c r="NL603" s="100">
        <v>2</v>
      </c>
      <c r="NM603" s="100">
        <v>2</v>
      </c>
      <c r="NN603" s="100">
        <v>2</v>
      </c>
      <c r="NU603" s="100">
        <v>6</v>
      </c>
      <c r="NV603" s="100">
        <v>4</v>
      </c>
      <c r="ON603" s="100">
        <f t="shared" si="191"/>
        <v>10</v>
      </c>
    </row>
    <row r="604" spans="1:404" ht="23.25" customHeight="1">
      <c r="A604" s="97" t="str">
        <f t="shared" si="192"/>
        <v>189/POTERYPOT-2168-72600-02-A</v>
      </c>
      <c r="B604" s="95">
        <v>44671</v>
      </c>
      <c r="C604" s="97">
        <f t="shared" ca="1" si="197"/>
        <v>-393</v>
      </c>
      <c r="D604" s="96" t="s">
        <v>1027</v>
      </c>
      <c r="E604" s="280" t="s">
        <v>221</v>
      </c>
      <c r="F604" s="98" t="str">
        <f t="shared" si="193"/>
        <v>A</v>
      </c>
      <c r="G604" s="110">
        <f ca="1">SUMIF($A:E,$A604,K:K)</f>
        <v>66</v>
      </c>
      <c r="H604" s="97" t="s">
        <v>964</v>
      </c>
      <c r="I604" s="98">
        <v>38</v>
      </c>
      <c r="J604" s="99">
        <v>38</v>
      </c>
      <c r="K604" s="143">
        <f t="shared" si="190"/>
        <v>66</v>
      </c>
      <c r="L604" s="151">
        <f t="shared" si="194"/>
        <v>-28</v>
      </c>
      <c r="M604" s="275">
        <f t="shared" si="195"/>
        <v>38</v>
      </c>
      <c r="N604" s="98" t="s">
        <v>1776</v>
      </c>
      <c r="O604" s="93">
        <f t="shared" si="196"/>
        <v>173.68421052631581</v>
      </c>
      <c r="NI604" s="100">
        <v>2</v>
      </c>
      <c r="NK604" s="100">
        <v>2</v>
      </c>
      <c r="NL604" s="100">
        <v>2</v>
      </c>
      <c r="NM604" s="100">
        <v>2</v>
      </c>
      <c r="NN604" s="100">
        <v>2</v>
      </c>
      <c r="NU604" s="100">
        <v>6</v>
      </c>
      <c r="NV604" s="100">
        <v>2</v>
      </c>
      <c r="NZ604" s="100">
        <v>4</v>
      </c>
      <c r="OA604" s="100">
        <v>2</v>
      </c>
      <c r="OB604" s="100">
        <v>4</v>
      </c>
      <c r="OC604" s="100">
        <v>4</v>
      </c>
      <c r="OF604" s="100">
        <v>6</v>
      </c>
      <c r="ON604" s="100">
        <f t="shared" si="191"/>
        <v>28</v>
      </c>
    </row>
    <row r="605" spans="1:404" ht="23.25" customHeight="1">
      <c r="A605" s="97" t="str">
        <f t="shared" si="192"/>
        <v>190/POTERYPOT-2168-72600-01-A</v>
      </c>
      <c r="B605" s="95">
        <v>44671</v>
      </c>
      <c r="C605" s="97">
        <f t="shared" ca="1" si="197"/>
        <v>-393</v>
      </c>
      <c r="D605" s="96" t="s">
        <v>1028</v>
      </c>
      <c r="E605" s="280" t="s">
        <v>511</v>
      </c>
      <c r="F605" s="98" t="str">
        <f t="shared" si="193"/>
        <v>A</v>
      </c>
      <c r="G605" s="110">
        <f ca="1">SUMIF($A:E,$A605,K:K)</f>
        <v>36</v>
      </c>
      <c r="H605" s="97" t="s">
        <v>964</v>
      </c>
      <c r="I605" s="98">
        <v>40</v>
      </c>
      <c r="J605" s="99">
        <v>40</v>
      </c>
      <c r="K605" s="143">
        <f t="shared" si="190"/>
        <v>36</v>
      </c>
      <c r="L605" s="151">
        <f t="shared" si="194"/>
        <v>4</v>
      </c>
      <c r="M605" s="275">
        <f t="shared" si="195"/>
        <v>40</v>
      </c>
      <c r="N605" s="98" t="s">
        <v>1776</v>
      </c>
      <c r="O605" s="93">
        <f t="shared" si="196"/>
        <v>90</v>
      </c>
      <c r="OB605" s="100">
        <v>2</v>
      </c>
      <c r="OC605" s="100">
        <v>2</v>
      </c>
      <c r="OF605" s="100">
        <v>4</v>
      </c>
      <c r="OG605" s="100">
        <v>2</v>
      </c>
      <c r="OI605" s="100">
        <v>1</v>
      </c>
      <c r="OJ605" s="100">
        <v>4</v>
      </c>
      <c r="OK605" s="100">
        <v>3</v>
      </c>
      <c r="ON605" s="100">
        <f t="shared" si="191"/>
        <v>18</v>
      </c>
    </row>
    <row r="606" spans="1:404" ht="23.25" customHeight="1">
      <c r="A606" s="97" t="str">
        <f t="shared" si="192"/>
        <v>072/NY/PP-USA-2168-72600-01-A</v>
      </c>
      <c r="B606" s="95">
        <v>44671</v>
      </c>
      <c r="C606" s="97">
        <f t="shared" ca="1" si="197"/>
        <v>-393</v>
      </c>
      <c r="D606" s="96" t="s">
        <v>1032</v>
      </c>
      <c r="E606" s="280" t="s">
        <v>511</v>
      </c>
      <c r="F606" s="98" t="str">
        <f t="shared" si="193"/>
        <v>A</v>
      </c>
      <c r="G606" s="110">
        <f ca="1">SUMIF($A:E,$A606,K:K)</f>
        <v>0</v>
      </c>
      <c r="H606" s="97" t="s">
        <v>933</v>
      </c>
      <c r="I606" s="98">
        <v>40</v>
      </c>
      <c r="J606" s="99">
        <v>40</v>
      </c>
      <c r="K606" s="143">
        <f t="shared" si="190"/>
        <v>0</v>
      </c>
      <c r="L606" s="151">
        <f t="shared" si="194"/>
        <v>40</v>
      </c>
      <c r="M606" s="275">
        <f t="shared" si="195"/>
        <v>40</v>
      </c>
      <c r="N606" s="98" t="s">
        <v>1776</v>
      </c>
      <c r="O606" s="93">
        <f t="shared" si="196"/>
        <v>0</v>
      </c>
      <c r="ON606" s="100">
        <f t="shared" si="191"/>
        <v>0</v>
      </c>
    </row>
    <row r="607" spans="1:404" ht="23.25" customHeight="1">
      <c r="A607" s="97" t="str">
        <f t="shared" si="192"/>
        <v>191/POTTERYPOT-2168-72600-01-A</v>
      </c>
      <c r="B607" s="95">
        <v>44671</v>
      </c>
      <c r="C607" s="97">
        <f t="shared" ca="1" si="197"/>
        <v>-393</v>
      </c>
      <c r="D607" s="96" t="s">
        <v>1033</v>
      </c>
      <c r="E607" s="280" t="s">
        <v>511</v>
      </c>
      <c r="F607" s="98" t="str">
        <f t="shared" si="193"/>
        <v>A</v>
      </c>
      <c r="G607" s="110">
        <f ca="1">SUMIF($A:E,$A607,K:K)</f>
        <v>0</v>
      </c>
      <c r="H607" s="122" t="s">
        <v>601</v>
      </c>
      <c r="I607" s="98">
        <v>20</v>
      </c>
      <c r="J607" s="97">
        <v>20</v>
      </c>
      <c r="K607" s="143">
        <f t="shared" si="190"/>
        <v>0</v>
      </c>
      <c r="L607" s="151">
        <f t="shared" si="194"/>
        <v>20</v>
      </c>
      <c r="M607" s="275">
        <f t="shared" si="195"/>
        <v>20</v>
      </c>
      <c r="N607" s="98" t="s">
        <v>1776</v>
      </c>
      <c r="O607" s="93">
        <f t="shared" si="196"/>
        <v>0</v>
      </c>
      <c r="ON607" s="100">
        <f t="shared" si="191"/>
        <v>0</v>
      </c>
    </row>
    <row r="608" spans="1:404" ht="23.25" customHeight="1">
      <c r="A608" s="97" t="str">
        <f t="shared" si="192"/>
        <v>125A/POTTERYPOT-2168-72600-01-A</v>
      </c>
      <c r="B608" s="95">
        <v>44453</v>
      </c>
      <c r="C608" s="97">
        <f t="shared" ca="1" si="197"/>
        <v>-611</v>
      </c>
      <c r="D608" s="96" t="s">
        <v>1076</v>
      </c>
      <c r="E608" s="94" t="s">
        <v>511</v>
      </c>
      <c r="F608" s="98" t="str">
        <f t="shared" si="193"/>
        <v>A</v>
      </c>
      <c r="G608" s="110">
        <f ca="1">SUMIF($A:E,$A608,K:K)</f>
        <v>4</v>
      </c>
      <c r="H608" s="122" t="s">
        <v>964</v>
      </c>
      <c r="I608" s="98">
        <v>4</v>
      </c>
      <c r="J608" s="97">
        <v>4</v>
      </c>
      <c r="K608" s="143">
        <f t="shared" si="190"/>
        <v>4</v>
      </c>
      <c r="L608" s="151">
        <f t="shared" si="194"/>
        <v>0</v>
      </c>
      <c r="M608" s="275">
        <f t="shared" si="195"/>
        <v>4</v>
      </c>
      <c r="N608" s="98">
        <v>2</v>
      </c>
      <c r="O608" s="93">
        <f t="shared" si="196"/>
        <v>100</v>
      </c>
      <c r="GW608" s="100">
        <v>2</v>
      </c>
      <c r="HC608" s="100">
        <v>1</v>
      </c>
      <c r="HD608" s="100">
        <v>1</v>
      </c>
      <c r="ON608" s="100">
        <f t="shared" si="191"/>
        <v>0</v>
      </c>
    </row>
    <row r="609" spans="1:404" ht="23.25" customHeight="1">
      <c r="A609" s="97" t="str">
        <f t="shared" si="192"/>
        <v>227/POTERTYPOT-2168-72600-01-A</v>
      </c>
      <c r="B609" s="95">
        <v>44557</v>
      </c>
      <c r="C609" s="97">
        <f t="shared" ca="1" si="197"/>
        <v>-507</v>
      </c>
      <c r="D609" s="96" t="s">
        <v>1084</v>
      </c>
      <c r="E609" s="280" t="s">
        <v>511</v>
      </c>
      <c r="F609" s="98" t="str">
        <f t="shared" si="193"/>
        <v>A</v>
      </c>
      <c r="G609" s="110">
        <f ca="1">SUMIF($A:E,$A609,K:K)</f>
        <v>12</v>
      </c>
      <c r="H609" s="122" t="s">
        <v>601</v>
      </c>
      <c r="I609" s="98">
        <v>12</v>
      </c>
      <c r="J609" s="97">
        <v>12</v>
      </c>
      <c r="K609" s="143">
        <f t="shared" si="190"/>
        <v>12</v>
      </c>
      <c r="L609" s="151">
        <f t="shared" si="194"/>
        <v>0</v>
      </c>
      <c r="M609" s="275">
        <f t="shared" si="195"/>
        <v>12</v>
      </c>
      <c r="N609" s="98" t="s">
        <v>1776</v>
      </c>
      <c r="O609" s="93">
        <f t="shared" si="196"/>
        <v>100</v>
      </c>
      <c r="KH609" s="100">
        <v>2</v>
      </c>
      <c r="KI609" s="100">
        <v>3</v>
      </c>
      <c r="KN609" s="100">
        <v>3</v>
      </c>
      <c r="KO609" s="100">
        <v>2</v>
      </c>
      <c r="KP609" s="100">
        <v>2</v>
      </c>
      <c r="ON609" s="100">
        <f t="shared" si="191"/>
        <v>0</v>
      </c>
    </row>
    <row r="610" spans="1:404" ht="23.25" customHeight="1">
      <c r="A610" s="97" t="str">
        <f t="shared" si="192"/>
        <v>217/POTERTYPOT-2168-72600-01-A</v>
      </c>
      <c r="B610" s="95">
        <v>44625</v>
      </c>
      <c r="C610" s="97">
        <f t="shared" ca="1" si="197"/>
        <v>-439</v>
      </c>
      <c r="D610" s="96" t="s">
        <v>1085</v>
      </c>
      <c r="E610" s="94" t="s">
        <v>511</v>
      </c>
      <c r="F610" s="98" t="str">
        <f t="shared" si="193"/>
        <v>A</v>
      </c>
      <c r="G610" s="110">
        <f ca="1">SUMIF($A:E,$A610,K:K)</f>
        <v>0</v>
      </c>
      <c r="H610" s="122" t="s">
        <v>601</v>
      </c>
      <c r="I610" s="98">
        <v>4</v>
      </c>
      <c r="J610" s="97">
        <v>4</v>
      </c>
      <c r="K610" s="143">
        <f t="shared" si="190"/>
        <v>0</v>
      </c>
      <c r="L610" s="151">
        <f t="shared" si="194"/>
        <v>4</v>
      </c>
      <c r="M610" s="275">
        <f t="shared" si="195"/>
        <v>4</v>
      </c>
      <c r="N610" s="98"/>
      <c r="O610" s="93">
        <f t="shared" si="196"/>
        <v>0</v>
      </c>
      <c r="ON610" s="100">
        <f t="shared" si="191"/>
        <v>0</v>
      </c>
    </row>
    <row r="611" spans="1:404" ht="23.25" customHeight="1">
      <c r="A611" s="97" t="str">
        <f t="shared" si="192"/>
        <v>189/POTERTYPOT-2168-72600-01-A</v>
      </c>
      <c r="B611" s="95">
        <v>44669</v>
      </c>
      <c r="C611" s="97">
        <f t="shared" ca="1" si="197"/>
        <v>-395</v>
      </c>
      <c r="D611" s="96" t="s">
        <v>2516</v>
      </c>
      <c r="E611" s="94" t="s">
        <v>511</v>
      </c>
      <c r="F611" s="98" t="str">
        <f t="shared" si="193"/>
        <v>A</v>
      </c>
      <c r="G611" s="110">
        <f ca="1">SUMIF($A:E,$A611,K:K)</f>
        <v>0</v>
      </c>
      <c r="H611" s="122" t="s">
        <v>601</v>
      </c>
      <c r="I611" s="98">
        <v>38</v>
      </c>
      <c r="J611" s="97">
        <v>38</v>
      </c>
      <c r="K611" s="143">
        <f t="shared" si="190"/>
        <v>0</v>
      </c>
      <c r="L611" s="151">
        <f t="shared" si="194"/>
        <v>38</v>
      </c>
      <c r="M611" s="275">
        <f t="shared" si="195"/>
        <v>38</v>
      </c>
      <c r="N611" s="98" t="s">
        <v>1776</v>
      </c>
      <c r="O611" s="93">
        <f t="shared" si="196"/>
        <v>0</v>
      </c>
      <c r="ON611" s="100">
        <f t="shared" si="191"/>
        <v>0</v>
      </c>
    </row>
    <row r="612" spans="1:404" ht="23.25" customHeight="1">
      <c r="A612" s="97" t="str">
        <f>D612&amp;E616</f>
        <v>007/NOIDIA-2168-72500-S2-B</v>
      </c>
      <c r="B612" s="95">
        <v>44377</v>
      </c>
      <c r="C612" s="97">
        <f t="shared" ca="1" si="197"/>
        <v>-687</v>
      </c>
      <c r="D612" s="96" t="s">
        <v>1186</v>
      </c>
      <c r="E612" s="94" t="s">
        <v>511</v>
      </c>
      <c r="F612" s="98" t="str">
        <f t="shared" si="193"/>
        <v>A</v>
      </c>
      <c r="G612" s="110">
        <f ca="1">SUMIF($A:E,$A612,K:K)</f>
        <v>2</v>
      </c>
      <c r="H612" s="122" t="s">
        <v>964</v>
      </c>
      <c r="I612" s="98">
        <v>2</v>
      </c>
      <c r="J612" s="99">
        <v>2</v>
      </c>
      <c r="K612" s="143">
        <f t="shared" si="190"/>
        <v>2</v>
      </c>
      <c r="L612" s="151">
        <f t="shared" si="194"/>
        <v>0</v>
      </c>
      <c r="M612" s="275">
        <f t="shared" si="195"/>
        <v>2</v>
      </c>
      <c r="N612" s="98">
        <v>2</v>
      </c>
      <c r="O612" s="93">
        <f t="shared" si="196"/>
        <v>100</v>
      </c>
      <c r="FO612" s="100">
        <v>2</v>
      </c>
      <c r="ON612" s="100">
        <f t="shared" si="191"/>
        <v>0</v>
      </c>
    </row>
    <row r="613" spans="1:404" ht="23.25" customHeight="1">
      <c r="A613" s="97" t="str">
        <f>D613&amp;E613</f>
        <v>320/POTTERYPOT-2168-72600-01-A</v>
      </c>
      <c r="B613" s="95">
        <v>44649</v>
      </c>
      <c r="C613" s="97">
        <f t="shared" ca="1" si="197"/>
        <v>-415</v>
      </c>
      <c r="D613" s="112" t="s">
        <v>1336</v>
      </c>
      <c r="E613" s="279" t="s">
        <v>511</v>
      </c>
      <c r="F613" s="98" t="str">
        <f t="shared" si="193"/>
        <v>A</v>
      </c>
      <c r="G613" s="110">
        <f ca="1">SUMIF($A:E,$A613,K:K)</f>
        <v>38</v>
      </c>
      <c r="H613" s="97" t="s">
        <v>1360</v>
      </c>
      <c r="I613" s="175">
        <v>38</v>
      </c>
      <c r="J613" s="115">
        <v>38</v>
      </c>
      <c r="K613" s="143">
        <f t="shared" si="190"/>
        <v>38</v>
      </c>
      <c r="L613" s="151">
        <f t="shared" si="194"/>
        <v>0</v>
      </c>
      <c r="M613" s="275">
        <f t="shared" si="195"/>
        <v>38</v>
      </c>
      <c r="N613" s="98" t="s">
        <v>1776</v>
      </c>
      <c r="O613" s="93">
        <f t="shared" si="196"/>
        <v>100</v>
      </c>
      <c r="MK613" s="100">
        <v>2</v>
      </c>
      <c r="ML613" s="100">
        <v>2</v>
      </c>
      <c r="MM613" s="100">
        <v>2</v>
      </c>
      <c r="MN613" s="100">
        <v>2</v>
      </c>
      <c r="MO613" s="100">
        <v>2</v>
      </c>
      <c r="MP613" s="100">
        <v>2</v>
      </c>
      <c r="MQ613" s="100">
        <v>2</v>
      </c>
      <c r="MR613" s="100">
        <v>2</v>
      </c>
      <c r="MS613" s="100">
        <v>2</v>
      </c>
      <c r="MT613" s="100">
        <v>2</v>
      </c>
      <c r="MU613" s="100">
        <v>2</v>
      </c>
      <c r="MW613" s="100">
        <v>2</v>
      </c>
      <c r="MX613" s="100">
        <v>2</v>
      </c>
      <c r="MY613" s="100">
        <v>2</v>
      </c>
      <c r="MZ613" s="100">
        <v>2</v>
      </c>
      <c r="ND613" s="100">
        <v>2</v>
      </c>
      <c r="NE613" s="100">
        <v>2</v>
      </c>
      <c r="NF613" s="100">
        <v>2</v>
      </c>
      <c r="NG613" s="100">
        <v>2</v>
      </c>
      <c r="ON613" s="100">
        <f t="shared" si="191"/>
        <v>0</v>
      </c>
    </row>
    <row r="614" spans="1:404" ht="23.25" customHeight="1">
      <c r="A614" s="97" t="str">
        <f>D614&amp;E614</f>
        <v>002/DOVETAIL-2168-72500-S2-B</v>
      </c>
      <c r="B614" s="95">
        <v>44434</v>
      </c>
      <c r="C614" s="97">
        <f t="shared" ca="1" si="197"/>
        <v>-630</v>
      </c>
      <c r="D614" s="96" t="s">
        <v>887</v>
      </c>
      <c r="E614" s="94" t="s">
        <v>274</v>
      </c>
      <c r="F614" s="98" t="str">
        <f t="shared" si="193"/>
        <v>B</v>
      </c>
      <c r="G614" s="110">
        <f ca="1">SUMIF($A:E,$A614,K:K)</f>
        <v>120</v>
      </c>
      <c r="H614" s="97" t="s">
        <v>616</v>
      </c>
      <c r="I614" s="98">
        <v>120</v>
      </c>
      <c r="J614" s="99">
        <v>120</v>
      </c>
      <c r="K614" s="143">
        <f t="shared" si="190"/>
        <v>120</v>
      </c>
      <c r="L614" s="151">
        <f t="shared" si="194"/>
        <v>0</v>
      </c>
      <c r="M614" s="275">
        <f t="shared" si="195"/>
        <v>240</v>
      </c>
      <c r="N614" s="98">
        <v>2</v>
      </c>
      <c r="O614" s="93">
        <f t="shared" si="196"/>
        <v>100</v>
      </c>
      <c r="EU614" s="100">
        <v>12</v>
      </c>
      <c r="EW614" s="100">
        <v>8</v>
      </c>
      <c r="EX614" s="100">
        <v>10</v>
      </c>
      <c r="EY614" s="100">
        <v>10</v>
      </c>
      <c r="FA614" s="100">
        <v>10</v>
      </c>
      <c r="FB614" s="100">
        <v>4</v>
      </c>
      <c r="FC614" s="100">
        <v>12</v>
      </c>
      <c r="FD614" s="100">
        <v>5</v>
      </c>
      <c r="FE614" s="100">
        <v>6</v>
      </c>
      <c r="FH614" s="100">
        <v>7</v>
      </c>
      <c r="FI614" s="100">
        <v>14</v>
      </c>
      <c r="FJ614" s="100">
        <v>10</v>
      </c>
      <c r="FK614" s="100">
        <v>6</v>
      </c>
      <c r="FL614" s="100">
        <v>4</v>
      </c>
      <c r="FO614" s="100">
        <v>2</v>
      </c>
      <c r="ON614" s="100">
        <f t="shared" si="191"/>
        <v>0</v>
      </c>
    </row>
    <row r="615" spans="1:404" ht="23.25" customHeight="1">
      <c r="A615" s="97" t="str">
        <f>D615&amp;E615</f>
        <v>003/HOME 4 YOU-2168-72500-S2-B</v>
      </c>
      <c r="B615" s="95">
        <v>44564</v>
      </c>
      <c r="C615" s="97">
        <f t="shared" ca="1" si="197"/>
        <v>-500</v>
      </c>
      <c r="D615" s="96" t="s">
        <v>1168</v>
      </c>
      <c r="E615" s="94" t="s">
        <v>274</v>
      </c>
      <c r="F615" s="98" t="str">
        <f t="shared" si="193"/>
        <v>B</v>
      </c>
      <c r="G615" s="110">
        <f ca="1">SUMIF($A:E,$A615,K:K)</f>
        <v>1</v>
      </c>
      <c r="H615" s="97" t="s">
        <v>933</v>
      </c>
      <c r="I615" s="98">
        <v>1</v>
      </c>
      <c r="J615" s="99">
        <v>1</v>
      </c>
      <c r="K615" s="143">
        <f t="shared" si="190"/>
        <v>1</v>
      </c>
      <c r="L615" s="151">
        <f t="shared" si="194"/>
        <v>0</v>
      </c>
      <c r="M615" s="275">
        <f t="shared" si="195"/>
        <v>2</v>
      </c>
      <c r="N615" s="98">
        <v>1</v>
      </c>
      <c r="O615" s="93">
        <f t="shared" si="196"/>
        <v>100</v>
      </c>
      <c r="MK615" s="100">
        <v>1</v>
      </c>
      <c r="ON615" s="100">
        <f t="shared" si="191"/>
        <v>0</v>
      </c>
    </row>
    <row r="616" spans="1:404" ht="23.25" customHeight="1">
      <c r="A616" s="97" t="str">
        <f>D616&amp;E617</f>
        <v>001/HOME 4 YOU-2168-72500-S2-B</v>
      </c>
      <c r="B616" s="95">
        <v>44564</v>
      </c>
      <c r="C616" s="97">
        <f t="shared" ca="1" si="197"/>
        <v>-500</v>
      </c>
      <c r="D616" s="96" t="s">
        <v>1178</v>
      </c>
      <c r="E616" s="94" t="s">
        <v>274</v>
      </c>
      <c r="F616" s="98" t="str">
        <f t="shared" si="193"/>
        <v>B</v>
      </c>
      <c r="G616" s="110">
        <f ca="1">SUMIF($A:E,$A616,K:K)</f>
        <v>96</v>
      </c>
      <c r="H616" s="122" t="s">
        <v>933</v>
      </c>
      <c r="I616" s="98">
        <v>96</v>
      </c>
      <c r="J616" s="99">
        <v>96</v>
      </c>
      <c r="K616" s="143">
        <f t="shared" si="190"/>
        <v>96</v>
      </c>
      <c r="L616" s="144">
        <f t="shared" si="194"/>
        <v>0</v>
      </c>
      <c r="M616" s="275">
        <f t="shared" si="195"/>
        <v>192</v>
      </c>
      <c r="N616" s="98">
        <v>1</v>
      </c>
      <c r="O616" s="93">
        <f t="shared" si="196"/>
        <v>100</v>
      </c>
      <c r="MK616" s="100">
        <v>4</v>
      </c>
      <c r="MN616" s="100">
        <v>20</v>
      </c>
      <c r="MO616" s="100">
        <v>19</v>
      </c>
      <c r="MP616" s="100">
        <v>20</v>
      </c>
      <c r="MQ616" s="100">
        <v>20</v>
      </c>
      <c r="MR616" s="100">
        <v>13</v>
      </c>
      <c r="ON616" s="100">
        <f t="shared" si="191"/>
        <v>0</v>
      </c>
    </row>
    <row r="617" spans="1:404" ht="23.25" customHeight="1">
      <c r="A617" s="97" t="str">
        <f>D617&amp;E617</f>
        <v xml:space="preserve">	001/AL-FARES-VG-2168-72500-S2-B</v>
      </c>
      <c r="B617" s="95">
        <v>44686</v>
      </c>
      <c r="C617" s="97">
        <f t="shared" ca="1" si="197"/>
        <v>-378</v>
      </c>
      <c r="D617" s="112" t="s">
        <v>1814</v>
      </c>
      <c r="E617" s="123" t="s">
        <v>274</v>
      </c>
      <c r="F617" s="98" t="str">
        <f t="shared" si="193"/>
        <v>B</v>
      </c>
      <c r="G617" s="110">
        <f ca="1">SUMIF($A:E,$A617,K:K)</f>
        <v>0</v>
      </c>
      <c r="H617" s="112" t="s">
        <v>1561</v>
      </c>
      <c r="I617" s="175">
        <v>48</v>
      </c>
      <c r="J617" s="115">
        <v>48</v>
      </c>
      <c r="K617" s="143">
        <f t="shared" si="190"/>
        <v>0</v>
      </c>
      <c r="L617" s="151">
        <f t="shared" si="194"/>
        <v>48</v>
      </c>
      <c r="M617" s="275">
        <f t="shared" si="195"/>
        <v>96</v>
      </c>
      <c r="N617" s="98"/>
      <c r="O617" s="93">
        <f t="shared" si="196"/>
        <v>0</v>
      </c>
      <c r="ON617" s="100">
        <f t="shared" si="191"/>
        <v>0</v>
      </c>
    </row>
    <row r="618" spans="1:404" ht="23.25" customHeight="1">
      <c r="A618" s="97" t="str">
        <f>D618&amp;E618</f>
        <v>002T/OBI-2168-72500-02-B</v>
      </c>
      <c r="B618" s="95">
        <v>44416</v>
      </c>
      <c r="C618" s="97">
        <f t="shared" ca="1" si="197"/>
        <v>-648</v>
      </c>
      <c r="D618" s="112" t="s">
        <v>1047</v>
      </c>
      <c r="E618" s="123" t="s">
        <v>514</v>
      </c>
      <c r="F618" s="98" t="str">
        <f t="shared" si="193"/>
        <v>B</v>
      </c>
      <c r="G618" s="110">
        <f ca="1">SUMIF($A:E,$A618,K:K)</f>
        <v>240</v>
      </c>
      <c r="H618" s="97" t="s">
        <v>916</v>
      </c>
      <c r="I618" s="175">
        <v>240</v>
      </c>
      <c r="J618" s="115">
        <v>120</v>
      </c>
      <c r="K618" s="143">
        <f t="shared" si="190"/>
        <v>120</v>
      </c>
      <c r="L618" s="144">
        <f t="shared" si="194"/>
        <v>0</v>
      </c>
      <c r="M618" s="275">
        <f t="shared" si="195"/>
        <v>240</v>
      </c>
      <c r="N618" s="98">
        <v>1</v>
      </c>
      <c r="O618" s="93">
        <f t="shared" si="196"/>
        <v>100</v>
      </c>
      <c r="EW618" s="100">
        <v>6</v>
      </c>
      <c r="EX618" s="100">
        <v>5</v>
      </c>
      <c r="EY618" s="100">
        <v>10</v>
      </c>
      <c r="FB618" s="100">
        <v>14</v>
      </c>
      <c r="FD618" s="100">
        <v>1</v>
      </c>
      <c r="FE618" s="100">
        <v>4</v>
      </c>
      <c r="FF618" s="100">
        <v>10</v>
      </c>
      <c r="FH618" s="100">
        <v>9</v>
      </c>
      <c r="FI618" s="100">
        <v>9</v>
      </c>
      <c r="FK618" s="100">
        <v>13</v>
      </c>
      <c r="FL618" s="100">
        <v>15</v>
      </c>
      <c r="FM618" s="100">
        <v>7</v>
      </c>
      <c r="FO618" s="100">
        <v>4</v>
      </c>
      <c r="FP618" s="100">
        <v>5</v>
      </c>
      <c r="GG618" s="100">
        <v>8</v>
      </c>
      <c r="ON618" s="100">
        <f t="shared" si="191"/>
        <v>0</v>
      </c>
    </row>
    <row r="619" spans="1:404" ht="23.25" customHeight="1">
      <c r="A619" s="97" t="str">
        <f>D619&amp;E619</f>
        <v>002T/OBI-2168-72500-02-B</v>
      </c>
      <c r="B619" s="95">
        <v>44416</v>
      </c>
      <c r="C619" s="97">
        <f t="shared" ca="1" si="197"/>
        <v>-648</v>
      </c>
      <c r="D619" s="112" t="s">
        <v>1047</v>
      </c>
      <c r="E619" s="123" t="s">
        <v>514</v>
      </c>
      <c r="F619" s="98" t="str">
        <f t="shared" si="193"/>
        <v>B</v>
      </c>
      <c r="G619" s="110">
        <f ca="1">SUMIF($A:E,$A619,K:K)</f>
        <v>240</v>
      </c>
      <c r="H619" s="122" t="s">
        <v>916</v>
      </c>
      <c r="I619" s="175">
        <v>240</v>
      </c>
      <c r="J619" s="115">
        <f>240-J618</f>
        <v>120</v>
      </c>
      <c r="K619" s="143">
        <f t="shared" si="190"/>
        <v>120</v>
      </c>
      <c r="L619" s="151">
        <f t="shared" si="194"/>
        <v>0</v>
      </c>
      <c r="M619" s="275">
        <f t="shared" si="195"/>
        <v>240</v>
      </c>
      <c r="N619" s="98">
        <v>3</v>
      </c>
      <c r="O619" s="93">
        <f t="shared" si="196"/>
        <v>100</v>
      </c>
      <c r="EW619" s="100">
        <v>1</v>
      </c>
      <c r="FA619" s="100">
        <v>12</v>
      </c>
      <c r="FB619" s="100">
        <v>3</v>
      </c>
      <c r="FC619" s="100">
        <v>6</v>
      </c>
      <c r="FD619" s="100">
        <v>10</v>
      </c>
      <c r="FE619" s="100">
        <v>9</v>
      </c>
      <c r="FH619" s="100">
        <v>16</v>
      </c>
      <c r="FI619" s="100">
        <v>3</v>
      </c>
      <c r="FJ619" s="100">
        <v>10</v>
      </c>
      <c r="FK619" s="100">
        <v>11</v>
      </c>
      <c r="FL619" s="100">
        <v>7</v>
      </c>
      <c r="FO619" s="100">
        <v>4</v>
      </c>
      <c r="FP619" s="100">
        <v>7</v>
      </c>
      <c r="FQ619" s="100">
        <v>8</v>
      </c>
      <c r="FS619" s="100">
        <v>9</v>
      </c>
      <c r="FU619" s="100">
        <v>1</v>
      </c>
      <c r="GA619" s="100">
        <v>3</v>
      </c>
      <c r="ON619" s="100">
        <f t="shared" si="191"/>
        <v>0</v>
      </c>
    </row>
    <row r="620" spans="1:404" ht="23.25" customHeight="1">
      <c r="A620" s="97" t="str">
        <f>D620&amp;E620</f>
        <v>006T/OBI-2168-72500-02-B</v>
      </c>
      <c r="B620" s="95">
        <v>44424</v>
      </c>
      <c r="C620" s="97">
        <f t="shared" ca="1" si="197"/>
        <v>-640</v>
      </c>
      <c r="D620" s="112" t="s">
        <v>1296</v>
      </c>
      <c r="E620" s="123" t="s">
        <v>514</v>
      </c>
      <c r="F620" s="98" t="str">
        <f t="shared" si="193"/>
        <v>B</v>
      </c>
      <c r="G620" s="110">
        <f ca="1">SUMIF($A:E,$A620,K:K)</f>
        <v>160</v>
      </c>
      <c r="H620" s="122" t="s">
        <v>507</v>
      </c>
      <c r="I620" s="175">
        <v>160</v>
      </c>
      <c r="J620" s="115">
        <v>160</v>
      </c>
      <c r="K620" s="143">
        <f t="shared" si="190"/>
        <v>160</v>
      </c>
      <c r="L620" s="151">
        <f t="shared" si="194"/>
        <v>0</v>
      </c>
      <c r="M620" s="275">
        <f t="shared" si="195"/>
        <v>160</v>
      </c>
      <c r="N620" s="98">
        <v>2</v>
      </c>
      <c r="O620" s="93">
        <f t="shared" si="196"/>
        <v>100</v>
      </c>
      <c r="GD620" s="100">
        <v>9</v>
      </c>
      <c r="GG620" s="100">
        <v>2</v>
      </c>
      <c r="GH620" s="100">
        <v>27</v>
      </c>
      <c r="GK620" s="100">
        <v>8</v>
      </c>
      <c r="GN620" s="100">
        <v>29</v>
      </c>
      <c r="GO620" s="100">
        <v>6</v>
      </c>
      <c r="GP620" s="100">
        <v>19</v>
      </c>
      <c r="GR620" s="100">
        <v>7</v>
      </c>
      <c r="GS620" s="100">
        <v>5</v>
      </c>
      <c r="GU620" s="100">
        <v>16</v>
      </c>
      <c r="GV620" s="100">
        <v>13</v>
      </c>
      <c r="GW620" s="100">
        <v>4</v>
      </c>
      <c r="GX620" s="100">
        <v>15</v>
      </c>
      <c r="ON620" s="100">
        <f t="shared" si="191"/>
        <v>0</v>
      </c>
    </row>
    <row r="621" spans="1:404" ht="23.25" customHeight="1">
      <c r="A621" s="97" t="s">
        <v>1370</v>
      </c>
      <c r="B621" s="95">
        <v>44465</v>
      </c>
      <c r="C621" s="97">
        <f t="shared" ca="1" si="197"/>
        <v>-599</v>
      </c>
      <c r="D621" s="112" t="s">
        <v>1395</v>
      </c>
      <c r="E621" s="123" t="s">
        <v>514</v>
      </c>
      <c r="F621" s="98" t="str">
        <f t="shared" si="193"/>
        <v>B</v>
      </c>
      <c r="G621" s="110">
        <f ca="1">SUMIF($A:E,$A621,K:K)</f>
        <v>5654</v>
      </c>
      <c r="H621" s="122" t="s">
        <v>927</v>
      </c>
      <c r="I621" s="175">
        <v>80</v>
      </c>
      <c r="J621" s="115">
        <v>80</v>
      </c>
      <c r="K621" s="143">
        <f t="shared" si="190"/>
        <v>80</v>
      </c>
      <c r="L621" s="151">
        <f t="shared" si="194"/>
        <v>0</v>
      </c>
      <c r="M621" s="275">
        <f t="shared" si="195"/>
        <v>80</v>
      </c>
      <c r="N621" s="98">
        <v>2</v>
      </c>
      <c r="O621" s="93">
        <f t="shared" si="196"/>
        <v>100</v>
      </c>
      <c r="GX621" s="100">
        <v>9</v>
      </c>
      <c r="GZ621" s="100">
        <v>16</v>
      </c>
      <c r="HB621" s="100">
        <v>19</v>
      </c>
      <c r="HC621" s="100">
        <v>17</v>
      </c>
      <c r="HE621" s="100">
        <v>5</v>
      </c>
      <c r="HK621" s="100">
        <v>5</v>
      </c>
      <c r="ID621" s="100">
        <v>2</v>
      </c>
      <c r="IF621" s="100">
        <v>6</v>
      </c>
      <c r="IH621" s="100">
        <v>1</v>
      </c>
      <c r="ON621" s="100">
        <f t="shared" si="191"/>
        <v>0</v>
      </c>
    </row>
    <row r="622" spans="1:404" ht="23.25" customHeight="1">
      <c r="A622" s="97" t="s">
        <v>1935</v>
      </c>
      <c r="B622" s="95">
        <v>44555</v>
      </c>
      <c r="C622" s="97">
        <v>91</v>
      </c>
      <c r="D622" s="223" t="s">
        <v>1967</v>
      </c>
      <c r="E622" s="279" t="s">
        <v>514</v>
      </c>
      <c r="F622" s="98" t="s">
        <v>561</v>
      </c>
      <c r="G622" s="110">
        <v>0</v>
      </c>
      <c r="H622" s="97" t="s">
        <v>933</v>
      </c>
      <c r="I622" s="98">
        <v>1680</v>
      </c>
      <c r="J622" s="99">
        <v>1000</v>
      </c>
      <c r="K622" s="143">
        <f t="shared" si="190"/>
        <v>1000</v>
      </c>
      <c r="L622" s="151">
        <f t="shared" si="194"/>
        <v>0</v>
      </c>
      <c r="M622" s="275">
        <f t="shared" si="195"/>
        <v>1680</v>
      </c>
      <c r="N622" s="98" t="s">
        <v>1776</v>
      </c>
      <c r="O622" s="93">
        <f t="shared" si="196"/>
        <v>100</v>
      </c>
      <c r="JA622" s="100">
        <v>8</v>
      </c>
      <c r="JB622" s="100">
        <v>7</v>
      </c>
      <c r="JC622" s="100">
        <v>9</v>
      </c>
      <c r="JF622" s="100">
        <v>30</v>
      </c>
      <c r="JG622" s="100">
        <v>8</v>
      </c>
      <c r="JH622" s="100">
        <v>32</v>
      </c>
      <c r="JI622" s="100">
        <v>16</v>
      </c>
      <c r="JJ622" s="100">
        <v>31</v>
      </c>
      <c r="JK622" s="100">
        <v>16</v>
      </c>
      <c r="JN622" s="100">
        <v>31</v>
      </c>
      <c r="JO622" s="100">
        <v>1</v>
      </c>
      <c r="JP622" s="100">
        <v>48</v>
      </c>
      <c r="JQ622" s="100">
        <v>22</v>
      </c>
      <c r="JR622" s="100">
        <v>6</v>
      </c>
      <c r="JT622" s="100">
        <v>31</v>
      </c>
      <c r="JU622" s="100">
        <v>21</v>
      </c>
      <c r="JV622" s="100">
        <v>16</v>
      </c>
      <c r="JW622" s="100">
        <v>16</v>
      </c>
      <c r="JX622" s="100">
        <v>16</v>
      </c>
      <c r="JY622" s="100">
        <v>16</v>
      </c>
      <c r="KA622" s="100">
        <v>16</v>
      </c>
      <c r="KB622" s="100">
        <v>16</v>
      </c>
      <c r="KC622" s="100">
        <v>31</v>
      </c>
      <c r="KD622" s="100">
        <v>31</v>
      </c>
      <c r="KE622" s="100">
        <v>15</v>
      </c>
      <c r="KF622" s="100">
        <v>19</v>
      </c>
      <c r="KG622" s="100">
        <v>32</v>
      </c>
      <c r="KH622" s="100">
        <v>14</v>
      </c>
      <c r="KI622" s="100">
        <v>18</v>
      </c>
      <c r="KJ622" s="100">
        <v>15</v>
      </c>
      <c r="KN622" s="100">
        <v>11</v>
      </c>
      <c r="KO622" s="100">
        <v>22</v>
      </c>
      <c r="KP622" s="100">
        <v>32</v>
      </c>
      <c r="KQ622" s="100">
        <v>16</v>
      </c>
      <c r="KR622" s="100">
        <v>32</v>
      </c>
      <c r="KU622" s="100">
        <v>16</v>
      </c>
      <c r="KV622" s="100">
        <v>16</v>
      </c>
      <c r="KW622" s="100">
        <v>31</v>
      </c>
      <c r="KX622" s="100">
        <v>16</v>
      </c>
      <c r="KY622" s="100">
        <v>32</v>
      </c>
      <c r="KZ622" s="100">
        <v>32</v>
      </c>
      <c r="LB622" s="100">
        <v>31</v>
      </c>
      <c r="LC622" s="100">
        <v>17</v>
      </c>
      <c r="LD622" s="100">
        <v>32</v>
      </c>
      <c r="LE622" s="100">
        <v>31</v>
      </c>
      <c r="LF622" s="100">
        <v>32</v>
      </c>
      <c r="LG622" s="100">
        <v>13</v>
      </c>
      <c r="ON622" s="100">
        <f t="shared" si="191"/>
        <v>0</v>
      </c>
    </row>
    <row r="623" spans="1:404" ht="23.25" customHeight="1">
      <c r="A623" s="97" t="s">
        <v>1935</v>
      </c>
      <c r="B623" s="95">
        <v>44555</v>
      </c>
      <c r="C623" s="97">
        <v>91</v>
      </c>
      <c r="D623" s="223" t="s">
        <v>1967</v>
      </c>
      <c r="E623" s="289" t="s">
        <v>514</v>
      </c>
      <c r="F623" s="98" t="s">
        <v>561</v>
      </c>
      <c r="G623" s="110">
        <v>0</v>
      </c>
      <c r="H623" s="97" t="s">
        <v>933</v>
      </c>
      <c r="I623" s="98">
        <v>1680</v>
      </c>
      <c r="J623" s="99">
        <v>680</v>
      </c>
      <c r="K623" s="143">
        <f t="shared" si="190"/>
        <v>680</v>
      </c>
      <c r="L623" s="151">
        <f t="shared" ref="L623" si="198">J623-K623</f>
        <v>0</v>
      </c>
      <c r="M623" s="275">
        <f t="shared" si="195"/>
        <v>1680</v>
      </c>
      <c r="N623" s="98">
        <v>1</v>
      </c>
      <c r="O623" s="93">
        <f t="shared" si="196"/>
        <v>100</v>
      </c>
      <c r="KB623" s="100">
        <v>14</v>
      </c>
      <c r="KC623" s="100">
        <v>18</v>
      </c>
      <c r="KD623" s="100">
        <v>25</v>
      </c>
      <c r="KE623" s="100">
        <v>44</v>
      </c>
      <c r="KF623" s="100">
        <v>17</v>
      </c>
      <c r="KG623" s="100">
        <v>46</v>
      </c>
      <c r="KH623" s="100">
        <v>47</v>
      </c>
      <c r="KJ623" s="100">
        <v>1</v>
      </c>
      <c r="KN623" s="100">
        <v>26</v>
      </c>
      <c r="KO623" s="100">
        <v>42</v>
      </c>
      <c r="KP623" s="100">
        <v>19</v>
      </c>
      <c r="KQ623" s="100">
        <v>32</v>
      </c>
      <c r="KR623" s="100">
        <v>72</v>
      </c>
      <c r="KW623" s="100">
        <v>70</v>
      </c>
      <c r="KX623" s="100">
        <v>18</v>
      </c>
      <c r="KY623" s="100">
        <v>39</v>
      </c>
      <c r="KZ623" s="100">
        <v>18</v>
      </c>
      <c r="LB623" s="100">
        <v>17</v>
      </c>
      <c r="LC623" s="100">
        <v>43</v>
      </c>
      <c r="LD623" s="100">
        <v>72</v>
      </c>
      <c r="ON623" s="100">
        <f t="shared" si="191"/>
        <v>0</v>
      </c>
    </row>
    <row r="624" spans="1:404" ht="23.25" customHeight="1">
      <c r="A624" s="97" t="s">
        <v>1935</v>
      </c>
      <c r="B624" s="95">
        <v>44555</v>
      </c>
      <c r="C624" s="97">
        <f ca="1">B624-TODAY()</f>
        <v>-509</v>
      </c>
      <c r="D624" s="112" t="s">
        <v>1619</v>
      </c>
      <c r="E624" s="123" t="s">
        <v>514</v>
      </c>
      <c r="F624" s="98" t="str">
        <f>MID(E624,13,2)</f>
        <v>B</v>
      </c>
      <c r="G624" s="110">
        <f ca="1">SUMIF($A:E,$A624,K:K)</f>
        <v>3360</v>
      </c>
      <c r="H624" s="122" t="s">
        <v>583</v>
      </c>
      <c r="I624" s="98">
        <v>1680</v>
      </c>
      <c r="J624" s="99">
        <v>950</v>
      </c>
      <c r="K624" s="143">
        <f t="shared" si="190"/>
        <v>950</v>
      </c>
      <c r="L624" s="151">
        <f t="shared" ref="L624" si="199">J624-K624</f>
        <v>0</v>
      </c>
      <c r="M624" s="275">
        <f t="shared" si="195"/>
        <v>1680</v>
      </c>
      <c r="N624" s="98">
        <v>1</v>
      </c>
      <c r="O624" s="93">
        <f t="shared" si="196"/>
        <v>100</v>
      </c>
      <c r="LD624" s="100">
        <v>3</v>
      </c>
      <c r="LF624" s="100">
        <v>35</v>
      </c>
      <c r="LG624" s="100">
        <v>67</v>
      </c>
      <c r="LI624" s="100">
        <v>25</v>
      </c>
      <c r="LJ624" s="100">
        <v>33</v>
      </c>
      <c r="LK624" s="100">
        <v>2</v>
      </c>
      <c r="LL624" s="100">
        <v>68</v>
      </c>
      <c r="LM624" s="100">
        <v>21</v>
      </c>
      <c r="LN624" s="100">
        <v>31</v>
      </c>
      <c r="LP624" s="100">
        <v>51</v>
      </c>
      <c r="LQ624" s="100">
        <v>10</v>
      </c>
      <c r="LR624" s="100">
        <v>37</v>
      </c>
      <c r="LS624" s="100">
        <v>34</v>
      </c>
      <c r="LT624" s="100">
        <v>3</v>
      </c>
      <c r="LU624" s="100">
        <v>4</v>
      </c>
      <c r="LW624" s="100">
        <v>39</v>
      </c>
      <c r="LX624" s="100">
        <v>60</v>
      </c>
      <c r="LY624" s="100">
        <v>6</v>
      </c>
      <c r="LZ624" s="100">
        <v>50</v>
      </c>
      <c r="MA624" s="100">
        <f>29+21</f>
        <v>50</v>
      </c>
      <c r="MB624" s="100">
        <v>30</v>
      </c>
      <c r="MD624" s="100">
        <v>32</v>
      </c>
      <c r="ME624" s="100">
        <v>8</v>
      </c>
      <c r="MF624" s="100">
        <v>72</v>
      </c>
      <c r="MG624" s="100">
        <v>18</v>
      </c>
      <c r="MH624" s="100">
        <v>63</v>
      </c>
      <c r="MK624" s="100">
        <v>32</v>
      </c>
      <c r="ML624" s="100">
        <v>31</v>
      </c>
      <c r="MM624" s="100">
        <v>34</v>
      </c>
      <c r="MN624" s="100">
        <v>1</v>
      </c>
      <c r="ON624" s="100">
        <f t="shared" si="191"/>
        <v>0</v>
      </c>
    </row>
    <row r="625" spans="1:404" ht="23.25" customHeight="1">
      <c r="A625" s="97" t="str">
        <f>D625&amp;E625</f>
        <v>002/KARMIN-VG-2168-72500-02-B</v>
      </c>
      <c r="B625" s="95">
        <v>44555</v>
      </c>
      <c r="C625" s="97">
        <f ca="1">B625-TODAY()</f>
        <v>-509</v>
      </c>
      <c r="D625" s="112" t="s">
        <v>1619</v>
      </c>
      <c r="E625" s="123" t="s">
        <v>514</v>
      </c>
      <c r="F625" s="98" t="str">
        <f>MID(E625,13,2)</f>
        <v>B</v>
      </c>
      <c r="G625" s="110">
        <f ca="1">SUMIF($A:E,$A625,K:K)</f>
        <v>3360</v>
      </c>
      <c r="H625" s="122" t="s">
        <v>583</v>
      </c>
      <c r="I625" s="98">
        <v>1680</v>
      </c>
      <c r="J625" s="99">
        <f>1680-950</f>
        <v>730</v>
      </c>
      <c r="K625" s="143">
        <f t="shared" si="190"/>
        <v>730</v>
      </c>
      <c r="L625" s="151">
        <f t="shared" si="194"/>
        <v>0</v>
      </c>
      <c r="M625" s="275">
        <f t="shared" si="195"/>
        <v>1680</v>
      </c>
      <c r="N625" s="98" t="s">
        <v>1776</v>
      </c>
      <c r="O625" s="93">
        <f t="shared" si="196"/>
        <v>100</v>
      </c>
      <c r="LG625" s="100">
        <v>18</v>
      </c>
      <c r="LI625" s="100">
        <v>33</v>
      </c>
      <c r="LJ625" s="100">
        <v>16</v>
      </c>
      <c r="LK625" s="100">
        <v>31</v>
      </c>
      <c r="LL625" s="100">
        <v>34</v>
      </c>
      <c r="LM625" s="100">
        <v>13</v>
      </c>
      <c r="LN625" s="100">
        <v>16</v>
      </c>
      <c r="LP625" s="100">
        <v>32</v>
      </c>
      <c r="LQ625" s="100">
        <v>15</v>
      </c>
      <c r="LR625" s="100">
        <v>31</v>
      </c>
      <c r="LS625" s="100">
        <v>32</v>
      </c>
      <c r="LT625" s="100">
        <v>29</v>
      </c>
      <c r="LU625" s="100">
        <v>34</v>
      </c>
      <c r="LW625" s="100">
        <v>33</v>
      </c>
      <c r="LY625" s="100">
        <v>32</v>
      </c>
      <c r="LZ625" s="100">
        <v>32</v>
      </c>
      <c r="MA625" s="100">
        <v>32</v>
      </c>
      <c r="MB625" s="100">
        <v>32</v>
      </c>
      <c r="MD625" s="100">
        <v>29</v>
      </c>
      <c r="ME625" s="100">
        <v>32</v>
      </c>
      <c r="MF625" s="100">
        <v>32</v>
      </c>
      <c r="MG625" s="100">
        <v>32</v>
      </c>
      <c r="MH625" s="100">
        <v>31</v>
      </c>
      <c r="MK625" s="100">
        <v>32</v>
      </c>
      <c r="ML625" s="100">
        <v>32</v>
      </c>
      <c r="MM625" s="100">
        <v>15</v>
      </c>
      <c r="ON625" s="100">
        <f t="shared" si="191"/>
        <v>0</v>
      </c>
    </row>
    <row r="626" spans="1:404" ht="23.25" customHeight="1">
      <c r="A626" s="97" t="s">
        <v>1790</v>
      </c>
      <c r="B626" s="95">
        <v>44493</v>
      </c>
      <c r="C626" s="97">
        <v>45</v>
      </c>
      <c r="D626" s="112" t="s">
        <v>1700</v>
      </c>
      <c r="E626" s="279" t="s">
        <v>514</v>
      </c>
      <c r="F626" s="98" t="s">
        <v>561</v>
      </c>
      <c r="G626" s="110">
        <v>85</v>
      </c>
      <c r="H626" s="122" t="s">
        <v>1726</v>
      </c>
      <c r="I626" s="98">
        <v>704</v>
      </c>
      <c r="J626" s="99">
        <v>265</v>
      </c>
      <c r="K626" s="143">
        <f t="shared" si="190"/>
        <v>265</v>
      </c>
      <c r="L626" s="151">
        <f t="shared" si="194"/>
        <v>0</v>
      </c>
      <c r="M626" s="275">
        <f t="shared" si="195"/>
        <v>704</v>
      </c>
      <c r="N626" s="98" t="s">
        <v>1776</v>
      </c>
      <c r="O626" s="93">
        <f t="shared" si="196"/>
        <v>100</v>
      </c>
      <c r="IG626" s="100">
        <v>10</v>
      </c>
      <c r="IH626" s="100">
        <v>23</v>
      </c>
      <c r="II626" s="100">
        <v>11</v>
      </c>
      <c r="IK626" s="100">
        <v>17</v>
      </c>
      <c r="IL626" s="100">
        <v>18</v>
      </c>
      <c r="IM626" s="100">
        <v>16</v>
      </c>
      <c r="IN626" s="100">
        <v>20</v>
      </c>
      <c r="IP626" s="100">
        <v>9</v>
      </c>
      <c r="IR626" s="100">
        <v>8</v>
      </c>
      <c r="IS626" s="100">
        <v>15</v>
      </c>
      <c r="IT626" s="100">
        <v>16</v>
      </c>
      <c r="IU626" s="100">
        <v>13</v>
      </c>
      <c r="IV626" s="100">
        <v>7</v>
      </c>
      <c r="IW626" s="100">
        <v>15</v>
      </c>
      <c r="IY626" s="100">
        <v>8</v>
      </c>
      <c r="IZ626" s="100">
        <v>4</v>
      </c>
      <c r="JA626" s="100">
        <v>14</v>
      </c>
      <c r="JB626" s="100">
        <v>6</v>
      </c>
      <c r="JC626" s="100">
        <v>6</v>
      </c>
      <c r="JF626" s="100">
        <v>11</v>
      </c>
      <c r="JG626" s="100">
        <v>17</v>
      </c>
      <c r="JJ626" s="100">
        <v>1</v>
      </c>
      <c r="ON626" s="100">
        <f t="shared" si="191"/>
        <v>0</v>
      </c>
    </row>
    <row r="627" spans="1:404" ht="23.25" customHeight="1">
      <c r="A627" s="97" t="str">
        <f>D627&amp;E627</f>
        <v>008/METRO-VG-2168-72500-02-B</v>
      </c>
      <c r="B627" s="95">
        <v>44493</v>
      </c>
      <c r="C627" s="97">
        <f t="shared" ref="C627:C632" ca="1" si="200">B627-TODAY()</f>
        <v>-571</v>
      </c>
      <c r="D627" s="112" t="s">
        <v>1700</v>
      </c>
      <c r="E627" s="123" t="s">
        <v>514</v>
      </c>
      <c r="F627" s="98" t="str">
        <f t="shared" ref="F627:F632" si="201">MID(E627,13,2)</f>
        <v>B</v>
      </c>
      <c r="G627" s="110">
        <f ca="1">SUMIF($A:E,$A627,K:K)</f>
        <v>704</v>
      </c>
      <c r="H627" s="122" t="s">
        <v>1726</v>
      </c>
      <c r="I627" s="98">
        <v>704</v>
      </c>
      <c r="J627" s="99">
        <v>85</v>
      </c>
      <c r="K627" s="143">
        <f t="shared" si="190"/>
        <v>85</v>
      </c>
      <c r="L627" s="151">
        <f t="shared" si="194"/>
        <v>0</v>
      </c>
      <c r="M627" s="275">
        <f t="shared" si="195"/>
        <v>704</v>
      </c>
      <c r="N627" s="98">
        <v>5</v>
      </c>
      <c r="O627" s="93">
        <f t="shared" si="196"/>
        <v>100</v>
      </c>
      <c r="HU627" s="100">
        <v>5</v>
      </c>
      <c r="HW627" s="100">
        <v>23</v>
      </c>
      <c r="HX627" s="100">
        <v>9</v>
      </c>
      <c r="HY627" s="100">
        <v>13</v>
      </c>
      <c r="ID627" s="100">
        <v>13</v>
      </c>
      <c r="IE627" s="100">
        <v>22</v>
      </c>
      <c r="ON627" s="100">
        <f t="shared" si="191"/>
        <v>0</v>
      </c>
    </row>
    <row r="628" spans="1:404" ht="23.25" customHeight="1">
      <c r="A628" s="97" t="str">
        <f>D628&amp;E628</f>
        <v>008/METRO-VG-2168-72500-02-B</v>
      </c>
      <c r="B628" s="95">
        <v>44493</v>
      </c>
      <c r="C628" s="97">
        <f t="shared" ca="1" si="200"/>
        <v>-571</v>
      </c>
      <c r="D628" s="112" t="s">
        <v>1700</v>
      </c>
      <c r="E628" s="123" t="s">
        <v>514</v>
      </c>
      <c r="F628" s="98" t="str">
        <f t="shared" si="201"/>
        <v>B</v>
      </c>
      <c r="G628" s="110">
        <f ca="1">SUMIF($A:E,$A628,K:K)</f>
        <v>704</v>
      </c>
      <c r="H628" s="97" t="s">
        <v>1726</v>
      </c>
      <c r="I628" s="98">
        <v>704</v>
      </c>
      <c r="J628" s="99">
        <f>704-J626-J627</f>
        <v>354</v>
      </c>
      <c r="K628" s="143">
        <f t="shared" si="190"/>
        <v>354</v>
      </c>
      <c r="L628" s="151">
        <f t="shared" si="194"/>
        <v>0</v>
      </c>
      <c r="M628" s="275">
        <f t="shared" si="195"/>
        <v>704</v>
      </c>
      <c r="N628" s="98">
        <v>1</v>
      </c>
      <c r="O628" s="93">
        <f t="shared" si="196"/>
        <v>100</v>
      </c>
      <c r="IR628" s="100">
        <v>5</v>
      </c>
      <c r="IS628" s="100">
        <v>4</v>
      </c>
      <c r="IT628" s="100">
        <v>4</v>
      </c>
      <c r="IU628" s="100">
        <v>4</v>
      </c>
      <c r="IV628" s="100">
        <v>8</v>
      </c>
      <c r="IW628" s="100">
        <v>10</v>
      </c>
      <c r="IY628" s="100">
        <v>17</v>
      </c>
      <c r="IZ628" s="100">
        <v>15</v>
      </c>
      <c r="JA628" s="100">
        <v>10</v>
      </c>
      <c r="JB628" s="100">
        <v>17</v>
      </c>
      <c r="JC628" s="100">
        <v>1</v>
      </c>
      <c r="JD628" s="100">
        <v>34</v>
      </c>
      <c r="JF628" s="100">
        <v>8</v>
      </c>
      <c r="JH628" s="100">
        <v>8</v>
      </c>
      <c r="JI628" s="100">
        <v>11</v>
      </c>
      <c r="JK628" s="100">
        <v>15</v>
      </c>
      <c r="JM628" s="100">
        <v>1</v>
      </c>
      <c r="JN628" s="100">
        <v>28</v>
      </c>
      <c r="JO628" s="100">
        <v>5</v>
      </c>
      <c r="JQ628" s="100">
        <v>9</v>
      </c>
      <c r="JR628" s="100">
        <v>7</v>
      </c>
      <c r="JT628" s="100">
        <v>7</v>
      </c>
      <c r="JU628" s="100">
        <v>5</v>
      </c>
      <c r="JV628" s="100">
        <v>10</v>
      </c>
      <c r="JX628" s="100">
        <v>29</v>
      </c>
      <c r="JY628" s="100">
        <v>15</v>
      </c>
      <c r="KA628" s="100">
        <v>35</v>
      </c>
      <c r="KB628" s="100">
        <v>32</v>
      </c>
      <c r="ON628" s="100">
        <f t="shared" si="191"/>
        <v>0</v>
      </c>
    </row>
    <row r="629" spans="1:404" ht="23.25" customHeight="1">
      <c r="A629" s="97" t="str">
        <f>D629&amp;E629</f>
        <v>002T/OBI-2168-72500-01-B</v>
      </c>
      <c r="B629" s="95">
        <v>44416</v>
      </c>
      <c r="C629" s="97">
        <f t="shared" ca="1" si="200"/>
        <v>-648</v>
      </c>
      <c r="D629" s="112" t="s">
        <v>1047</v>
      </c>
      <c r="E629" s="123" t="s">
        <v>461</v>
      </c>
      <c r="F629" s="98" t="str">
        <f t="shared" si="201"/>
        <v>B</v>
      </c>
      <c r="G629" s="110">
        <f ca="1">SUMIF($A:E,$A629,K:K)</f>
        <v>240</v>
      </c>
      <c r="H629" s="97" t="s">
        <v>916</v>
      </c>
      <c r="I629" s="175">
        <v>240</v>
      </c>
      <c r="J629" s="115">
        <v>120</v>
      </c>
      <c r="K629" s="143">
        <f t="shared" si="190"/>
        <v>120</v>
      </c>
      <c r="L629" s="151">
        <f t="shared" si="194"/>
        <v>0</v>
      </c>
      <c r="M629" s="275">
        <f t="shared" si="195"/>
        <v>240</v>
      </c>
      <c r="N629" s="98">
        <v>1</v>
      </c>
      <c r="O629" s="93">
        <f t="shared" si="196"/>
        <v>100</v>
      </c>
      <c r="EW629" s="100">
        <v>6</v>
      </c>
      <c r="EX629" s="100">
        <v>5</v>
      </c>
      <c r="EY629" s="100">
        <v>10</v>
      </c>
      <c r="FB629" s="100">
        <v>14</v>
      </c>
      <c r="FD629" s="100">
        <v>1</v>
      </c>
      <c r="FE629" s="100">
        <v>4</v>
      </c>
      <c r="FF629" s="100">
        <v>10</v>
      </c>
      <c r="FH629" s="100">
        <v>9</v>
      </c>
      <c r="FI629" s="100">
        <v>9</v>
      </c>
      <c r="FK629" s="100">
        <v>13</v>
      </c>
      <c r="FL629" s="100">
        <v>15</v>
      </c>
      <c r="FM629" s="100">
        <v>7</v>
      </c>
      <c r="FO629" s="100">
        <v>4</v>
      </c>
      <c r="FP629" s="100">
        <v>5</v>
      </c>
      <c r="GG629" s="100">
        <v>8</v>
      </c>
      <c r="ON629" s="100">
        <f t="shared" si="191"/>
        <v>0</v>
      </c>
    </row>
    <row r="630" spans="1:404" ht="23.25" customHeight="1">
      <c r="A630" s="97" t="str">
        <f>D630&amp;E630</f>
        <v>002T/OBI-2168-72500-01-B</v>
      </c>
      <c r="B630" s="95">
        <v>44416</v>
      </c>
      <c r="C630" s="97">
        <f t="shared" ca="1" si="200"/>
        <v>-648</v>
      </c>
      <c r="D630" s="112" t="s">
        <v>1047</v>
      </c>
      <c r="E630" s="123" t="s">
        <v>461</v>
      </c>
      <c r="F630" s="98" t="str">
        <f t="shared" si="201"/>
        <v>B</v>
      </c>
      <c r="G630" s="110">
        <f ca="1">SUMIF($A:E,$A630,K:K)</f>
        <v>240</v>
      </c>
      <c r="H630" s="122" t="s">
        <v>916</v>
      </c>
      <c r="I630" s="175">
        <v>240</v>
      </c>
      <c r="J630" s="115">
        <f>240-J629</f>
        <v>120</v>
      </c>
      <c r="K630" s="143">
        <f t="shared" si="190"/>
        <v>120</v>
      </c>
      <c r="L630" s="151">
        <f t="shared" si="194"/>
        <v>0</v>
      </c>
      <c r="M630" s="275">
        <f t="shared" si="195"/>
        <v>240</v>
      </c>
      <c r="N630" s="98">
        <v>3</v>
      </c>
      <c r="O630" s="93">
        <f t="shared" si="196"/>
        <v>100</v>
      </c>
      <c r="EW630" s="100">
        <v>1</v>
      </c>
      <c r="FA630" s="100">
        <v>12</v>
      </c>
      <c r="FB630" s="100">
        <v>3</v>
      </c>
      <c r="FC630" s="100">
        <v>6</v>
      </c>
      <c r="FD630" s="100">
        <v>10</v>
      </c>
      <c r="FE630" s="100">
        <v>9</v>
      </c>
      <c r="FH630" s="100">
        <v>16</v>
      </c>
      <c r="FI630" s="100">
        <v>3</v>
      </c>
      <c r="FJ630" s="100">
        <v>10</v>
      </c>
      <c r="FK630" s="100">
        <v>11</v>
      </c>
      <c r="FL630" s="100">
        <v>7</v>
      </c>
      <c r="FO630" s="100">
        <v>4</v>
      </c>
      <c r="FP630" s="100">
        <v>7</v>
      </c>
      <c r="FQ630" s="100">
        <v>8</v>
      </c>
      <c r="FS630" s="100">
        <v>9</v>
      </c>
      <c r="FU630" s="100">
        <v>1</v>
      </c>
      <c r="GA630" s="100">
        <v>3</v>
      </c>
      <c r="ON630" s="100">
        <f t="shared" si="191"/>
        <v>0</v>
      </c>
    </row>
    <row r="631" spans="1:404" ht="23.25" customHeight="1">
      <c r="A631" s="97" t="str">
        <f>D631&amp;E631</f>
        <v>006T/OBI-2168-72500-01-B</v>
      </c>
      <c r="B631" s="95">
        <v>44424</v>
      </c>
      <c r="C631" s="97">
        <f t="shared" ca="1" si="200"/>
        <v>-640</v>
      </c>
      <c r="D631" s="112" t="s">
        <v>1296</v>
      </c>
      <c r="E631" s="123" t="s">
        <v>461</v>
      </c>
      <c r="F631" s="98" t="str">
        <f t="shared" si="201"/>
        <v>B</v>
      </c>
      <c r="G631" s="110">
        <f ca="1">SUMIF($A:E,$A631,K:K)</f>
        <v>160</v>
      </c>
      <c r="H631" s="97" t="s">
        <v>507</v>
      </c>
      <c r="I631" s="175">
        <v>160</v>
      </c>
      <c r="J631" s="115">
        <v>160</v>
      </c>
      <c r="K631" s="143">
        <f t="shared" si="190"/>
        <v>160</v>
      </c>
      <c r="L631" s="151">
        <f t="shared" si="194"/>
        <v>0</v>
      </c>
      <c r="M631" s="275">
        <f t="shared" si="195"/>
        <v>160</v>
      </c>
      <c r="N631" s="98">
        <v>2</v>
      </c>
      <c r="O631" s="93">
        <f t="shared" si="196"/>
        <v>100</v>
      </c>
      <c r="GD631" s="100">
        <v>9</v>
      </c>
      <c r="GG631" s="100">
        <v>2</v>
      </c>
      <c r="GH631" s="100">
        <v>27</v>
      </c>
      <c r="GK631" s="100">
        <v>8</v>
      </c>
      <c r="GN631" s="100">
        <v>29</v>
      </c>
      <c r="GO631" s="100">
        <v>6</v>
      </c>
      <c r="GP631" s="100">
        <v>19</v>
      </c>
      <c r="GR631" s="100">
        <v>7</v>
      </c>
      <c r="GS631" s="100">
        <v>5</v>
      </c>
      <c r="GU631" s="100">
        <v>16</v>
      </c>
      <c r="GV631" s="100">
        <v>13</v>
      </c>
      <c r="GW631" s="100">
        <v>4</v>
      </c>
      <c r="GX631" s="100">
        <v>15</v>
      </c>
      <c r="ON631" s="100">
        <f t="shared" si="191"/>
        <v>0</v>
      </c>
    </row>
    <row r="632" spans="1:404" ht="23.25" customHeight="1">
      <c r="A632" s="97" t="s">
        <v>1370</v>
      </c>
      <c r="B632" s="95">
        <v>44465</v>
      </c>
      <c r="C632" s="97">
        <f t="shared" ca="1" si="200"/>
        <v>-599</v>
      </c>
      <c r="D632" s="112" t="s">
        <v>1395</v>
      </c>
      <c r="E632" s="123" t="s">
        <v>461</v>
      </c>
      <c r="F632" s="98" t="str">
        <f t="shared" si="201"/>
        <v>B</v>
      </c>
      <c r="G632" s="110">
        <f ca="1">SUMIF($A:E,$A632,K:K)</f>
        <v>5654</v>
      </c>
      <c r="H632" s="97" t="s">
        <v>927</v>
      </c>
      <c r="I632" s="175">
        <v>80</v>
      </c>
      <c r="J632" s="115">
        <v>80</v>
      </c>
      <c r="K632" s="143">
        <f t="shared" si="190"/>
        <v>80</v>
      </c>
      <c r="L632" s="151">
        <f t="shared" si="194"/>
        <v>0</v>
      </c>
      <c r="M632" s="275">
        <f t="shared" si="195"/>
        <v>80</v>
      </c>
      <c r="N632" s="98">
        <v>2</v>
      </c>
      <c r="O632" s="93">
        <f t="shared" si="196"/>
        <v>100</v>
      </c>
      <c r="GX632" s="100">
        <v>9</v>
      </c>
      <c r="GZ632" s="100">
        <v>16</v>
      </c>
      <c r="HB632" s="100">
        <v>19</v>
      </c>
      <c r="HC632" s="100">
        <v>17</v>
      </c>
      <c r="HE632" s="100">
        <v>5</v>
      </c>
      <c r="HK632" s="100">
        <v>5</v>
      </c>
      <c r="ID632" s="100">
        <v>2</v>
      </c>
      <c r="IF632" s="100">
        <v>6</v>
      </c>
      <c r="IH632" s="100">
        <v>1</v>
      </c>
      <c r="ON632" s="100">
        <f t="shared" si="191"/>
        <v>0</v>
      </c>
    </row>
    <row r="633" spans="1:404" ht="23.25" customHeight="1">
      <c r="A633" s="97" t="s">
        <v>1791</v>
      </c>
      <c r="B633" s="95">
        <v>44493</v>
      </c>
      <c r="C633" s="97">
        <v>45</v>
      </c>
      <c r="D633" s="112" t="s">
        <v>1700</v>
      </c>
      <c r="E633" s="279" t="s">
        <v>461</v>
      </c>
      <c r="F633" s="98" t="s">
        <v>561</v>
      </c>
      <c r="G633" s="110">
        <v>85</v>
      </c>
      <c r="H633" s="122" t="s">
        <v>1726</v>
      </c>
      <c r="I633" s="98">
        <v>704</v>
      </c>
      <c r="J633" s="99">
        <v>265</v>
      </c>
      <c r="K633" s="143">
        <f t="shared" si="190"/>
        <v>265</v>
      </c>
      <c r="L633" s="144">
        <f t="shared" si="194"/>
        <v>0</v>
      </c>
      <c r="M633" s="275">
        <f t="shared" si="195"/>
        <v>704</v>
      </c>
      <c r="N633" s="98" t="s">
        <v>1776</v>
      </c>
      <c r="O633" s="93">
        <f t="shared" si="196"/>
        <v>100</v>
      </c>
      <c r="IG633" s="100">
        <v>10</v>
      </c>
      <c r="IH633" s="100">
        <v>23</v>
      </c>
      <c r="II633" s="100">
        <v>11</v>
      </c>
      <c r="IK633" s="100">
        <v>17</v>
      </c>
      <c r="IL633" s="100">
        <v>18</v>
      </c>
      <c r="IM633" s="100">
        <v>16</v>
      </c>
      <c r="IN633" s="100">
        <v>20</v>
      </c>
      <c r="IP633" s="100">
        <v>9</v>
      </c>
      <c r="IR633" s="100">
        <v>8</v>
      </c>
      <c r="IS633" s="100">
        <v>15</v>
      </c>
      <c r="IT633" s="100">
        <v>16</v>
      </c>
      <c r="IU633" s="100">
        <v>13</v>
      </c>
      <c r="IV633" s="100">
        <v>7</v>
      </c>
      <c r="IW633" s="100">
        <v>15</v>
      </c>
      <c r="IY633" s="100">
        <v>8</v>
      </c>
      <c r="IZ633" s="100">
        <v>4</v>
      </c>
      <c r="JA633" s="100">
        <v>14</v>
      </c>
      <c r="JB633" s="100">
        <v>6</v>
      </c>
      <c r="JC633" s="100">
        <v>6</v>
      </c>
      <c r="JF633" s="100">
        <v>11</v>
      </c>
      <c r="JG633" s="100">
        <v>17</v>
      </c>
      <c r="JJ633" s="100">
        <v>1</v>
      </c>
      <c r="ON633" s="100">
        <f t="shared" si="191"/>
        <v>0</v>
      </c>
    </row>
    <row r="634" spans="1:404" ht="23.25" customHeight="1">
      <c r="A634" s="97" t="str">
        <f t="shared" ref="A634:A640" si="202">D634&amp;E634</f>
        <v>008/METRO-VG-2168-72500-01-B</v>
      </c>
      <c r="B634" s="95">
        <v>44493</v>
      </c>
      <c r="C634" s="97">
        <f t="shared" ref="C634:C651" ca="1" si="203">B634-TODAY()</f>
        <v>-571</v>
      </c>
      <c r="D634" s="112" t="s">
        <v>1700</v>
      </c>
      <c r="E634" s="123" t="s">
        <v>461</v>
      </c>
      <c r="F634" s="98" t="str">
        <f t="shared" ref="F634:F640" si="204">MID(E634,13,2)</f>
        <v>B</v>
      </c>
      <c r="G634" s="110">
        <f ca="1">SUMIF($A:E,$A634,K:K)</f>
        <v>704</v>
      </c>
      <c r="H634" s="97" t="s">
        <v>1726</v>
      </c>
      <c r="I634" s="98">
        <v>704</v>
      </c>
      <c r="J634" s="99">
        <v>85</v>
      </c>
      <c r="K634" s="143">
        <f t="shared" si="190"/>
        <v>85</v>
      </c>
      <c r="L634" s="151">
        <f t="shared" si="194"/>
        <v>0</v>
      </c>
      <c r="M634" s="275">
        <f t="shared" si="195"/>
        <v>704</v>
      </c>
      <c r="N634" s="98">
        <v>5</v>
      </c>
      <c r="O634" s="93">
        <f t="shared" si="196"/>
        <v>100</v>
      </c>
      <c r="HU634" s="100">
        <v>5</v>
      </c>
      <c r="HW634" s="100">
        <v>23</v>
      </c>
      <c r="HX634" s="100">
        <v>9</v>
      </c>
      <c r="HY634" s="100">
        <v>13</v>
      </c>
      <c r="ID634" s="100">
        <v>13</v>
      </c>
      <c r="IE634" s="100">
        <v>22</v>
      </c>
      <c r="ON634" s="100">
        <f t="shared" si="191"/>
        <v>0</v>
      </c>
    </row>
    <row r="635" spans="1:404" ht="23.25" customHeight="1">
      <c r="A635" s="97" t="str">
        <f t="shared" si="202"/>
        <v>008/METRO-VG-2168-72500-01-B</v>
      </c>
      <c r="B635" s="95">
        <v>44493</v>
      </c>
      <c r="C635" s="97">
        <f t="shared" ca="1" si="203"/>
        <v>-571</v>
      </c>
      <c r="D635" s="112" t="s">
        <v>1700</v>
      </c>
      <c r="E635" s="123" t="s">
        <v>461</v>
      </c>
      <c r="F635" s="98" t="str">
        <f t="shared" si="204"/>
        <v>B</v>
      </c>
      <c r="G635" s="110">
        <f ca="1">SUMIF($A:E,$A635,K:K)</f>
        <v>704</v>
      </c>
      <c r="H635" s="97" t="s">
        <v>1726</v>
      </c>
      <c r="I635" s="98">
        <v>704</v>
      </c>
      <c r="J635" s="99">
        <f>704-J633-J634</f>
        <v>354</v>
      </c>
      <c r="K635" s="143">
        <f t="shared" si="190"/>
        <v>354</v>
      </c>
      <c r="L635" s="144">
        <f t="shared" si="194"/>
        <v>0</v>
      </c>
      <c r="M635" s="275">
        <f t="shared" si="195"/>
        <v>704</v>
      </c>
      <c r="N635" s="98">
        <v>1</v>
      </c>
      <c r="O635" s="93">
        <f t="shared" si="196"/>
        <v>100</v>
      </c>
      <c r="IR635" s="100">
        <v>5</v>
      </c>
      <c r="IS635" s="100">
        <v>4</v>
      </c>
      <c r="IT635" s="100">
        <v>4</v>
      </c>
      <c r="IU635" s="100">
        <v>4</v>
      </c>
      <c r="IV635" s="100">
        <v>8</v>
      </c>
      <c r="IW635" s="100">
        <v>10</v>
      </c>
      <c r="IY635" s="100">
        <v>17</v>
      </c>
      <c r="IZ635" s="100">
        <v>15</v>
      </c>
      <c r="JA635" s="100">
        <v>10</v>
      </c>
      <c r="JB635" s="100">
        <v>17</v>
      </c>
      <c r="JC635" s="100">
        <v>1</v>
      </c>
      <c r="JD635" s="100">
        <v>34</v>
      </c>
      <c r="JF635" s="100">
        <v>8</v>
      </c>
      <c r="JH635" s="100">
        <v>8</v>
      </c>
      <c r="JI635" s="100">
        <v>11</v>
      </c>
      <c r="JK635" s="100">
        <v>15</v>
      </c>
      <c r="JM635" s="100">
        <v>1</v>
      </c>
      <c r="JN635" s="100">
        <v>28</v>
      </c>
      <c r="JO635" s="100">
        <v>5</v>
      </c>
      <c r="JQ635" s="100">
        <v>9</v>
      </c>
      <c r="JR635" s="100">
        <v>7</v>
      </c>
      <c r="JT635" s="100">
        <v>7</v>
      </c>
      <c r="JU635" s="100">
        <v>5</v>
      </c>
      <c r="JV635" s="100">
        <v>10</v>
      </c>
      <c r="JX635" s="100">
        <v>29</v>
      </c>
      <c r="JY635" s="100">
        <v>15</v>
      </c>
      <c r="KA635" s="100">
        <v>35</v>
      </c>
      <c r="KB635" s="100">
        <v>32</v>
      </c>
      <c r="ON635" s="100">
        <f t="shared" si="191"/>
        <v>0</v>
      </c>
    </row>
    <row r="636" spans="1:404" ht="23.25" customHeight="1">
      <c r="A636" s="97" t="str">
        <f t="shared" si="202"/>
        <v>001/POTTERYPATCH-2168-71000-S3-54</v>
      </c>
      <c r="B636" s="95">
        <v>44406</v>
      </c>
      <c r="C636" s="97">
        <f t="shared" ca="1" si="203"/>
        <v>-658</v>
      </c>
      <c r="D636" s="96" t="s">
        <v>740</v>
      </c>
      <c r="E636" s="94" t="s">
        <v>238</v>
      </c>
      <c r="F636" s="98" t="str">
        <f t="shared" si="204"/>
        <v>54</v>
      </c>
      <c r="G636" s="110">
        <f ca="1">SUMIF($A:E,$A636,K:K)</f>
        <v>12</v>
      </c>
      <c r="H636" s="122" t="s">
        <v>505</v>
      </c>
      <c r="I636" s="98">
        <v>12</v>
      </c>
      <c r="J636" s="99">
        <v>12</v>
      </c>
      <c r="K636" s="143">
        <f t="shared" si="190"/>
        <v>12</v>
      </c>
      <c r="L636" s="144">
        <f t="shared" si="194"/>
        <v>0</v>
      </c>
      <c r="M636" s="275">
        <f t="shared" si="195"/>
        <v>36</v>
      </c>
      <c r="N636" s="98">
        <v>1</v>
      </c>
      <c r="O636" s="93">
        <f t="shared" ref="O636:O640" si="205">K636/J636*100</f>
        <v>100</v>
      </c>
      <c r="GP636" s="100">
        <v>2</v>
      </c>
      <c r="GQ636" s="100">
        <v>6</v>
      </c>
      <c r="GR636" s="100">
        <v>3</v>
      </c>
      <c r="GS636" s="100">
        <v>1</v>
      </c>
      <c r="ON636" s="100">
        <f t="shared" si="191"/>
        <v>0</v>
      </c>
    </row>
    <row r="637" spans="1:404" ht="23.25" customHeight="1">
      <c r="A637" s="97" t="str">
        <f t="shared" si="202"/>
        <v>002/POTTERYPATCH-2168-71000-S3-54</v>
      </c>
      <c r="B637" s="95">
        <v>44442</v>
      </c>
      <c r="C637" s="97">
        <f t="shared" ca="1" si="203"/>
        <v>-622</v>
      </c>
      <c r="D637" s="96" t="s">
        <v>976</v>
      </c>
      <c r="E637" s="94" t="s">
        <v>238</v>
      </c>
      <c r="F637" s="98" t="str">
        <f t="shared" si="204"/>
        <v>54</v>
      </c>
      <c r="G637" s="110">
        <f ca="1">SUMIF($A:E,$A637,K:K)</f>
        <v>12</v>
      </c>
      <c r="H637" s="122" t="s">
        <v>505</v>
      </c>
      <c r="I637" s="98">
        <v>12</v>
      </c>
      <c r="J637" s="99">
        <v>12</v>
      </c>
      <c r="K637" s="143">
        <f t="shared" si="190"/>
        <v>12</v>
      </c>
      <c r="L637" s="144">
        <f t="shared" si="194"/>
        <v>0</v>
      </c>
      <c r="M637" s="275">
        <f t="shared" si="195"/>
        <v>36</v>
      </c>
      <c r="N637" s="98">
        <v>1</v>
      </c>
      <c r="O637" s="93">
        <f t="shared" si="205"/>
        <v>100</v>
      </c>
      <c r="GS637" s="100">
        <v>1</v>
      </c>
      <c r="GU637" s="100">
        <v>2</v>
      </c>
      <c r="GV637" s="100">
        <v>1</v>
      </c>
      <c r="GW637" s="100">
        <v>8</v>
      </c>
      <c r="ON637" s="100">
        <f t="shared" si="191"/>
        <v>0</v>
      </c>
    </row>
    <row r="638" spans="1:404" ht="23.25" customHeight="1">
      <c r="A638" s="97" t="str">
        <f t="shared" si="202"/>
        <v>001/FOWER POWER-2168-71000-S3-05</v>
      </c>
      <c r="B638" s="95">
        <v>44403</v>
      </c>
      <c r="C638" s="97">
        <f t="shared" ca="1" si="203"/>
        <v>-661</v>
      </c>
      <c r="D638" s="96" t="s">
        <v>988</v>
      </c>
      <c r="E638" s="94" t="s">
        <v>239</v>
      </c>
      <c r="F638" s="98" t="str">
        <f t="shared" si="204"/>
        <v>05</v>
      </c>
      <c r="G638" s="110">
        <f ca="1">SUMIF($A:E,$A638,K:K)</f>
        <v>36</v>
      </c>
      <c r="H638" s="122" t="s">
        <v>966</v>
      </c>
      <c r="I638" s="98">
        <v>36</v>
      </c>
      <c r="J638" s="99">
        <v>36</v>
      </c>
      <c r="K638" s="143">
        <f t="shared" si="190"/>
        <v>36</v>
      </c>
      <c r="L638" s="144">
        <f t="shared" si="194"/>
        <v>0</v>
      </c>
      <c r="M638" s="275">
        <f t="shared" si="195"/>
        <v>108</v>
      </c>
      <c r="N638" s="98">
        <v>1</v>
      </c>
      <c r="O638" s="93">
        <f t="shared" si="205"/>
        <v>100</v>
      </c>
      <c r="GC638" s="100">
        <v>3</v>
      </c>
      <c r="GD638" s="100">
        <v>2</v>
      </c>
      <c r="GE638" s="100">
        <v>4</v>
      </c>
      <c r="GG638" s="100">
        <v>3</v>
      </c>
      <c r="GH638" s="100">
        <v>3</v>
      </c>
      <c r="GI638" s="100">
        <v>4</v>
      </c>
      <c r="GJ638" s="100">
        <v>3</v>
      </c>
      <c r="GK638" s="100">
        <v>2</v>
      </c>
      <c r="GL638" s="100">
        <v>3</v>
      </c>
      <c r="GN638" s="100">
        <v>2</v>
      </c>
      <c r="GO638" s="100">
        <v>5</v>
      </c>
      <c r="GP638" s="100">
        <v>2</v>
      </c>
      <c r="ON638" s="100">
        <f t="shared" si="191"/>
        <v>0</v>
      </c>
    </row>
    <row r="639" spans="1:404" ht="23.25" customHeight="1">
      <c r="A639" s="97" t="str">
        <f t="shared" si="202"/>
        <v>001/COMERZIA-2168-71000-S3-01</v>
      </c>
      <c r="B639" s="95">
        <v>44396</v>
      </c>
      <c r="C639" s="97">
        <f t="shared" ca="1" si="203"/>
        <v>-668</v>
      </c>
      <c r="D639" s="145" t="s">
        <v>722</v>
      </c>
      <c r="E639" s="253" t="s">
        <v>237</v>
      </c>
      <c r="F639" s="98" t="str">
        <f t="shared" si="204"/>
        <v>01</v>
      </c>
      <c r="G639" s="110">
        <f ca="1">SUMIF($A:E,$A639,K:K)</f>
        <v>48</v>
      </c>
      <c r="H639" s="122" t="s">
        <v>505</v>
      </c>
      <c r="I639" s="196">
        <v>48</v>
      </c>
      <c r="J639" s="146">
        <v>48</v>
      </c>
      <c r="K639" s="143">
        <f t="shared" si="190"/>
        <v>48</v>
      </c>
      <c r="L639" s="144">
        <f t="shared" si="194"/>
        <v>0</v>
      </c>
      <c r="M639" s="275">
        <f t="shared" si="195"/>
        <v>144</v>
      </c>
      <c r="N639" s="98">
        <v>1</v>
      </c>
      <c r="O639" s="93">
        <f t="shared" si="205"/>
        <v>100</v>
      </c>
      <c r="FQ639" s="100">
        <v>2</v>
      </c>
      <c r="FW639" s="100">
        <v>15</v>
      </c>
      <c r="FX639" s="100">
        <v>15</v>
      </c>
      <c r="FZ639" s="100">
        <v>6</v>
      </c>
      <c r="GB639" s="100">
        <v>2</v>
      </c>
      <c r="GC639" s="100">
        <v>1</v>
      </c>
      <c r="GD639" s="100">
        <v>3</v>
      </c>
      <c r="GG639" s="100">
        <v>3</v>
      </c>
      <c r="GI639" s="100">
        <v>1</v>
      </c>
      <c r="ON639" s="100">
        <f t="shared" si="191"/>
        <v>0</v>
      </c>
    </row>
    <row r="640" spans="1:404" ht="23.25" customHeight="1">
      <c r="A640" s="97" t="str">
        <f t="shared" si="202"/>
        <v>001/MOBEL-DESIGN-2168-71000-S3-01</v>
      </c>
      <c r="B640" s="95">
        <v>44404</v>
      </c>
      <c r="C640" s="97">
        <f t="shared" ca="1" si="203"/>
        <v>-660</v>
      </c>
      <c r="D640" s="96" t="s">
        <v>929</v>
      </c>
      <c r="E640" s="94" t="s">
        <v>237</v>
      </c>
      <c r="F640" s="132" t="str">
        <f t="shared" si="204"/>
        <v>01</v>
      </c>
      <c r="G640" s="130">
        <f ca="1">SUMIF($A:E,$A640,K:K)</f>
        <v>24</v>
      </c>
      <c r="H640" s="97" t="s">
        <v>505</v>
      </c>
      <c r="I640" s="98">
        <v>24</v>
      </c>
      <c r="J640" s="97">
        <v>24</v>
      </c>
      <c r="K640" s="143">
        <f t="shared" si="190"/>
        <v>24</v>
      </c>
      <c r="L640" s="144">
        <f t="shared" si="194"/>
        <v>0</v>
      </c>
      <c r="M640" s="275">
        <f t="shared" si="195"/>
        <v>72</v>
      </c>
      <c r="N640" s="98">
        <v>1</v>
      </c>
      <c r="O640" s="93">
        <f t="shared" si="205"/>
        <v>100</v>
      </c>
      <c r="GC640" s="100">
        <v>2</v>
      </c>
      <c r="GD640" s="100">
        <v>2</v>
      </c>
      <c r="GG640" s="100">
        <v>4</v>
      </c>
      <c r="GI640" s="100">
        <v>4</v>
      </c>
      <c r="GJ640" s="100">
        <v>5</v>
      </c>
      <c r="GL640" s="100">
        <v>3</v>
      </c>
      <c r="GN640" s="100">
        <v>1</v>
      </c>
      <c r="GP640" s="100">
        <v>3</v>
      </c>
      <c r="ON640" s="100">
        <f t="shared" si="191"/>
        <v>0</v>
      </c>
    </row>
    <row r="641" spans="1:404" ht="23.25" customHeight="1">
      <c r="A641" s="97" t="s">
        <v>1846</v>
      </c>
      <c r="B641" s="95">
        <v>44474</v>
      </c>
      <c r="C641" s="97">
        <f t="shared" ca="1" si="203"/>
        <v>-590</v>
      </c>
      <c r="D641" s="112" t="s">
        <v>1064</v>
      </c>
      <c r="E641" s="123" t="s">
        <v>237</v>
      </c>
      <c r="F641" s="132" t="s">
        <v>1847</v>
      </c>
      <c r="G641" s="130">
        <v>0</v>
      </c>
      <c r="H641" s="97" t="s">
        <v>616</v>
      </c>
      <c r="I641" s="175">
        <v>120</v>
      </c>
      <c r="J641" s="115">
        <v>60</v>
      </c>
      <c r="K641" s="143">
        <f t="shared" si="190"/>
        <v>60</v>
      </c>
      <c r="L641" s="151">
        <f t="shared" si="194"/>
        <v>0</v>
      </c>
      <c r="M641" s="275">
        <f t="shared" si="195"/>
        <v>360</v>
      </c>
      <c r="N641" s="98">
        <v>3</v>
      </c>
      <c r="O641" s="93">
        <f>K641/J641*100</f>
        <v>100</v>
      </c>
      <c r="IV641" s="100">
        <v>5</v>
      </c>
      <c r="IW641" s="100">
        <v>3</v>
      </c>
      <c r="IY641" s="100">
        <v>8</v>
      </c>
      <c r="IZ641" s="100">
        <v>2</v>
      </c>
      <c r="JA641" s="100">
        <v>10</v>
      </c>
      <c r="JC641" s="100">
        <v>5</v>
      </c>
      <c r="JD641" s="100">
        <v>23</v>
      </c>
      <c r="JG641" s="100">
        <v>3</v>
      </c>
      <c r="JH641" s="100">
        <v>1</v>
      </c>
      <c r="ON641" s="100">
        <f t="shared" si="191"/>
        <v>0</v>
      </c>
    </row>
    <row r="642" spans="1:404" ht="23.25" customHeight="1">
      <c r="A642" s="97" t="str">
        <f>D642&amp;E642</f>
        <v>003/COMERZIA-2168-71000-S3-01</v>
      </c>
      <c r="B642" s="95">
        <v>44474</v>
      </c>
      <c r="C642" s="97">
        <f t="shared" ca="1" si="203"/>
        <v>-590</v>
      </c>
      <c r="D642" s="112" t="s">
        <v>1064</v>
      </c>
      <c r="E642" s="123" t="s">
        <v>237</v>
      </c>
      <c r="F642" s="132" t="str">
        <f>MID(E642,13,2)</f>
        <v>01</v>
      </c>
      <c r="G642" s="130">
        <f ca="1">SUMIF($A:E,$A642,K:K)</f>
        <v>120</v>
      </c>
      <c r="H642" s="97" t="s">
        <v>616</v>
      </c>
      <c r="I642" s="175">
        <v>120</v>
      </c>
      <c r="J642" s="115">
        <f>120-J641</f>
        <v>60</v>
      </c>
      <c r="K642" s="143">
        <f t="shared" si="190"/>
        <v>60</v>
      </c>
      <c r="L642" s="151">
        <f t="shared" si="194"/>
        <v>0</v>
      </c>
      <c r="M642" s="275">
        <f t="shared" si="195"/>
        <v>360</v>
      </c>
      <c r="N642" s="98">
        <v>2</v>
      </c>
      <c r="O642" s="93">
        <f>K642/J642*100</f>
        <v>100</v>
      </c>
      <c r="IW642" s="100">
        <v>10</v>
      </c>
      <c r="IZ642" s="100">
        <v>13</v>
      </c>
      <c r="JB642" s="100">
        <v>11</v>
      </c>
      <c r="JC642" s="100">
        <v>5</v>
      </c>
      <c r="JD642" s="100">
        <v>4</v>
      </c>
      <c r="JF642" s="100">
        <v>14</v>
      </c>
      <c r="JG642" s="100">
        <v>3</v>
      </c>
      <c r="ON642" s="100">
        <f t="shared" si="191"/>
        <v>0</v>
      </c>
    </row>
    <row r="643" spans="1:404" ht="23.25" customHeight="1">
      <c r="A643" s="97" t="str">
        <f>D643&amp;E643</f>
        <v>004/COMERZIA-2168-71000-S3-01</v>
      </c>
      <c r="B643" s="95">
        <v>44518</v>
      </c>
      <c r="C643" s="97">
        <f t="shared" ca="1" si="203"/>
        <v>-546</v>
      </c>
      <c r="D643" s="112" t="s">
        <v>1067</v>
      </c>
      <c r="E643" s="279" t="s">
        <v>237</v>
      </c>
      <c r="F643" s="132" t="str">
        <f>MID(E643,13,2)</f>
        <v>01</v>
      </c>
      <c r="G643" s="130">
        <f ca="1">SUMIF($A:E,$A643,K:K)</f>
        <v>36</v>
      </c>
      <c r="H643" s="97" t="s">
        <v>505</v>
      </c>
      <c r="I643" s="175">
        <v>36</v>
      </c>
      <c r="J643" s="243">
        <v>36</v>
      </c>
      <c r="K643" s="143">
        <f t="shared" si="190"/>
        <v>36</v>
      </c>
      <c r="L643" s="151">
        <f t="shared" si="194"/>
        <v>0</v>
      </c>
      <c r="M643" s="275">
        <f t="shared" si="195"/>
        <v>108</v>
      </c>
      <c r="N643" s="98" t="s">
        <v>1776</v>
      </c>
      <c r="O643" s="93">
        <f>K643/J643*100</f>
        <v>100</v>
      </c>
      <c r="JM643" s="100">
        <v>4</v>
      </c>
      <c r="JN643" s="100">
        <v>3</v>
      </c>
      <c r="JO643" s="100">
        <v>2</v>
      </c>
      <c r="JP643" s="100">
        <v>5</v>
      </c>
      <c r="JQ643" s="100">
        <v>6</v>
      </c>
      <c r="JT643" s="100">
        <v>4</v>
      </c>
      <c r="JU643" s="100">
        <v>7</v>
      </c>
      <c r="JV643" s="100">
        <v>1</v>
      </c>
      <c r="JX643" s="100">
        <v>4</v>
      </c>
      <c r="ON643" s="100">
        <f t="shared" si="191"/>
        <v>0</v>
      </c>
    </row>
    <row r="644" spans="1:404" ht="23.25" customHeight="1">
      <c r="A644" s="97" t="s">
        <v>1968</v>
      </c>
      <c r="B644" s="95">
        <v>44508</v>
      </c>
      <c r="C644" s="97">
        <f t="shared" ca="1" si="203"/>
        <v>-556</v>
      </c>
      <c r="D644" s="96" t="s">
        <v>1088</v>
      </c>
      <c r="E644" s="280" t="s">
        <v>237</v>
      </c>
      <c r="F644" s="132" t="s">
        <v>1847</v>
      </c>
      <c r="G644" s="130">
        <v>14</v>
      </c>
      <c r="H644" s="97" t="s">
        <v>1086</v>
      </c>
      <c r="I644" s="98">
        <v>14</v>
      </c>
      <c r="J644" s="97">
        <v>6</v>
      </c>
      <c r="K644" s="143">
        <f t="shared" ref="K644:K707" si="206">SUM(P644:BBC644)</f>
        <v>6</v>
      </c>
      <c r="L644" s="151">
        <f t="shared" ref="L644:L645" si="207">J644-K644</f>
        <v>0</v>
      </c>
      <c r="M644" s="275">
        <f t="shared" ref="M644:M667" si="208">IF(OR(MID(E644,10,1)="0",MID(E644,10,1)="F"),I644,IF(OR(,MID(E644,10,1)="S",MID(E644,10,1)="L",MID(E644,10,1)="B",MID(E644,10,1)="X"),MID(E644,11,1)*I644,0))</f>
        <v>42</v>
      </c>
      <c r="N644" s="98">
        <v>3</v>
      </c>
      <c r="O644" s="93">
        <f>K644/J644*100</f>
        <v>100</v>
      </c>
      <c r="JV644" s="100">
        <v>6</v>
      </c>
      <c r="ON644" s="100">
        <f t="shared" ref="ON644:ON707" si="209">SUM(NS644:OM644)</f>
        <v>0</v>
      </c>
    </row>
    <row r="645" spans="1:404" ht="23.25" customHeight="1">
      <c r="A645" s="97" t="str">
        <f>D645&amp;E645</f>
        <v>001/FLEUR BE-2168-71000-S3-01</v>
      </c>
      <c r="B645" s="95">
        <v>44508</v>
      </c>
      <c r="C645" s="97">
        <f t="shared" ca="1" si="203"/>
        <v>-556</v>
      </c>
      <c r="D645" s="96" t="s">
        <v>1088</v>
      </c>
      <c r="E645" s="94" t="s">
        <v>237</v>
      </c>
      <c r="F645" s="132" t="str">
        <f t="shared" ref="F645:F655" si="210">MID(E645,13,2)</f>
        <v>01</v>
      </c>
      <c r="G645" s="130">
        <f ca="1">SUMIF($A:E,$A645,K:K)</f>
        <v>14</v>
      </c>
      <c r="H645" s="97" t="s">
        <v>1086</v>
      </c>
      <c r="I645" s="98">
        <v>14</v>
      </c>
      <c r="J645" s="97">
        <v>8</v>
      </c>
      <c r="K645" s="143">
        <f t="shared" si="206"/>
        <v>8</v>
      </c>
      <c r="L645" s="151">
        <f t="shared" si="207"/>
        <v>0</v>
      </c>
      <c r="M645" s="275">
        <f t="shared" si="208"/>
        <v>42</v>
      </c>
      <c r="N645" s="98">
        <v>2</v>
      </c>
      <c r="O645" s="93">
        <f t="shared" ref="O645:O655" si="211">K645/J645*100</f>
        <v>100</v>
      </c>
      <c r="JI645" s="100">
        <v>4</v>
      </c>
      <c r="JM645" s="100">
        <v>4</v>
      </c>
      <c r="ON645" s="100">
        <f t="shared" si="209"/>
        <v>0</v>
      </c>
    </row>
    <row r="646" spans="1:404" ht="23.25" customHeight="1">
      <c r="A646" s="97" t="e">
        <f>D646&amp;#REF!</f>
        <v>#REF!</v>
      </c>
      <c r="B646" s="95">
        <v>44576</v>
      </c>
      <c r="C646" s="97">
        <f t="shared" ca="1" si="203"/>
        <v>-488</v>
      </c>
      <c r="D646" s="96" t="s">
        <v>1187</v>
      </c>
      <c r="E646" s="280" t="s">
        <v>237</v>
      </c>
      <c r="F646" s="132" t="str">
        <f t="shared" si="210"/>
        <v>01</v>
      </c>
      <c r="G646" s="130">
        <f ca="1">SUMIF($A:E,$A646,K:K)</f>
        <v>1754</v>
      </c>
      <c r="H646" s="97" t="s">
        <v>505</v>
      </c>
      <c r="I646" s="98">
        <v>36</v>
      </c>
      <c r="J646" s="99">
        <v>36</v>
      </c>
      <c r="K646" s="143">
        <f t="shared" si="206"/>
        <v>36</v>
      </c>
      <c r="L646" s="151">
        <f t="shared" ref="L646:L667" si="212">J646-K646</f>
        <v>0</v>
      </c>
      <c r="M646" s="275">
        <f t="shared" si="208"/>
        <v>108</v>
      </c>
      <c r="N646" s="98">
        <v>3</v>
      </c>
      <c r="O646" s="93">
        <f t="shared" si="211"/>
        <v>100</v>
      </c>
      <c r="MF646" s="100">
        <v>1</v>
      </c>
      <c r="MG646" s="100">
        <v>4</v>
      </c>
      <c r="MH646" s="100">
        <v>4</v>
      </c>
      <c r="MK646" s="100">
        <v>2</v>
      </c>
      <c r="ML646" s="100">
        <v>4</v>
      </c>
      <c r="MM646" s="100">
        <v>5</v>
      </c>
      <c r="MN646" s="100">
        <v>4</v>
      </c>
      <c r="MO646" s="100">
        <v>8</v>
      </c>
      <c r="MQ646" s="100">
        <v>4</v>
      </c>
      <c r="ON646" s="100">
        <f t="shared" si="209"/>
        <v>0</v>
      </c>
    </row>
    <row r="647" spans="1:404" ht="23.25" customHeight="1">
      <c r="A647" s="97" t="str">
        <f t="shared" ref="A647:A657" si="213">D647&amp;E647</f>
        <v>104/KHBS-2168-70900-X4-B</v>
      </c>
      <c r="B647" s="95">
        <v>44272</v>
      </c>
      <c r="C647" s="97">
        <f t="shared" ca="1" si="203"/>
        <v>-792</v>
      </c>
      <c r="D647" s="96" t="s">
        <v>801</v>
      </c>
      <c r="E647" s="94" t="s">
        <v>22</v>
      </c>
      <c r="F647" s="98" t="str">
        <f t="shared" si="210"/>
        <v>B</v>
      </c>
      <c r="G647" s="110">
        <f ca="1">SUMIF($A:E,$A647,K:K)</f>
        <v>2</v>
      </c>
      <c r="H647" s="97" t="s">
        <v>616</v>
      </c>
      <c r="I647" s="98">
        <v>2</v>
      </c>
      <c r="J647" s="99">
        <v>2</v>
      </c>
      <c r="K647" s="143">
        <f t="shared" si="206"/>
        <v>2</v>
      </c>
      <c r="L647" s="151">
        <f t="shared" si="212"/>
        <v>0</v>
      </c>
      <c r="M647" s="275">
        <f t="shared" si="208"/>
        <v>8</v>
      </c>
      <c r="N647" s="98">
        <v>4</v>
      </c>
      <c r="O647" s="93">
        <f t="shared" si="211"/>
        <v>100</v>
      </c>
      <c r="BV647" s="101">
        <v>2</v>
      </c>
      <c r="ON647" s="100">
        <f t="shared" si="209"/>
        <v>0</v>
      </c>
    </row>
    <row r="648" spans="1:404" ht="23.25" customHeight="1">
      <c r="A648" s="97" t="str">
        <f t="shared" si="213"/>
        <v>156/KHBS-2168-70900-X4-B</v>
      </c>
      <c r="B648" s="126">
        <v>44302</v>
      </c>
      <c r="C648" s="127">
        <f t="shared" ca="1" si="203"/>
        <v>-762</v>
      </c>
      <c r="D648" s="128" t="s">
        <v>855</v>
      </c>
      <c r="E648" s="129" t="s">
        <v>22</v>
      </c>
      <c r="F648" s="132" t="str">
        <f t="shared" si="210"/>
        <v>B</v>
      </c>
      <c r="G648" s="130">
        <f ca="1">SUMIF($A:E,$A648,K:K)</f>
        <v>3</v>
      </c>
      <c r="H648" s="127" t="s">
        <v>820</v>
      </c>
      <c r="I648" s="132">
        <v>3</v>
      </c>
      <c r="J648" s="131">
        <v>3</v>
      </c>
      <c r="K648" s="143">
        <f t="shared" si="206"/>
        <v>3</v>
      </c>
      <c r="L648" s="151">
        <f t="shared" si="212"/>
        <v>0</v>
      </c>
      <c r="M648" s="275">
        <f t="shared" si="208"/>
        <v>12</v>
      </c>
      <c r="N648" s="132">
        <v>4</v>
      </c>
      <c r="O648" s="93">
        <f t="shared" si="211"/>
        <v>100</v>
      </c>
      <c r="CP648" s="101">
        <v>3</v>
      </c>
      <c r="ON648" s="100">
        <f t="shared" si="209"/>
        <v>0</v>
      </c>
    </row>
    <row r="649" spans="1:404" ht="23.25" customHeight="1">
      <c r="A649" s="97" t="str">
        <f t="shared" si="213"/>
        <v>161/KHBS-2168-70900-X4-B</v>
      </c>
      <c r="B649" s="95">
        <v>44310</v>
      </c>
      <c r="C649" s="97">
        <f t="shared" ca="1" si="203"/>
        <v>-754</v>
      </c>
      <c r="D649" s="96" t="s">
        <v>919</v>
      </c>
      <c r="E649" s="94" t="s">
        <v>22</v>
      </c>
      <c r="F649" s="98" t="str">
        <f t="shared" si="210"/>
        <v>B</v>
      </c>
      <c r="G649" s="110">
        <f ca="1">SUMIF($A:E,$A649,K:K)</f>
        <v>1</v>
      </c>
      <c r="H649" s="97" t="s">
        <v>820</v>
      </c>
      <c r="I649" s="98">
        <v>1</v>
      </c>
      <c r="J649" s="99">
        <v>1</v>
      </c>
      <c r="K649" s="143">
        <f t="shared" si="206"/>
        <v>1</v>
      </c>
      <c r="L649" s="151">
        <f t="shared" si="212"/>
        <v>0</v>
      </c>
      <c r="M649" s="275">
        <f t="shared" si="208"/>
        <v>4</v>
      </c>
      <c r="N649" s="99">
        <v>5</v>
      </c>
      <c r="O649" s="93">
        <f t="shared" si="211"/>
        <v>100</v>
      </c>
      <c r="DA649" s="101">
        <v>1</v>
      </c>
      <c r="ON649" s="100">
        <f t="shared" si="209"/>
        <v>0</v>
      </c>
    </row>
    <row r="650" spans="1:404" ht="23.25" customHeight="1">
      <c r="A650" s="97" t="str">
        <f t="shared" si="213"/>
        <v>003T/PLANTAGEN-2168-70900-X4-B</v>
      </c>
      <c r="B650" s="95">
        <v>44447</v>
      </c>
      <c r="C650" s="97">
        <f t="shared" ca="1" si="203"/>
        <v>-617</v>
      </c>
      <c r="D650" s="96" t="s">
        <v>928</v>
      </c>
      <c r="E650" s="94" t="s">
        <v>22</v>
      </c>
      <c r="F650" s="98" t="str">
        <f t="shared" si="210"/>
        <v>B</v>
      </c>
      <c r="G650" s="110">
        <f ca="1">SUMIF($A:E,$A650,K:K)</f>
        <v>5200</v>
      </c>
      <c r="H650" s="97" t="s">
        <v>820</v>
      </c>
      <c r="I650" s="98">
        <v>5200</v>
      </c>
      <c r="J650" s="97">
        <f>500+700</f>
        <v>1200</v>
      </c>
      <c r="K650" s="143">
        <f t="shared" si="206"/>
        <v>1200</v>
      </c>
      <c r="L650" s="151">
        <f t="shared" si="212"/>
        <v>0</v>
      </c>
      <c r="M650" s="275">
        <f t="shared" si="208"/>
        <v>20800</v>
      </c>
      <c r="N650" s="98">
        <v>4</v>
      </c>
      <c r="O650" s="93">
        <f t="shared" si="211"/>
        <v>100</v>
      </c>
      <c r="EO650" s="100">
        <v>12</v>
      </c>
      <c r="EP650" s="100">
        <v>18</v>
      </c>
      <c r="ER650" s="100">
        <v>15</v>
      </c>
      <c r="ET650" s="100">
        <v>23</v>
      </c>
      <c r="EU650" s="100">
        <v>16</v>
      </c>
      <c r="EV650" s="100">
        <v>42</v>
      </c>
      <c r="EW650" s="100">
        <v>36</v>
      </c>
      <c r="EX650" s="100">
        <v>41</v>
      </c>
      <c r="EY650" s="100">
        <v>36</v>
      </c>
      <c r="FA650" s="100">
        <v>35</v>
      </c>
      <c r="FB650" s="100">
        <v>32</v>
      </c>
      <c r="FC650" s="100">
        <v>20</v>
      </c>
      <c r="FD650" s="100">
        <v>27</v>
      </c>
      <c r="FE650" s="100">
        <v>24</v>
      </c>
      <c r="FF650" s="100">
        <v>22</v>
      </c>
      <c r="FH650" s="100">
        <v>35</v>
      </c>
      <c r="FI650" s="100">
        <v>19</v>
      </c>
      <c r="FJ650" s="100">
        <v>26</v>
      </c>
      <c r="FK650" s="100">
        <v>37</v>
      </c>
      <c r="FL650" s="100">
        <v>27</v>
      </c>
      <c r="FM650" s="100">
        <v>40</v>
      </c>
      <c r="FO650" s="100">
        <v>36</v>
      </c>
      <c r="FP650" s="100">
        <v>30</v>
      </c>
      <c r="FQ650" s="100">
        <v>41</v>
      </c>
      <c r="FR650" s="100">
        <v>29</v>
      </c>
      <c r="FS650" s="100">
        <v>44</v>
      </c>
      <c r="FT650" s="100">
        <v>16</v>
      </c>
      <c r="FU650" s="100">
        <v>29</v>
      </c>
      <c r="FV650" s="100">
        <v>31</v>
      </c>
      <c r="FW650" s="100">
        <v>32</v>
      </c>
      <c r="FX650" s="100">
        <v>36</v>
      </c>
      <c r="FZ650" s="100">
        <v>37</v>
      </c>
      <c r="GA650" s="100">
        <v>24</v>
      </c>
      <c r="GB650" s="100">
        <v>42</v>
      </c>
      <c r="GC650" s="100">
        <v>36</v>
      </c>
      <c r="GD650" s="100">
        <v>35</v>
      </c>
      <c r="GE650" s="100">
        <v>32</v>
      </c>
      <c r="GG650" s="100">
        <v>35</v>
      </c>
      <c r="GH650" s="100">
        <v>19</v>
      </c>
      <c r="GI650" s="100">
        <v>33</v>
      </c>
      <c r="ON650" s="100">
        <f t="shared" si="209"/>
        <v>0</v>
      </c>
    </row>
    <row r="651" spans="1:404" ht="23.25" customHeight="1">
      <c r="A651" s="97" t="str">
        <f t="shared" si="213"/>
        <v>003T/PLANTAGEN-2168-70900-X4-B</v>
      </c>
      <c r="B651" s="95">
        <v>44447</v>
      </c>
      <c r="C651" s="97">
        <f t="shared" ca="1" si="203"/>
        <v>-617</v>
      </c>
      <c r="D651" s="96" t="s">
        <v>928</v>
      </c>
      <c r="E651" s="94" t="s">
        <v>22</v>
      </c>
      <c r="F651" s="98" t="str">
        <f t="shared" si="210"/>
        <v>B</v>
      </c>
      <c r="G651" s="110">
        <f ca="1">SUMIF($A:E,$A651,K:K)</f>
        <v>5200</v>
      </c>
      <c r="H651" s="97" t="s">
        <v>820</v>
      </c>
      <c r="I651" s="98">
        <v>5200</v>
      </c>
      <c r="J651" s="97">
        <v>500</v>
      </c>
      <c r="K651" s="143">
        <f t="shared" si="206"/>
        <v>500</v>
      </c>
      <c r="L651" s="151">
        <f t="shared" si="212"/>
        <v>0</v>
      </c>
      <c r="M651" s="275">
        <f t="shared" si="208"/>
        <v>20800</v>
      </c>
      <c r="N651" s="98">
        <v>2</v>
      </c>
      <c r="O651" s="93">
        <f t="shared" si="211"/>
        <v>100</v>
      </c>
      <c r="EQ651" s="100">
        <v>16</v>
      </c>
      <c r="ER651" s="100">
        <v>6</v>
      </c>
      <c r="EU651" s="100">
        <v>15</v>
      </c>
      <c r="EV651" s="100">
        <v>2</v>
      </c>
      <c r="EW651" s="100">
        <v>3</v>
      </c>
      <c r="EY651" s="100">
        <v>4</v>
      </c>
      <c r="FA651" s="100">
        <v>11</v>
      </c>
      <c r="FB651" s="100">
        <v>9</v>
      </c>
      <c r="FC651" s="100">
        <v>25</v>
      </c>
      <c r="FD651" s="100">
        <v>25</v>
      </c>
      <c r="FE651" s="100">
        <v>19</v>
      </c>
      <c r="FF651" s="100">
        <v>30</v>
      </c>
      <c r="FH651" s="100">
        <v>39</v>
      </c>
      <c r="FI651" s="100">
        <v>20</v>
      </c>
      <c r="FJ651" s="100">
        <v>3</v>
      </c>
      <c r="FK651" s="100">
        <v>78</v>
      </c>
      <c r="FL651" s="100">
        <v>36</v>
      </c>
      <c r="FM651" s="100">
        <v>28</v>
      </c>
      <c r="FO651" s="100">
        <v>35</v>
      </c>
      <c r="FP651" s="100">
        <v>56</v>
      </c>
      <c r="FQ651" s="100">
        <v>35</v>
      </c>
      <c r="FR651" s="100">
        <v>5</v>
      </c>
      <c r="ON651" s="100">
        <f t="shared" si="209"/>
        <v>0</v>
      </c>
    </row>
    <row r="652" spans="1:404" ht="23.25" customHeight="1">
      <c r="A652" s="97" t="str">
        <f t="shared" si="213"/>
        <v>003T/PLANTAGEN-2168-70900-X4-B</v>
      </c>
      <c r="B652" s="95">
        <v>44447</v>
      </c>
      <c r="C652" s="97">
        <f t="shared" ref="C652:C684" ca="1" si="214">B652-TODAY()</f>
        <v>-617</v>
      </c>
      <c r="D652" s="96" t="s">
        <v>928</v>
      </c>
      <c r="E652" s="97" t="s">
        <v>22</v>
      </c>
      <c r="F652" s="98" t="str">
        <f t="shared" si="210"/>
        <v>B</v>
      </c>
      <c r="G652" s="110">
        <f ca="1">SUMIF($A:E,$A652,K:K)</f>
        <v>5200</v>
      </c>
      <c r="H652" s="97" t="s">
        <v>820</v>
      </c>
      <c r="I652" s="98">
        <v>5200</v>
      </c>
      <c r="J652" s="97">
        <f>500+500</f>
        <v>1000</v>
      </c>
      <c r="K652" s="143">
        <f t="shared" si="206"/>
        <v>1000</v>
      </c>
      <c r="L652" s="151">
        <f t="shared" si="212"/>
        <v>0</v>
      </c>
      <c r="M652" s="275">
        <f t="shared" si="208"/>
        <v>20800</v>
      </c>
      <c r="N652" s="98">
        <v>3</v>
      </c>
      <c r="O652" s="93">
        <f t="shared" si="211"/>
        <v>100</v>
      </c>
      <c r="EM652" s="100">
        <v>24</v>
      </c>
      <c r="EO652" s="100">
        <v>21</v>
      </c>
      <c r="EX652" s="100">
        <v>9</v>
      </c>
      <c r="FA652" s="100">
        <v>11</v>
      </c>
      <c r="FB652" s="100">
        <v>29</v>
      </c>
      <c r="FC652" s="100">
        <v>2</v>
      </c>
      <c r="FD652" s="100">
        <v>35</v>
      </c>
      <c r="FE652" s="100">
        <v>35</v>
      </c>
      <c r="FF652" s="100">
        <v>28</v>
      </c>
      <c r="FH652" s="100">
        <v>30</v>
      </c>
      <c r="FI652" s="100">
        <v>9</v>
      </c>
      <c r="FJ652" s="100">
        <v>11</v>
      </c>
      <c r="FK652" s="100">
        <v>18</v>
      </c>
      <c r="FL652" s="100">
        <v>23</v>
      </c>
      <c r="FM652" s="100">
        <v>23</v>
      </c>
      <c r="FO652" s="100">
        <v>15</v>
      </c>
      <c r="FP652" s="100">
        <v>19</v>
      </c>
      <c r="FQ652" s="100">
        <v>14</v>
      </c>
      <c r="FR652" s="100">
        <v>14</v>
      </c>
      <c r="FS652" s="100">
        <v>22</v>
      </c>
      <c r="FT652" s="100">
        <v>18</v>
      </c>
      <c r="FV652" s="100">
        <v>58</v>
      </c>
      <c r="FW652" s="100">
        <v>30</v>
      </c>
      <c r="FX652" s="100">
        <v>22</v>
      </c>
      <c r="FZ652" s="100">
        <v>44</v>
      </c>
      <c r="GA652" s="100">
        <v>14</v>
      </c>
      <c r="GB652" s="100">
        <v>32</v>
      </c>
      <c r="GC652" s="100">
        <v>22</v>
      </c>
      <c r="GD652" s="100">
        <v>30</v>
      </c>
      <c r="GE652" s="100">
        <v>24</v>
      </c>
      <c r="GG652" s="100">
        <v>18</v>
      </c>
      <c r="GH652" s="100">
        <v>16</v>
      </c>
      <c r="GI652" s="100">
        <v>30</v>
      </c>
      <c r="GJ652" s="100">
        <v>39</v>
      </c>
      <c r="GK652" s="100">
        <v>19</v>
      </c>
      <c r="GL652" s="100">
        <v>12</v>
      </c>
      <c r="GO652" s="100">
        <v>41</v>
      </c>
      <c r="GQ652" s="100">
        <v>4</v>
      </c>
      <c r="GS652" s="100">
        <v>6</v>
      </c>
      <c r="GV652" s="100">
        <v>11</v>
      </c>
      <c r="GX652" s="100">
        <v>8</v>
      </c>
      <c r="GY652" s="100">
        <v>6</v>
      </c>
      <c r="HC652" s="100">
        <v>3</v>
      </c>
      <c r="HF652" s="100">
        <v>7</v>
      </c>
      <c r="HG652" s="100">
        <v>10</v>
      </c>
      <c r="HI652" s="100">
        <v>49</v>
      </c>
      <c r="HJ652" s="100">
        <v>8</v>
      </c>
      <c r="HS652" s="100">
        <v>25</v>
      </c>
      <c r="HX652" s="100">
        <v>2</v>
      </c>
      <c r="ON652" s="100">
        <f t="shared" si="209"/>
        <v>0</v>
      </c>
    </row>
    <row r="653" spans="1:404" ht="23.25" customHeight="1">
      <c r="A653" s="97" t="str">
        <f t="shared" si="213"/>
        <v>003T/PLANTAGEN-2168-70900-X4-B</v>
      </c>
      <c r="B653" s="95">
        <v>44447</v>
      </c>
      <c r="C653" s="97">
        <f t="shared" ca="1" si="214"/>
        <v>-617</v>
      </c>
      <c r="D653" s="96" t="s">
        <v>928</v>
      </c>
      <c r="E653" s="97" t="s">
        <v>22</v>
      </c>
      <c r="F653" s="98" t="str">
        <f t="shared" si="210"/>
        <v>B</v>
      </c>
      <c r="G653" s="110">
        <f ca="1">SUMIF($A:E,$A653,K:K)</f>
        <v>5200</v>
      </c>
      <c r="H653" s="97" t="s">
        <v>820</v>
      </c>
      <c r="I653" s="98">
        <v>5200</v>
      </c>
      <c r="J653" s="97">
        <f>500+400</f>
        <v>900</v>
      </c>
      <c r="K653" s="143">
        <f t="shared" si="206"/>
        <v>900</v>
      </c>
      <c r="L653" s="144">
        <f t="shared" si="212"/>
        <v>0</v>
      </c>
      <c r="M653" s="275">
        <f t="shared" si="208"/>
        <v>20800</v>
      </c>
      <c r="N653" s="98">
        <v>5</v>
      </c>
      <c r="O653" s="93">
        <f t="shared" si="211"/>
        <v>100</v>
      </c>
      <c r="EV653" s="100">
        <v>21</v>
      </c>
      <c r="EW653" s="100">
        <v>33</v>
      </c>
      <c r="EX653" s="100">
        <v>33</v>
      </c>
      <c r="EY653" s="100">
        <v>31</v>
      </c>
      <c r="FA653" s="100">
        <v>52</v>
      </c>
      <c r="FB653" s="100">
        <v>20</v>
      </c>
      <c r="FC653" s="100">
        <v>38</v>
      </c>
      <c r="FD653" s="100">
        <v>35</v>
      </c>
      <c r="FE653" s="100">
        <v>21</v>
      </c>
      <c r="FF653" s="100">
        <v>36</v>
      </c>
      <c r="FH653" s="100">
        <v>32</v>
      </c>
      <c r="FI653" s="100">
        <v>26</v>
      </c>
      <c r="FJ653" s="100">
        <v>40</v>
      </c>
      <c r="FK653" s="100">
        <v>41</v>
      </c>
      <c r="FL653" s="100">
        <v>41</v>
      </c>
      <c r="FM653" s="100">
        <v>38</v>
      </c>
      <c r="FO653" s="100">
        <v>28</v>
      </c>
      <c r="FP653" s="100">
        <v>22</v>
      </c>
      <c r="FQ653" s="100">
        <v>41</v>
      </c>
      <c r="FR653" s="100">
        <v>38</v>
      </c>
      <c r="FS653" s="100">
        <v>42</v>
      </c>
      <c r="FT653" s="100">
        <v>15</v>
      </c>
      <c r="FU653" s="100">
        <v>49</v>
      </c>
      <c r="FV653" s="100">
        <v>43</v>
      </c>
      <c r="FW653" s="100">
        <v>42</v>
      </c>
      <c r="FX653" s="100">
        <v>42</v>
      </c>
      <c r="ON653" s="100">
        <f t="shared" si="209"/>
        <v>0</v>
      </c>
    </row>
    <row r="654" spans="1:404" ht="23.25" customHeight="1">
      <c r="A654" s="97" t="str">
        <f t="shared" si="213"/>
        <v>003T/PLANTAGEN-2168-70900-X4-B</v>
      </c>
      <c r="B654" s="95">
        <v>44447</v>
      </c>
      <c r="C654" s="97">
        <f t="shared" ca="1" si="214"/>
        <v>-617</v>
      </c>
      <c r="D654" s="96" t="s">
        <v>928</v>
      </c>
      <c r="E654" s="97" t="s">
        <v>22</v>
      </c>
      <c r="F654" s="98" t="str">
        <f t="shared" si="210"/>
        <v>B</v>
      </c>
      <c r="G654" s="110">
        <f ca="1">SUMIF($A:E,$A654,K:K)</f>
        <v>5200</v>
      </c>
      <c r="H654" s="97" t="s">
        <v>820</v>
      </c>
      <c r="I654" s="98">
        <v>5200</v>
      </c>
      <c r="J654" s="97">
        <v>1200</v>
      </c>
      <c r="K654" s="143">
        <f t="shared" si="206"/>
        <v>1200</v>
      </c>
      <c r="L654" s="144">
        <f t="shared" si="212"/>
        <v>0</v>
      </c>
      <c r="M654" s="275">
        <f t="shared" si="208"/>
        <v>20800</v>
      </c>
      <c r="N654" s="98">
        <v>1</v>
      </c>
      <c r="O654" s="93">
        <f t="shared" si="211"/>
        <v>100</v>
      </c>
      <c r="EV654" s="100">
        <v>17</v>
      </c>
      <c r="EW654" s="100">
        <v>35</v>
      </c>
      <c r="EX654" s="100">
        <v>36</v>
      </c>
      <c r="EY654" s="100">
        <v>26</v>
      </c>
      <c r="FA654" s="100">
        <v>64</v>
      </c>
      <c r="FB654" s="100">
        <v>42</v>
      </c>
      <c r="FC654" s="100">
        <v>12</v>
      </c>
      <c r="FD654" s="100">
        <v>28</v>
      </c>
      <c r="FE654" s="100">
        <v>20</v>
      </c>
      <c r="FF654" s="100">
        <v>21</v>
      </c>
      <c r="FH654" s="100">
        <v>69</v>
      </c>
      <c r="FI654" s="100">
        <v>29</v>
      </c>
      <c r="FJ654" s="100">
        <v>41</v>
      </c>
      <c r="FK654" s="100">
        <v>19</v>
      </c>
      <c r="FL654" s="100">
        <v>67</v>
      </c>
      <c r="FM654" s="100">
        <v>43</v>
      </c>
      <c r="FO654" s="100">
        <v>42</v>
      </c>
      <c r="FP654" s="100">
        <v>20</v>
      </c>
      <c r="FQ654" s="100">
        <v>60</v>
      </c>
      <c r="FR654" s="100">
        <v>18</v>
      </c>
      <c r="FS654" s="100">
        <v>76</v>
      </c>
      <c r="FT654" s="100">
        <v>25</v>
      </c>
      <c r="FU654" s="100">
        <v>41</v>
      </c>
      <c r="FV654" s="100">
        <v>7</v>
      </c>
      <c r="FW654" s="100">
        <f>21+40</f>
        <v>61</v>
      </c>
      <c r="FX654" s="100">
        <v>63</v>
      </c>
      <c r="FZ654" s="100">
        <v>39</v>
      </c>
      <c r="GA654" s="100">
        <v>14</v>
      </c>
      <c r="GB654" s="100">
        <v>34</v>
      </c>
      <c r="GC654" s="100">
        <v>21</v>
      </c>
      <c r="GD654" s="100">
        <v>32</v>
      </c>
      <c r="GE654" s="100">
        <v>17</v>
      </c>
      <c r="GG654" s="100">
        <v>10</v>
      </c>
      <c r="GH654" s="100">
        <v>32</v>
      </c>
      <c r="GJ654" s="100">
        <v>16</v>
      </c>
      <c r="HT654" s="100">
        <v>3</v>
      </c>
      <c r="ON654" s="100">
        <f t="shared" si="209"/>
        <v>0</v>
      </c>
    </row>
    <row r="655" spans="1:404" ht="23.25" customHeight="1">
      <c r="A655" s="97" t="str">
        <f t="shared" si="213"/>
        <v>003T/PLANTAGEN-2168-70900-X4-B</v>
      </c>
      <c r="B655" s="95">
        <v>44447</v>
      </c>
      <c r="C655" s="97">
        <f t="shared" ca="1" si="214"/>
        <v>-617</v>
      </c>
      <c r="D655" s="96" t="s">
        <v>928</v>
      </c>
      <c r="E655" s="97" t="s">
        <v>22</v>
      </c>
      <c r="F655" s="98" t="str">
        <f t="shared" si="210"/>
        <v>B</v>
      </c>
      <c r="G655" s="110">
        <f ca="1">SUMIF($A:E,$A655,K:K)</f>
        <v>5200</v>
      </c>
      <c r="H655" s="97" t="s">
        <v>820</v>
      </c>
      <c r="I655" s="98">
        <v>5200</v>
      </c>
      <c r="J655" s="97">
        <v>400</v>
      </c>
      <c r="K655" s="143">
        <f t="shared" si="206"/>
        <v>400</v>
      </c>
      <c r="L655" s="151">
        <f t="shared" si="212"/>
        <v>0</v>
      </c>
      <c r="M655" s="275">
        <f t="shared" si="208"/>
        <v>20800</v>
      </c>
      <c r="N655" s="98">
        <v>2</v>
      </c>
      <c r="O655" s="93">
        <f t="shared" si="211"/>
        <v>100</v>
      </c>
      <c r="FR655" s="100">
        <f>37-5</f>
        <v>32</v>
      </c>
      <c r="FS655" s="100">
        <v>40</v>
      </c>
      <c r="FT655" s="100">
        <v>13</v>
      </c>
      <c r="FU655" s="100">
        <v>20</v>
      </c>
      <c r="FV655" s="100">
        <v>52</v>
      </c>
      <c r="FW655" s="100">
        <v>35</v>
      </c>
      <c r="FZ655" s="100">
        <v>52</v>
      </c>
      <c r="GA655" s="100">
        <v>22</v>
      </c>
      <c r="GB655" s="100">
        <v>14</v>
      </c>
      <c r="GC655" s="100">
        <v>23</v>
      </c>
      <c r="GD655" s="100">
        <v>9</v>
      </c>
      <c r="GE655" s="100">
        <v>23</v>
      </c>
      <c r="GG655" s="100">
        <v>48</v>
      </c>
      <c r="GH655" s="100">
        <v>4</v>
      </c>
      <c r="GJ655" s="100">
        <v>3</v>
      </c>
      <c r="IB655" s="100">
        <v>10</v>
      </c>
      <c r="ON655" s="100">
        <f t="shared" si="209"/>
        <v>0</v>
      </c>
    </row>
    <row r="656" spans="1:404" ht="23.25" customHeight="1">
      <c r="A656" s="97" t="str">
        <f t="shared" si="213"/>
        <v>167/KHBS-2168-70900-X4-B</v>
      </c>
      <c r="B656" s="95">
        <v>44314</v>
      </c>
      <c r="C656" s="97">
        <f t="shared" ca="1" si="214"/>
        <v>-750</v>
      </c>
      <c r="D656" s="96" t="s">
        <v>930</v>
      </c>
      <c r="E656" s="94" t="s">
        <v>22</v>
      </c>
      <c r="F656" s="98">
        <v>54</v>
      </c>
      <c r="G656" s="110">
        <f ca="1">SUMIF($A:E,$A656,K:K)</f>
        <v>3</v>
      </c>
      <c r="H656" s="97" t="s">
        <v>820</v>
      </c>
      <c r="I656" s="98">
        <v>3</v>
      </c>
      <c r="J656" s="99">
        <v>3</v>
      </c>
      <c r="K656" s="143">
        <f t="shared" si="206"/>
        <v>3</v>
      </c>
      <c r="L656" s="144">
        <f t="shared" si="212"/>
        <v>0</v>
      </c>
      <c r="M656" s="275">
        <f t="shared" si="208"/>
        <v>12</v>
      </c>
      <c r="N656" s="98">
        <v>5</v>
      </c>
      <c r="O656" s="93">
        <f t="shared" ref="O656:O663" si="215">K656/J656*100</f>
        <v>100</v>
      </c>
      <c r="DF656" s="101">
        <v>3</v>
      </c>
      <c r="ON656" s="100">
        <f t="shared" si="209"/>
        <v>0</v>
      </c>
    </row>
    <row r="657" spans="1:404" ht="23.25" customHeight="1">
      <c r="A657" s="97" t="str">
        <f t="shared" si="213"/>
        <v>167/KHBS-21 68-70900-X4-B</v>
      </c>
      <c r="B657" s="95">
        <v>44320</v>
      </c>
      <c r="C657" s="97">
        <f t="shared" ca="1" si="214"/>
        <v>-744</v>
      </c>
      <c r="D657" s="96" t="s">
        <v>931</v>
      </c>
      <c r="E657" s="94" t="s">
        <v>22</v>
      </c>
      <c r="F657" s="98" t="str">
        <f t="shared" ref="F657:F673" si="216">MID(E657,13,2)</f>
        <v>B</v>
      </c>
      <c r="G657" s="110">
        <f ca="1">SUMIF($A:E,$A657,K:K)</f>
        <v>3</v>
      </c>
      <c r="H657" s="97" t="s">
        <v>933</v>
      </c>
      <c r="I657" s="98">
        <v>3</v>
      </c>
      <c r="J657" s="99">
        <v>3</v>
      </c>
      <c r="K657" s="143">
        <f t="shared" si="206"/>
        <v>3</v>
      </c>
      <c r="L657" s="144">
        <f t="shared" si="212"/>
        <v>0</v>
      </c>
      <c r="M657" s="275">
        <f t="shared" si="208"/>
        <v>12</v>
      </c>
      <c r="N657" s="98">
        <v>5</v>
      </c>
      <c r="O657" s="93">
        <f t="shared" si="215"/>
        <v>100</v>
      </c>
      <c r="DL657" s="121">
        <v>3</v>
      </c>
      <c r="ON657" s="100">
        <f t="shared" si="209"/>
        <v>0</v>
      </c>
    </row>
    <row r="658" spans="1:404" ht="23.25" customHeight="1">
      <c r="A658" s="97" t="str">
        <f>D658&amp;E659</f>
        <v>208/KHBS-2168-70900-X4-B</v>
      </c>
      <c r="B658" s="95">
        <v>44375</v>
      </c>
      <c r="C658" s="97">
        <f t="shared" ca="1" si="214"/>
        <v>-689</v>
      </c>
      <c r="D658" s="96" t="s">
        <v>1169</v>
      </c>
      <c r="E658" s="94" t="s">
        <v>22</v>
      </c>
      <c r="F658" s="98" t="str">
        <f t="shared" si="216"/>
        <v>B</v>
      </c>
      <c r="G658" s="110">
        <f ca="1">SUMIF($A:E,$A658,K:K)</f>
        <v>2</v>
      </c>
      <c r="H658" s="97" t="s">
        <v>933</v>
      </c>
      <c r="I658" s="98">
        <v>2</v>
      </c>
      <c r="J658" s="99">
        <v>2</v>
      </c>
      <c r="K658" s="143">
        <f t="shared" si="206"/>
        <v>2</v>
      </c>
      <c r="L658" s="144">
        <f t="shared" si="212"/>
        <v>0</v>
      </c>
      <c r="M658" s="275">
        <f t="shared" si="208"/>
        <v>8</v>
      </c>
      <c r="N658" s="98">
        <v>5</v>
      </c>
      <c r="O658" s="93">
        <f t="shared" si="215"/>
        <v>100</v>
      </c>
      <c r="FK658" s="100">
        <v>2</v>
      </c>
      <c r="ON658" s="100">
        <f t="shared" si="209"/>
        <v>0</v>
      </c>
    </row>
    <row r="659" spans="1:404" ht="23.25" customHeight="1">
      <c r="A659" s="97" t="str">
        <f t="shared" ref="A659:A676" si="217">D659&amp;E659</f>
        <v>218/KHBS-2168-70900-X4-B</v>
      </c>
      <c r="B659" s="95">
        <v>44395</v>
      </c>
      <c r="C659" s="97">
        <f t="shared" ca="1" si="214"/>
        <v>-669</v>
      </c>
      <c r="D659" s="96" t="s">
        <v>1307</v>
      </c>
      <c r="E659" s="94" t="s">
        <v>22</v>
      </c>
      <c r="F659" s="98" t="str">
        <f t="shared" si="216"/>
        <v>B</v>
      </c>
      <c r="G659" s="110">
        <f ca="1">SUMIF($A:E,$A659,K:K)</f>
        <v>1</v>
      </c>
      <c r="H659" s="97" t="s">
        <v>508</v>
      </c>
      <c r="I659" s="98">
        <v>1</v>
      </c>
      <c r="J659" s="97">
        <v>1</v>
      </c>
      <c r="K659" s="143">
        <f t="shared" si="206"/>
        <v>1</v>
      </c>
      <c r="L659" s="144">
        <f t="shared" si="212"/>
        <v>0</v>
      </c>
      <c r="M659" s="275">
        <f t="shared" si="208"/>
        <v>4</v>
      </c>
      <c r="N659" s="98">
        <v>3</v>
      </c>
      <c r="O659" s="93">
        <f t="shared" si="215"/>
        <v>100</v>
      </c>
      <c r="GC659" s="100">
        <v>1</v>
      </c>
      <c r="ON659" s="100">
        <f t="shared" si="209"/>
        <v>0</v>
      </c>
    </row>
    <row r="660" spans="1:404" ht="23.25" customHeight="1">
      <c r="A660" s="97" t="str">
        <f t="shared" si="217"/>
        <v>226/KHBS-2168-70900-X4-B</v>
      </c>
      <c r="B660" s="95">
        <v>44404</v>
      </c>
      <c r="C660" s="97">
        <f t="shared" ca="1" si="214"/>
        <v>-660</v>
      </c>
      <c r="D660" s="96" t="s">
        <v>1413</v>
      </c>
      <c r="E660" s="94" t="s">
        <v>22</v>
      </c>
      <c r="F660" s="98" t="str">
        <f t="shared" si="216"/>
        <v>B</v>
      </c>
      <c r="G660" s="110">
        <f ca="1">SUMIF($A:E,$A660,K:K)</f>
        <v>2</v>
      </c>
      <c r="H660" s="97" t="s">
        <v>616</v>
      </c>
      <c r="I660" s="98">
        <v>2</v>
      </c>
      <c r="J660" s="99">
        <v>2</v>
      </c>
      <c r="K660" s="143">
        <f t="shared" si="206"/>
        <v>2</v>
      </c>
      <c r="L660" s="144">
        <f t="shared" si="212"/>
        <v>0</v>
      </c>
      <c r="M660" s="275">
        <f t="shared" si="208"/>
        <v>8</v>
      </c>
      <c r="N660" s="98">
        <v>2</v>
      </c>
      <c r="O660" s="93">
        <f t="shared" si="215"/>
        <v>100</v>
      </c>
      <c r="GJ660" s="100">
        <v>2</v>
      </c>
      <c r="ON660" s="100">
        <f t="shared" si="209"/>
        <v>0</v>
      </c>
    </row>
    <row r="661" spans="1:404" ht="23.25" customHeight="1">
      <c r="A661" s="97" t="str">
        <f t="shared" si="217"/>
        <v>223/KHBS-2168-70900-X4-B</v>
      </c>
      <c r="B661" s="95">
        <v>44402</v>
      </c>
      <c r="C661" s="97">
        <f t="shared" ca="1" si="214"/>
        <v>-662</v>
      </c>
      <c r="D661" s="96" t="s">
        <v>1416</v>
      </c>
      <c r="E661" s="94" t="s">
        <v>22</v>
      </c>
      <c r="F661" s="98" t="str">
        <f t="shared" si="216"/>
        <v>B</v>
      </c>
      <c r="G661" s="110">
        <f ca="1">SUMIF($A:E,$A661,K:K)</f>
        <v>14</v>
      </c>
      <c r="H661" s="97" t="s">
        <v>616</v>
      </c>
      <c r="I661" s="98">
        <v>14</v>
      </c>
      <c r="J661" s="99">
        <v>14</v>
      </c>
      <c r="K661" s="143">
        <f t="shared" si="206"/>
        <v>14</v>
      </c>
      <c r="L661" s="144">
        <f t="shared" si="212"/>
        <v>0</v>
      </c>
      <c r="M661" s="275">
        <f t="shared" si="208"/>
        <v>56</v>
      </c>
      <c r="N661" s="98">
        <v>3</v>
      </c>
      <c r="O661" s="93">
        <f t="shared" si="215"/>
        <v>100</v>
      </c>
      <c r="GN661" s="100">
        <v>14</v>
      </c>
      <c r="ON661" s="100">
        <f t="shared" si="209"/>
        <v>0</v>
      </c>
    </row>
    <row r="662" spans="1:404" ht="23.25" customHeight="1">
      <c r="A662" s="97" t="str">
        <f t="shared" si="217"/>
        <v>265/KHBS-2168-70900-X4-B</v>
      </c>
      <c r="B662" s="95">
        <v>44464</v>
      </c>
      <c r="C662" s="97">
        <f t="shared" ca="1" si="214"/>
        <v>-600</v>
      </c>
      <c r="D662" s="96" t="s">
        <v>1843</v>
      </c>
      <c r="E662" s="94" t="s">
        <v>22</v>
      </c>
      <c r="F662" s="98" t="str">
        <f t="shared" si="216"/>
        <v>B</v>
      </c>
      <c r="G662" s="110">
        <f ca="1">SUMIF($A:E,$A662,K:K)</f>
        <v>1</v>
      </c>
      <c r="H662" s="97" t="s">
        <v>1593</v>
      </c>
      <c r="I662" s="98">
        <v>1</v>
      </c>
      <c r="J662" s="99">
        <v>1</v>
      </c>
      <c r="K662" s="143">
        <f t="shared" si="206"/>
        <v>1</v>
      </c>
      <c r="L662" s="144">
        <f t="shared" si="212"/>
        <v>0</v>
      </c>
      <c r="M662" s="275">
        <f t="shared" si="208"/>
        <v>4</v>
      </c>
      <c r="N662" s="98">
        <v>1</v>
      </c>
      <c r="O662" s="93">
        <f t="shared" si="215"/>
        <v>100</v>
      </c>
      <c r="IS662" s="100">
        <v>1</v>
      </c>
      <c r="ON662" s="100">
        <f t="shared" si="209"/>
        <v>0</v>
      </c>
    </row>
    <row r="663" spans="1:404" ht="23.25" customHeight="1">
      <c r="A663" s="97" t="str">
        <f t="shared" si="217"/>
        <v>003T/PLANTAGEN-2168-70900-X4-01</v>
      </c>
      <c r="B663" s="95">
        <v>44456</v>
      </c>
      <c r="C663" s="97">
        <f t="shared" ca="1" si="214"/>
        <v>-608</v>
      </c>
      <c r="D663" s="96" t="s">
        <v>928</v>
      </c>
      <c r="E663" s="94" t="s">
        <v>244</v>
      </c>
      <c r="F663" s="98" t="str">
        <f t="shared" si="216"/>
        <v>01</v>
      </c>
      <c r="G663" s="110">
        <f ca="1">SUMIF($A:E,$A663,K:K)</f>
        <v>1600</v>
      </c>
      <c r="H663" s="97" t="s">
        <v>505</v>
      </c>
      <c r="I663" s="98">
        <v>1600</v>
      </c>
      <c r="J663" s="97">
        <v>600</v>
      </c>
      <c r="K663" s="143">
        <f t="shared" si="206"/>
        <v>600</v>
      </c>
      <c r="L663" s="144">
        <f t="shared" si="212"/>
        <v>0</v>
      </c>
      <c r="M663" s="275">
        <f t="shared" si="208"/>
        <v>6400</v>
      </c>
      <c r="N663" s="98">
        <v>5</v>
      </c>
      <c r="O663" s="93">
        <f t="shared" si="215"/>
        <v>100</v>
      </c>
      <c r="FZ663" s="100">
        <v>33</v>
      </c>
      <c r="GA663" s="100">
        <v>18</v>
      </c>
      <c r="GB663" s="100">
        <v>31</v>
      </c>
      <c r="GC663" s="100">
        <v>24</v>
      </c>
      <c r="GD663" s="100">
        <v>42</v>
      </c>
      <c r="GE663" s="100">
        <v>25</v>
      </c>
      <c r="GG663" s="100">
        <v>18</v>
      </c>
      <c r="GH663" s="100">
        <v>21</v>
      </c>
      <c r="GI663" s="100">
        <v>21</v>
      </c>
      <c r="GJ663" s="100">
        <v>20</v>
      </c>
      <c r="GK663" s="100">
        <v>8</v>
      </c>
      <c r="GL663" s="100">
        <v>24</v>
      </c>
      <c r="GN663" s="100">
        <v>26</v>
      </c>
      <c r="GO663" s="100">
        <v>21</v>
      </c>
      <c r="GP663" s="100">
        <v>20</v>
      </c>
      <c r="GQ663" s="100">
        <v>19</v>
      </c>
      <c r="GR663" s="100">
        <v>8</v>
      </c>
      <c r="GS663" s="100">
        <v>13</v>
      </c>
      <c r="GU663" s="100">
        <v>10</v>
      </c>
      <c r="GV663" s="100">
        <v>13</v>
      </c>
      <c r="GW663" s="100">
        <v>19</v>
      </c>
      <c r="GX663" s="100">
        <v>20</v>
      </c>
      <c r="GY663" s="100">
        <v>9</v>
      </c>
      <c r="GZ663" s="100">
        <v>17</v>
      </c>
      <c r="HB663" s="100">
        <v>9</v>
      </c>
      <c r="HC663" s="100">
        <v>10</v>
      </c>
      <c r="HD663" s="100">
        <v>24</v>
      </c>
      <c r="HE663" s="100">
        <v>30</v>
      </c>
      <c r="HF663" s="100">
        <v>10</v>
      </c>
      <c r="HG663" s="100">
        <v>28</v>
      </c>
      <c r="HI663" s="100">
        <v>7</v>
      </c>
      <c r="HJ663" s="100">
        <v>2</v>
      </c>
      <c r="ON663" s="100">
        <f t="shared" si="209"/>
        <v>0</v>
      </c>
    </row>
    <row r="664" spans="1:404" ht="23.25" customHeight="1">
      <c r="A664" s="97" t="str">
        <f t="shared" si="217"/>
        <v>003T/PLANTAGEN-2168-70900-X4-01</v>
      </c>
      <c r="B664" s="95">
        <v>44456</v>
      </c>
      <c r="C664" s="97">
        <f t="shared" ca="1" si="214"/>
        <v>-608</v>
      </c>
      <c r="D664" s="96" t="s">
        <v>928</v>
      </c>
      <c r="E664" s="94" t="s">
        <v>244</v>
      </c>
      <c r="F664" s="98" t="str">
        <f t="shared" si="216"/>
        <v>01</v>
      </c>
      <c r="G664" s="110">
        <f ca="1">SUMIF($A:E,$A664,K:K)</f>
        <v>1600</v>
      </c>
      <c r="H664" s="97" t="s">
        <v>505</v>
      </c>
      <c r="I664" s="98">
        <v>1600</v>
      </c>
      <c r="J664" s="97">
        <v>300</v>
      </c>
      <c r="K664" s="143">
        <f t="shared" si="206"/>
        <v>300</v>
      </c>
      <c r="L664" s="144">
        <f t="shared" si="212"/>
        <v>0</v>
      </c>
      <c r="M664" s="275">
        <f t="shared" si="208"/>
        <v>6400</v>
      </c>
      <c r="N664" s="98">
        <v>1</v>
      </c>
      <c r="O664" s="93">
        <f>K664/J664*100</f>
        <v>100</v>
      </c>
      <c r="GI664" s="100">
        <v>29</v>
      </c>
      <c r="GJ664" s="100">
        <v>31</v>
      </c>
      <c r="GK664" s="100">
        <v>12</v>
      </c>
      <c r="GL664" s="100">
        <v>27</v>
      </c>
      <c r="GN664" s="100">
        <v>31</v>
      </c>
      <c r="GO664" s="100">
        <v>13</v>
      </c>
      <c r="GP664" s="100">
        <v>27</v>
      </c>
      <c r="GQ664" s="100">
        <v>26</v>
      </c>
      <c r="GR664" s="100">
        <v>12</v>
      </c>
      <c r="GS664" s="100">
        <v>36</v>
      </c>
      <c r="GU664" s="100">
        <v>17</v>
      </c>
      <c r="GV664" s="100">
        <v>12</v>
      </c>
      <c r="GW664" s="100">
        <v>8</v>
      </c>
      <c r="GX664" s="100">
        <v>9</v>
      </c>
      <c r="GY664" s="100">
        <v>3</v>
      </c>
      <c r="HB664" s="100">
        <v>2</v>
      </c>
      <c r="HG664" s="100">
        <v>1</v>
      </c>
      <c r="HQ664" s="100">
        <v>4</v>
      </c>
      <c r="ON664" s="100">
        <f t="shared" si="209"/>
        <v>0</v>
      </c>
    </row>
    <row r="665" spans="1:404" ht="23.25" customHeight="1">
      <c r="A665" s="97" t="str">
        <f t="shared" si="217"/>
        <v>003T/PLANTAGEN-2168-70900-X4-01</v>
      </c>
      <c r="B665" s="95">
        <v>44456</v>
      </c>
      <c r="C665" s="97">
        <f t="shared" ca="1" si="214"/>
        <v>-608</v>
      </c>
      <c r="D665" s="96" t="s">
        <v>928</v>
      </c>
      <c r="E665" s="94" t="s">
        <v>244</v>
      </c>
      <c r="F665" s="98" t="str">
        <f t="shared" si="216"/>
        <v>01</v>
      </c>
      <c r="G665" s="110">
        <f ca="1">SUMIF($A:E,$A665,K:K)</f>
        <v>1600</v>
      </c>
      <c r="H665" s="97" t="s">
        <v>505</v>
      </c>
      <c r="I665" s="98">
        <v>1600</v>
      </c>
      <c r="J665" s="97">
        <v>300</v>
      </c>
      <c r="K665" s="143">
        <f t="shared" si="206"/>
        <v>300</v>
      </c>
      <c r="L665" s="144">
        <f t="shared" si="212"/>
        <v>0</v>
      </c>
      <c r="M665" s="275">
        <f t="shared" si="208"/>
        <v>6400</v>
      </c>
      <c r="N665" s="98">
        <v>2</v>
      </c>
      <c r="O665" s="93">
        <f t="shared" ref="O665:O687" si="218">K665/J665*100</f>
        <v>100</v>
      </c>
      <c r="GH665" s="100">
        <v>5</v>
      </c>
      <c r="GI665" s="100">
        <v>14</v>
      </c>
      <c r="GJ665" s="100">
        <v>14</v>
      </c>
      <c r="GK665" s="100">
        <v>14</v>
      </c>
      <c r="GL665" s="100">
        <v>12</v>
      </c>
      <c r="GN665" s="100">
        <v>17</v>
      </c>
      <c r="GO665" s="100">
        <v>10</v>
      </c>
      <c r="GP665" s="100">
        <v>19</v>
      </c>
      <c r="GQ665" s="100">
        <v>26</v>
      </c>
      <c r="GR665" s="100">
        <v>9</v>
      </c>
      <c r="GS665" s="100">
        <v>13</v>
      </c>
      <c r="GU665" s="100">
        <v>22</v>
      </c>
      <c r="GV665" s="100">
        <v>15</v>
      </c>
      <c r="GW665" s="100">
        <v>32</v>
      </c>
      <c r="GX665" s="100">
        <v>27</v>
      </c>
      <c r="GY665" s="100">
        <v>28</v>
      </c>
      <c r="GZ665" s="100">
        <v>17</v>
      </c>
      <c r="HG665" s="100">
        <v>5</v>
      </c>
      <c r="HM665" s="100">
        <v>1</v>
      </c>
      <c r="ON665" s="100">
        <f t="shared" si="209"/>
        <v>0</v>
      </c>
    </row>
    <row r="666" spans="1:404" ht="23.25" customHeight="1">
      <c r="A666" s="97" t="str">
        <f t="shared" si="217"/>
        <v>003T/PLANTAGEN-2168-70900-X4-01</v>
      </c>
      <c r="B666" s="95">
        <v>44456</v>
      </c>
      <c r="C666" s="97">
        <f t="shared" ca="1" si="214"/>
        <v>-608</v>
      </c>
      <c r="D666" s="96" t="s">
        <v>928</v>
      </c>
      <c r="E666" s="94" t="s">
        <v>244</v>
      </c>
      <c r="F666" s="98" t="str">
        <f t="shared" si="216"/>
        <v>01</v>
      </c>
      <c r="G666" s="110">
        <f ca="1">SUMIF($A:E,$A666,K:K)</f>
        <v>1600</v>
      </c>
      <c r="H666" s="97" t="s">
        <v>505</v>
      </c>
      <c r="I666" s="98">
        <v>1600</v>
      </c>
      <c r="J666" s="97">
        <f>1600-J663-J664-J665</f>
        <v>400</v>
      </c>
      <c r="K666" s="143">
        <f t="shared" si="206"/>
        <v>400</v>
      </c>
      <c r="L666" s="144">
        <f t="shared" si="212"/>
        <v>0</v>
      </c>
      <c r="M666" s="275">
        <f t="shared" si="208"/>
        <v>6400</v>
      </c>
      <c r="N666" s="98">
        <v>3</v>
      </c>
      <c r="O666" s="93">
        <f t="shared" si="218"/>
        <v>100</v>
      </c>
      <c r="GP666" s="100">
        <v>10</v>
      </c>
      <c r="GQ666" s="100">
        <v>14</v>
      </c>
      <c r="GR666" s="100">
        <v>14</v>
      </c>
      <c r="GS666" s="100">
        <v>16</v>
      </c>
      <c r="GU666" s="100">
        <v>24</v>
      </c>
      <c r="GV666" s="100">
        <v>13</v>
      </c>
      <c r="GW666" s="100">
        <v>24</v>
      </c>
      <c r="GX666" s="100">
        <v>29</v>
      </c>
      <c r="GY666" s="100">
        <v>33</v>
      </c>
      <c r="GZ666" s="100">
        <v>26</v>
      </c>
      <c r="HB666" s="100">
        <v>37</v>
      </c>
      <c r="HC666" s="100">
        <v>19</v>
      </c>
      <c r="HD666" s="100">
        <v>38</v>
      </c>
      <c r="HE666" s="100">
        <v>32</v>
      </c>
      <c r="HF666" s="100">
        <v>53</v>
      </c>
      <c r="HG666" s="100">
        <v>18</v>
      </c>
      <c r="ON666" s="100">
        <f t="shared" si="209"/>
        <v>0</v>
      </c>
    </row>
    <row r="667" spans="1:404" ht="23.25" customHeight="1">
      <c r="A667" s="97" t="str">
        <f t="shared" si="217"/>
        <v>176/KHBS-2168-70900-X4-01</v>
      </c>
      <c r="B667" s="95">
        <v>44326</v>
      </c>
      <c r="C667" s="97">
        <f t="shared" ca="1" si="214"/>
        <v>-738</v>
      </c>
      <c r="D667" s="96" t="s">
        <v>965</v>
      </c>
      <c r="E667" s="94" t="s">
        <v>244</v>
      </c>
      <c r="F667" s="98" t="str">
        <f t="shared" si="216"/>
        <v>01</v>
      </c>
      <c r="G667" s="110">
        <f ca="1">SUMIF($A:E,$A667,K:K)</f>
        <v>1</v>
      </c>
      <c r="H667" s="97" t="s">
        <v>966</v>
      </c>
      <c r="I667" s="98">
        <v>1</v>
      </c>
      <c r="J667" s="99">
        <v>1</v>
      </c>
      <c r="K667" s="143">
        <f t="shared" si="206"/>
        <v>1</v>
      </c>
      <c r="L667" s="144">
        <f t="shared" si="212"/>
        <v>0</v>
      </c>
      <c r="M667" s="275">
        <f t="shared" si="208"/>
        <v>4</v>
      </c>
      <c r="N667" s="98">
        <v>2</v>
      </c>
      <c r="O667" s="93">
        <f t="shared" si="218"/>
        <v>100</v>
      </c>
      <c r="DP667" s="101">
        <v>1</v>
      </c>
      <c r="ON667" s="100">
        <f t="shared" si="209"/>
        <v>0</v>
      </c>
    </row>
    <row r="668" spans="1:404" ht="38.25" customHeight="1">
      <c r="A668" s="97" t="str">
        <f t="shared" si="217"/>
        <v>003T/PLANTAGEN-2168-70900-X2-B</v>
      </c>
      <c r="B668" s="95">
        <v>44447</v>
      </c>
      <c r="C668" s="97">
        <f t="shared" ca="1" si="214"/>
        <v>-617</v>
      </c>
      <c r="D668" s="96" t="s">
        <v>928</v>
      </c>
      <c r="E668" s="94" t="s">
        <v>23</v>
      </c>
      <c r="F668" s="98" t="str">
        <f t="shared" si="216"/>
        <v>B</v>
      </c>
      <c r="G668" s="110">
        <f ca="1">SUMIF($A:E,$A668,K:K)</f>
        <v>1998</v>
      </c>
      <c r="H668" s="97" t="s">
        <v>820</v>
      </c>
      <c r="I668" s="98">
        <v>1998</v>
      </c>
      <c r="J668" s="97">
        <f>800+208</f>
        <v>1008</v>
      </c>
      <c r="K668" s="143">
        <f t="shared" si="206"/>
        <v>1008</v>
      </c>
      <c r="L668" s="144">
        <f t="shared" ref="L668:L702" si="219">J668-K668</f>
        <v>0</v>
      </c>
      <c r="M668" s="275">
        <f t="shared" ref="M668:M703" si="220">IF(OR(MID(E668,10,1)="0",MID(E668,10,1)="F"),I668,IF(OR(,MID(E668,10,1)="S",MID(E668,10,1)="L",MID(E668,10,1)="B",MID(E668,10,1)="X"),MID(E668,11,1)*I668,0))</f>
        <v>3996</v>
      </c>
      <c r="N668" s="132">
        <v>4</v>
      </c>
      <c r="O668" s="93">
        <f t="shared" si="218"/>
        <v>100</v>
      </c>
      <c r="GJ668" s="100">
        <v>11</v>
      </c>
      <c r="GK668" s="100">
        <v>20</v>
      </c>
      <c r="GL668" s="100">
        <v>38</v>
      </c>
      <c r="GN668" s="100">
        <v>39</v>
      </c>
      <c r="GO668" s="100">
        <v>19</v>
      </c>
      <c r="GQ668" s="100">
        <f>39+28</f>
        <v>67</v>
      </c>
      <c r="GR668" s="100">
        <v>30</v>
      </c>
      <c r="GS668" s="100">
        <v>42</v>
      </c>
      <c r="GU668" s="100">
        <v>42</v>
      </c>
      <c r="GV668" s="100">
        <v>1</v>
      </c>
      <c r="GW668" s="100">
        <v>23</v>
      </c>
      <c r="GX668" s="100">
        <v>9</v>
      </c>
      <c r="GY668" s="100">
        <v>131</v>
      </c>
      <c r="GZ668" s="100">
        <v>2</v>
      </c>
      <c r="HB668" s="100">
        <v>47</v>
      </c>
      <c r="HC668" s="100">
        <v>34</v>
      </c>
      <c r="HD668" s="100">
        <v>32</v>
      </c>
      <c r="HE668" s="100">
        <v>32</v>
      </c>
      <c r="HF668" s="100">
        <v>40</v>
      </c>
      <c r="HG668" s="100">
        <v>52</v>
      </c>
      <c r="HJ668" s="100">
        <v>42</v>
      </c>
      <c r="HK668" s="100">
        <f>47+17</f>
        <v>64</v>
      </c>
      <c r="HL668" s="100">
        <v>15</v>
      </c>
      <c r="HN668" s="100">
        <v>38</v>
      </c>
      <c r="HP668" s="100">
        <v>38</v>
      </c>
      <c r="HQ668" s="100">
        <v>29</v>
      </c>
      <c r="HR668" s="100">
        <v>37</v>
      </c>
      <c r="HS668" s="100">
        <v>34</v>
      </c>
      <c r="ON668" s="100">
        <f t="shared" si="209"/>
        <v>0</v>
      </c>
    </row>
    <row r="669" spans="1:404" ht="38.25" customHeight="1">
      <c r="A669" s="97" t="str">
        <f t="shared" si="217"/>
        <v>003T/PLANTAGEN-2168-70900-X2-B</v>
      </c>
      <c r="B669" s="95">
        <v>44447</v>
      </c>
      <c r="C669" s="97">
        <f t="shared" ca="1" si="214"/>
        <v>-617</v>
      </c>
      <c r="D669" s="96" t="s">
        <v>928</v>
      </c>
      <c r="E669" s="129" t="s">
        <v>23</v>
      </c>
      <c r="F669" s="132" t="str">
        <f t="shared" si="216"/>
        <v>B</v>
      </c>
      <c r="G669" s="130">
        <f ca="1">SUMIF($A:E,$A669,K:K)</f>
        <v>1998</v>
      </c>
      <c r="H669" s="127" t="s">
        <v>820</v>
      </c>
      <c r="I669" s="132">
        <v>1998</v>
      </c>
      <c r="J669" s="127">
        <v>500</v>
      </c>
      <c r="K669" s="143">
        <f t="shared" si="206"/>
        <v>500</v>
      </c>
      <c r="L669" s="144">
        <f t="shared" si="219"/>
        <v>0</v>
      </c>
      <c r="M669" s="275">
        <f t="shared" si="220"/>
        <v>3996</v>
      </c>
      <c r="N669" s="132">
        <v>1</v>
      </c>
      <c r="O669" s="93">
        <f t="shared" si="218"/>
        <v>100</v>
      </c>
      <c r="GW669" s="100">
        <v>23</v>
      </c>
      <c r="GX669" s="100">
        <v>16</v>
      </c>
      <c r="GZ669" s="100">
        <v>12</v>
      </c>
      <c r="HB669" s="100">
        <v>12</v>
      </c>
      <c r="HC669" s="100">
        <v>19</v>
      </c>
      <c r="HD669" s="100">
        <v>24</v>
      </c>
      <c r="HE669" s="100">
        <v>16</v>
      </c>
      <c r="HF669" s="100">
        <v>17</v>
      </c>
      <c r="HG669" s="100">
        <v>16</v>
      </c>
      <c r="HI669" s="100">
        <v>9</v>
      </c>
      <c r="HJ669" s="100">
        <v>14</v>
      </c>
      <c r="HK669" s="100">
        <v>17</v>
      </c>
      <c r="HL669" s="100">
        <v>26</v>
      </c>
      <c r="HM669" s="100">
        <v>12</v>
      </c>
      <c r="HN669" s="100">
        <v>8</v>
      </c>
      <c r="HP669" s="100">
        <v>9</v>
      </c>
      <c r="HQ669" s="100">
        <v>25</v>
      </c>
      <c r="HR669" s="100">
        <v>11</v>
      </c>
      <c r="HT669" s="100">
        <v>40</v>
      </c>
      <c r="HW669" s="100">
        <v>18</v>
      </c>
      <c r="HX669" s="100">
        <v>10</v>
      </c>
      <c r="HY669" s="100">
        <v>43</v>
      </c>
      <c r="ID669" s="100">
        <v>11</v>
      </c>
      <c r="IE669" s="100">
        <v>12</v>
      </c>
      <c r="IF669" s="100">
        <v>25</v>
      </c>
      <c r="IG669" s="100">
        <v>55</v>
      </c>
      <c r="ON669" s="100">
        <f t="shared" si="209"/>
        <v>0</v>
      </c>
    </row>
    <row r="670" spans="1:404" ht="38.25" customHeight="1">
      <c r="A670" s="97" t="str">
        <f t="shared" si="217"/>
        <v>003T/PLANTAGEN-2168-70900-X2-B</v>
      </c>
      <c r="B670" s="95">
        <v>44447</v>
      </c>
      <c r="C670" s="97">
        <f t="shared" ca="1" si="214"/>
        <v>-617</v>
      </c>
      <c r="D670" s="96" t="s">
        <v>928</v>
      </c>
      <c r="E670" s="94" t="s">
        <v>23</v>
      </c>
      <c r="F670" s="98" t="str">
        <f t="shared" si="216"/>
        <v>B</v>
      </c>
      <c r="G670" s="110">
        <f ca="1">SUMIF($A:E,$A670,K:K)</f>
        <v>1998</v>
      </c>
      <c r="H670" s="97" t="s">
        <v>616</v>
      </c>
      <c r="I670" s="98">
        <v>1998</v>
      </c>
      <c r="J670" s="97">
        <v>400</v>
      </c>
      <c r="K670" s="143">
        <f t="shared" si="206"/>
        <v>400</v>
      </c>
      <c r="L670" s="144">
        <f t="shared" si="219"/>
        <v>0</v>
      </c>
      <c r="M670" s="275">
        <f t="shared" si="220"/>
        <v>3996</v>
      </c>
      <c r="N670" s="98">
        <v>2</v>
      </c>
      <c r="O670" s="93">
        <f t="shared" si="218"/>
        <v>100</v>
      </c>
      <c r="HC670" s="100">
        <v>18</v>
      </c>
      <c r="HD670" s="100">
        <v>19</v>
      </c>
      <c r="HE670" s="100">
        <v>17</v>
      </c>
      <c r="HG670" s="100">
        <v>22</v>
      </c>
      <c r="HJ670" s="100">
        <v>12</v>
      </c>
      <c r="HL670" s="100">
        <v>16</v>
      </c>
      <c r="HM670" s="100">
        <v>19</v>
      </c>
      <c r="HN670" s="100">
        <v>17</v>
      </c>
      <c r="HQ670" s="100">
        <v>24</v>
      </c>
      <c r="HR670" s="100">
        <v>22</v>
      </c>
      <c r="HT670" s="100">
        <v>28</v>
      </c>
      <c r="HU670" s="100">
        <v>14</v>
      </c>
      <c r="HX670" s="100">
        <v>11</v>
      </c>
      <c r="HY670" s="100">
        <v>38</v>
      </c>
      <c r="IB670" s="100">
        <v>16</v>
      </c>
      <c r="IE670" s="100">
        <v>44</v>
      </c>
      <c r="IF670" s="100">
        <v>43</v>
      </c>
      <c r="IG670" s="100">
        <v>12</v>
      </c>
      <c r="IH670" s="100">
        <v>8</v>
      </c>
      <c r="ON670" s="100">
        <f t="shared" si="209"/>
        <v>0</v>
      </c>
    </row>
    <row r="671" spans="1:404" ht="23.25" customHeight="1">
      <c r="A671" s="97" t="str">
        <f t="shared" si="217"/>
        <v>003T/PLANTAGEN-2168-70900-X2-B</v>
      </c>
      <c r="B671" s="95">
        <v>44447</v>
      </c>
      <c r="C671" s="97">
        <f t="shared" ca="1" si="214"/>
        <v>-617</v>
      </c>
      <c r="D671" s="96" t="s">
        <v>928</v>
      </c>
      <c r="E671" s="261" t="s">
        <v>23</v>
      </c>
      <c r="F671" s="133" t="str">
        <f t="shared" si="216"/>
        <v>B</v>
      </c>
      <c r="G671" s="140">
        <f ca="1">SUMIF($A:E,$A671,K:K)</f>
        <v>1998</v>
      </c>
      <c r="H671" s="138" t="s">
        <v>820</v>
      </c>
      <c r="I671" s="133">
        <v>1998</v>
      </c>
      <c r="J671" s="138">
        <f>1998-J668-J669-J670</f>
        <v>90</v>
      </c>
      <c r="K671" s="143">
        <f t="shared" si="206"/>
        <v>90</v>
      </c>
      <c r="L671" s="155">
        <f t="shared" si="219"/>
        <v>0</v>
      </c>
      <c r="M671" s="275">
        <f t="shared" si="220"/>
        <v>3996</v>
      </c>
      <c r="N671" s="133">
        <v>5</v>
      </c>
      <c r="O671" s="93">
        <f t="shared" si="218"/>
        <v>100</v>
      </c>
      <c r="HI671" s="100">
        <v>8</v>
      </c>
      <c r="HJ671" s="100">
        <v>19</v>
      </c>
      <c r="HK671" s="100">
        <v>15</v>
      </c>
      <c r="HL671" s="100">
        <v>25</v>
      </c>
      <c r="HM671" s="100">
        <v>15</v>
      </c>
      <c r="HW671" s="100">
        <v>8</v>
      </c>
      <c r="ON671" s="100">
        <f t="shared" si="209"/>
        <v>0</v>
      </c>
    </row>
    <row r="672" spans="1:404" ht="23.25" customHeight="1">
      <c r="A672" s="97" t="str">
        <f t="shared" si="217"/>
        <v>202/KHBS-2168-70900-X2-B</v>
      </c>
      <c r="B672" s="95">
        <v>44362</v>
      </c>
      <c r="C672" s="97">
        <f t="shared" ca="1" si="214"/>
        <v>-702</v>
      </c>
      <c r="D672" s="96" t="s">
        <v>1077</v>
      </c>
      <c r="E672" s="94" t="s">
        <v>23</v>
      </c>
      <c r="F672" s="98" t="str">
        <f t="shared" si="216"/>
        <v>B</v>
      </c>
      <c r="G672" s="110">
        <f ca="1">SUMIF($A:E,$A672,K:K)</f>
        <v>4</v>
      </c>
      <c r="H672" s="97" t="s">
        <v>508</v>
      </c>
      <c r="I672" s="98">
        <v>2</v>
      </c>
      <c r="J672" s="99">
        <v>2</v>
      </c>
      <c r="K672" s="143">
        <f t="shared" si="206"/>
        <v>2</v>
      </c>
      <c r="L672" s="151">
        <f t="shared" si="219"/>
        <v>0</v>
      </c>
      <c r="M672" s="275">
        <f t="shared" si="220"/>
        <v>4</v>
      </c>
      <c r="N672" s="98">
        <v>3</v>
      </c>
      <c r="O672" s="93">
        <f t="shared" si="218"/>
        <v>100</v>
      </c>
      <c r="FE672" s="100">
        <v>2</v>
      </c>
      <c r="ON672" s="100">
        <f t="shared" si="209"/>
        <v>0</v>
      </c>
    </row>
    <row r="673" spans="1:404" ht="23.25" customHeight="1">
      <c r="A673" s="97" t="str">
        <f t="shared" si="217"/>
        <v>202/KHBS-2168-70900-X2-B</v>
      </c>
      <c r="B673" s="95">
        <v>44362</v>
      </c>
      <c r="C673" s="97">
        <f t="shared" ca="1" si="214"/>
        <v>-702</v>
      </c>
      <c r="D673" s="96" t="s">
        <v>1077</v>
      </c>
      <c r="E673" s="94" t="s">
        <v>23</v>
      </c>
      <c r="F673" s="98" t="str">
        <f t="shared" si="216"/>
        <v>B</v>
      </c>
      <c r="G673" s="110">
        <f ca="1">SUMIF($A:E,$A673,K:K)</f>
        <v>4</v>
      </c>
      <c r="H673" s="97" t="s">
        <v>508</v>
      </c>
      <c r="I673" s="98">
        <v>2</v>
      </c>
      <c r="J673" s="99">
        <v>2</v>
      </c>
      <c r="K673" s="143">
        <f t="shared" si="206"/>
        <v>2</v>
      </c>
      <c r="L673" s="151">
        <f t="shared" si="219"/>
        <v>0</v>
      </c>
      <c r="M673" s="275">
        <f t="shared" si="220"/>
        <v>4</v>
      </c>
      <c r="N673" s="98">
        <v>3</v>
      </c>
      <c r="O673" s="93">
        <f t="shared" si="218"/>
        <v>100</v>
      </c>
      <c r="FF673" s="100">
        <v>2</v>
      </c>
      <c r="ON673" s="100">
        <f t="shared" si="209"/>
        <v>0</v>
      </c>
    </row>
    <row r="674" spans="1:404" ht="23.25" customHeight="1">
      <c r="A674" s="97" t="str">
        <f t="shared" si="217"/>
        <v>207/KHBS-2168-70900-X2-B</v>
      </c>
      <c r="B674" s="126">
        <v>44373</v>
      </c>
      <c r="C674" s="127">
        <f t="shared" ca="1" si="214"/>
        <v>-691</v>
      </c>
      <c r="D674" s="128" t="s">
        <v>1159</v>
      </c>
      <c r="E674" s="129" t="s">
        <v>23</v>
      </c>
      <c r="F674" s="132" t="str">
        <f t="shared" ref="F674:F687" si="221">MID(E674,13,2)</f>
        <v>B</v>
      </c>
      <c r="G674" s="130">
        <f ca="1">SUMIF($A:E,$A674,K:K)</f>
        <v>1</v>
      </c>
      <c r="H674" s="127" t="s">
        <v>933</v>
      </c>
      <c r="I674" s="132">
        <v>1</v>
      </c>
      <c r="J674" s="131">
        <v>1</v>
      </c>
      <c r="K674" s="143">
        <f t="shared" si="206"/>
        <v>1</v>
      </c>
      <c r="L674" s="151">
        <f t="shared" si="219"/>
        <v>0</v>
      </c>
      <c r="M674" s="275">
        <f t="shared" si="220"/>
        <v>2</v>
      </c>
      <c r="N674" s="132">
        <v>4</v>
      </c>
      <c r="O674" s="93">
        <f t="shared" si="218"/>
        <v>100</v>
      </c>
      <c r="FM674" s="100">
        <v>1</v>
      </c>
      <c r="ON674" s="100">
        <f t="shared" si="209"/>
        <v>0</v>
      </c>
    </row>
    <row r="675" spans="1:404" ht="23.25" customHeight="1">
      <c r="A675" s="97" t="str">
        <f t="shared" si="217"/>
        <v>265/KHBS-2168-70900-X2-B</v>
      </c>
      <c r="B675" s="95">
        <v>44464</v>
      </c>
      <c r="C675" s="97">
        <f t="shared" ca="1" si="214"/>
        <v>-600</v>
      </c>
      <c r="D675" s="96" t="s">
        <v>1843</v>
      </c>
      <c r="E675" s="94" t="s">
        <v>23</v>
      </c>
      <c r="F675" s="98" t="str">
        <f t="shared" si="221"/>
        <v>B</v>
      </c>
      <c r="G675" s="110">
        <f ca="1">SUMIF($A:E,$A675,K:K)</f>
        <v>1</v>
      </c>
      <c r="H675" s="127" t="s">
        <v>1593</v>
      </c>
      <c r="I675" s="132">
        <v>1</v>
      </c>
      <c r="J675" s="131">
        <v>1</v>
      </c>
      <c r="K675" s="143">
        <f t="shared" si="206"/>
        <v>1</v>
      </c>
      <c r="L675" s="144">
        <f t="shared" si="219"/>
        <v>0</v>
      </c>
      <c r="M675" s="275">
        <f t="shared" si="220"/>
        <v>2</v>
      </c>
      <c r="N675" s="98">
        <v>1</v>
      </c>
      <c r="O675" s="93">
        <f t="shared" si="218"/>
        <v>100</v>
      </c>
      <c r="IS675" s="100">
        <v>1</v>
      </c>
      <c r="ON675" s="100">
        <f t="shared" si="209"/>
        <v>0</v>
      </c>
    </row>
    <row r="676" spans="1:404" ht="23.25" customHeight="1">
      <c r="A676" s="97" t="str">
        <f t="shared" si="217"/>
        <v>001/ANNA-2168-70900-X1-A</v>
      </c>
      <c r="B676" s="126">
        <v>44395</v>
      </c>
      <c r="C676" s="127">
        <f t="shared" ca="1" si="214"/>
        <v>-669</v>
      </c>
      <c r="D676" s="164" t="s">
        <v>862</v>
      </c>
      <c r="E676" s="226" t="s">
        <v>880</v>
      </c>
      <c r="F676" s="132" t="str">
        <f t="shared" si="221"/>
        <v>A</v>
      </c>
      <c r="G676" s="130">
        <f ca="1">SUMIF($A:E,$A676,K:K)</f>
        <v>100</v>
      </c>
      <c r="H676" s="127" t="s">
        <v>882</v>
      </c>
      <c r="I676" s="203">
        <v>100</v>
      </c>
      <c r="J676" s="134">
        <v>100</v>
      </c>
      <c r="K676" s="143">
        <f t="shared" si="206"/>
        <v>100</v>
      </c>
      <c r="L676" s="151">
        <f t="shared" si="219"/>
        <v>0</v>
      </c>
      <c r="M676" s="275">
        <f t="shared" si="220"/>
        <v>100</v>
      </c>
      <c r="N676" s="132">
        <v>3</v>
      </c>
      <c r="O676" s="93">
        <f t="shared" si="218"/>
        <v>100</v>
      </c>
      <c r="EO676" s="100">
        <v>13</v>
      </c>
      <c r="EP676" s="100">
        <v>14</v>
      </c>
      <c r="ER676" s="100">
        <v>28</v>
      </c>
      <c r="ET676" s="100">
        <v>11</v>
      </c>
      <c r="EU676" s="100">
        <v>10</v>
      </c>
      <c r="EV676" s="100">
        <v>20</v>
      </c>
      <c r="EW676" s="100">
        <v>1</v>
      </c>
      <c r="EX676" s="100">
        <v>2</v>
      </c>
      <c r="FQ676" s="100">
        <v>1</v>
      </c>
      <c r="ON676" s="100">
        <f t="shared" si="209"/>
        <v>0</v>
      </c>
    </row>
    <row r="677" spans="1:404" ht="23.25" customHeight="1">
      <c r="A677" s="97" t="str">
        <f t="shared" ref="A677:A686" si="222">D677&amp;E677</f>
        <v>003/ANNA-VG-21(đ6)68-70900-X1-A</v>
      </c>
      <c r="B677" s="95">
        <v>44607</v>
      </c>
      <c r="C677" s="97">
        <f t="shared" ca="1" si="214"/>
        <v>-457</v>
      </c>
      <c r="D677" s="112" t="s">
        <v>1668</v>
      </c>
      <c r="E677" s="279" t="s">
        <v>880</v>
      </c>
      <c r="F677" s="98" t="str">
        <f t="shared" si="221"/>
        <v>A</v>
      </c>
      <c r="G677" s="110">
        <f ca="1">SUMIF($A:E,$A677,K:K)</f>
        <v>175</v>
      </c>
      <c r="H677" s="208" t="s">
        <v>990</v>
      </c>
      <c r="I677" s="175">
        <v>100</v>
      </c>
      <c r="J677" s="115">
        <v>100</v>
      </c>
      <c r="K677" s="143">
        <f t="shared" si="206"/>
        <v>175</v>
      </c>
      <c r="L677" s="151">
        <f t="shared" si="219"/>
        <v>-75</v>
      </c>
      <c r="M677" s="275">
        <f t="shared" si="220"/>
        <v>100</v>
      </c>
      <c r="N677" s="98" t="s">
        <v>1768</v>
      </c>
      <c r="O677" s="93">
        <f>K677/J677*100</f>
        <v>175</v>
      </c>
      <c r="NM677" s="100">
        <v>10</v>
      </c>
      <c r="NN677" s="100">
        <v>15</v>
      </c>
      <c r="NS677" s="100">
        <v>20</v>
      </c>
      <c r="NU677" s="100">
        <v>20</v>
      </c>
      <c r="NV677" s="100">
        <v>20</v>
      </c>
      <c r="NY677" s="100">
        <v>15</v>
      </c>
      <c r="ON677" s="100">
        <f t="shared" si="209"/>
        <v>75</v>
      </c>
    </row>
    <row r="678" spans="1:404" ht="23.25" customHeight="1">
      <c r="A678" s="97" t="str">
        <f t="shared" si="222"/>
        <v>001/ANNA-2168-70900-X1-39</v>
      </c>
      <c r="B678" s="126">
        <v>44403</v>
      </c>
      <c r="C678" s="127">
        <f t="shared" ca="1" si="214"/>
        <v>-661</v>
      </c>
      <c r="D678" s="164" t="s">
        <v>862</v>
      </c>
      <c r="E678" s="265" t="s">
        <v>879</v>
      </c>
      <c r="F678" s="98" t="str">
        <f t="shared" si="221"/>
        <v>39</v>
      </c>
      <c r="G678" s="110">
        <f ca="1">SUMIF($A:E,$A678,K:K)</f>
        <v>75</v>
      </c>
      <c r="H678" s="127" t="s">
        <v>881</v>
      </c>
      <c r="I678" s="203">
        <v>75</v>
      </c>
      <c r="J678" s="134">
        <v>75</v>
      </c>
      <c r="K678" s="143">
        <f t="shared" si="206"/>
        <v>75</v>
      </c>
      <c r="L678" s="151">
        <f t="shared" si="219"/>
        <v>0</v>
      </c>
      <c r="M678" s="275">
        <f t="shared" si="220"/>
        <v>75</v>
      </c>
      <c r="N678" s="132">
        <v>5</v>
      </c>
      <c r="O678" s="93">
        <f t="shared" si="218"/>
        <v>100</v>
      </c>
      <c r="EJ678" s="100">
        <v>5</v>
      </c>
      <c r="EK678" s="100">
        <v>5</v>
      </c>
      <c r="EQ678" s="100">
        <v>8</v>
      </c>
      <c r="ER678" s="100">
        <v>10</v>
      </c>
      <c r="ET678" s="100">
        <v>5</v>
      </c>
      <c r="EU678" s="100">
        <v>10</v>
      </c>
      <c r="EV678" s="100">
        <v>10</v>
      </c>
      <c r="EW678" s="100">
        <v>10</v>
      </c>
      <c r="EX678" s="100">
        <v>4</v>
      </c>
      <c r="EY678" s="100">
        <v>8</v>
      </c>
      <c r="ON678" s="100">
        <f t="shared" si="209"/>
        <v>0</v>
      </c>
    </row>
    <row r="679" spans="1:404" ht="23.25" customHeight="1">
      <c r="A679" s="97" t="str">
        <f t="shared" si="222"/>
        <v>001/ANNA-2168-70900-X1-06</v>
      </c>
      <c r="B679" s="95">
        <v>44403</v>
      </c>
      <c r="C679" s="127">
        <f t="shared" ca="1" si="214"/>
        <v>-661</v>
      </c>
      <c r="D679" s="159" t="s">
        <v>862</v>
      </c>
      <c r="E679" s="123" t="s">
        <v>878</v>
      </c>
      <c r="F679" s="98" t="str">
        <f t="shared" si="221"/>
        <v>06</v>
      </c>
      <c r="G679" s="110">
        <f ca="1">SUMIF($A:E,$A679,K:K)</f>
        <v>25</v>
      </c>
      <c r="H679" s="97" t="s">
        <v>881</v>
      </c>
      <c r="I679" s="175">
        <v>25</v>
      </c>
      <c r="J679" s="115">
        <v>25</v>
      </c>
      <c r="K679" s="143">
        <f t="shared" si="206"/>
        <v>25</v>
      </c>
      <c r="L679" s="151">
        <f t="shared" si="219"/>
        <v>0</v>
      </c>
      <c r="M679" s="275">
        <f t="shared" si="220"/>
        <v>25</v>
      </c>
      <c r="N679" s="98">
        <v>5</v>
      </c>
      <c r="O679" s="93">
        <f t="shared" si="218"/>
        <v>100</v>
      </c>
      <c r="EL679" s="100">
        <v>4</v>
      </c>
      <c r="EM679" s="100">
        <v>6</v>
      </c>
      <c r="EN679" s="100">
        <v>5</v>
      </c>
      <c r="EO679" s="100">
        <v>5</v>
      </c>
      <c r="EP679" s="100">
        <v>5</v>
      </c>
      <c r="ON679" s="100">
        <f t="shared" si="209"/>
        <v>0</v>
      </c>
    </row>
    <row r="680" spans="1:404" ht="23.25" customHeight="1">
      <c r="A680" s="97" t="str">
        <f t="shared" si="222"/>
        <v>004/COCOON-2168-70900-X1-01</v>
      </c>
      <c r="B680" s="95">
        <v>44386</v>
      </c>
      <c r="C680" s="97">
        <f t="shared" ca="1" si="214"/>
        <v>-678</v>
      </c>
      <c r="D680" s="145" t="s">
        <v>780</v>
      </c>
      <c r="E680" s="253" t="s">
        <v>783</v>
      </c>
      <c r="F680" s="98" t="str">
        <f t="shared" si="221"/>
        <v>01</v>
      </c>
      <c r="G680" s="110">
        <f ca="1">SUMIF($A:E,$A680,K:K)</f>
        <v>60</v>
      </c>
      <c r="H680" s="97" t="s">
        <v>784</v>
      </c>
      <c r="I680" s="196">
        <v>60</v>
      </c>
      <c r="J680" s="146">
        <v>60</v>
      </c>
      <c r="K680" s="143">
        <f t="shared" si="206"/>
        <v>60</v>
      </c>
      <c r="L680" s="144">
        <f t="shared" si="219"/>
        <v>0</v>
      </c>
      <c r="M680" s="275">
        <f t="shared" si="220"/>
        <v>60</v>
      </c>
      <c r="N680" s="98">
        <v>2</v>
      </c>
      <c r="O680" s="93">
        <f t="shared" si="218"/>
        <v>100</v>
      </c>
      <c r="EI680" s="100">
        <v>5</v>
      </c>
      <c r="EJ680" s="100">
        <v>10</v>
      </c>
      <c r="EK680" s="100">
        <v>9</v>
      </c>
      <c r="EL680" s="100">
        <v>10</v>
      </c>
      <c r="EM680" s="100">
        <v>6</v>
      </c>
      <c r="EN680" s="100">
        <v>6</v>
      </c>
      <c r="EO680" s="100">
        <v>7</v>
      </c>
      <c r="EP680" s="100">
        <v>5</v>
      </c>
      <c r="ER680" s="100">
        <v>2</v>
      </c>
      <c r="ON680" s="100">
        <f t="shared" si="209"/>
        <v>0</v>
      </c>
    </row>
    <row r="681" spans="1:404" ht="23.25" customHeight="1">
      <c r="A681" s="97" t="str">
        <f t="shared" si="222"/>
        <v>003T/PLANTAGEN-2168-70900-L4-B</v>
      </c>
      <c r="B681" s="95">
        <v>44447</v>
      </c>
      <c r="C681" s="97">
        <f t="shared" ca="1" si="214"/>
        <v>-617</v>
      </c>
      <c r="D681" s="96" t="s">
        <v>928</v>
      </c>
      <c r="E681" s="94" t="s">
        <v>245</v>
      </c>
      <c r="F681" s="98" t="str">
        <f t="shared" si="221"/>
        <v>B</v>
      </c>
      <c r="G681" s="110">
        <f ca="1">SUMIF($A:E,$A681,K:K)</f>
        <v>1192</v>
      </c>
      <c r="H681" s="97" t="s">
        <v>820</v>
      </c>
      <c r="I681" s="98">
        <v>1192</v>
      </c>
      <c r="J681" s="97">
        <v>250</v>
      </c>
      <c r="K681" s="143">
        <f t="shared" si="206"/>
        <v>250</v>
      </c>
      <c r="L681" s="144">
        <f t="shared" si="219"/>
        <v>0</v>
      </c>
      <c r="M681" s="275">
        <f t="shared" si="220"/>
        <v>4768</v>
      </c>
      <c r="N681" s="98">
        <v>5</v>
      </c>
      <c r="O681" s="93">
        <f t="shared" si="218"/>
        <v>100</v>
      </c>
      <c r="EG681" s="100">
        <v>2</v>
      </c>
      <c r="EH681" s="100">
        <v>7</v>
      </c>
      <c r="EI681" s="100">
        <v>19</v>
      </c>
      <c r="EJ681" s="100">
        <v>22</v>
      </c>
      <c r="EK681" s="100">
        <v>22</v>
      </c>
      <c r="EL681" s="100">
        <v>19</v>
      </c>
      <c r="EM681" s="100">
        <v>13</v>
      </c>
      <c r="EN681" s="100">
        <v>17</v>
      </c>
      <c r="EO681" s="100">
        <v>22</v>
      </c>
      <c r="EP681" s="100">
        <v>22</v>
      </c>
      <c r="EQ681" s="100">
        <v>20</v>
      </c>
      <c r="ET681" s="100">
        <v>25</v>
      </c>
      <c r="EU681" s="100">
        <v>29</v>
      </c>
      <c r="EV681" s="100">
        <v>9</v>
      </c>
      <c r="EY681" s="100">
        <v>2</v>
      </c>
      <c r="ON681" s="100">
        <f t="shared" si="209"/>
        <v>0</v>
      </c>
    </row>
    <row r="682" spans="1:404" ht="23.25" customHeight="1">
      <c r="A682" s="97" t="str">
        <f t="shared" si="222"/>
        <v>003T/PLANTAGEN-2168-70900-L4-B</v>
      </c>
      <c r="B682" s="95">
        <v>44447</v>
      </c>
      <c r="C682" s="97">
        <f t="shared" ca="1" si="214"/>
        <v>-617</v>
      </c>
      <c r="D682" s="96" t="s">
        <v>928</v>
      </c>
      <c r="E682" s="94" t="s">
        <v>245</v>
      </c>
      <c r="F682" s="98" t="str">
        <f t="shared" si="221"/>
        <v>B</v>
      </c>
      <c r="G682" s="110">
        <f ca="1">SUMIF($A:E,$A682,K:K)</f>
        <v>1192</v>
      </c>
      <c r="H682" s="97" t="s">
        <v>820</v>
      </c>
      <c r="I682" s="98">
        <v>1192</v>
      </c>
      <c r="J682" s="97">
        <v>250</v>
      </c>
      <c r="K682" s="143">
        <f t="shared" si="206"/>
        <v>250</v>
      </c>
      <c r="L682" s="144">
        <f t="shared" si="219"/>
        <v>0</v>
      </c>
      <c r="M682" s="275">
        <f t="shared" si="220"/>
        <v>4768</v>
      </c>
      <c r="N682" s="98">
        <v>1</v>
      </c>
      <c r="O682" s="93">
        <f t="shared" si="218"/>
        <v>100</v>
      </c>
      <c r="EJ682" s="100">
        <v>7</v>
      </c>
      <c r="EK682" s="100">
        <v>44</v>
      </c>
      <c r="EM682" s="100">
        <v>19</v>
      </c>
      <c r="EN682" s="100">
        <v>20</v>
      </c>
      <c r="EP682" s="100">
        <v>41</v>
      </c>
      <c r="EQ682" s="100">
        <v>5</v>
      </c>
      <c r="ER682" s="100">
        <v>23</v>
      </c>
      <c r="ET682" s="100">
        <v>18</v>
      </c>
      <c r="EU682" s="100">
        <v>48</v>
      </c>
      <c r="EV682" s="100">
        <v>16</v>
      </c>
      <c r="FE682" s="100">
        <v>1</v>
      </c>
      <c r="GG682" s="100">
        <v>3</v>
      </c>
      <c r="GH682" s="100">
        <v>5</v>
      </c>
      <c r="ON682" s="100">
        <f t="shared" si="209"/>
        <v>0</v>
      </c>
    </row>
    <row r="683" spans="1:404" ht="23.25" customHeight="1">
      <c r="A683" s="97" t="str">
        <f t="shared" si="222"/>
        <v>003T/PLANTAGEN-2168-70900-L4-B</v>
      </c>
      <c r="B683" s="95">
        <v>44447</v>
      </c>
      <c r="C683" s="97">
        <f t="shared" ca="1" si="214"/>
        <v>-617</v>
      </c>
      <c r="D683" s="96" t="s">
        <v>928</v>
      </c>
      <c r="E683" s="94" t="s">
        <v>245</v>
      </c>
      <c r="F683" s="98" t="str">
        <f t="shared" si="221"/>
        <v>B</v>
      </c>
      <c r="G683" s="110">
        <f ca="1">SUMIF($A:E,$A683,K:K)</f>
        <v>1192</v>
      </c>
      <c r="H683" s="97" t="s">
        <v>820</v>
      </c>
      <c r="I683" s="98">
        <v>1192</v>
      </c>
      <c r="J683" s="97">
        <v>212</v>
      </c>
      <c r="K683" s="143">
        <f t="shared" si="206"/>
        <v>212</v>
      </c>
      <c r="L683" s="144">
        <f t="shared" si="219"/>
        <v>0</v>
      </c>
      <c r="M683" s="275">
        <f t="shared" si="220"/>
        <v>4768</v>
      </c>
      <c r="N683" s="98">
        <v>2</v>
      </c>
      <c r="O683" s="93">
        <f t="shared" si="218"/>
        <v>100</v>
      </c>
      <c r="EQ683" s="100">
        <v>3</v>
      </c>
      <c r="ER683" s="100">
        <v>26</v>
      </c>
      <c r="EU683" s="100">
        <v>22</v>
      </c>
      <c r="EV683" s="100">
        <v>20</v>
      </c>
      <c r="EW683" s="100">
        <v>20</v>
      </c>
      <c r="EX683" s="100">
        <v>20</v>
      </c>
      <c r="EY683" s="100">
        <v>27</v>
      </c>
      <c r="FA683" s="100">
        <v>20</v>
      </c>
      <c r="FB683" s="100">
        <v>11</v>
      </c>
      <c r="FC683" s="100">
        <v>14</v>
      </c>
      <c r="FD683" s="100">
        <v>12</v>
      </c>
      <c r="FE683" s="100">
        <v>15</v>
      </c>
      <c r="FP683" s="100">
        <v>1</v>
      </c>
      <c r="FR683" s="100">
        <v>1</v>
      </c>
      <c r="ON683" s="100">
        <f t="shared" si="209"/>
        <v>0</v>
      </c>
    </row>
    <row r="684" spans="1:404" ht="23.25" customHeight="1">
      <c r="A684" s="97" t="str">
        <f t="shared" si="222"/>
        <v>003T/PLANTAGEN-2168-70900-L4-B</v>
      </c>
      <c r="B684" s="95">
        <v>44447</v>
      </c>
      <c r="C684" s="97">
        <f t="shared" ca="1" si="214"/>
        <v>-617</v>
      </c>
      <c r="D684" s="96" t="s">
        <v>928</v>
      </c>
      <c r="E684" s="94" t="s">
        <v>245</v>
      </c>
      <c r="F684" s="98" t="str">
        <f t="shared" si="221"/>
        <v>B</v>
      </c>
      <c r="G684" s="110">
        <f ca="1">SUMIF($A:E,$A684,K:K)</f>
        <v>1192</v>
      </c>
      <c r="H684" s="97" t="s">
        <v>820</v>
      </c>
      <c r="I684" s="98">
        <v>1192</v>
      </c>
      <c r="J684" s="97">
        <v>250</v>
      </c>
      <c r="K684" s="143">
        <f t="shared" si="206"/>
        <v>250</v>
      </c>
      <c r="L684" s="144">
        <f t="shared" si="219"/>
        <v>0</v>
      </c>
      <c r="M684" s="275">
        <f t="shared" si="220"/>
        <v>4768</v>
      </c>
      <c r="N684" s="98">
        <v>4</v>
      </c>
      <c r="O684" s="93">
        <f t="shared" si="218"/>
        <v>100</v>
      </c>
      <c r="EH684" s="100">
        <v>19</v>
      </c>
      <c r="EI684" s="100">
        <v>19</v>
      </c>
      <c r="EJ684" s="100">
        <v>13</v>
      </c>
      <c r="EK684" s="100">
        <v>17</v>
      </c>
      <c r="EL684" s="100">
        <v>21</v>
      </c>
      <c r="EM684" s="100">
        <v>21</v>
      </c>
      <c r="EN684" s="100">
        <v>4</v>
      </c>
      <c r="EO684" s="100">
        <v>19</v>
      </c>
      <c r="EP684" s="100">
        <v>15</v>
      </c>
      <c r="EQ684" s="100">
        <v>23</v>
      </c>
      <c r="ER684" s="100">
        <v>21</v>
      </c>
      <c r="ET684" s="100">
        <v>3</v>
      </c>
      <c r="EU684" s="100">
        <v>23</v>
      </c>
      <c r="EY684" s="100">
        <v>3</v>
      </c>
      <c r="FA684" s="100">
        <v>2</v>
      </c>
      <c r="FB684" s="100">
        <v>9</v>
      </c>
      <c r="FC684" s="100">
        <v>8</v>
      </c>
      <c r="FD684" s="100">
        <v>1</v>
      </c>
      <c r="FK684" s="100">
        <v>3</v>
      </c>
      <c r="FL684" s="100">
        <v>6</v>
      </c>
      <c r="ON684" s="100">
        <f t="shared" si="209"/>
        <v>0</v>
      </c>
    </row>
    <row r="685" spans="1:404" ht="23.25" customHeight="1">
      <c r="A685" s="97" t="str">
        <f t="shared" si="222"/>
        <v>003T/PLANTAGEN-2168-70900-L4-B</v>
      </c>
      <c r="B685" s="95">
        <v>44447</v>
      </c>
      <c r="C685" s="97">
        <f t="shared" ref="C685:C742" ca="1" si="223">B685-TODAY()</f>
        <v>-617</v>
      </c>
      <c r="D685" s="96" t="s">
        <v>928</v>
      </c>
      <c r="E685" s="94" t="s">
        <v>245</v>
      </c>
      <c r="F685" s="98" t="str">
        <f t="shared" si="221"/>
        <v>B</v>
      </c>
      <c r="G685" s="110">
        <f ca="1">SUMIF($A:E,$A685,K:K)</f>
        <v>1192</v>
      </c>
      <c r="H685" s="97" t="s">
        <v>820</v>
      </c>
      <c r="I685" s="98">
        <v>1192</v>
      </c>
      <c r="J685" s="97">
        <v>230</v>
      </c>
      <c r="K685" s="143">
        <f t="shared" si="206"/>
        <v>230</v>
      </c>
      <c r="L685" s="144">
        <f t="shared" si="219"/>
        <v>0</v>
      </c>
      <c r="M685" s="275">
        <f t="shared" si="220"/>
        <v>4768</v>
      </c>
      <c r="N685" s="98">
        <v>3</v>
      </c>
      <c r="O685" s="93">
        <f t="shared" si="218"/>
        <v>100</v>
      </c>
      <c r="EM685" s="100">
        <v>20</v>
      </c>
      <c r="EN685" s="100">
        <v>14</v>
      </c>
      <c r="EP685" s="100">
        <f>21+14</f>
        <v>35</v>
      </c>
      <c r="EQ685" s="100">
        <v>2</v>
      </c>
      <c r="ER685" s="100">
        <v>19</v>
      </c>
      <c r="ET685" s="100">
        <v>10</v>
      </c>
      <c r="EU685" s="100">
        <v>22</v>
      </c>
      <c r="EV685" s="100">
        <v>12</v>
      </c>
      <c r="EW685" s="100">
        <v>18</v>
      </c>
      <c r="EX685" s="100">
        <v>14</v>
      </c>
      <c r="FA685" s="100">
        <v>21</v>
      </c>
      <c r="FB685" s="100">
        <v>16</v>
      </c>
      <c r="FC685" s="100">
        <v>5</v>
      </c>
      <c r="FD685" s="100">
        <v>1</v>
      </c>
      <c r="FJ685" s="100">
        <v>4</v>
      </c>
      <c r="FK685" s="100">
        <v>5</v>
      </c>
      <c r="FL685" s="100">
        <v>5</v>
      </c>
      <c r="FQ685" s="100">
        <v>5</v>
      </c>
      <c r="FR685" s="100">
        <v>2</v>
      </c>
      <c r="ON685" s="100">
        <f t="shared" si="209"/>
        <v>0</v>
      </c>
    </row>
    <row r="686" spans="1:404" ht="23.25" customHeight="1">
      <c r="A686" s="97" t="str">
        <f t="shared" si="222"/>
        <v>202/KHBS-2168-70900-L4-B</v>
      </c>
      <c r="B686" s="95">
        <v>44362</v>
      </c>
      <c r="C686" s="97">
        <f t="shared" ca="1" si="223"/>
        <v>-702</v>
      </c>
      <c r="D686" s="96" t="s">
        <v>1077</v>
      </c>
      <c r="E686" s="94" t="s">
        <v>245</v>
      </c>
      <c r="F686" s="98" t="str">
        <f t="shared" si="221"/>
        <v>B</v>
      </c>
      <c r="G686" s="110">
        <f ca="1">SUMIF($A:E,$A686,K:K)</f>
        <v>3</v>
      </c>
      <c r="H686" s="97" t="s">
        <v>508</v>
      </c>
      <c r="I686" s="98">
        <v>3</v>
      </c>
      <c r="J686" s="99">
        <v>3</v>
      </c>
      <c r="K686" s="143">
        <f t="shared" si="206"/>
        <v>3</v>
      </c>
      <c r="L686" s="144">
        <f t="shared" si="219"/>
        <v>0</v>
      </c>
      <c r="M686" s="275">
        <f t="shared" si="220"/>
        <v>12</v>
      </c>
      <c r="N686" s="98">
        <v>3</v>
      </c>
      <c r="O686" s="93">
        <f t="shared" si="218"/>
        <v>100</v>
      </c>
      <c r="FH686" s="100">
        <v>3</v>
      </c>
      <c r="ON686" s="100">
        <f t="shared" si="209"/>
        <v>0</v>
      </c>
    </row>
    <row r="687" spans="1:404" ht="23.25" customHeight="1">
      <c r="A687" s="97" t="e">
        <f>D687&amp;#REF!</f>
        <v>#REF!</v>
      </c>
      <c r="B687" s="95">
        <v>44382</v>
      </c>
      <c r="C687" s="97">
        <f t="shared" ca="1" si="223"/>
        <v>-682</v>
      </c>
      <c r="D687" s="96" t="s">
        <v>1202</v>
      </c>
      <c r="E687" s="94" t="s">
        <v>245</v>
      </c>
      <c r="F687" s="98" t="str">
        <f t="shared" si="221"/>
        <v>B</v>
      </c>
      <c r="G687" s="110">
        <f ca="1">SUMIF($A:E,$A687,K:K)</f>
        <v>1754</v>
      </c>
      <c r="H687" s="97" t="s">
        <v>616</v>
      </c>
      <c r="I687" s="98">
        <v>1</v>
      </c>
      <c r="J687" s="99">
        <v>1</v>
      </c>
      <c r="K687" s="143">
        <f t="shared" si="206"/>
        <v>1</v>
      </c>
      <c r="L687" s="144">
        <f t="shared" si="219"/>
        <v>0</v>
      </c>
      <c r="M687" s="275">
        <f t="shared" si="220"/>
        <v>4</v>
      </c>
      <c r="N687" s="98">
        <v>2</v>
      </c>
      <c r="O687" s="93">
        <f t="shared" si="218"/>
        <v>100</v>
      </c>
      <c r="FV687" s="100">
        <v>1</v>
      </c>
      <c r="ON687" s="100">
        <f t="shared" si="209"/>
        <v>0</v>
      </c>
    </row>
    <row r="688" spans="1:404" ht="23.25" customHeight="1">
      <c r="A688" s="97" t="str">
        <f t="shared" ref="A688:A691" si="224">D688&amp;E688</f>
        <v>003T/PLANTAGEN-2168-70900-L4-01</v>
      </c>
      <c r="B688" s="95">
        <v>44456</v>
      </c>
      <c r="C688" s="97">
        <f t="shared" ca="1" si="223"/>
        <v>-608</v>
      </c>
      <c r="D688" s="96" t="s">
        <v>928</v>
      </c>
      <c r="E688" s="94" t="s">
        <v>570</v>
      </c>
      <c r="F688" s="98" t="str">
        <f t="shared" ref="F688:F716" si="225">MID(E688,13,2)</f>
        <v>01</v>
      </c>
      <c r="G688" s="110">
        <f ca="1">SUMIF($A:E,$A688,K:K)</f>
        <v>496</v>
      </c>
      <c r="H688" s="97" t="s">
        <v>505</v>
      </c>
      <c r="I688" s="98">
        <v>496</v>
      </c>
      <c r="J688" s="97">
        <v>100</v>
      </c>
      <c r="K688" s="143">
        <f t="shared" si="206"/>
        <v>100</v>
      </c>
      <c r="L688" s="144">
        <f t="shared" si="219"/>
        <v>0</v>
      </c>
      <c r="M688" s="275">
        <f t="shared" si="220"/>
        <v>1984</v>
      </c>
      <c r="N688" s="98">
        <v>1</v>
      </c>
      <c r="O688" s="93">
        <f t="shared" ref="O688:O698" si="226">K688/J688*100</f>
        <v>100</v>
      </c>
      <c r="GI688" s="100">
        <v>5</v>
      </c>
      <c r="GJ688" s="100">
        <v>5</v>
      </c>
      <c r="GK688" s="100">
        <v>5</v>
      </c>
      <c r="GL688" s="100">
        <v>6</v>
      </c>
      <c r="GN688" s="100">
        <v>4</v>
      </c>
      <c r="GO688" s="100">
        <v>8</v>
      </c>
      <c r="GP688" s="100">
        <v>6</v>
      </c>
      <c r="GQ688" s="100">
        <v>6</v>
      </c>
      <c r="GR688" s="100">
        <v>6</v>
      </c>
      <c r="GU688" s="100">
        <v>6</v>
      </c>
      <c r="GV688" s="100">
        <v>11</v>
      </c>
      <c r="GW688" s="100">
        <v>7</v>
      </c>
      <c r="GX688" s="100">
        <v>5</v>
      </c>
      <c r="GY688" s="100">
        <v>2</v>
      </c>
      <c r="HB688" s="100">
        <v>10</v>
      </c>
      <c r="HD688" s="100">
        <v>7</v>
      </c>
      <c r="HG688" s="100">
        <v>1</v>
      </c>
      <c r="ON688" s="100">
        <f t="shared" si="209"/>
        <v>0</v>
      </c>
    </row>
    <row r="689" spans="1:404" ht="23.25" customHeight="1">
      <c r="A689" s="97" t="str">
        <f t="shared" si="224"/>
        <v>003T/PLANTAGEN-2168-70900-L4-01</v>
      </c>
      <c r="B689" s="126">
        <v>44456</v>
      </c>
      <c r="C689" s="127">
        <f t="shared" ca="1" si="223"/>
        <v>-608</v>
      </c>
      <c r="D689" s="128" t="s">
        <v>928</v>
      </c>
      <c r="E689" s="129" t="s">
        <v>570</v>
      </c>
      <c r="F689" s="132" t="str">
        <f t="shared" si="225"/>
        <v>01</v>
      </c>
      <c r="G689" s="130">
        <f ca="1">SUMIF($A:E,$A689,K:K)</f>
        <v>496</v>
      </c>
      <c r="H689" s="127" t="s">
        <v>505</v>
      </c>
      <c r="I689" s="132">
        <v>496</v>
      </c>
      <c r="J689" s="127">
        <v>100</v>
      </c>
      <c r="K689" s="143">
        <f t="shared" si="206"/>
        <v>100</v>
      </c>
      <c r="L689" s="151">
        <f t="shared" si="219"/>
        <v>0</v>
      </c>
      <c r="M689" s="275">
        <f t="shared" si="220"/>
        <v>1984</v>
      </c>
      <c r="N689" s="132">
        <v>2</v>
      </c>
      <c r="O689" s="93">
        <f t="shared" si="226"/>
        <v>100</v>
      </c>
      <c r="GH689" s="100">
        <v>9</v>
      </c>
      <c r="GI689" s="100">
        <v>7</v>
      </c>
      <c r="GJ689" s="100">
        <v>5</v>
      </c>
      <c r="GK689" s="100">
        <v>10</v>
      </c>
      <c r="GL689" s="100">
        <v>11</v>
      </c>
      <c r="GN689" s="100">
        <v>9</v>
      </c>
      <c r="GO689" s="100">
        <v>4</v>
      </c>
      <c r="GP689" s="100">
        <v>6</v>
      </c>
      <c r="GQ689" s="100">
        <v>6</v>
      </c>
      <c r="GR689" s="100">
        <v>6</v>
      </c>
      <c r="GS689" s="100">
        <v>13</v>
      </c>
      <c r="GU689" s="100">
        <v>7</v>
      </c>
      <c r="GV689" s="100">
        <v>2</v>
      </c>
      <c r="GY689" s="100">
        <v>2</v>
      </c>
      <c r="HI689" s="100">
        <v>3</v>
      </c>
      <c r="ON689" s="100">
        <f t="shared" si="209"/>
        <v>0</v>
      </c>
    </row>
    <row r="690" spans="1:404" ht="23.25" customHeight="1">
      <c r="A690" s="97" t="str">
        <f t="shared" si="224"/>
        <v>003T/PLANTAGEN-2168-70900-L4-01</v>
      </c>
      <c r="B690" s="95">
        <v>44456</v>
      </c>
      <c r="C690" s="97">
        <f t="shared" ca="1" si="223"/>
        <v>-608</v>
      </c>
      <c r="D690" s="96" t="s">
        <v>928</v>
      </c>
      <c r="E690" s="94" t="s">
        <v>570</v>
      </c>
      <c r="F690" s="98" t="str">
        <f t="shared" si="225"/>
        <v>01</v>
      </c>
      <c r="G690" s="110">
        <f ca="1">SUMIF($A:E,$A690,K:K)</f>
        <v>496</v>
      </c>
      <c r="H690" s="97" t="s">
        <v>505</v>
      </c>
      <c r="I690" s="98">
        <v>496</v>
      </c>
      <c r="J690" s="97">
        <v>196</v>
      </c>
      <c r="K690" s="143">
        <f t="shared" si="206"/>
        <v>196</v>
      </c>
      <c r="L690" s="144">
        <f t="shared" si="219"/>
        <v>0</v>
      </c>
      <c r="M690" s="275">
        <f t="shared" si="220"/>
        <v>1984</v>
      </c>
      <c r="N690" s="98">
        <v>5</v>
      </c>
      <c r="O690" s="93">
        <f t="shared" si="226"/>
        <v>100</v>
      </c>
      <c r="GG690" s="100">
        <v>11</v>
      </c>
      <c r="GH690" s="100">
        <v>3</v>
      </c>
      <c r="GI690" s="100">
        <v>11</v>
      </c>
      <c r="GJ690" s="100">
        <v>7</v>
      </c>
      <c r="GK690" s="100">
        <v>12</v>
      </c>
      <c r="GL690" s="100">
        <v>9</v>
      </c>
      <c r="GN690" s="100">
        <v>20</v>
      </c>
      <c r="GQ690" s="100">
        <v>5</v>
      </c>
      <c r="GR690" s="100">
        <v>7</v>
      </c>
      <c r="GS690" s="100">
        <v>10</v>
      </c>
      <c r="GU690" s="100">
        <v>20</v>
      </c>
      <c r="GV690" s="100">
        <v>4</v>
      </c>
      <c r="GW690" s="100">
        <v>10</v>
      </c>
      <c r="GX690" s="100">
        <v>10</v>
      </c>
      <c r="GY690" s="100">
        <v>5</v>
      </c>
      <c r="GZ690" s="100">
        <v>5</v>
      </c>
      <c r="HB690" s="100">
        <v>10</v>
      </c>
      <c r="HC690" s="100">
        <v>5</v>
      </c>
      <c r="HD690" s="100">
        <v>10</v>
      </c>
      <c r="HE690" s="100">
        <v>9</v>
      </c>
      <c r="HF690" s="100">
        <v>11</v>
      </c>
      <c r="HI690" s="100">
        <v>2</v>
      </c>
      <c r="ON690" s="100">
        <f t="shared" si="209"/>
        <v>0</v>
      </c>
    </row>
    <row r="691" spans="1:404" ht="23.25" customHeight="1">
      <c r="A691" s="97" t="str">
        <f t="shared" si="224"/>
        <v>003T/PLANTAGEN-2168-70900-L4-01</v>
      </c>
      <c r="B691" s="95">
        <v>44456</v>
      </c>
      <c r="C691" s="97">
        <f t="shared" ca="1" si="223"/>
        <v>-608</v>
      </c>
      <c r="D691" s="96" t="s">
        <v>928</v>
      </c>
      <c r="E691" s="94" t="s">
        <v>570</v>
      </c>
      <c r="F691" s="98" t="str">
        <f t="shared" si="225"/>
        <v>01</v>
      </c>
      <c r="G691" s="110">
        <f ca="1">SUMIF($A:E,$A691,K:K)</f>
        <v>496</v>
      </c>
      <c r="H691" s="97" t="s">
        <v>505</v>
      </c>
      <c r="I691" s="98">
        <v>496</v>
      </c>
      <c r="J691" s="97">
        <f>496-J688-J689-J690</f>
        <v>100</v>
      </c>
      <c r="K691" s="143">
        <f t="shared" si="206"/>
        <v>100</v>
      </c>
      <c r="L691" s="144">
        <f t="shared" si="219"/>
        <v>0</v>
      </c>
      <c r="M691" s="275">
        <f t="shared" si="220"/>
        <v>1984</v>
      </c>
      <c r="N691" s="98">
        <v>3</v>
      </c>
      <c r="O691" s="93">
        <f t="shared" si="226"/>
        <v>100</v>
      </c>
      <c r="GW691" s="100">
        <v>13</v>
      </c>
      <c r="GX691" s="100">
        <v>14</v>
      </c>
      <c r="GY691" s="100">
        <v>14</v>
      </c>
      <c r="GZ691" s="100">
        <v>14</v>
      </c>
      <c r="HB691" s="100">
        <v>13</v>
      </c>
      <c r="HC691" s="100">
        <v>4</v>
      </c>
      <c r="HE691" s="100">
        <v>15</v>
      </c>
      <c r="HI691" s="100">
        <v>7</v>
      </c>
      <c r="HJ691" s="100">
        <v>6</v>
      </c>
      <c r="ON691" s="100">
        <f t="shared" si="209"/>
        <v>0</v>
      </c>
    </row>
    <row r="692" spans="1:404" ht="23.25" customHeight="1">
      <c r="A692" s="97" t="str">
        <f>D692&amp;E693</f>
        <v>210/KHBS-2168-70900-L3-78</v>
      </c>
      <c r="B692" s="95">
        <v>44382</v>
      </c>
      <c r="C692" s="97">
        <f t="shared" ca="1" si="223"/>
        <v>-682</v>
      </c>
      <c r="D692" s="96" t="s">
        <v>1202</v>
      </c>
      <c r="E692" s="94" t="s">
        <v>1204</v>
      </c>
      <c r="F692" s="98" t="str">
        <f t="shared" si="225"/>
        <v>B</v>
      </c>
      <c r="G692" s="110">
        <f ca="1">SUMIF($A:E,$A692,K:K)</f>
        <v>1</v>
      </c>
      <c r="H692" s="97" t="s">
        <v>616</v>
      </c>
      <c r="I692" s="98">
        <v>1</v>
      </c>
      <c r="J692" s="99">
        <v>1</v>
      </c>
      <c r="K692" s="143">
        <f t="shared" si="206"/>
        <v>1</v>
      </c>
      <c r="L692" s="144">
        <f t="shared" si="219"/>
        <v>0</v>
      </c>
      <c r="M692" s="275">
        <f t="shared" si="220"/>
        <v>3</v>
      </c>
      <c r="N692" s="98">
        <v>2</v>
      </c>
      <c r="O692" s="93">
        <f t="shared" si="226"/>
        <v>100</v>
      </c>
      <c r="FV692" s="100">
        <v>1</v>
      </c>
      <c r="ON692" s="100">
        <f t="shared" si="209"/>
        <v>0</v>
      </c>
    </row>
    <row r="693" spans="1:404" ht="23.25" customHeight="1">
      <c r="A693" s="97" t="str">
        <f t="shared" ref="A693:A714" si="227">D693&amp;E693</f>
        <v>006/CANADIAN-2168-70900-L3-78</v>
      </c>
      <c r="B693" s="95">
        <v>44435</v>
      </c>
      <c r="C693" s="97">
        <f t="shared" ca="1" si="223"/>
        <v>-629</v>
      </c>
      <c r="D693" s="96" t="s">
        <v>934</v>
      </c>
      <c r="E693" s="116" t="s">
        <v>935</v>
      </c>
      <c r="F693" s="98" t="str">
        <f t="shared" si="225"/>
        <v>78</v>
      </c>
      <c r="G693" s="110">
        <f ca="1">SUMIF($A:E,$A693,K:K)</f>
        <v>16</v>
      </c>
      <c r="H693" s="97" t="s">
        <v>505</v>
      </c>
      <c r="I693" s="98">
        <v>16</v>
      </c>
      <c r="J693" s="97">
        <v>16</v>
      </c>
      <c r="K693" s="143">
        <f t="shared" si="206"/>
        <v>16</v>
      </c>
      <c r="L693" s="144">
        <f t="shared" si="219"/>
        <v>0</v>
      </c>
      <c r="M693" s="275">
        <f t="shared" si="220"/>
        <v>48</v>
      </c>
      <c r="N693" s="98">
        <v>2</v>
      </c>
      <c r="O693" s="93">
        <f t="shared" si="226"/>
        <v>100</v>
      </c>
      <c r="HD693" s="100">
        <v>7</v>
      </c>
      <c r="HE693" s="100">
        <v>8</v>
      </c>
      <c r="HF693" s="100">
        <v>1</v>
      </c>
      <c r="ON693" s="100">
        <f t="shared" si="209"/>
        <v>0</v>
      </c>
    </row>
    <row r="694" spans="1:404" ht="23.25" customHeight="1">
      <c r="A694" s="97" t="str">
        <f t="shared" si="227"/>
        <v>005/CANADIAN-2168-70900-L3-78</v>
      </c>
      <c r="B694" s="95">
        <v>44435</v>
      </c>
      <c r="C694" s="97">
        <f t="shared" ca="1" si="223"/>
        <v>-629</v>
      </c>
      <c r="D694" s="96" t="s">
        <v>936</v>
      </c>
      <c r="E694" s="116" t="s">
        <v>935</v>
      </c>
      <c r="F694" s="98" t="str">
        <f t="shared" si="225"/>
        <v>78</v>
      </c>
      <c r="G694" s="110">
        <f ca="1">SUMIF($A:E,$A694,K:K)</f>
        <v>16</v>
      </c>
      <c r="H694" s="97" t="s">
        <v>505</v>
      </c>
      <c r="I694" s="98">
        <v>16</v>
      </c>
      <c r="J694" s="97">
        <v>16</v>
      </c>
      <c r="K694" s="143">
        <f t="shared" si="206"/>
        <v>16</v>
      </c>
      <c r="L694" s="144">
        <f t="shared" si="219"/>
        <v>0</v>
      </c>
      <c r="M694" s="275">
        <f t="shared" si="220"/>
        <v>48</v>
      </c>
      <c r="N694" s="98">
        <v>2</v>
      </c>
      <c r="O694" s="93">
        <f t="shared" si="226"/>
        <v>100</v>
      </c>
      <c r="HB694" s="100">
        <v>10</v>
      </c>
      <c r="HC694" s="100">
        <v>5</v>
      </c>
      <c r="HD694" s="100">
        <v>1</v>
      </c>
      <c r="ON694" s="100">
        <f t="shared" si="209"/>
        <v>0</v>
      </c>
    </row>
    <row r="695" spans="1:404" ht="23.25" customHeight="1">
      <c r="A695" s="97" t="str">
        <f t="shared" si="227"/>
        <v>014/CANADIAN-2168-70900-L3-78</v>
      </c>
      <c r="B695" s="95">
        <v>44468</v>
      </c>
      <c r="C695" s="97">
        <f t="shared" ca="1" si="223"/>
        <v>-596</v>
      </c>
      <c r="D695" s="96" t="s">
        <v>998</v>
      </c>
      <c r="E695" s="113" t="s">
        <v>935</v>
      </c>
      <c r="F695" s="98" t="str">
        <f t="shared" si="225"/>
        <v>78</v>
      </c>
      <c r="G695" s="110">
        <f ca="1">SUMIF($A:E,$A695,K:K)</f>
        <v>16</v>
      </c>
      <c r="H695" s="97" t="s">
        <v>505</v>
      </c>
      <c r="I695" s="98">
        <v>16</v>
      </c>
      <c r="J695" s="99">
        <v>16</v>
      </c>
      <c r="K695" s="143">
        <f t="shared" si="206"/>
        <v>16</v>
      </c>
      <c r="L695" s="144">
        <f t="shared" si="219"/>
        <v>0</v>
      </c>
      <c r="M695" s="275">
        <f t="shared" si="220"/>
        <v>48</v>
      </c>
      <c r="N695" s="98">
        <v>2</v>
      </c>
      <c r="O695" s="93">
        <f t="shared" si="226"/>
        <v>100</v>
      </c>
      <c r="HF695" s="100">
        <v>12</v>
      </c>
      <c r="HG695" s="100">
        <v>4</v>
      </c>
      <c r="ON695" s="100">
        <f t="shared" si="209"/>
        <v>0</v>
      </c>
    </row>
    <row r="696" spans="1:404" ht="23.25" customHeight="1">
      <c r="A696" s="97" t="str">
        <f t="shared" si="227"/>
        <v>012/CANADIAN-2168-70900-L3-78</v>
      </c>
      <c r="B696" s="95">
        <v>44464</v>
      </c>
      <c r="C696" s="97">
        <f t="shared" ca="1" si="223"/>
        <v>-600</v>
      </c>
      <c r="D696" s="96" t="s">
        <v>999</v>
      </c>
      <c r="E696" s="113" t="s">
        <v>935</v>
      </c>
      <c r="F696" s="98" t="str">
        <f t="shared" si="225"/>
        <v>78</v>
      </c>
      <c r="G696" s="110">
        <f ca="1">SUMIF($A:E,$A696,K:K)</f>
        <v>32</v>
      </c>
      <c r="H696" s="97" t="s">
        <v>505</v>
      </c>
      <c r="I696" s="98">
        <v>32</v>
      </c>
      <c r="J696" s="97">
        <v>32</v>
      </c>
      <c r="K696" s="143">
        <f t="shared" si="206"/>
        <v>32</v>
      </c>
      <c r="L696" s="144">
        <f t="shared" si="219"/>
        <v>0</v>
      </c>
      <c r="M696" s="275">
        <f t="shared" si="220"/>
        <v>96</v>
      </c>
      <c r="N696" s="98">
        <v>2</v>
      </c>
      <c r="O696" s="93">
        <f t="shared" si="226"/>
        <v>100</v>
      </c>
      <c r="HG696" s="100">
        <v>7</v>
      </c>
      <c r="HJ696" s="100">
        <v>10</v>
      </c>
      <c r="HL696" s="100">
        <v>8</v>
      </c>
      <c r="II696" s="100">
        <v>2</v>
      </c>
      <c r="IL696" s="100">
        <v>1</v>
      </c>
      <c r="IO696" s="100">
        <v>4</v>
      </c>
      <c r="ON696" s="100">
        <f t="shared" si="209"/>
        <v>0</v>
      </c>
    </row>
    <row r="697" spans="1:404" ht="23.25" customHeight="1">
      <c r="A697" s="97" t="str">
        <f t="shared" si="227"/>
        <v>011/CANADIAN-2168-70900-L3-78</v>
      </c>
      <c r="B697" s="95">
        <v>44473</v>
      </c>
      <c r="C697" s="97">
        <f t="shared" ca="1" si="223"/>
        <v>-591</v>
      </c>
      <c r="D697" s="96" t="s">
        <v>1000</v>
      </c>
      <c r="E697" s="113" t="s">
        <v>935</v>
      </c>
      <c r="F697" s="98" t="str">
        <f t="shared" si="225"/>
        <v>78</v>
      </c>
      <c r="G697" s="110">
        <f ca="1">SUMIF($A:E,$A697,K:K)</f>
        <v>16</v>
      </c>
      <c r="H697" s="97" t="s">
        <v>505</v>
      </c>
      <c r="I697" s="98">
        <v>16</v>
      </c>
      <c r="J697" s="99">
        <v>16</v>
      </c>
      <c r="K697" s="143">
        <f t="shared" si="206"/>
        <v>16</v>
      </c>
      <c r="L697" s="144">
        <f t="shared" si="219"/>
        <v>0</v>
      </c>
      <c r="M697" s="275">
        <f t="shared" si="220"/>
        <v>48</v>
      </c>
      <c r="N697" s="98">
        <v>2</v>
      </c>
      <c r="O697" s="93">
        <f t="shared" si="226"/>
        <v>100</v>
      </c>
      <c r="IO697" s="100">
        <v>4</v>
      </c>
      <c r="IT697" s="100">
        <v>4</v>
      </c>
      <c r="IZ697" s="100">
        <v>2</v>
      </c>
      <c r="JA697" s="100">
        <v>3</v>
      </c>
      <c r="JB697" s="100">
        <v>3</v>
      </c>
      <c r="ON697" s="100">
        <f t="shared" si="209"/>
        <v>0</v>
      </c>
    </row>
    <row r="698" spans="1:404" ht="23.25" customHeight="1">
      <c r="A698" s="97" t="str">
        <f t="shared" si="227"/>
        <v>005/CANADIAN-2168-70900-L3-39</v>
      </c>
      <c r="B698" s="95">
        <v>44435</v>
      </c>
      <c r="C698" s="97">
        <f t="shared" ca="1" si="223"/>
        <v>-629</v>
      </c>
      <c r="D698" s="96" t="s">
        <v>936</v>
      </c>
      <c r="E698" s="116" t="s">
        <v>937</v>
      </c>
      <c r="F698" s="98" t="str">
        <f t="shared" si="225"/>
        <v>39</v>
      </c>
      <c r="G698" s="110">
        <f ca="1">SUMIF($A:E,$A698,K:K)</f>
        <v>16</v>
      </c>
      <c r="H698" s="97" t="s">
        <v>505</v>
      </c>
      <c r="I698" s="132">
        <v>16</v>
      </c>
      <c r="J698" s="127">
        <v>16</v>
      </c>
      <c r="K698" s="143">
        <f t="shared" si="206"/>
        <v>16</v>
      </c>
      <c r="L698" s="151">
        <f t="shared" si="219"/>
        <v>0</v>
      </c>
      <c r="M698" s="275">
        <f t="shared" si="220"/>
        <v>48</v>
      </c>
      <c r="N698" s="132">
        <v>2</v>
      </c>
      <c r="O698" s="93">
        <f t="shared" si="226"/>
        <v>100</v>
      </c>
      <c r="HJ698" s="100">
        <v>3</v>
      </c>
      <c r="HK698" s="100">
        <v>3</v>
      </c>
      <c r="HL698" s="100">
        <v>10</v>
      </c>
      <c r="ON698" s="100">
        <f t="shared" si="209"/>
        <v>0</v>
      </c>
    </row>
    <row r="699" spans="1:404" ht="23.25" customHeight="1">
      <c r="A699" s="97" t="str">
        <f t="shared" si="227"/>
        <v>012/CANADIAN-2168-70900-L3-39</v>
      </c>
      <c r="B699" s="95">
        <v>44464</v>
      </c>
      <c r="C699" s="127">
        <f t="shared" ca="1" si="223"/>
        <v>-600</v>
      </c>
      <c r="D699" s="96" t="s">
        <v>999</v>
      </c>
      <c r="E699" s="113" t="s">
        <v>937</v>
      </c>
      <c r="F699" s="98" t="str">
        <f t="shared" si="225"/>
        <v>39</v>
      </c>
      <c r="G699" s="110">
        <f ca="1">SUMIF($A:E,$A699,K:K)</f>
        <v>16</v>
      </c>
      <c r="H699" s="97" t="s">
        <v>505</v>
      </c>
      <c r="I699" s="98">
        <v>16</v>
      </c>
      <c r="J699" s="97">
        <v>16</v>
      </c>
      <c r="K699" s="143">
        <f t="shared" si="206"/>
        <v>16</v>
      </c>
      <c r="L699" s="151">
        <f t="shared" si="219"/>
        <v>0</v>
      </c>
      <c r="M699" s="275">
        <f t="shared" si="220"/>
        <v>48</v>
      </c>
      <c r="N699" s="98">
        <v>2</v>
      </c>
      <c r="O699" s="93">
        <f t="shared" ref="O699:O718" si="228">K699/J699*100</f>
        <v>100</v>
      </c>
      <c r="HL699" s="100">
        <v>1</v>
      </c>
      <c r="HN699" s="100">
        <v>15</v>
      </c>
      <c r="ON699" s="100">
        <f t="shared" si="209"/>
        <v>0</v>
      </c>
    </row>
    <row r="700" spans="1:404" ht="23.25" customHeight="1">
      <c r="A700" s="97" t="str">
        <f t="shared" si="227"/>
        <v>011/CANADIAN-2168-70900-L3-39</v>
      </c>
      <c r="B700" s="95">
        <v>44473</v>
      </c>
      <c r="C700" s="127">
        <f t="shared" ca="1" si="223"/>
        <v>-591</v>
      </c>
      <c r="D700" s="96" t="s">
        <v>1000</v>
      </c>
      <c r="E700" s="113" t="s">
        <v>937</v>
      </c>
      <c r="F700" s="98" t="str">
        <f t="shared" si="225"/>
        <v>39</v>
      </c>
      <c r="G700" s="110">
        <f ca="1">SUMIF($A:E,$A700,K:K)</f>
        <v>16</v>
      </c>
      <c r="H700" s="97" t="s">
        <v>505</v>
      </c>
      <c r="I700" s="98">
        <v>16</v>
      </c>
      <c r="J700" s="99">
        <v>16</v>
      </c>
      <c r="K700" s="143">
        <f t="shared" si="206"/>
        <v>16</v>
      </c>
      <c r="L700" s="151">
        <f t="shared" si="219"/>
        <v>0</v>
      </c>
      <c r="M700" s="275">
        <f t="shared" si="220"/>
        <v>48</v>
      </c>
      <c r="N700" s="98">
        <v>2</v>
      </c>
      <c r="O700" s="93">
        <f t="shared" si="228"/>
        <v>100</v>
      </c>
      <c r="HN700" s="100">
        <v>8</v>
      </c>
      <c r="HR700" s="100">
        <v>2</v>
      </c>
      <c r="HS700" s="100">
        <v>3</v>
      </c>
      <c r="HW700" s="100">
        <v>3</v>
      </c>
      <c r="ON700" s="100">
        <f t="shared" si="209"/>
        <v>0</v>
      </c>
    </row>
    <row r="701" spans="1:404" ht="23.25" customHeight="1">
      <c r="A701" s="97" t="str">
        <f t="shared" si="227"/>
        <v>008/MOJAY-2168-70900-B3-B</v>
      </c>
      <c r="B701" s="126">
        <v>44423</v>
      </c>
      <c r="C701" s="127">
        <f t="shared" ca="1" si="223"/>
        <v>-641</v>
      </c>
      <c r="D701" s="128" t="s">
        <v>1122</v>
      </c>
      <c r="E701" s="129" t="s">
        <v>1124</v>
      </c>
      <c r="F701" s="98" t="str">
        <f t="shared" si="225"/>
        <v>B</v>
      </c>
      <c r="G701" s="110">
        <f ca="1">SUMIF($A:E,$A701,K:K)</f>
        <v>108</v>
      </c>
      <c r="H701" s="97" t="s">
        <v>820</v>
      </c>
      <c r="I701" s="98">
        <v>108</v>
      </c>
      <c r="J701" s="97">
        <v>108</v>
      </c>
      <c r="K701" s="143">
        <f t="shared" si="206"/>
        <v>108</v>
      </c>
      <c r="L701" s="151">
        <f t="shared" si="219"/>
        <v>0</v>
      </c>
      <c r="M701" s="275">
        <f t="shared" si="220"/>
        <v>324</v>
      </c>
      <c r="N701" s="98">
        <v>4</v>
      </c>
      <c r="O701" s="93">
        <f t="shared" si="228"/>
        <v>100</v>
      </c>
      <c r="GZ701" s="100">
        <v>27</v>
      </c>
      <c r="HB701" s="100">
        <v>24</v>
      </c>
      <c r="HC701" s="100">
        <v>14</v>
      </c>
      <c r="HD701" s="100">
        <v>14</v>
      </c>
      <c r="HE701" s="100">
        <v>14</v>
      </c>
      <c r="HF701" s="100">
        <v>7</v>
      </c>
      <c r="HI701" s="100">
        <v>8</v>
      </c>
      <c r="ON701" s="100">
        <f t="shared" si="209"/>
        <v>0</v>
      </c>
    </row>
    <row r="702" spans="1:404" ht="23.25" customHeight="1">
      <c r="A702" s="97" t="str">
        <f t="shared" si="227"/>
        <v>008/MOJAY-2168-70900-B3-01</v>
      </c>
      <c r="B702" s="126">
        <v>44432</v>
      </c>
      <c r="C702" s="127">
        <f t="shared" ca="1" si="223"/>
        <v>-632</v>
      </c>
      <c r="D702" s="128" t="s">
        <v>1122</v>
      </c>
      <c r="E702" s="129" t="s">
        <v>1123</v>
      </c>
      <c r="F702" s="98" t="str">
        <f t="shared" si="225"/>
        <v>01</v>
      </c>
      <c r="G702" s="110">
        <f ca="1">SUMIF($A:E,$A702,K:K)</f>
        <v>54</v>
      </c>
      <c r="H702" s="127" t="s">
        <v>505</v>
      </c>
      <c r="I702" s="132">
        <v>54</v>
      </c>
      <c r="J702" s="127">
        <v>54</v>
      </c>
      <c r="K702" s="143">
        <f t="shared" si="206"/>
        <v>54</v>
      </c>
      <c r="L702" s="151">
        <f t="shared" si="219"/>
        <v>0</v>
      </c>
      <c r="M702" s="275">
        <f t="shared" si="220"/>
        <v>162</v>
      </c>
      <c r="N702" s="132">
        <v>3</v>
      </c>
      <c r="O702" s="93">
        <f t="shared" si="228"/>
        <v>100</v>
      </c>
      <c r="HM702" s="100">
        <v>14</v>
      </c>
      <c r="HN702" s="100">
        <v>7</v>
      </c>
      <c r="HP702" s="100">
        <v>14</v>
      </c>
      <c r="HQ702" s="100">
        <v>14</v>
      </c>
      <c r="HR702" s="100">
        <v>5</v>
      </c>
      <c r="ON702" s="100">
        <f t="shared" si="209"/>
        <v>0</v>
      </c>
    </row>
    <row r="703" spans="1:404" ht="23.25" customHeight="1">
      <c r="A703" s="97" t="str">
        <f t="shared" si="227"/>
        <v>003/ANNA-VG-21(đ4)68-70900-05-A</v>
      </c>
      <c r="B703" s="95">
        <v>44579</v>
      </c>
      <c r="C703" s="97">
        <f t="shared" ca="1" si="223"/>
        <v>-485</v>
      </c>
      <c r="D703" s="112" t="s">
        <v>1652</v>
      </c>
      <c r="E703" s="279" t="s">
        <v>1661</v>
      </c>
      <c r="F703" s="98" t="str">
        <f t="shared" si="225"/>
        <v>A</v>
      </c>
      <c r="G703" s="110">
        <f ca="1">SUMIF($A:E,$A703,K:K)</f>
        <v>160</v>
      </c>
      <c r="H703" s="112" t="s">
        <v>990</v>
      </c>
      <c r="I703" s="175">
        <v>160</v>
      </c>
      <c r="J703" s="115">
        <v>160</v>
      </c>
      <c r="K703" s="143">
        <f t="shared" si="206"/>
        <v>160</v>
      </c>
      <c r="L703" s="151">
        <f t="shared" ref="L703:L752" si="229">J703-K703</f>
        <v>0</v>
      </c>
      <c r="M703" s="275">
        <f t="shared" si="220"/>
        <v>160</v>
      </c>
      <c r="N703" s="98">
        <v>4</v>
      </c>
      <c r="O703" s="93">
        <f t="shared" si="228"/>
        <v>100</v>
      </c>
      <c r="LU703" s="100">
        <v>17</v>
      </c>
      <c r="LW703" s="100">
        <v>3</v>
      </c>
      <c r="LX703" s="100">
        <v>5</v>
      </c>
      <c r="LY703" s="100">
        <v>10</v>
      </c>
      <c r="MA703" s="100">
        <v>15</v>
      </c>
      <c r="MB703" s="100">
        <v>8</v>
      </c>
      <c r="MD703" s="100">
        <v>10</v>
      </c>
      <c r="ME703" s="100">
        <v>5</v>
      </c>
      <c r="MF703" s="100">
        <v>9</v>
      </c>
      <c r="MG703" s="100">
        <v>12</v>
      </c>
      <c r="MH703" s="100">
        <v>10</v>
      </c>
      <c r="MK703" s="100">
        <v>9</v>
      </c>
      <c r="ML703" s="100">
        <v>10</v>
      </c>
      <c r="MM703" s="100">
        <v>10</v>
      </c>
      <c r="MN703" s="100">
        <v>10</v>
      </c>
      <c r="MO703" s="100">
        <v>10</v>
      </c>
      <c r="MP703" s="100">
        <v>5</v>
      </c>
      <c r="MR703" s="100">
        <v>2</v>
      </c>
      <c r="ON703" s="100">
        <f t="shared" si="209"/>
        <v>0</v>
      </c>
    </row>
    <row r="704" spans="1:404" ht="23.25" customHeight="1">
      <c r="A704" s="97" t="str">
        <f t="shared" si="227"/>
        <v>019/KHBS-2168-70900-04-B</v>
      </c>
      <c r="B704" s="95">
        <v>44212</v>
      </c>
      <c r="C704" s="97">
        <f t="shared" ca="1" si="223"/>
        <v>-852</v>
      </c>
      <c r="D704" s="96" t="s">
        <v>732</v>
      </c>
      <c r="E704" s="94" t="s">
        <v>28</v>
      </c>
      <c r="F704" s="98" t="str">
        <f t="shared" si="225"/>
        <v>B</v>
      </c>
      <c r="G704" s="110">
        <f ca="1">SUMIF($A:E,$A704,K:K)</f>
        <v>2</v>
      </c>
      <c r="H704" s="97" t="s">
        <v>508</v>
      </c>
      <c r="I704" s="98">
        <v>2</v>
      </c>
      <c r="J704" s="99">
        <v>2</v>
      </c>
      <c r="K704" s="143">
        <f t="shared" si="206"/>
        <v>2</v>
      </c>
      <c r="L704" s="151">
        <f t="shared" si="229"/>
        <v>0</v>
      </c>
      <c r="M704" s="275">
        <f t="shared" ref="M704:M750" si="230">IF(OR(MID(E704,10,1)="0",MID(E704,10,1)="F"),I704,IF(OR(,MID(E704,10,1)="S",MID(E704,10,1)="L",MID(E704,10,1)="B",MID(E704,10,1)="X"),MID(E704,11,1)*I704,0))</f>
        <v>2</v>
      </c>
      <c r="N704" s="98">
        <v>3</v>
      </c>
      <c r="O704" s="93">
        <f t="shared" si="228"/>
        <v>100</v>
      </c>
      <c r="AC704" s="101">
        <v>2</v>
      </c>
      <c r="ON704" s="100">
        <f t="shared" si="209"/>
        <v>0</v>
      </c>
    </row>
    <row r="705" spans="1:404" ht="23.25" customHeight="1">
      <c r="A705" s="97" t="str">
        <f t="shared" si="227"/>
        <v>120/KHBS-2168-70900-04-B</v>
      </c>
      <c r="B705" s="95">
        <v>44282</v>
      </c>
      <c r="C705" s="97">
        <f t="shared" ca="1" si="223"/>
        <v>-782</v>
      </c>
      <c r="D705" s="96" t="s">
        <v>821</v>
      </c>
      <c r="E705" s="94" t="s">
        <v>28</v>
      </c>
      <c r="F705" s="98" t="str">
        <f t="shared" si="225"/>
        <v>B</v>
      </c>
      <c r="G705" s="110">
        <f ca="1">SUMIF($A:E,$A705,K:K)</f>
        <v>3</v>
      </c>
      <c r="H705" s="97" t="s">
        <v>820</v>
      </c>
      <c r="I705" s="98">
        <v>3</v>
      </c>
      <c r="J705" s="99">
        <v>3</v>
      </c>
      <c r="K705" s="143">
        <f t="shared" si="206"/>
        <v>3</v>
      </c>
      <c r="L705" s="144">
        <f t="shared" si="229"/>
        <v>0</v>
      </c>
      <c r="M705" s="275">
        <f t="shared" si="230"/>
        <v>3</v>
      </c>
      <c r="N705" s="98">
        <v>3</v>
      </c>
      <c r="O705" s="93">
        <f t="shared" si="228"/>
        <v>100</v>
      </c>
      <c r="CC705" s="101">
        <v>3</v>
      </c>
      <c r="ON705" s="100">
        <f t="shared" si="209"/>
        <v>0</v>
      </c>
    </row>
    <row r="706" spans="1:404" ht="23.25" customHeight="1">
      <c r="A706" s="97" t="str">
        <f t="shared" si="227"/>
        <v>156/KHBS-2168-70900-04-B</v>
      </c>
      <c r="B706" s="95">
        <v>44302</v>
      </c>
      <c r="C706" s="97">
        <f t="shared" ca="1" si="223"/>
        <v>-762</v>
      </c>
      <c r="D706" s="96" t="s">
        <v>855</v>
      </c>
      <c r="E706" s="94" t="s">
        <v>28</v>
      </c>
      <c r="F706" s="98" t="str">
        <f t="shared" si="225"/>
        <v>B</v>
      </c>
      <c r="G706" s="110">
        <f ca="1">SUMIF($A:E,$A706,K:K)</f>
        <v>2</v>
      </c>
      <c r="H706" s="97" t="s">
        <v>820</v>
      </c>
      <c r="I706" s="98">
        <v>2</v>
      </c>
      <c r="J706" s="99">
        <v>2</v>
      </c>
      <c r="K706" s="143">
        <f t="shared" si="206"/>
        <v>2</v>
      </c>
      <c r="L706" s="144">
        <f t="shared" si="229"/>
        <v>0</v>
      </c>
      <c r="M706" s="275">
        <f t="shared" si="230"/>
        <v>2</v>
      </c>
      <c r="N706" s="98">
        <v>4</v>
      </c>
      <c r="O706" s="93">
        <f t="shared" si="228"/>
        <v>100</v>
      </c>
      <c r="CS706" s="101">
        <v>2</v>
      </c>
      <c r="ON706" s="100">
        <f t="shared" si="209"/>
        <v>0</v>
      </c>
    </row>
    <row r="707" spans="1:404" ht="23.25" customHeight="1">
      <c r="A707" s="97" t="str">
        <f t="shared" si="227"/>
        <v>160/KHBS-2168-70900-04-B</v>
      </c>
      <c r="B707" s="95">
        <v>44310</v>
      </c>
      <c r="C707" s="97">
        <f t="shared" ca="1" si="223"/>
        <v>-754</v>
      </c>
      <c r="D707" s="96" t="s">
        <v>918</v>
      </c>
      <c r="E707" s="94" t="s">
        <v>28</v>
      </c>
      <c r="F707" s="98" t="str">
        <f t="shared" si="225"/>
        <v>B</v>
      </c>
      <c r="G707" s="110">
        <f ca="1">SUMIF($A:E,$A707,K:K)</f>
        <v>3</v>
      </c>
      <c r="H707" s="97" t="s">
        <v>820</v>
      </c>
      <c r="I707" s="98">
        <v>3</v>
      </c>
      <c r="J707" s="99">
        <v>3</v>
      </c>
      <c r="K707" s="143">
        <f t="shared" si="206"/>
        <v>3</v>
      </c>
      <c r="L707" s="144">
        <f t="shared" si="229"/>
        <v>0</v>
      </c>
      <c r="M707" s="275">
        <f t="shared" si="230"/>
        <v>3</v>
      </c>
      <c r="N707" s="98">
        <v>5</v>
      </c>
      <c r="O707" s="93">
        <f t="shared" si="228"/>
        <v>100</v>
      </c>
      <c r="DB707" s="101">
        <v>3</v>
      </c>
      <c r="ON707" s="100">
        <f t="shared" si="209"/>
        <v>0</v>
      </c>
    </row>
    <row r="708" spans="1:404" ht="23.25" customHeight="1">
      <c r="A708" s="97" t="str">
        <f t="shared" si="227"/>
        <v>170/KHBS-2168-70900-04-B</v>
      </c>
      <c r="B708" s="95">
        <v>44325</v>
      </c>
      <c r="C708" s="97">
        <f t="shared" ca="1" si="223"/>
        <v>-739</v>
      </c>
      <c r="D708" s="96" t="s">
        <v>959</v>
      </c>
      <c r="E708" s="94" t="s">
        <v>28</v>
      </c>
      <c r="F708" s="98" t="str">
        <f t="shared" si="225"/>
        <v>B</v>
      </c>
      <c r="G708" s="110">
        <f ca="1">SUMIF($A:E,$A708,K:K)</f>
        <v>3</v>
      </c>
      <c r="H708" s="97" t="s">
        <v>933</v>
      </c>
      <c r="I708" s="98">
        <v>3</v>
      </c>
      <c r="J708" s="99">
        <v>3</v>
      </c>
      <c r="K708" s="143">
        <f t="shared" ref="K708:K771" si="231">SUM(P708:BBC708)</f>
        <v>3</v>
      </c>
      <c r="L708" s="144">
        <f t="shared" si="229"/>
        <v>0</v>
      </c>
      <c r="M708" s="275">
        <f t="shared" si="230"/>
        <v>3</v>
      </c>
      <c r="N708" s="98">
        <v>5</v>
      </c>
      <c r="O708" s="93">
        <f t="shared" si="228"/>
        <v>100</v>
      </c>
      <c r="DN708" s="101">
        <v>3</v>
      </c>
      <c r="ON708" s="100">
        <f t="shared" ref="ON708:ON771" si="232">SUM(NS708:OM708)</f>
        <v>0</v>
      </c>
    </row>
    <row r="709" spans="1:404" ht="23.25" customHeight="1">
      <c r="A709" s="97" t="str">
        <f t="shared" si="227"/>
        <v>182/KHBS-21(056/PLATAGEN-21)68-70900-04-B</v>
      </c>
      <c r="B709" s="95">
        <v>44333</v>
      </c>
      <c r="C709" s="97">
        <f t="shared" ca="1" si="223"/>
        <v>-731</v>
      </c>
      <c r="D709" s="96" t="s">
        <v>979</v>
      </c>
      <c r="E709" s="94" t="s">
        <v>28</v>
      </c>
      <c r="F709" s="98" t="str">
        <f t="shared" si="225"/>
        <v>B</v>
      </c>
      <c r="G709" s="110">
        <f ca="1">SUMIF($A:E,$A709,K:K)</f>
        <v>1</v>
      </c>
      <c r="H709" s="97" t="s">
        <v>508</v>
      </c>
      <c r="I709" s="98">
        <v>1</v>
      </c>
      <c r="J709" s="99">
        <v>1</v>
      </c>
      <c r="K709" s="143">
        <f t="shared" si="231"/>
        <v>1</v>
      </c>
      <c r="L709" s="144">
        <f t="shared" si="229"/>
        <v>0</v>
      </c>
      <c r="M709" s="275">
        <f t="shared" si="230"/>
        <v>1</v>
      </c>
      <c r="N709" s="98">
        <v>1</v>
      </c>
      <c r="O709" s="93">
        <f t="shared" si="228"/>
        <v>100</v>
      </c>
      <c r="DV709" s="100">
        <v>1</v>
      </c>
      <c r="ON709" s="100">
        <f t="shared" si="232"/>
        <v>0</v>
      </c>
    </row>
    <row r="710" spans="1:404" ht="23.25" customHeight="1">
      <c r="A710" s="97" t="str">
        <f t="shared" si="227"/>
        <v>187/KHBS-2168-70900-04-B</v>
      </c>
      <c r="B710" s="95">
        <v>44343</v>
      </c>
      <c r="C710" s="97">
        <f t="shared" ca="1" si="223"/>
        <v>-721</v>
      </c>
      <c r="D710" s="96" t="s">
        <v>996</v>
      </c>
      <c r="E710" s="94" t="s">
        <v>28</v>
      </c>
      <c r="F710" s="98" t="str">
        <f t="shared" si="225"/>
        <v>B</v>
      </c>
      <c r="G710" s="110">
        <f ca="1">SUMIF($A:E,$A710,K:K)</f>
        <v>4</v>
      </c>
      <c r="H710" s="97" t="s">
        <v>933</v>
      </c>
      <c r="I710" s="98">
        <v>1</v>
      </c>
      <c r="J710" s="99">
        <v>1</v>
      </c>
      <c r="K710" s="143">
        <f t="shared" si="231"/>
        <v>1</v>
      </c>
      <c r="L710" s="144">
        <f t="shared" si="229"/>
        <v>0</v>
      </c>
      <c r="M710" s="275">
        <f t="shared" si="230"/>
        <v>1</v>
      </c>
      <c r="N710" s="98">
        <v>1</v>
      </c>
      <c r="O710" s="93">
        <f t="shared" si="228"/>
        <v>100</v>
      </c>
      <c r="EN710" s="100">
        <v>1</v>
      </c>
      <c r="ON710" s="100">
        <f t="shared" si="232"/>
        <v>0</v>
      </c>
    </row>
    <row r="711" spans="1:404" ht="23.25" customHeight="1">
      <c r="A711" s="97" t="str">
        <f t="shared" si="227"/>
        <v>192/KHBS-2168-70900-04-B</v>
      </c>
      <c r="B711" s="95">
        <v>44347</v>
      </c>
      <c r="C711" s="97">
        <f t="shared" ca="1" si="223"/>
        <v>-717</v>
      </c>
      <c r="D711" s="96" t="s">
        <v>1017</v>
      </c>
      <c r="E711" s="94" t="s">
        <v>28</v>
      </c>
      <c r="F711" s="98" t="str">
        <f t="shared" si="225"/>
        <v>B</v>
      </c>
      <c r="G711" s="110">
        <f ca="1">SUMIF($A:E,$A711,K:K)</f>
        <v>1</v>
      </c>
      <c r="H711" s="97" t="s">
        <v>933</v>
      </c>
      <c r="I711" s="175">
        <v>1</v>
      </c>
      <c r="J711" s="115">
        <v>1</v>
      </c>
      <c r="K711" s="143">
        <f t="shared" si="231"/>
        <v>1</v>
      </c>
      <c r="L711" s="144">
        <f t="shared" si="229"/>
        <v>0</v>
      </c>
      <c r="M711" s="275">
        <f t="shared" si="230"/>
        <v>1</v>
      </c>
      <c r="N711" s="98">
        <v>1</v>
      </c>
      <c r="O711" s="93">
        <f t="shared" si="228"/>
        <v>100</v>
      </c>
      <c r="EM711" s="100">
        <v>1</v>
      </c>
      <c r="ON711" s="100">
        <f t="shared" si="232"/>
        <v>0</v>
      </c>
    </row>
    <row r="712" spans="1:404" ht="23.25" customHeight="1">
      <c r="A712" s="97" t="str">
        <f t="shared" si="227"/>
        <v>187/KHBS-2168-70900-04-B</v>
      </c>
      <c r="B712" s="117">
        <v>44343</v>
      </c>
      <c r="C712" s="101">
        <f t="shared" ca="1" si="223"/>
        <v>-721</v>
      </c>
      <c r="D712" s="118" t="s">
        <v>996</v>
      </c>
      <c r="E712" s="119" t="s">
        <v>28</v>
      </c>
      <c r="F712" s="120" t="str">
        <f t="shared" si="225"/>
        <v>B</v>
      </c>
      <c r="G712" s="130">
        <f ca="1">SUMIF($A:E,$A712,K:K)</f>
        <v>4</v>
      </c>
      <c r="H712" s="127" t="s">
        <v>933</v>
      </c>
      <c r="I712" s="132">
        <v>3</v>
      </c>
      <c r="J712" s="131">
        <v>3</v>
      </c>
      <c r="K712" s="143">
        <f t="shared" si="231"/>
        <v>3</v>
      </c>
      <c r="L712" s="151">
        <f t="shared" si="229"/>
        <v>0</v>
      </c>
      <c r="M712" s="275">
        <f t="shared" si="230"/>
        <v>3</v>
      </c>
      <c r="N712" s="132">
        <v>2</v>
      </c>
      <c r="O712" s="93">
        <f t="shared" si="228"/>
        <v>100</v>
      </c>
      <c r="FB712" s="100">
        <v>3</v>
      </c>
      <c r="ON712" s="100">
        <f t="shared" si="232"/>
        <v>0</v>
      </c>
    </row>
    <row r="713" spans="1:404" ht="23.25" customHeight="1">
      <c r="A713" s="97" t="str">
        <f t="shared" si="227"/>
        <v>207/KHBS-2168-70900-04-B</v>
      </c>
      <c r="B713" s="95">
        <v>44373</v>
      </c>
      <c r="C713" s="127">
        <f t="shared" ca="1" si="223"/>
        <v>-691</v>
      </c>
      <c r="D713" s="96" t="s">
        <v>1159</v>
      </c>
      <c r="E713" s="94" t="s">
        <v>28</v>
      </c>
      <c r="F713" s="132" t="str">
        <f t="shared" si="225"/>
        <v>B</v>
      </c>
      <c r="G713" s="130">
        <f ca="1">SUMIF($A:E,$A713,K:K)</f>
        <v>1</v>
      </c>
      <c r="H713" s="97" t="s">
        <v>933</v>
      </c>
      <c r="I713" s="98">
        <v>1</v>
      </c>
      <c r="J713" s="99">
        <v>1</v>
      </c>
      <c r="K713" s="143">
        <f t="shared" si="231"/>
        <v>1</v>
      </c>
      <c r="L713" s="151">
        <f t="shared" si="229"/>
        <v>0</v>
      </c>
      <c r="M713" s="275">
        <f t="shared" si="230"/>
        <v>1</v>
      </c>
      <c r="N713" s="98">
        <v>4</v>
      </c>
      <c r="O713" s="93">
        <f t="shared" si="228"/>
        <v>100</v>
      </c>
      <c r="FM713" s="100">
        <v>1</v>
      </c>
      <c r="ON713" s="100">
        <f t="shared" si="232"/>
        <v>0</v>
      </c>
    </row>
    <row r="714" spans="1:404" ht="23.25" customHeight="1">
      <c r="A714" s="97" t="str">
        <f t="shared" si="227"/>
        <v>218/KHBS-2168-70900-04-B</v>
      </c>
      <c r="B714" s="95">
        <v>44395</v>
      </c>
      <c r="C714" s="127">
        <f t="shared" ca="1" si="223"/>
        <v>-669</v>
      </c>
      <c r="D714" s="96" t="s">
        <v>1307</v>
      </c>
      <c r="E714" s="94" t="s">
        <v>28</v>
      </c>
      <c r="F714" s="132" t="str">
        <f t="shared" si="225"/>
        <v>B</v>
      </c>
      <c r="G714" s="130">
        <f ca="1">SUMIF($A:E,$A714,K:K)</f>
        <v>5</v>
      </c>
      <c r="H714" s="97" t="s">
        <v>508</v>
      </c>
      <c r="I714" s="98">
        <v>5</v>
      </c>
      <c r="J714" s="97">
        <v>5</v>
      </c>
      <c r="K714" s="143">
        <f t="shared" si="231"/>
        <v>5</v>
      </c>
      <c r="L714" s="151">
        <f t="shared" si="229"/>
        <v>0</v>
      </c>
      <c r="M714" s="275">
        <f t="shared" si="230"/>
        <v>5</v>
      </c>
      <c r="N714" s="98">
        <v>3</v>
      </c>
      <c r="O714" s="93">
        <f t="shared" si="228"/>
        <v>100</v>
      </c>
      <c r="GE714" s="100">
        <v>5</v>
      </c>
      <c r="ON714" s="100">
        <f t="shared" si="232"/>
        <v>0</v>
      </c>
    </row>
    <row r="715" spans="1:404" ht="23.25" customHeight="1">
      <c r="A715" s="97" t="s">
        <v>1370</v>
      </c>
      <c r="B715" s="95">
        <v>44403</v>
      </c>
      <c r="C715" s="127">
        <f t="shared" ca="1" si="223"/>
        <v>-661</v>
      </c>
      <c r="D715" s="112" t="s">
        <v>1382</v>
      </c>
      <c r="E715" s="123" t="s">
        <v>28</v>
      </c>
      <c r="F715" s="132" t="str">
        <f t="shared" si="225"/>
        <v>B</v>
      </c>
      <c r="G715" s="130">
        <f ca="1">SUMIF($A:E,$A715,K:K)</f>
        <v>5654</v>
      </c>
      <c r="H715" s="97" t="s">
        <v>1403</v>
      </c>
      <c r="I715" s="175">
        <v>1</v>
      </c>
      <c r="J715" s="115">
        <v>1</v>
      </c>
      <c r="K715" s="143">
        <f t="shared" si="231"/>
        <v>1</v>
      </c>
      <c r="L715" s="151">
        <f t="shared" si="229"/>
        <v>0</v>
      </c>
      <c r="M715" s="275">
        <f t="shared" si="230"/>
        <v>1</v>
      </c>
      <c r="N715" s="98">
        <v>3</v>
      </c>
      <c r="O715" s="93">
        <f t="shared" si="228"/>
        <v>100</v>
      </c>
      <c r="GI715" s="100">
        <v>1</v>
      </c>
      <c r="ON715" s="100">
        <f t="shared" si="232"/>
        <v>0</v>
      </c>
    </row>
    <row r="716" spans="1:404" ht="23.25" customHeight="1">
      <c r="A716" s="97">
        <v>1</v>
      </c>
      <c r="B716" s="95">
        <v>44402</v>
      </c>
      <c r="C716" s="127">
        <f t="shared" ca="1" si="223"/>
        <v>-662</v>
      </c>
      <c r="D716" s="112" t="s">
        <v>1320</v>
      </c>
      <c r="E716" s="123" t="s">
        <v>28</v>
      </c>
      <c r="F716" s="132" t="str">
        <f t="shared" si="225"/>
        <v>B</v>
      </c>
      <c r="G716" s="130">
        <f ca="1">SUMIF($A:E,$A716,K:K)</f>
        <v>1</v>
      </c>
      <c r="H716" s="112" t="s">
        <v>1404</v>
      </c>
      <c r="I716" s="175">
        <v>1</v>
      </c>
      <c r="J716" s="115">
        <v>1</v>
      </c>
      <c r="K716" s="143">
        <f t="shared" si="231"/>
        <v>1</v>
      </c>
      <c r="L716" s="151">
        <f t="shared" si="229"/>
        <v>0</v>
      </c>
      <c r="M716" s="275">
        <f t="shared" si="230"/>
        <v>1</v>
      </c>
      <c r="N716" s="98">
        <v>3</v>
      </c>
      <c r="O716" s="93">
        <f t="shared" si="228"/>
        <v>100</v>
      </c>
      <c r="GI716" s="100">
        <v>1</v>
      </c>
      <c r="ON716" s="100">
        <f t="shared" si="232"/>
        <v>0</v>
      </c>
    </row>
    <row r="717" spans="1:404" ht="23.25" customHeight="1">
      <c r="A717" s="97" t="s">
        <v>1370</v>
      </c>
      <c r="B717" s="95">
        <v>44402</v>
      </c>
      <c r="C717" s="127">
        <f t="shared" ca="1" si="223"/>
        <v>-662</v>
      </c>
      <c r="D717" s="112" t="s">
        <v>1320</v>
      </c>
      <c r="E717" s="123" t="s">
        <v>28</v>
      </c>
      <c r="F717" s="132" t="str">
        <f t="shared" ref="F717:F722" si="233">MID(E717,13,2)</f>
        <v>B</v>
      </c>
      <c r="G717" s="130">
        <f ca="1">SUMIF($A:E,$A717,K:K)</f>
        <v>5654</v>
      </c>
      <c r="H717" s="112" t="s">
        <v>1405</v>
      </c>
      <c r="I717" s="175">
        <v>2</v>
      </c>
      <c r="J717" s="115">
        <v>2</v>
      </c>
      <c r="K717" s="143">
        <f t="shared" si="231"/>
        <v>2</v>
      </c>
      <c r="L717" s="144">
        <f t="shared" si="229"/>
        <v>0</v>
      </c>
      <c r="M717" s="275">
        <f t="shared" si="230"/>
        <v>2</v>
      </c>
      <c r="N717" s="98">
        <v>3</v>
      </c>
      <c r="O717" s="93">
        <f t="shared" si="228"/>
        <v>100</v>
      </c>
      <c r="GI717" s="100">
        <v>2</v>
      </c>
      <c r="ON717" s="100">
        <f t="shared" si="232"/>
        <v>0</v>
      </c>
    </row>
    <row r="718" spans="1:404" ht="23.25" customHeight="1">
      <c r="A718" s="97" t="str">
        <f t="shared" ref="A718:A722" si="234">D718&amp;E718</f>
        <v xml:space="preserve">	002/WESTELM-VG_SR-2168-70900-04-B</v>
      </c>
      <c r="B718" s="95">
        <v>44454</v>
      </c>
      <c r="C718" s="127">
        <f t="shared" ca="1" si="223"/>
        <v>-610</v>
      </c>
      <c r="D718" s="208" t="s">
        <v>1801</v>
      </c>
      <c r="E718" s="226" t="s">
        <v>28</v>
      </c>
      <c r="F718" s="132" t="str">
        <f t="shared" si="233"/>
        <v>B</v>
      </c>
      <c r="G718" s="130">
        <f ca="1">SUMIF($A:E,$A718,K:K)</f>
        <v>6</v>
      </c>
      <c r="H718" s="208" t="s">
        <v>820</v>
      </c>
      <c r="I718" s="203">
        <v>6</v>
      </c>
      <c r="J718" s="134">
        <v>6</v>
      </c>
      <c r="K718" s="143">
        <f t="shared" si="231"/>
        <v>6</v>
      </c>
      <c r="L718" s="151">
        <f t="shared" si="229"/>
        <v>0</v>
      </c>
      <c r="M718" s="275">
        <f t="shared" si="230"/>
        <v>6</v>
      </c>
      <c r="N718" s="245">
        <v>4</v>
      </c>
      <c r="O718" s="93">
        <f t="shared" si="228"/>
        <v>100</v>
      </c>
      <c r="IL718" s="100">
        <v>6</v>
      </c>
      <c r="ON718" s="100">
        <f t="shared" si="232"/>
        <v>0</v>
      </c>
    </row>
    <row r="719" spans="1:404" ht="23.25" customHeight="1">
      <c r="A719" s="97" t="str">
        <f t="shared" si="234"/>
        <v>003T/PLANTAGEN-2168-70900-04-01</v>
      </c>
      <c r="B719" s="163">
        <v>44456</v>
      </c>
      <c r="C719" s="135">
        <f t="shared" ca="1" si="223"/>
        <v>-608</v>
      </c>
      <c r="D719" s="262" t="s">
        <v>928</v>
      </c>
      <c r="E719" s="261" t="s">
        <v>501</v>
      </c>
      <c r="F719" s="136" t="str">
        <f t="shared" si="233"/>
        <v>01</v>
      </c>
      <c r="G719" s="137">
        <f ca="1">SUMIF($A:E,$A719,K:K)</f>
        <v>480</v>
      </c>
      <c r="H719" s="138" t="s">
        <v>505</v>
      </c>
      <c r="I719" s="133">
        <v>480</v>
      </c>
      <c r="J719" s="138">
        <v>480</v>
      </c>
      <c r="K719" s="143">
        <f t="shared" si="231"/>
        <v>480</v>
      </c>
      <c r="L719" s="144">
        <f t="shared" si="229"/>
        <v>0</v>
      </c>
      <c r="M719" s="275">
        <f t="shared" si="230"/>
        <v>480</v>
      </c>
      <c r="N719" s="133">
        <v>3</v>
      </c>
      <c r="O719" s="93">
        <f t="shared" ref="O719:O732" si="235">K719/J719*100</f>
        <v>100</v>
      </c>
      <c r="HL719" s="100">
        <v>88</v>
      </c>
      <c r="HM719" s="100">
        <v>27</v>
      </c>
      <c r="HN719" s="100">
        <v>14</v>
      </c>
      <c r="HP719" s="100">
        <v>51</v>
      </c>
      <c r="HQ719" s="100">
        <v>43</v>
      </c>
      <c r="HR719" s="100">
        <v>21</v>
      </c>
      <c r="HS719" s="100">
        <v>53</v>
      </c>
      <c r="HT719" s="100">
        <v>52</v>
      </c>
      <c r="HU719" s="100">
        <v>48</v>
      </c>
      <c r="HW719" s="100">
        <v>30</v>
      </c>
      <c r="HX719" s="100">
        <v>24</v>
      </c>
      <c r="IB719" s="100">
        <v>25</v>
      </c>
      <c r="IK719" s="100">
        <v>4</v>
      </c>
      <c r="ON719" s="100">
        <f t="shared" si="232"/>
        <v>0</v>
      </c>
    </row>
    <row r="720" spans="1:404" ht="23.25" customHeight="1">
      <c r="A720" s="97" t="str">
        <f t="shared" si="234"/>
        <v>184/KHBS-21(055/PLANTAGEN-2168-70900-03-B</v>
      </c>
      <c r="B720" s="126">
        <v>44336</v>
      </c>
      <c r="C720" s="127">
        <f t="shared" ca="1" si="223"/>
        <v>-728</v>
      </c>
      <c r="D720" s="96" t="s">
        <v>982</v>
      </c>
      <c r="E720" s="94" t="s">
        <v>27</v>
      </c>
      <c r="F720" s="132" t="str">
        <f t="shared" si="233"/>
        <v>B</v>
      </c>
      <c r="G720" s="130">
        <f ca="1">SUMIF($A:E,$A720,K:K)</f>
        <v>1</v>
      </c>
      <c r="H720" s="97" t="s">
        <v>508</v>
      </c>
      <c r="I720" s="98">
        <v>1</v>
      </c>
      <c r="J720" s="99">
        <v>1</v>
      </c>
      <c r="K720" s="143">
        <f t="shared" si="231"/>
        <v>1</v>
      </c>
      <c r="L720" s="144">
        <f t="shared" si="229"/>
        <v>0</v>
      </c>
      <c r="M720" s="275">
        <f t="shared" si="230"/>
        <v>1</v>
      </c>
      <c r="N720" s="98">
        <v>1</v>
      </c>
      <c r="O720" s="93">
        <f t="shared" si="235"/>
        <v>100</v>
      </c>
      <c r="DZ720" s="100">
        <v>1</v>
      </c>
      <c r="ON720" s="100">
        <f t="shared" si="232"/>
        <v>0</v>
      </c>
    </row>
    <row r="721" spans="1:404" ht="23.25" customHeight="1">
      <c r="A721" s="97" t="str">
        <f t="shared" si="234"/>
        <v>194/KHBS-2168-70900-03-B</v>
      </c>
      <c r="B721" s="126">
        <v>44347</v>
      </c>
      <c r="C721" s="127">
        <f t="shared" ca="1" si="223"/>
        <v>-717</v>
      </c>
      <c r="D721" s="96" t="s">
        <v>1018</v>
      </c>
      <c r="E721" s="94" t="s">
        <v>27</v>
      </c>
      <c r="F721" s="132" t="str">
        <f t="shared" si="233"/>
        <v>B</v>
      </c>
      <c r="G721" s="130">
        <f ca="1">SUMIF($A:E,$A721,K:K)</f>
        <v>3</v>
      </c>
      <c r="H721" s="97" t="s">
        <v>933</v>
      </c>
      <c r="I721" s="175">
        <v>3</v>
      </c>
      <c r="J721" s="115">
        <v>3</v>
      </c>
      <c r="K721" s="143">
        <f t="shared" si="231"/>
        <v>3</v>
      </c>
      <c r="L721" s="144">
        <f t="shared" si="229"/>
        <v>0</v>
      </c>
      <c r="M721" s="275">
        <f t="shared" si="230"/>
        <v>3</v>
      </c>
      <c r="N721" s="98">
        <v>5</v>
      </c>
      <c r="O721" s="93">
        <f t="shared" si="235"/>
        <v>100</v>
      </c>
      <c r="EM721" s="100">
        <v>3</v>
      </c>
      <c r="ON721" s="100">
        <f t="shared" si="232"/>
        <v>0</v>
      </c>
    </row>
    <row r="722" spans="1:404" ht="23.25" customHeight="1">
      <c r="A722" s="97" t="str">
        <f t="shared" si="234"/>
        <v>218/KHBS-2168-70900-03-B</v>
      </c>
      <c r="B722" s="126">
        <v>44395</v>
      </c>
      <c r="C722" s="127">
        <f t="shared" ca="1" si="223"/>
        <v>-669</v>
      </c>
      <c r="D722" s="96" t="s">
        <v>1307</v>
      </c>
      <c r="E722" s="94" t="s">
        <v>27</v>
      </c>
      <c r="F722" s="132" t="str">
        <f t="shared" si="233"/>
        <v>B</v>
      </c>
      <c r="G722" s="130">
        <f ca="1">SUMIF($A:E,$A722,K:K)</f>
        <v>6</v>
      </c>
      <c r="H722" s="97" t="s">
        <v>508</v>
      </c>
      <c r="I722" s="98">
        <v>6</v>
      </c>
      <c r="J722" s="97">
        <v>6</v>
      </c>
      <c r="K722" s="143">
        <f t="shared" si="231"/>
        <v>6</v>
      </c>
      <c r="L722" s="144">
        <f t="shared" si="229"/>
        <v>0</v>
      </c>
      <c r="M722" s="275">
        <f t="shared" si="230"/>
        <v>6</v>
      </c>
      <c r="N722" s="98">
        <v>3</v>
      </c>
      <c r="O722" s="93">
        <f t="shared" si="235"/>
        <v>100</v>
      </c>
      <c r="GE722" s="100">
        <v>6</v>
      </c>
      <c r="ON722" s="100">
        <f t="shared" si="232"/>
        <v>0</v>
      </c>
    </row>
    <row r="723" spans="1:404" ht="23.25" customHeight="1">
      <c r="A723" s="97" t="s">
        <v>1732</v>
      </c>
      <c r="B723" s="126">
        <v>44469</v>
      </c>
      <c r="C723" s="127">
        <f t="shared" ca="1" si="223"/>
        <v>-595</v>
      </c>
      <c r="D723" s="112" t="s">
        <v>1540</v>
      </c>
      <c r="E723" s="123" t="s">
        <v>27</v>
      </c>
      <c r="F723" s="132" t="s">
        <v>561</v>
      </c>
      <c r="G723" s="130">
        <v>0</v>
      </c>
      <c r="H723" s="112" t="s">
        <v>1525</v>
      </c>
      <c r="I723" s="175">
        <v>1340</v>
      </c>
      <c r="J723" s="115">
        <v>540</v>
      </c>
      <c r="K723" s="143">
        <f t="shared" si="231"/>
        <v>540</v>
      </c>
      <c r="L723" s="144">
        <f t="shared" si="229"/>
        <v>0</v>
      </c>
      <c r="M723" s="275">
        <f t="shared" si="230"/>
        <v>1340</v>
      </c>
      <c r="N723" s="98">
        <v>3</v>
      </c>
      <c r="O723" s="93">
        <f t="shared" si="235"/>
        <v>100</v>
      </c>
      <c r="HQ723" s="100">
        <v>6</v>
      </c>
      <c r="HS723" s="100">
        <v>20</v>
      </c>
      <c r="HW723" s="100">
        <v>40</v>
      </c>
      <c r="HY723" s="100">
        <v>33</v>
      </c>
      <c r="ID723" s="100">
        <v>29</v>
      </c>
      <c r="IE723" s="100">
        <v>2</v>
      </c>
      <c r="IF723" s="100">
        <v>26</v>
      </c>
      <c r="IG723" s="100">
        <v>30</v>
      </c>
      <c r="IH723" s="100">
        <v>49</v>
      </c>
      <c r="IK723" s="100">
        <v>70</v>
      </c>
      <c r="IL723" s="100">
        <v>2</v>
      </c>
      <c r="IM723" s="100">
        <v>32</v>
      </c>
      <c r="IP723" s="100">
        <v>35</v>
      </c>
      <c r="IR723" s="100">
        <v>36</v>
      </c>
      <c r="IS723" s="100">
        <v>2</v>
      </c>
      <c r="IT723" s="100">
        <v>38</v>
      </c>
      <c r="IV723" s="100">
        <v>15</v>
      </c>
      <c r="IW723" s="100">
        <v>1</v>
      </c>
      <c r="IY723" s="100">
        <v>41</v>
      </c>
      <c r="IZ723" s="100">
        <v>33</v>
      </c>
      <c r="ON723" s="100">
        <f t="shared" si="232"/>
        <v>0</v>
      </c>
    </row>
    <row r="724" spans="1:404" ht="23.25" customHeight="1">
      <c r="A724" s="97" t="str">
        <f t="shared" ref="A724:A752" si="236">D724&amp;E724</f>
        <v xml:space="preserve"> 009T/EUROMARKET-2168-70900-03-B</v>
      </c>
      <c r="B724" s="95">
        <v>44469</v>
      </c>
      <c r="C724" s="97">
        <f t="shared" ca="1" si="223"/>
        <v>-595</v>
      </c>
      <c r="D724" s="112" t="s">
        <v>1540</v>
      </c>
      <c r="E724" s="123" t="s">
        <v>27</v>
      </c>
      <c r="F724" s="132" t="str">
        <f t="shared" ref="F724:F752" si="237">MID(E724,13,2)</f>
        <v>B</v>
      </c>
      <c r="G724" s="130">
        <f ca="1">SUMIF($A:E,$A724,K:K)</f>
        <v>1340</v>
      </c>
      <c r="H724" s="112" t="s">
        <v>1525</v>
      </c>
      <c r="I724" s="175">
        <v>1340</v>
      </c>
      <c r="J724" s="115">
        <f>1340-J723</f>
        <v>800</v>
      </c>
      <c r="K724" s="143">
        <f t="shared" si="231"/>
        <v>800</v>
      </c>
      <c r="L724" s="144">
        <f t="shared" si="229"/>
        <v>0</v>
      </c>
      <c r="M724" s="275">
        <f t="shared" si="230"/>
        <v>1340</v>
      </c>
      <c r="N724" s="98">
        <v>4</v>
      </c>
      <c r="O724" s="93">
        <f t="shared" si="235"/>
        <v>100</v>
      </c>
      <c r="HT724" s="100">
        <f>29+38</f>
        <v>67</v>
      </c>
      <c r="HU724" s="100">
        <v>38</v>
      </c>
      <c r="HW724" s="100">
        <v>30</v>
      </c>
      <c r="HX724" s="100">
        <v>30</v>
      </c>
      <c r="HY724" s="100">
        <v>27</v>
      </c>
      <c r="IB724" s="100">
        <v>40</v>
      </c>
      <c r="ID724" s="100">
        <v>40</v>
      </c>
      <c r="IE724" s="100">
        <v>42</v>
      </c>
      <c r="IF724" s="100">
        <v>40</v>
      </c>
      <c r="IH724" s="100">
        <v>57</v>
      </c>
      <c r="II724" s="100">
        <v>40</v>
      </c>
      <c r="IL724" s="100">
        <v>60</v>
      </c>
      <c r="IM724" s="100">
        <v>57</v>
      </c>
      <c r="IN724" s="100">
        <v>39</v>
      </c>
      <c r="IO724" s="100">
        <v>38</v>
      </c>
      <c r="IS724" s="100">
        <v>54</v>
      </c>
      <c r="IT724" s="100">
        <v>43</v>
      </c>
      <c r="IU724" s="100">
        <v>50</v>
      </c>
      <c r="IV724" s="100">
        <v>8</v>
      </c>
      <c r="ON724" s="100">
        <f t="shared" si="232"/>
        <v>0</v>
      </c>
    </row>
    <row r="725" spans="1:404" ht="23.25" customHeight="1">
      <c r="A725" s="97" t="str">
        <f t="shared" si="236"/>
        <v>051-VG_SR-21(EUROMARKET)68-70900-03-B</v>
      </c>
      <c r="B725" s="126">
        <v>44426</v>
      </c>
      <c r="C725" s="127">
        <f t="shared" ca="1" si="223"/>
        <v>-638</v>
      </c>
      <c r="D725" s="112" t="s">
        <v>1546</v>
      </c>
      <c r="E725" s="123" t="s">
        <v>27</v>
      </c>
      <c r="F725" s="132" t="str">
        <f t="shared" si="237"/>
        <v>B</v>
      </c>
      <c r="G725" s="130">
        <f ca="1">SUMIF($A:E,$A725,K:K)</f>
        <v>5</v>
      </c>
      <c r="H725" s="112" t="s">
        <v>1550</v>
      </c>
      <c r="I725" s="98">
        <v>5</v>
      </c>
      <c r="J725" s="99">
        <v>5</v>
      </c>
      <c r="K725" s="143">
        <f t="shared" si="231"/>
        <v>5</v>
      </c>
      <c r="L725" s="144">
        <f t="shared" si="229"/>
        <v>0</v>
      </c>
      <c r="M725" s="275">
        <f t="shared" si="230"/>
        <v>5</v>
      </c>
      <c r="N725" s="98">
        <v>1</v>
      </c>
      <c r="O725" s="93">
        <f t="shared" si="235"/>
        <v>100</v>
      </c>
      <c r="HF725" s="100">
        <v>5</v>
      </c>
      <c r="ON725" s="100">
        <f t="shared" si="232"/>
        <v>0</v>
      </c>
    </row>
    <row r="726" spans="1:404" ht="23.25" customHeight="1">
      <c r="A726" s="97" t="str">
        <f t="shared" si="236"/>
        <v>001/EUROMARKET-VG_SR-2168-70900-03-B</v>
      </c>
      <c r="B726" s="126">
        <v>44425</v>
      </c>
      <c r="C726" s="127">
        <f t="shared" ca="1" si="223"/>
        <v>-639</v>
      </c>
      <c r="D726" s="112" t="s">
        <v>1552</v>
      </c>
      <c r="E726" s="123" t="s">
        <v>27</v>
      </c>
      <c r="F726" s="132" t="str">
        <f t="shared" si="237"/>
        <v>B</v>
      </c>
      <c r="G726" s="130">
        <f ca="1">SUMIF($A:E,$A726,K:K)</f>
        <v>12</v>
      </c>
      <c r="H726" s="112" t="s">
        <v>1553</v>
      </c>
      <c r="I726" s="175">
        <v>12</v>
      </c>
      <c r="J726" s="115">
        <v>12</v>
      </c>
      <c r="K726" s="143">
        <f t="shared" si="231"/>
        <v>12</v>
      </c>
      <c r="L726" s="144">
        <f t="shared" si="229"/>
        <v>0</v>
      </c>
      <c r="M726" s="275">
        <f t="shared" si="230"/>
        <v>12</v>
      </c>
      <c r="N726" s="98">
        <v>1</v>
      </c>
      <c r="O726" s="93">
        <f t="shared" si="235"/>
        <v>100</v>
      </c>
      <c r="HE726" s="100">
        <v>12</v>
      </c>
      <c r="ON726" s="100">
        <f t="shared" si="232"/>
        <v>0</v>
      </c>
    </row>
    <row r="727" spans="1:404" ht="23.25" customHeight="1">
      <c r="A727" s="97" t="str">
        <f t="shared" si="236"/>
        <v>001A/EUROMARKET-VG_SR-2168-70900-03-B</v>
      </c>
      <c r="B727" s="233">
        <v>44437</v>
      </c>
      <c r="C727" s="127">
        <f t="shared" ca="1" si="223"/>
        <v>-627</v>
      </c>
      <c r="D727" s="112" t="s">
        <v>1695</v>
      </c>
      <c r="E727" s="123" t="s">
        <v>27</v>
      </c>
      <c r="F727" s="132" t="str">
        <f t="shared" si="237"/>
        <v>B</v>
      </c>
      <c r="G727" s="130">
        <f ca="1">SUMIF($A:E,$A727,K:K)</f>
        <v>2</v>
      </c>
      <c r="H727" s="112" t="s">
        <v>1696</v>
      </c>
      <c r="I727" s="175">
        <v>2</v>
      </c>
      <c r="J727" s="115">
        <v>2</v>
      </c>
      <c r="K727" s="143">
        <f t="shared" si="231"/>
        <v>2</v>
      </c>
      <c r="L727" s="144">
        <f t="shared" si="229"/>
        <v>0</v>
      </c>
      <c r="M727" s="275">
        <f t="shared" si="230"/>
        <v>2</v>
      </c>
      <c r="N727" s="211">
        <v>1</v>
      </c>
      <c r="O727" s="93">
        <f t="shared" si="235"/>
        <v>100</v>
      </c>
      <c r="HL727" s="100">
        <v>2</v>
      </c>
      <c r="ON727" s="100">
        <f t="shared" si="232"/>
        <v>0</v>
      </c>
    </row>
    <row r="728" spans="1:404" ht="23.25" customHeight="1">
      <c r="A728" s="97" t="str">
        <f t="shared" si="236"/>
        <v xml:space="preserve">	013T/EUROMARKET-2168-70900-03-B</v>
      </c>
      <c r="B728" s="126">
        <v>44480</v>
      </c>
      <c r="C728" s="127">
        <f t="shared" ca="1" si="223"/>
        <v>-584</v>
      </c>
      <c r="D728" s="112" t="s">
        <v>1734</v>
      </c>
      <c r="E728" s="123" t="s">
        <v>27</v>
      </c>
      <c r="F728" s="132" t="str">
        <f t="shared" si="237"/>
        <v>B</v>
      </c>
      <c r="G728" s="130">
        <f ca="1">SUMIF($A:E,$A728,K:K)</f>
        <v>291</v>
      </c>
      <c r="H728" s="97" t="s">
        <v>1736</v>
      </c>
      <c r="I728" s="175">
        <v>291</v>
      </c>
      <c r="J728" s="115">
        <v>291</v>
      </c>
      <c r="K728" s="143">
        <f t="shared" si="231"/>
        <v>291</v>
      </c>
      <c r="L728" s="144">
        <f t="shared" si="229"/>
        <v>0</v>
      </c>
      <c r="M728" s="275">
        <f t="shared" si="230"/>
        <v>291</v>
      </c>
      <c r="N728" s="98">
        <v>6</v>
      </c>
      <c r="O728" s="93">
        <f t="shared" si="235"/>
        <v>100</v>
      </c>
      <c r="IZ728" s="100">
        <v>1</v>
      </c>
      <c r="JA728" s="100">
        <v>40</v>
      </c>
      <c r="JB728" s="100">
        <v>44</v>
      </c>
      <c r="JC728" s="100">
        <v>29</v>
      </c>
      <c r="JD728" s="100">
        <v>149</v>
      </c>
      <c r="JF728" s="100">
        <v>2</v>
      </c>
      <c r="JG728" s="100">
        <v>26</v>
      </c>
      <c r="ON728" s="100">
        <f t="shared" si="232"/>
        <v>0</v>
      </c>
    </row>
    <row r="729" spans="1:404" ht="23.25" customHeight="1">
      <c r="A729" s="97" t="str">
        <f t="shared" si="236"/>
        <v>016T/EUROMARKET-2168-70900-03-B</v>
      </c>
      <c r="B729" s="126">
        <v>44502</v>
      </c>
      <c r="C729" s="127">
        <f t="shared" ca="1" si="223"/>
        <v>-562</v>
      </c>
      <c r="D729" s="112" t="s">
        <v>1806</v>
      </c>
      <c r="E729" s="123" t="s">
        <v>27</v>
      </c>
      <c r="F729" s="132" t="str">
        <f t="shared" si="237"/>
        <v>B</v>
      </c>
      <c r="G729" s="130">
        <f ca="1">SUMIF($A:E,$A729,K:K)</f>
        <v>852</v>
      </c>
      <c r="H729" s="112" t="s">
        <v>1807</v>
      </c>
      <c r="I729" s="175">
        <v>852</v>
      </c>
      <c r="J729" s="115">
        <v>852</v>
      </c>
      <c r="K729" s="143">
        <f t="shared" si="231"/>
        <v>852</v>
      </c>
      <c r="L729" s="144">
        <f t="shared" si="229"/>
        <v>0</v>
      </c>
      <c r="M729" s="275">
        <f t="shared" si="230"/>
        <v>852</v>
      </c>
      <c r="N729" s="98">
        <v>6</v>
      </c>
      <c r="O729" s="93">
        <f t="shared" si="235"/>
        <v>100</v>
      </c>
      <c r="IM729" s="100">
        <v>9</v>
      </c>
      <c r="IO729" s="100">
        <v>39</v>
      </c>
      <c r="IP729" s="100">
        <v>30</v>
      </c>
      <c r="IR729" s="100">
        <v>3</v>
      </c>
      <c r="IT729" s="100">
        <v>14</v>
      </c>
      <c r="IU729" s="100">
        <v>52</v>
      </c>
      <c r="IW729" s="100">
        <v>108</v>
      </c>
      <c r="IZ729" s="100">
        <f>35+43</f>
        <v>78</v>
      </c>
      <c r="JG729" s="100">
        <v>24</v>
      </c>
      <c r="JH729" s="100">
        <v>70</v>
      </c>
      <c r="JI729" s="100">
        <v>89</v>
      </c>
      <c r="JJ729" s="100">
        <v>37</v>
      </c>
      <c r="JK729" s="100">
        <v>58</v>
      </c>
      <c r="JN729" s="100">
        <f>55+41</f>
        <v>96</v>
      </c>
      <c r="JO729" s="100">
        <v>72</v>
      </c>
      <c r="JP729" s="100">
        <v>67</v>
      </c>
      <c r="JQ729" s="100">
        <v>6</v>
      </c>
      <c r="ON729" s="100">
        <f t="shared" si="232"/>
        <v>0</v>
      </c>
    </row>
    <row r="730" spans="1:404" ht="23.25" customHeight="1">
      <c r="A730" s="97" t="str">
        <f t="shared" si="236"/>
        <v>015/EUROMARKET-VG-2168-70900-03-B</v>
      </c>
      <c r="B730" s="126">
        <v>44551</v>
      </c>
      <c r="C730" s="127">
        <f t="shared" ca="1" si="223"/>
        <v>-513</v>
      </c>
      <c r="D730" s="112" t="s">
        <v>1813</v>
      </c>
      <c r="E730" s="123" t="s">
        <v>27</v>
      </c>
      <c r="F730" s="98" t="str">
        <f t="shared" si="237"/>
        <v>B</v>
      </c>
      <c r="G730" s="110">
        <f ca="1">SUMIF($A:E,$A730,K:K)</f>
        <v>207</v>
      </c>
      <c r="H730" s="112" t="s">
        <v>1807</v>
      </c>
      <c r="I730" s="175">
        <v>207</v>
      </c>
      <c r="J730" s="115">
        <v>207</v>
      </c>
      <c r="K730" s="143">
        <f t="shared" si="231"/>
        <v>207</v>
      </c>
      <c r="L730" s="144">
        <f t="shared" si="229"/>
        <v>0</v>
      </c>
      <c r="M730" s="275">
        <f t="shared" si="230"/>
        <v>207</v>
      </c>
      <c r="N730" s="98">
        <v>4</v>
      </c>
      <c r="O730" s="93">
        <f t="shared" si="235"/>
        <v>100</v>
      </c>
      <c r="LT730" s="100">
        <v>36</v>
      </c>
      <c r="LU730" s="100">
        <v>18</v>
      </c>
      <c r="LW730" s="100">
        <v>16</v>
      </c>
      <c r="LX730" s="100">
        <v>24</v>
      </c>
      <c r="LY730" s="100">
        <v>7</v>
      </c>
      <c r="LZ730" s="100">
        <f>35-7</f>
        <v>28</v>
      </c>
      <c r="MA730" s="100">
        <v>35</v>
      </c>
      <c r="MB730" s="100">
        <v>19</v>
      </c>
      <c r="MD730" s="100">
        <v>19</v>
      </c>
      <c r="ME730" s="100">
        <v>5</v>
      </c>
      <c r="ON730" s="100">
        <f t="shared" si="232"/>
        <v>0</v>
      </c>
    </row>
    <row r="731" spans="1:404" ht="23.25" customHeight="1">
      <c r="A731" s="97" t="str">
        <f t="shared" si="236"/>
        <v xml:space="preserve">	018T/EUROMARKET-2168-70900-03-B</v>
      </c>
      <c r="B731" s="126">
        <v>44528</v>
      </c>
      <c r="C731" s="127">
        <f t="shared" ca="1" si="223"/>
        <v>-536</v>
      </c>
      <c r="D731" s="112" t="s">
        <v>1832</v>
      </c>
      <c r="E731" s="123" t="s">
        <v>27</v>
      </c>
      <c r="F731" s="132" t="str">
        <f t="shared" si="237"/>
        <v>B</v>
      </c>
      <c r="G731" s="130">
        <f ca="1">SUMIF($A:E,$A731,K:K)</f>
        <v>626</v>
      </c>
      <c r="H731" s="97" t="s">
        <v>601</v>
      </c>
      <c r="I731" s="175">
        <v>626</v>
      </c>
      <c r="J731" s="115">
        <v>626</v>
      </c>
      <c r="K731" s="143">
        <f t="shared" si="231"/>
        <v>626</v>
      </c>
      <c r="L731" s="144">
        <f t="shared" si="229"/>
        <v>0</v>
      </c>
      <c r="M731" s="275">
        <f t="shared" si="230"/>
        <v>626</v>
      </c>
      <c r="N731" s="98">
        <v>4</v>
      </c>
      <c r="O731" s="93">
        <f t="shared" si="235"/>
        <v>100</v>
      </c>
      <c r="IV731" s="100">
        <v>45</v>
      </c>
      <c r="IW731" s="100">
        <v>21</v>
      </c>
      <c r="IY731" s="100">
        <v>42</v>
      </c>
      <c r="IZ731" s="100">
        <v>31</v>
      </c>
      <c r="JA731" s="100">
        <v>40</v>
      </c>
      <c r="JB731" s="100">
        <v>40</v>
      </c>
      <c r="JC731" s="100">
        <v>39</v>
      </c>
      <c r="JD731" s="100">
        <v>39</v>
      </c>
      <c r="JF731" s="100">
        <v>35</v>
      </c>
      <c r="JG731" s="100">
        <v>23</v>
      </c>
      <c r="JH731" s="100">
        <v>57</v>
      </c>
      <c r="JI731" s="100">
        <v>55</v>
      </c>
      <c r="JJ731" s="100">
        <v>27</v>
      </c>
      <c r="JK731" s="100">
        <v>13</v>
      </c>
      <c r="JM731" s="100">
        <v>36</v>
      </c>
      <c r="JN731" s="100">
        <v>31</v>
      </c>
      <c r="JO731" s="100">
        <v>39</v>
      </c>
      <c r="JP731" s="100">
        <v>9</v>
      </c>
      <c r="JQ731" s="100">
        <v>4</v>
      </c>
      <c r="ON731" s="100">
        <f t="shared" si="232"/>
        <v>0</v>
      </c>
    </row>
    <row r="732" spans="1:404" ht="23.25" customHeight="1">
      <c r="A732" s="97" t="str">
        <f t="shared" si="236"/>
        <v>019T/EUROMARKET-2168-70900-03-B</v>
      </c>
      <c r="B732" s="126">
        <v>44553</v>
      </c>
      <c r="C732" s="127">
        <f t="shared" ca="1" si="223"/>
        <v>-511</v>
      </c>
      <c r="D732" s="112" t="s">
        <v>1875</v>
      </c>
      <c r="E732" s="123" t="s">
        <v>27</v>
      </c>
      <c r="F732" s="132" t="str">
        <f t="shared" si="237"/>
        <v>B</v>
      </c>
      <c r="G732" s="130">
        <f ca="1">SUMIF($A:E,$A732,K:K)</f>
        <v>146</v>
      </c>
      <c r="H732" s="112" t="s">
        <v>1807</v>
      </c>
      <c r="I732" s="175">
        <v>146</v>
      </c>
      <c r="J732" s="115">
        <v>146</v>
      </c>
      <c r="K732" s="143">
        <f t="shared" si="231"/>
        <v>146</v>
      </c>
      <c r="L732" s="144">
        <f t="shared" si="229"/>
        <v>0</v>
      </c>
      <c r="M732" s="275">
        <f t="shared" si="230"/>
        <v>146</v>
      </c>
      <c r="N732" s="98">
        <v>6</v>
      </c>
      <c r="O732" s="93">
        <f t="shared" si="235"/>
        <v>100</v>
      </c>
      <c r="JQ732" s="100">
        <v>28</v>
      </c>
      <c r="JR732" s="100">
        <v>10</v>
      </c>
      <c r="JT732" s="100">
        <v>24</v>
      </c>
      <c r="JU732" s="100">
        <v>2</v>
      </c>
      <c r="JV732" s="100">
        <v>6</v>
      </c>
      <c r="JY732" s="100">
        <v>41</v>
      </c>
      <c r="KA732" s="100">
        <v>16</v>
      </c>
      <c r="KC732" s="100">
        <v>6</v>
      </c>
      <c r="KD732" s="100">
        <v>8</v>
      </c>
      <c r="KI732" s="100">
        <v>1</v>
      </c>
      <c r="LK732" s="100">
        <v>4</v>
      </c>
      <c r="ON732" s="100">
        <f t="shared" si="232"/>
        <v>0</v>
      </c>
    </row>
    <row r="733" spans="1:404" ht="23.25" customHeight="1">
      <c r="A733" s="97" t="str">
        <f t="shared" si="236"/>
        <v>005/GREENPOT-2168-70900-03-05</v>
      </c>
      <c r="B733" s="126">
        <v>44601</v>
      </c>
      <c r="C733" s="127">
        <f t="shared" ca="1" si="223"/>
        <v>-463</v>
      </c>
      <c r="D733" s="128" t="s">
        <v>1141</v>
      </c>
      <c r="E733" s="129" t="s">
        <v>1143</v>
      </c>
      <c r="F733" s="132" t="str">
        <f t="shared" si="237"/>
        <v>05</v>
      </c>
      <c r="G733" s="130">
        <f ca="1">SUMIF($A:E,$A733,K:K)</f>
        <v>189</v>
      </c>
      <c r="H733" s="127" t="s">
        <v>616</v>
      </c>
      <c r="I733" s="132">
        <v>189</v>
      </c>
      <c r="J733" s="131">
        <v>189</v>
      </c>
      <c r="K733" s="143">
        <f t="shared" si="231"/>
        <v>189</v>
      </c>
      <c r="L733" s="144">
        <f t="shared" si="229"/>
        <v>0</v>
      </c>
      <c r="M733" s="275">
        <f t="shared" si="230"/>
        <v>189</v>
      </c>
      <c r="N733" s="132" t="s">
        <v>1768</v>
      </c>
      <c r="O733" s="93">
        <f t="shared" ref="O733:O773" si="238">K733/J733*100</f>
        <v>100</v>
      </c>
      <c r="MO733" s="100">
        <v>9</v>
      </c>
      <c r="MU733" s="100">
        <v>10</v>
      </c>
      <c r="MW733" s="100">
        <v>10</v>
      </c>
      <c r="MY733" s="100">
        <v>10</v>
      </c>
      <c r="MZ733" s="100">
        <v>25</v>
      </c>
      <c r="ND733" s="100">
        <v>20</v>
      </c>
      <c r="NE733" s="100">
        <v>20</v>
      </c>
      <c r="NF733" s="100">
        <v>20</v>
      </c>
      <c r="NG733" s="100">
        <v>8</v>
      </c>
      <c r="NI733" s="100">
        <v>19</v>
      </c>
      <c r="NK733" s="100">
        <v>20</v>
      </c>
      <c r="NL733" s="100">
        <v>10</v>
      </c>
      <c r="NM733" s="100">
        <v>8</v>
      </c>
      <c r="ON733" s="100">
        <f t="shared" si="232"/>
        <v>0</v>
      </c>
    </row>
    <row r="734" spans="1:404" ht="23.25" customHeight="1">
      <c r="A734" s="97" t="str">
        <f t="shared" si="236"/>
        <v>187/KHBS-2168-70900-03-01</v>
      </c>
      <c r="B734" s="95">
        <v>44343</v>
      </c>
      <c r="C734" s="127">
        <f t="shared" ca="1" si="223"/>
        <v>-721</v>
      </c>
      <c r="D734" s="96" t="s">
        <v>996</v>
      </c>
      <c r="E734" s="94" t="s">
        <v>491</v>
      </c>
      <c r="F734" s="98" t="str">
        <f t="shared" si="237"/>
        <v>01</v>
      </c>
      <c r="G734" s="110">
        <f ca="1">SUMIF($A:E,$A734,K:K)</f>
        <v>1</v>
      </c>
      <c r="H734" s="97" t="s">
        <v>505</v>
      </c>
      <c r="I734" s="98">
        <v>1</v>
      </c>
      <c r="J734" s="99">
        <v>1</v>
      </c>
      <c r="K734" s="143">
        <f t="shared" si="231"/>
        <v>1</v>
      </c>
      <c r="L734" s="144">
        <f t="shared" si="229"/>
        <v>0</v>
      </c>
      <c r="M734" s="275">
        <f t="shared" si="230"/>
        <v>1</v>
      </c>
      <c r="N734" s="98">
        <v>2</v>
      </c>
      <c r="O734" s="93">
        <f t="shared" si="238"/>
        <v>100</v>
      </c>
      <c r="EI734" s="100">
        <v>1</v>
      </c>
      <c r="ON734" s="100">
        <f t="shared" si="232"/>
        <v>0</v>
      </c>
    </row>
    <row r="735" spans="1:404" ht="23.25" customHeight="1">
      <c r="A735" s="97" t="str">
        <f t="shared" si="236"/>
        <v>005/GREENPOT-2168-70900-03-01</v>
      </c>
      <c r="B735" s="95">
        <v>44601</v>
      </c>
      <c r="C735" s="127">
        <f t="shared" ca="1" si="223"/>
        <v>-463</v>
      </c>
      <c r="D735" s="96" t="s">
        <v>1141</v>
      </c>
      <c r="E735" s="94" t="s">
        <v>491</v>
      </c>
      <c r="F735" s="98" t="str">
        <f t="shared" si="237"/>
        <v>01</v>
      </c>
      <c r="G735" s="110">
        <f ca="1">SUMIF($A:E,$A735,K:K)</f>
        <v>126</v>
      </c>
      <c r="H735" s="97" t="s">
        <v>616</v>
      </c>
      <c r="I735" s="98">
        <v>126</v>
      </c>
      <c r="J735" s="99">
        <v>126</v>
      </c>
      <c r="K735" s="143">
        <f t="shared" si="231"/>
        <v>126</v>
      </c>
      <c r="L735" s="144">
        <f t="shared" si="229"/>
        <v>0</v>
      </c>
      <c r="M735" s="275">
        <f t="shared" si="230"/>
        <v>126</v>
      </c>
      <c r="N735" s="98" t="s">
        <v>1768</v>
      </c>
      <c r="O735" s="93">
        <f t="shared" si="238"/>
        <v>100</v>
      </c>
      <c r="MM735" s="100">
        <v>10</v>
      </c>
      <c r="MN735" s="100">
        <v>30</v>
      </c>
      <c r="MO735" s="100">
        <v>9</v>
      </c>
      <c r="MP735" s="100">
        <v>20</v>
      </c>
      <c r="MQ735" s="100">
        <v>10</v>
      </c>
      <c r="MR735" s="100">
        <v>10</v>
      </c>
      <c r="MS735" s="100">
        <v>20</v>
      </c>
      <c r="MT735" s="100">
        <v>10</v>
      </c>
      <c r="MU735" s="100">
        <v>7</v>
      </c>
      <c r="ON735" s="100">
        <f t="shared" si="232"/>
        <v>0</v>
      </c>
    </row>
    <row r="736" spans="1:404" ht="23.25" customHeight="1">
      <c r="A736" s="97" t="str">
        <f t="shared" si="236"/>
        <v>184/KHBS-21(055/PLANTAGEN-2168-70900-02-B</v>
      </c>
      <c r="B736" s="95">
        <v>44336</v>
      </c>
      <c r="C736" s="127">
        <f t="shared" ca="1" si="223"/>
        <v>-728</v>
      </c>
      <c r="D736" s="96" t="s">
        <v>982</v>
      </c>
      <c r="E736" s="94" t="s">
        <v>24</v>
      </c>
      <c r="F736" s="98" t="str">
        <f t="shared" si="237"/>
        <v>B</v>
      </c>
      <c r="G736" s="110">
        <f ca="1">SUMIF($A:E,$A736,K:K)</f>
        <v>2</v>
      </c>
      <c r="H736" s="97" t="s">
        <v>508</v>
      </c>
      <c r="I736" s="98">
        <v>2</v>
      </c>
      <c r="J736" s="99">
        <v>2</v>
      </c>
      <c r="K736" s="143">
        <f t="shared" si="231"/>
        <v>2</v>
      </c>
      <c r="L736" s="144">
        <f t="shared" si="229"/>
        <v>0</v>
      </c>
      <c r="M736" s="275">
        <f t="shared" si="230"/>
        <v>2</v>
      </c>
      <c r="N736" s="98">
        <v>1</v>
      </c>
      <c r="O736" s="93">
        <f t="shared" si="238"/>
        <v>100</v>
      </c>
      <c r="DZ736" s="100">
        <v>2</v>
      </c>
      <c r="ON736" s="100">
        <f t="shared" si="232"/>
        <v>0</v>
      </c>
    </row>
    <row r="737" spans="1:404" ht="23.25" customHeight="1">
      <c r="A737" s="97" t="str">
        <f t="shared" si="236"/>
        <v>206/KHBS-2168-70900-02-B</v>
      </c>
      <c r="B737" s="95">
        <v>44366</v>
      </c>
      <c r="C737" s="127">
        <f t="shared" ca="1" si="223"/>
        <v>-698</v>
      </c>
      <c r="D737" s="96" t="s">
        <v>1115</v>
      </c>
      <c r="E737" s="94" t="s">
        <v>24</v>
      </c>
      <c r="F737" s="98" t="str">
        <f t="shared" si="237"/>
        <v>B</v>
      </c>
      <c r="G737" s="110">
        <f ca="1">SUMIF($A:E,$A737,K:K)</f>
        <v>8</v>
      </c>
      <c r="H737" s="97" t="s">
        <v>616</v>
      </c>
      <c r="I737" s="98">
        <v>8</v>
      </c>
      <c r="J737" s="99">
        <v>8</v>
      </c>
      <c r="K737" s="143">
        <f t="shared" si="231"/>
        <v>8</v>
      </c>
      <c r="L737" s="144">
        <f t="shared" si="229"/>
        <v>0</v>
      </c>
      <c r="M737" s="275">
        <f t="shared" si="230"/>
        <v>8</v>
      </c>
      <c r="N737" s="98">
        <v>1</v>
      </c>
      <c r="O737" s="93">
        <f t="shared" si="238"/>
        <v>100</v>
      </c>
      <c r="FE737" s="100">
        <v>8</v>
      </c>
      <c r="ON737" s="100">
        <f t="shared" si="232"/>
        <v>0</v>
      </c>
    </row>
    <row r="738" spans="1:404" ht="23.25" customHeight="1">
      <c r="A738" s="97" t="str">
        <f t="shared" si="236"/>
        <v>218/KHBS-2168-70900-02-B</v>
      </c>
      <c r="B738" s="95">
        <v>44395</v>
      </c>
      <c r="C738" s="127">
        <f t="shared" ca="1" si="223"/>
        <v>-669</v>
      </c>
      <c r="D738" s="96" t="s">
        <v>1307</v>
      </c>
      <c r="E738" s="94" t="s">
        <v>24</v>
      </c>
      <c r="F738" s="98" t="str">
        <f t="shared" si="237"/>
        <v>B</v>
      </c>
      <c r="G738" s="110">
        <f ca="1">SUMIF($A:E,$A738,K:K)</f>
        <v>4</v>
      </c>
      <c r="H738" s="97" t="s">
        <v>508</v>
      </c>
      <c r="I738" s="98">
        <v>4</v>
      </c>
      <c r="J738" s="97">
        <v>4</v>
      </c>
      <c r="K738" s="143">
        <f t="shared" si="231"/>
        <v>4</v>
      </c>
      <c r="L738" s="144">
        <f t="shared" si="229"/>
        <v>0</v>
      </c>
      <c r="M738" s="275">
        <f t="shared" si="230"/>
        <v>4</v>
      </c>
      <c r="N738" s="98">
        <v>3</v>
      </c>
      <c r="O738" s="93">
        <f t="shared" si="238"/>
        <v>100</v>
      </c>
      <c r="GE738" s="100">
        <v>4</v>
      </c>
      <c r="ON738" s="100">
        <f t="shared" si="232"/>
        <v>0</v>
      </c>
    </row>
    <row r="739" spans="1:404" ht="23.25" customHeight="1">
      <c r="A739" s="97" t="str">
        <f t="shared" si="236"/>
        <v>219/KHBS-2168-70900-02-B</v>
      </c>
      <c r="B739" s="95">
        <v>44394</v>
      </c>
      <c r="C739" s="127">
        <f t="shared" ca="1" si="223"/>
        <v>-670</v>
      </c>
      <c r="D739" s="96" t="s">
        <v>1310</v>
      </c>
      <c r="E739" s="94" t="s">
        <v>24</v>
      </c>
      <c r="F739" s="98" t="str">
        <f t="shared" si="237"/>
        <v>B</v>
      </c>
      <c r="G739" s="110">
        <f ca="1">SUMIF($A:E,$A739,K:K)</f>
        <v>5</v>
      </c>
      <c r="H739" s="97" t="s">
        <v>508</v>
      </c>
      <c r="I739" s="98">
        <v>5</v>
      </c>
      <c r="J739" s="97">
        <v>5</v>
      </c>
      <c r="K739" s="143">
        <f t="shared" si="231"/>
        <v>5</v>
      </c>
      <c r="L739" s="144">
        <f t="shared" si="229"/>
        <v>0</v>
      </c>
      <c r="M739" s="275">
        <f t="shared" si="230"/>
        <v>5</v>
      </c>
      <c r="N739" s="98">
        <v>1</v>
      </c>
      <c r="O739" s="93">
        <f t="shared" si="238"/>
        <v>100</v>
      </c>
      <c r="GE739" s="100">
        <v>1</v>
      </c>
      <c r="GG739" s="100">
        <v>4</v>
      </c>
      <c r="ON739" s="100">
        <f t="shared" si="232"/>
        <v>0</v>
      </c>
    </row>
    <row r="740" spans="1:404" ht="23.25" customHeight="1">
      <c r="A740" s="97" t="str">
        <f t="shared" si="236"/>
        <v>215/KHBS-2168-70900-02-B</v>
      </c>
      <c r="B740" s="95">
        <v>44394</v>
      </c>
      <c r="C740" s="97">
        <f t="shared" ca="1" si="223"/>
        <v>-670</v>
      </c>
      <c r="D740" s="96" t="s">
        <v>1313</v>
      </c>
      <c r="E740" s="258" t="s">
        <v>24</v>
      </c>
      <c r="F740" s="98" t="str">
        <f t="shared" si="237"/>
        <v>B</v>
      </c>
      <c r="G740" s="110">
        <f ca="1">SUMIF($A:E,$A740,K:K)</f>
        <v>2</v>
      </c>
      <c r="H740" s="97" t="s">
        <v>508</v>
      </c>
      <c r="I740" s="212">
        <v>2</v>
      </c>
      <c r="J740" s="213">
        <v>2</v>
      </c>
      <c r="K740" s="143">
        <f t="shared" si="231"/>
        <v>2</v>
      </c>
      <c r="L740" s="144">
        <f t="shared" si="229"/>
        <v>0</v>
      </c>
      <c r="M740" s="275">
        <f t="shared" si="230"/>
        <v>2</v>
      </c>
      <c r="N740" s="98">
        <v>1</v>
      </c>
      <c r="O740" s="93">
        <f t="shared" si="238"/>
        <v>100</v>
      </c>
      <c r="GE740" s="100">
        <v>2</v>
      </c>
      <c r="ON740" s="100">
        <f t="shared" si="232"/>
        <v>0</v>
      </c>
    </row>
    <row r="741" spans="1:404" ht="23.25" customHeight="1">
      <c r="A741" s="97" t="str">
        <f t="shared" si="236"/>
        <v>229/KHBS-2168-70900-02-B</v>
      </c>
      <c r="B741" s="95">
        <v>44410</v>
      </c>
      <c r="C741" s="97">
        <f t="shared" ca="1" si="223"/>
        <v>-654</v>
      </c>
      <c r="D741" s="96" t="s">
        <v>1446</v>
      </c>
      <c r="E741" s="94" t="s">
        <v>24</v>
      </c>
      <c r="F741" s="98" t="str">
        <f t="shared" si="237"/>
        <v>B</v>
      </c>
      <c r="G741" s="110">
        <f ca="1">SUMIF($A:E,$A741,K:K)</f>
        <v>2</v>
      </c>
      <c r="H741" s="97" t="s">
        <v>616</v>
      </c>
      <c r="I741" s="98">
        <v>2</v>
      </c>
      <c r="J741" s="99">
        <v>2</v>
      </c>
      <c r="K741" s="143">
        <f t="shared" si="231"/>
        <v>2</v>
      </c>
      <c r="L741" s="144">
        <f t="shared" si="229"/>
        <v>0</v>
      </c>
      <c r="M741" s="275">
        <f t="shared" si="230"/>
        <v>2</v>
      </c>
      <c r="N741" s="98">
        <v>3</v>
      </c>
      <c r="O741" s="93">
        <f t="shared" si="238"/>
        <v>100</v>
      </c>
      <c r="GV741" s="100">
        <v>2</v>
      </c>
      <c r="ON741" s="100">
        <f t="shared" si="232"/>
        <v>0</v>
      </c>
    </row>
    <row r="742" spans="1:404" ht="23.25" customHeight="1">
      <c r="A742" s="97" t="str">
        <f t="shared" si="236"/>
        <v>005/GREENPOT-2168-70900-02-05</v>
      </c>
      <c r="B742" s="95">
        <v>44601</v>
      </c>
      <c r="C742" s="97">
        <f t="shared" ca="1" si="223"/>
        <v>-463</v>
      </c>
      <c r="D742" s="96" t="s">
        <v>1141</v>
      </c>
      <c r="E742" s="94" t="s">
        <v>1142</v>
      </c>
      <c r="F742" s="98" t="str">
        <f t="shared" si="237"/>
        <v>05</v>
      </c>
      <c r="G742" s="110">
        <f ca="1">SUMIF($A:E,$A742,K:K)</f>
        <v>50</v>
      </c>
      <c r="H742" s="97" t="s">
        <v>616</v>
      </c>
      <c r="I742" s="98">
        <v>50</v>
      </c>
      <c r="J742" s="99">
        <v>50</v>
      </c>
      <c r="K742" s="143">
        <f t="shared" si="231"/>
        <v>50</v>
      </c>
      <c r="L742" s="144">
        <f t="shared" si="229"/>
        <v>0</v>
      </c>
      <c r="M742" s="275">
        <f t="shared" si="230"/>
        <v>50</v>
      </c>
      <c r="N742" s="98" t="s">
        <v>1768</v>
      </c>
      <c r="O742" s="93">
        <f t="shared" si="238"/>
        <v>100</v>
      </c>
      <c r="MO742" s="100">
        <v>5</v>
      </c>
      <c r="MP742" s="100">
        <v>10</v>
      </c>
      <c r="MQ742" s="100">
        <v>10</v>
      </c>
      <c r="MS742" s="100">
        <v>10</v>
      </c>
      <c r="MT742" s="100">
        <v>10</v>
      </c>
      <c r="MU742" s="100">
        <v>5</v>
      </c>
      <c r="ON742" s="100">
        <f t="shared" si="232"/>
        <v>0</v>
      </c>
    </row>
    <row r="743" spans="1:404" ht="23.25" customHeight="1">
      <c r="A743" s="97" t="str">
        <f t="shared" si="236"/>
        <v>001/COCOON-2168-70900-02-01</v>
      </c>
      <c r="B743" s="95">
        <v>44324</v>
      </c>
      <c r="C743" s="97">
        <f t="shared" ref="C743:C752" ca="1" si="239">B743-TODAY()</f>
        <v>-740</v>
      </c>
      <c r="D743" s="145" t="s">
        <v>717</v>
      </c>
      <c r="E743" s="253" t="s">
        <v>530</v>
      </c>
      <c r="F743" s="98" t="str">
        <f t="shared" si="237"/>
        <v>01</v>
      </c>
      <c r="G743" s="110">
        <f ca="1">SUMIF($A:E,$A743,K:K)</f>
        <v>80</v>
      </c>
      <c r="H743" s="97" t="s">
        <v>721</v>
      </c>
      <c r="I743" s="196">
        <v>80</v>
      </c>
      <c r="J743" s="146">
        <v>80</v>
      </c>
      <c r="K743" s="143">
        <f t="shared" si="231"/>
        <v>80</v>
      </c>
      <c r="L743" s="144">
        <f t="shared" si="229"/>
        <v>0</v>
      </c>
      <c r="M743" s="275">
        <f t="shared" si="230"/>
        <v>80</v>
      </c>
      <c r="N743" s="98">
        <v>2</v>
      </c>
      <c r="O743" s="93">
        <f t="shared" si="238"/>
        <v>100</v>
      </c>
      <c r="DD743" s="101">
        <v>10</v>
      </c>
      <c r="DF743" s="101">
        <v>9</v>
      </c>
      <c r="DG743" s="101">
        <v>5</v>
      </c>
      <c r="DK743" s="101">
        <v>9</v>
      </c>
      <c r="DL743" s="101">
        <v>10</v>
      </c>
      <c r="DM743" s="101">
        <v>10</v>
      </c>
      <c r="DN743" s="101">
        <v>9</v>
      </c>
      <c r="DO743" s="101">
        <v>18</v>
      </c>
      <c r="ON743" s="100">
        <f t="shared" si="232"/>
        <v>0</v>
      </c>
    </row>
    <row r="744" spans="1:404" ht="23.25" customHeight="1">
      <c r="A744" s="97" t="str">
        <f t="shared" si="236"/>
        <v>096/KHBS-2168-70900-02-01</v>
      </c>
      <c r="B744" s="95">
        <v>44270</v>
      </c>
      <c r="C744" s="97">
        <f t="shared" ca="1" si="239"/>
        <v>-794</v>
      </c>
      <c r="D744" s="96" t="s">
        <v>798</v>
      </c>
      <c r="E744" s="94" t="s">
        <v>530</v>
      </c>
      <c r="F744" s="98" t="str">
        <f t="shared" si="237"/>
        <v>01</v>
      </c>
      <c r="G744" s="110">
        <f ca="1">SUMIF($A:E,$A744,K:K)</f>
        <v>2</v>
      </c>
      <c r="H744" s="97" t="s">
        <v>513</v>
      </c>
      <c r="I744" s="98">
        <v>2</v>
      </c>
      <c r="J744" s="99">
        <v>2</v>
      </c>
      <c r="K744" s="143">
        <f t="shared" si="231"/>
        <v>2</v>
      </c>
      <c r="L744" s="144">
        <f t="shared" si="229"/>
        <v>0</v>
      </c>
      <c r="M744" s="275">
        <f t="shared" si="230"/>
        <v>2</v>
      </c>
      <c r="N744" s="98">
        <v>5</v>
      </c>
      <c r="O744" s="93">
        <f t="shared" si="238"/>
        <v>100</v>
      </c>
      <c r="BP744" s="101">
        <v>2</v>
      </c>
      <c r="ON744" s="100">
        <f t="shared" si="232"/>
        <v>0</v>
      </c>
    </row>
    <row r="745" spans="1:404" ht="23.25" customHeight="1">
      <c r="A745" s="97" t="str">
        <f t="shared" si="236"/>
        <v>005/GREENPOT-2168-70900-02-01</v>
      </c>
      <c r="B745" s="95">
        <v>44601</v>
      </c>
      <c r="C745" s="97">
        <f t="shared" ca="1" si="239"/>
        <v>-463</v>
      </c>
      <c r="D745" s="96" t="s">
        <v>1141</v>
      </c>
      <c r="E745" s="94" t="s">
        <v>530</v>
      </c>
      <c r="F745" s="98" t="str">
        <f t="shared" si="237"/>
        <v>01</v>
      </c>
      <c r="G745" s="110">
        <f ca="1">SUMIF($A:E,$A745,K:K)</f>
        <v>50</v>
      </c>
      <c r="H745" s="97" t="s">
        <v>616</v>
      </c>
      <c r="I745" s="98">
        <v>50</v>
      </c>
      <c r="J745" s="99">
        <v>50</v>
      </c>
      <c r="K745" s="143">
        <f t="shared" si="231"/>
        <v>50</v>
      </c>
      <c r="L745" s="144">
        <f t="shared" si="229"/>
        <v>0</v>
      </c>
      <c r="M745" s="275">
        <f t="shared" si="230"/>
        <v>50</v>
      </c>
      <c r="N745" s="98" t="s">
        <v>1768</v>
      </c>
      <c r="O745" s="93">
        <f t="shared" si="238"/>
        <v>100</v>
      </c>
      <c r="MM745" s="100">
        <v>10</v>
      </c>
      <c r="MN745" s="100">
        <v>25</v>
      </c>
      <c r="MO745" s="100">
        <v>14</v>
      </c>
      <c r="MP745" s="100">
        <v>1</v>
      </c>
      <c r="ON745" s="100">
        <f t="shared" si="232"/>
        <v>0</v>
      </c>
    </row>
    <row r="746" spans="1:404" ht="23.25" customHeight="1">
      <c r="A746" s="97" t="str">
        <f t="shared" si="236"/>
        <v>120/KHBS-2168-70900-01-B</v>
      </c>
      <c r="B746" s="95">
        <v>44282</v>
      </c>
      <c r="C746" s="97">
        <f t="shared" ca="1" si="239"/>
        <v>-782</v>
      </c>
      <c r="D746" s="96" t="s">
        <v>821</v>
      </c>
      <c r="E746" s="94" t="s">
        <v>26</v>
      </c>
      <c r="F746" s="98" t="str">
        <f t="shared" si="237"/>
        <v>B</v>
      </c>
      <c r="G746" s="110">
        <f ca="1">SUMIF($A:E,$A746,K:K)</f>
        <v>2</v>
      </c>
      <c r="H746" s="97" t="s">
        <v>820</v>
      </c>
      <c r="I746" s="98">
        <v>2</v>
      </c>
      <c r="J746" s="99">
        <v>2</v>
      </c>
      <c r="K746" s="143">
        <f t="shared" si="231"/>
        <v>2</v>
      </c>
      <c r="L746" s="144">
        <f t="shared" si="229"/>
        <v>0</v>
      </c>
      <c r="M746" s="275">
        <f t="shared" si="230"/>
        <v>2</v>
      </c>
      <c r="N746" s="98">
        <v>3</v>
      </c>
      <c r="O746" s="93">
        <f t="shared" si="238"/>
        <v>100</v>
      </c>
      <c r="CC746" s="101">
        <v>2</v>
      </c>
      <c r="ON746" s="100">
        <f t="shared" si="232"/>
        <v>0</v>
      </c>
    </row>
    <row r="747" spans="1:404" ht="23.25" customHeight="1">
      <c r="A747" s="97" t="str">
        <f t="shared" si="236"/>
        <v>206/KHBS-2168-70900-01-B</v>
      </c>
      <c r="B747" s="95">
        <v>44366</v>
      </c>
      <c r="C747" s="97">
        <f t="shared" ca="1" si="239"/>
        <v>-698</v>
      </c>
      <c r="D747" s="96" t="s">
        <v>1115</v>
      </c>
      <c r="E747" s="94" t="s">
        <v>26</v>
      </c>
      <c r="F747" s="98" t="str">
        <f t="shared" si="237"/>
        <v>B</v>
      </c>
      <c r="G747" s="110">
        <f ca="1">SUMIF($A:E,$A747,K:K)</f>
        <v>1</v>
      </c>
      <c r="H747" s="97" t="s">
        <v>616</v>
      </c>
      <c r="I747" s="98">
        <v>1</v>
      </c>
      <c r="J747" s="99">
        <v>1</v>
      </c>
      <c r="K747" s="143">
        <f t="shared" si="231"/>
        <v>1</v>
      </c>
      <c r="L747" s="144">
        <f t="shared" si="229"/>
        <v>0</v>
      </c>
      <c r="M747" s="275">
        <f t="shared" si="230"/>
        <v>1</v>
      </c>
      <c r="N747" s="98">
        <v>1</v>
      </c>
      <c r="O747" s="93">
        <f t="shared" si="238"/>
        <v>100</v>
      </c>
      <c r="FE747" s="100">
        <v>1</v>
      </c>
      <c r="ON747" s="100">
        <f t="shared" si="232"/>
        <v>0</v>
      </c>
    </row>
    <row r="748" spans="1:404" ht="23.25" customHeight="1">
      <c r="A748" s="97" t="str">
        <f t="shared" si="236"/>
        <v>219/KHBS-2168-70900-01-B</v>
      </c>
      <c r="B748" s="95">
        <v>44394</v>
      </c>
      <c r="C748" s="97">
        <f t="shared" ca="1" si="239"/>
        <v>-670</v>
      </c>
      <c r="D748" s="96" t="s">
        <v>1310</v>
      </c>
      <c r="E748" s="94" t="s">
        <v>26</v>
      </c>
      <c r="F748" s="98" t="str">
        <f t="shared" si="237"/>
        <v>B</v>
      </c>
      <c r="G748" s="110">
        <f ca="1">SUMIF($A:E,$A748,K:K)</f>
        <v>2</v>
      </c>
      <c r="H748" s="97" t="s">
        <v>508</v>
      </c>
      <c r="I748" s="98">
        <v>2</v>
      </c>
      <c r="J748" s="97">
        <v>2</v>
      </c>
      <c r="K748" s="143">
        <f t="shared" si="231"/>
        <v>2</v>
      </c>
      <c r="L748" s="144">
        <f t="shared" si="229"/>
        <v>0</v>
      </c>
      <c r="M748" s="275">
        <f t="shared" si="230"/>
        <v>2</v>
      </c>
      <c r="N748" s="98">
        <v>1</v>
      </c>
      <c r="O748" s="93">
        <f t="shared" si="238"/>
        <v>100</v>
      </c>
      <c r="GB748" s="100">
        <v>1</v>
      </c>
      <c r="GG748" s="100">
        <v>1</v>
      </c>
      <c r="ON748" s="100">
        <f t="shared" si="232"/>
        <v>0</v>
      </c>
    </row>
    <row r="749" spans="1:404" ht="23.25" customHeight="1">
      <c r="A749" s="97" t="str">
        <f t="shared" si="236"/>
        <v>215/KHBS-2168-70900-01-B</v>
      </c>
      <c r="B749" s="95">
        <v>44394</v>
      </c>
      <c r="C749" s="97">
        <f t="shared" ca="1" si="239"/>
        <v>-670</v>
      </c>
      <c r="D749" s="96" t="s">
        <v>1313</v>
      </c>
      <c r="E749" s="258" t="s">
        <v>26</v>
      </c>
      <c r="F749" s="98" t="str">
        <f t="shared" si="237"/>
        <v>B</v>
      </c>
      <c r="G749" s="110">
        <f ca="1">SUMIF($A:E,$A749,K:K)</f>
        <v>3</v>
      </c>
      <c r="H749" s="97" t="s">
        <v>508</v>
      </c>
      <c r="I749" s="212">
        <v>3</v>
      </c>
      <c r="J749" s="213">
        <v>3</v>
      </c>
      <c r="K749" s="143">
        <f t="shared" si="231"/>
        <v>3</v>
      </c>
      <c r="L749" s="144">
        <f t="shared" si="229"/>
        <v>0</v>
      </c>
      <c r="M749" s="275">
        <f t="shared" si="230"/>
        <v>3</v>
      </c>
      <c r="N749" s="98">
        <v>1</v>
      </c>
      <c r="O749" s="93">
        <f t="shared" si="238"/>
        <v>100</v>
      </c>
      <c r="GB749" s="100">
        <v>3</v>
      </c>
      <c r="ON749" s="100">
        <f t="shared" si="232"/>
        <v>0</v>
      </c>
    </row>
    <row r="750" spans="1:404" ht="23.25" customHeight="1">
      <c r="A750" s="97" t="str">
        <f t="shared" si="236"/>
        <v>265/KHBS-2168-70900-01-B</v>
      </c>
      <c r="B750" s="95">
        <v>44464</v>
      </c>
      <c r="C750" s="97">
        <f t="shared" ca="1" si="239"/>
        <v>-600</v>
      </c>
      <c r="D750" s="96" t="s">
        <v>1843</v>
      </c>
      <c r="E750" s="94" t="s">
        <v>26</v>
      </c>
      <c r="F750" s="98" t="str">
        <f t="shared" si="237"/>
        <v>B</v>
      </c>
      <c r="G750" s="110">
        <f ca="1">SUMIF($A:E,$A750,K:K)</f>
        <v>2</v>
      </c>
      <c r="H750" s="97" t="s">
        <v>1593</v>
      </c>
      <c r="I750" s="98">
        <v>2</v>
      </c>
      <c r="J750" s="99">
        <v>2</v>
      </c>
      <c r="K750" s="143">
        <f t="shared" si="231"/>
        <v>2</v>
      </c>
      <c r="L750" s="144">
        <f t="shared" si="229"/>
        <v>0</v>
      </c>
      <c r="M750" s="275">
        <f t="shared" si="230"/>
        <v>2</v>
      </c>
      <c r="N750" s="98">
        <v>1</v>
      </c>
      <c r="O750" s="93">
        <f t="shared" si="238"/>
        <v>100</v>
      </c>
      <c r="IS750" s="100">
        <v>2</v>
      </c>
      <c r="ON750" s="100">
        <f t="shared" si="232"/>
        <v>0</v>
      </c>
    </row>
    <row r="751" spans="1:404" ht="23.25" customHeight="1">
      <c r="A751" s="97" t="str">
        <f t="shared" si="236"/>
        <v>001/HAWTHORE-2168-70800-S3-A</v>
      </c>
      <c r="B751" s="95">
        <v>44375</v>
      </c>
      <c r="C751" s="97">
        <f t="shared" ca="1" si="239"/>
        <v>-689</v>
      </c>
      <c r="D751" s="96" t="s">
        <v>737</v>
      </c>
      <c r="E751" s="123" t="s">
        <v>861</v>
      </c>
      <c r="F751" s="98" t="str">
        <f t="shared" si="237"/>
        <v>A</v>
      </c>
      <c r="G751" s="110">
        <f ca="1">SUMIF($A:E,$A751,K:K)</f>
        <v>30</v>
      </c>
      <c r="H751" s="97" t="s">
        <v>505</v>
      </c>
      <c r="I751" s="175">
        <v>30</v>
      </c>
      <c r="J751" s="115">
        <v>30</v>
      </c>
      <c r="K751" s="143">
        <f t="shared" si="231"/>
        <v>30</v>
      </c>
      <c r="L751" s="144">
        <f t="shared" si="229"/>
        <v>0</v>
      </c>
      <c r="M751" s="275">
        <f t="shared" ref="M751:M773" si="240">IF(OR(MID(E751,10,1)="0",MID(E751,10,1)="F"),I751,IF(OR(,MID(E751,10,1)="S",MID(E751,10,1)="L",MID(E751,10,1)="B",MID(E751,10,1)="X"),MID(E751,11,1)*I751,0))</f>
        <v>90</v>
      </c>
      <c r="N751" s="98">
        <v>3</v>
      </c>
      <c r="O751" s="93">
        <f t="shared" si="238"/>
        <v>100</v>
      </c>
      <c r="DA751" s="101">
        <v>3</v>
      </c>
      <c r="DB751" s="101">
        <v>5</v>
      </c>
      <c r="DD751" s="101">
        <v>4</v>
      </c>
      <c r="DE751" s="101">
        <v>2</v>
      </c>
      <c r="DF751" s="101">
        <v>5</v>
      </c>
      <c r="DG751" s="101">
        <v>2</v>
      </c>
      <c r="DK751" s="101">
        <v>4</v>
      </c>
      <c r="DL751" s="101">
        <v>2</v>
      </c>
      <c r="DM751" s="101">
        <v>3</v>
      </c>
      <c r="ON751" s="100">
        <f t="shared" si="232"/>
        <v>0</v>
      </c>
    </row>
    <row r="752" spans="1:404" ht="23.25" customHeight="1">
      <c r="A752" s="97" t="str">
        <f t="shared" si="236"/>
        <v>001/HAWTHORE-2168-70800-L2-01</v>
      </c>
      <c r="B752" s="95">
        <v>44375</v>
      </c>
      <c r="C752" s="97">
        <f t="shared" ca="1" si="239"/>
        <v>-689</v>
      </c>
      <c r="D752" s="96" t="s">
        <v>737</v>
      </c>
      <c r="E752" s="123" t="s">
        <v>488</v>
      </c>
      <c r="F752" s="98" t="str">
        <f t="shared" si="237"/>
        <v>01</v>
      </c>
      <c r="G752" s="110">
        <f ca="1">SUMIF($A:E,$A752,K:K)</f>
        <v>30</v>
      </c>
      <c r="H752" s="97" t="s">
        <v>505</v>
      </c>
      <c r="I752" s="175">
        <v>30</v>
      </c>
      <c r="J752" s="115">
        <v>30</v>
      </c>
      <c r="K752" s="143">
        <f t="shared" si="231"/>
        <v>30</v>
      </c>
      <c r="L752" s="144">
        <f t="shared" si="229"/>
        <v>0</v>
      </c>
      <c r="M752" s="275">
        <f t="shared" si="240"/>
        <v>60</v>
      </c>
      <c r="N752" s="98">
        <v>3</v>
      </c>
      <c r="O752" s="93">
        <f t="shared" si="238"/>
        <v>100</v>
      </c>
      <c r="DM752" s="101">
        <v>2</v>
      </c>
      <c r="DN752" s="101">
        <v>4</v>
      </c>
      <c r="DO752" s="101">
        <v>4</v>
      </c>
      <c r="DR752" s="101">
        <v>4</v>
      </c>
      <c r="DS752" s="100">
        <v>2</v>
      </c>
      <c r="DT752" s="100">
        <v>4</v>
      </c>
      <c r="DU752" s="100">
        <v>4</v>
      </c>
      <c r="DV752" s="100">
        <v>4</v>
      </c>
      <c r="DY752" s="100">
        <v>2</v>
      </c>
      <c r="ON752" s="100">
        <f t="shared" si="232"/>
        <v>0</v>
      </c>
    </row>
    <row r="753" spans="1:404" ht="23.25" customHeight="1">
      <c r="A753" s="97" t="str">
        <f t="shared" ref="A753:A760" si="241">D753&amp;E753</f>
        <v>168/KHBS-2168-70800-B2-B</v>
      </c>
      <c r="B753" s="95">
        <v>44325</v>
      </c>
      <c r="C753" s="97">
        <f t="shared" ref="C753:C791" ca="1" si="242">B753-TODAY()</f>
        <v>-739</v>
      </c>
      <c r="D753" s="96" t="s">
        <v>960</v>
      </c>
      <c r="E753" s="94" t="s">
        <v>21</v>
      </c>
      <c r="F753" s="98" t="str">
        <f t="shared" ref="F753:F768" si="243">MID(E753,13,2)</f>
        <v>B</v>
      </c>
      <c r="G753" s="110"/>
      <c r="H753" s="97" t="s">
        <v>616</v>
      </c>
      <c r="I753" s="98">
        <v>2</v>
      </c>
      <c r="J753" s="99">
        <v>2</v>
      </c>
      <c r="K753" s="143">
        <f t="shared" si="231"/>
        <v>2</v>
      </c>
      <c r="L753" s="144">
        <f t="shared" ref="L753:L791" si="244">J753-K753</f>
        <v>0</v>
      </c>
      <c r="M753" s="275">
        <f t="shared" si="240"/>
        <v>4</v>
      </c>
      <c r="N753" s="98">
        <v>3</v>
      </c>
      <c r="O753" s="93">
        <f t="shared" si="238"/>
        <v>100</v>
      </c>
      <c r="DP753" s="101">
        <v>2</v>
      </c>
      <c r="ON753" s="100">
        <f t="shared" si="232"/>
        <v>0</v>
      </c>
    </row>
    <row r="754" spans="1:404" ht="23.25" customHeight="1">
      <c r="A754" s="97" t="str">
        <f t="shared" si="241"/>
        <v>004/COCOON-2168-70800-B2-01</v>
      </c>
      <c r="B754" s="95">
        <v>44386</v>
      </c>
      <c r="C754" s="97">
        <f t="shared" ca="1" si="242"/>
        <v>-678</v>
      </c>
      <c r="D754" s="145" t="s">
        <v>780</v>
      </c>
      <c r="E754" s="253" t="s">
        <v>782</v>
      </c>
      <c r="F754" s="98" t="str">
        <f t="shared" si="243"/>
        <v>01</v>
      </c>
      <c r="G754" s="110">
        <f ca="1">SUMIF($A:E,$A754,K:K)</f>
        <v>42</v>
      </c>
      <c r="H754" s="97" t="s">
        <v>784</v>
      </c>
      <c r="I754" s="196">
        <v>42</v>
      </c>
      <c r="J754" s="146">
        <v>42</v>
      </c>
      <c r="K754" s="143">
        <f t="shared" si="231"/>
        <v>42</v>
      </c>
      <c r="L754" s="144">
        <f t="shared" si="244"/>
        <v>0</v>
      </c>
      <c r="M754" s="275">
        <f t="shared" si="240"/>
        <v>84</v>
      </c>
      <c r="N754" s="98">
        <v>3</v>
      </c>
      <c r="O754" s="93">
        <f t="shared" si="238"/>
        <v>100</v>
      </c>
      <c r="EA754" s="100">
        <v>7</v>
      </c>
      <c r="EC754" s="100">
        <v>4</v>
      </c>
      <c r="ED754" s="100">
        <v>4</v>
      </c>
      <c r="EF754" s="100">
        <v>4</v>
      </c>
      <c r="EG754" s="100">
        <v>2</v>
      </c>
      <c r="EH754" s="100">
        <v>4</v>
      </c>
      <c r="EI754" s="100">
        <v>4</v>
      </c>
      <c r="EJ754" s="100">
        <v>4</v>
      </c>
      <c r="EK754" s="100">
        <v>2</v>
      </c>
      <c r="EM754" s="100">
        <v>2</v>
      </c>
      <c r="EN754" s="100">
        <v>2</v>
      </c>
      <c r="EO754" s="100">
        <v>2</v>
      </c>
      <c r="FX754" s="100">
        <v>1</v>
      </c>
      <c r="ON754" s="100">
        <f t="shared" si="232"/>
        <v>0</v>
      </c>
    </row>
    <row r="755" spans="1:404" ht="23.25" customHeight="1">
      <c r="A755" s="97" t="str">
        <f t="shared" si="241"/>
        <v>198/KHBS-2168-70800-03-B</v>
      </c>
      <c r="B755" s="95">
        <v>44357</v>
      </c>
      <c r="C755" s="97">
        <f t="shared" ca="1" si="242"/>
        <v>-707</v>
      </c>
      <c r="D755" s="96" t="s">
        <v>1078</v>
      </c>
      <c r="E755" s="94" t="s">
        <v>458</v>
      </c>
      <c r="F755" s="98" t="str">
        <f t="shared" si="243"/>
        <v>B</v>
      </c>
      <c r="G755" s="110">
        <f ca="1">SUMIF($A:E,$A755,K:K)</f>
        <v>2</v>
      </c>
      <c r="H755" s="97" t="s">
        <v>508</v>
      </c>
      <c r="I755" s="98">
        <v>2</v>
      </c>
      <c r="J755" s="99">
        <v>2</v>
      </c>
      <c r="K755" s="143">
        <f t="shared" si="231"/>
        <v>2</v>
      </c>
      <c r="L755" s="144">
        <f t="shared" si="244"/>
        <v>0</v>
      </c>
      <c r="M755" s="275">
        <f t="shared" si="240"/>
        <v>2</v>
      </c>
      <c r="N755" s="98">
        <v>3</v>
      </c>
      <c r="O755" s="93">
        <f t="shared" si="238"/>
        <v>100</v>
      </c>
      <c r="EW755" s="100">
        <v>2</v>
      </c>
      <c r="ON755" s="100">
        <f t="shared" si="232"/>
        <v>0</v>
      </c>
    </row>
    <row r="756" spans="1:404" ht="23.25" customHeight="1">
      <c r="A756" s="97" t="str">
        <f t="shared" si="241"/>
        <v>202/KHBS-2168-70800-02-B</v>
      </c>
      <c r="B756" s="95">
        <v>44362</v>
      </c>
      <c r="C756" s="97">
        <f t="shared" ca="1" si="242"/>
        <v>-702</v>
      </c>
      <c r="D756" s="96" t="s">
        <v>1077</v>
      </c>
      <c r="E756" s="94" t="s">
        <v>29</v>
      </c>
      <c r="F756" s="98" t="str">
        <f t="shared" si="243"/>
        <v>B</v>
      </c>
      <c r="G756" s="110">
        <f ca="1">SUMIF($A:E,$A756,K:K)</f>
        <v>3</v>
      </c>
      <c r="H756" s="97" t="s">
        <v>508</v>
      </c>
      <c r="I756" s="98">
        <v>3</v>
      </c>
      <c r="J756" s="99">
        <v>3</v>
      </c>
      <c r="K756" s="143">
        <f t="shared" si="231"/>
        <v>3</v>
      </c>
      <c r="L756" s="144">
        <f t="shared" si="244"/>
        <v>0</v>
      </c>
      <c r="M756" s="275">
        <f t="shared" si="240"/>
        <v>3</v>
      </c>
      <c r="N756" s="98">
        <v>3</v>
      </c>
      <c r="O756" s="93">
        <f t="shared" si="238"/>
        <v>100</v>
      </c>
      <c r="EY756" s="100">
        <v>3</v>
      </c>
      <c r="ON756" s="100">
        <f t="shared" si="232"/>
        <v>0</v>
      </c>
    </row>
    <row r="757" spans="1:404" ht="23.25" customHeight="1">
      <c r="A757" s="97" t="str">
        <f t="shared" si="241"/>
        <v>198/KHBS-2168-70800-02-B</v>
      </c>
      <c r="B757" s="95">
        <v>44357</v>
      </c>
      <c r="C757" s="97">
        <f t="shared" ca="1" si="242"/>
        <v>-707</v>
      </c>
      <c r="D757" s="96" t="s">
        <v>1078</v>
      </c>
      <c r="E757" s="94" t="s">
        <v>29</v>
      </c>
      <c r="F757" s="98" t="str">
        <f t="shared" si="243"/>
        <v>B</v>
      </c>
      <c r="G757" s="110">
        <f ca="1">SUMIF($A:E,$A757,K:K)</f>
        <v>3</v>
      </c>
      <c r="H757" s="97" t="s">
        <v>508</v>
      </c>
      <c r="I757" s="98">
        <v>3</v>
      </c>
      <c r="J757" s="99">
        <v>3</v>
      </c>
      <c r="K757" s="143">
        <f t="shared" si="231"/>
        <v>3</v>
      </c>
      <c r="L757" s="144">
        <f t="shared" si="244"/>
        <v>0</v>
      </c>
      <c r="M757" s="275">
        <f t="shared" si="240"/>
        <v>3</v>
      </c>
      <c r="N757" s="98">
        <v>3</v>
      </c>
      <c r="O757" s="93">
        <f t="shared" si="238"/>
        <v>100</v>
      </c>
      <c r="EW757" s="100">
        <v>3</v>
      </c>
      <c r="ON757" s="100">
        <f t="shared" si="232"/>
        <v>0</v>
      </c>
    </row>
    <row r="758" spans="1:404" ht="23.25" customHeight="1">
      <c r="A758" s="97" t="str">
        <f t="shared" si="241"/>
        <v>001/COMERZIA-2168-70500-S3-01</v>
      </c>
      <c r="B758" s="95">
        <v>44396</v>
      </c>
      <c r="C758" s="97">
        <f t="shared" ca="1" si="242"/>
        <v>-668</v>
      </c>
      <c r="D758" s="145" t="s">
        <v>722</v>
      </c>
      <c r="E758" s="253" t="s">
        <v>290</v>
      </c>
      <c r="F758" s="98" t="str">
        <f t="shared" si="243"/>
        <v>01</v>
      </c>
      <c r="G758" s="110">
        <f ca="1">SUMIF($A:E,$A758,K:K)</f>
        <v>72</v>
      </c>
      <c r="H758" s="97" t="s">
        <v>505</v>
      </c>
      <c r="I758" s="196">
        <v>72</v>
      </c>
      <c r="J758" s="146">
        <v>72</v>
      </c>
      <c r="K758" s="143">
        <f t="shared" si="231"/>
        <v>72</v>
      </c>
      <c r="L758" s="144">
        <f t="shared" si="244"/>
        <v>0</v>
      </c>
      <c r="M758" s="275">
        <f t="shared" si="240"/>
        <v>216</v>
      </c>
      <c r="N758" s="98">
        <v>5</v>
      </c>
      <c r="O758" s="93">
        <f t="shared" si="238"/>
        <v>100</v>
      </c>
      <c r="DP758" s="101">
        <v>2</v>
      </c>
      <c r="DR758" s="101">
        <v>5</v>
      </c>
      <c r="DU758" s="100">
        <v>2</v>
      </c>
      <c r="DV758" s="100">
        <v>3</v>
      </c>
      <c r="DW758" s="100">
        <v>1</v>
      </c>
      <c r="DY758" s="100">
        <v>3</v>
      </c>
      <c r="DZ758" s="100">
        <v>1</v>
      </c>
      <c r="EA758" s="100">
        <v>5</v>
      </c>
      <c r="ED758" s="100">
        <v>1</v>
      </c>
      <c r="EF758" s="100">
        <v>2</v>
      </c>
      <c r="EG758" s="100">
        <v>2</v>
      </c>
      <c r="EH758" s="100">
        <v>5</v>
      </c>
      <c r="EI758" s="100">
        <v>3</v>
      </c>
      <c r="EJ758" s="100">
        <v>2</v>
      </c>
      <c r="EK758" s="100">
        <v>2</v>
      </c>
      <c r="EM758" s="100">
        <v>4</v>
      </c>
      <c r="EN758" s="100">
        <v>2</v>
      </c>
      <c r="EO758" s="100">
        <v>2</v>
      </c>
      <c r="EP758" s="100">
        <v>1</v>
      </c>
      <c r="EQ758" s="100">
        <v>2</v>
      </c>
      <c r="ER758" s="100">
        <v>2</v>
      </c>
      <c r="ET758" s="100">
        <v>1</v>
      </c>
      <c r="EU758" s="100">
        <v>4</v>
      </c>
      <c r="EV758" s="100">
        <v>2</v>
      </c>
      <c r="EW758" s="100">
        <v>2</v>
      </c>
      <c r="EX758" s="100">
        <v>2</v>
      </c>
      <c r="EY758" s="100">
        <v>2</v>
      </c>
      <c r="FA758" s="100">
        <v>2</v>
      </c>
      <c r="FC758" s="100">
        <v>3</v>
      </c>
      <c r="FD758" s="100">
        <v>2</v>
      </c>
      <c r="ON758" s="100">
        <f t="shared" si="232"/>
        <v>0</v>
      </c>
    </row>
    <row r="759" spans="1:404" ht="23.25" customHeight="1">
      <c r="A759" s="97" t="str">
        <f t="shared" si="241"/>
        <v>004/COMERZIA-2168-70500-S3-01</v>
      </c>
      <c r="B759" s="95">
        <v>44518</v>
      </c>
      <c r="C759" s="97">
        <f t="shared" ca="1" si="242"/>
        <v>-546</v>
      </c>
      <c r="D759" s="112" t="s">
        <v>1067</v>
      </c>
      <c r="E759" s="279" t="s">
        <v>290</v>
      </c>
      <c r="F759" s="98" t="str">
        <f t="shared" si="243"/>
        <v>01</v>
      </c>
      <c r="G759" s="110">
        <f ca="1">SUMIF($A:E,$A759,K:K)</f>
        <v>18</v>
      </c>
      <c r="H759" s="97" t="s">
        <v>505</v>
      </c>
      <c r="I759" s="175">
        <v>18</v>
      </c>
      <c r="J759" s="115">
        <v>18</v>
      </c>
      <c r="K759" s="143">
        <f t="shared" si="231"/>
        <v>18</v>
      </c>
      <c r="L759" s="144">
        <f t="shared" si="244"/>
        <v>0</v>
      </c>
      <c r="M759" s="275">
        <f t="shared" si="240"/>
        <v>54</v>
      </c>
      <c r="N759" s="98" t="s">
        <v>1768</v>
      </c>
      <c r="O759" s="93">
        <f t="shared" si="238"/>
        <v>100</v>
      </c>
      <c r="KF759" s="100">
        <v>4</v>
      </c>
      <c r="KJ759" s="100">
        <v>4</v>
      </c>
      <c r="KQ759" s="100">
        <v>2</v>
      </c>
      <c r="KV759" s="100">
        <v>7</v>
      </c>
      <c r="KW759" s="100">
        <v>1</v>
      </c>
      <c r="ON759" s="100">
        <f t="shared" si="232"/>
        <v>0</v>
      </c>
    </row>
    <row r="760" spans="1:404" ht="23.25" customHeight="1">
      <c r="A760" s="97" t="str">
        <f t="shared" si="241"/>
        <v>001/FLEUR BE-2168-70500-S3-01</v>
      </c>
      <c r="B760" s="95">
        <v>44508</v>
      </c>
      <c r="C760" s="97">
        <f t="shared" ca="1" si="242"/>
        <v>-556</v>
      </c>
      <c r="D760" s="96" t="s">
        <v>1088</v>
      </c>
      <c r="E760" s="280" t="s">
        <v>290</v>
      </c>
      <c r="F760" s="98" t="str">
        <f t="shared" si="243"/>
        <v>01</v>
      </c>
      <c r="G760" s="110">
        <f ca="1">SUMIF($A:E,$A760,K:K)</f>
        <v>14</v>
      </c>
      <c r="H760" s="97" t="s">
        <v>1086</v>
      </c>
      <c r="I760" s="98">
        <v>14</v>
      </c>
      <c r="J760" s="97">
        <v>14</v>
      </c>
      <c r="K760" s="143">
        <f t="shared" si="231"/>
        <v>14</v>
      </c>
      <c r="L760" s="144">
        <f t="shared" si="244"/>
        <v>0</v>
      </c>
      <c r="M760" s="275">
        <f t="shared" si="240"/>
        <v>42</v>
      </c>
      <c r="N760" s="98" t="s">
        <v>1768</v>
      </c>
      <c r="O760" s="93">
        <f t="shared" si="238"/>
        <v>100</v>
      </c>
      <c r="JX760" s="100">
        <v>3</v>
      </c>
      <c r="JY760" s="100">
        <v>1</v>
      </c>
      <c r="KB760" s="100">
        <v>4</v>
      </c>
      <c r="KC760" s="100">
        <v>2</v>
      </c>
      <c r="KD760" s="100">
        <v>2</v>
      </c>
      <c r="KE760" s="100">
        <v>2</v>
      </c>
      <c r="ON760" s="100">
        <f t="shared" si="232"/>
        <v>0</v>
      </c>
    </row>
    <row r="761" spans="1:404" ht="23.25" customHeight="1">
      <c r="A761" s="97" t="str">
        <f>D761&amp;E762</f>
        <v>008/COMERZIA-2168--70500-01-A1(phên)</v>
      </c>
      <c r="B761" s="95">
        <v>44576</v>
      </c>
      <c r="C761" s="97">
        <f t="shared" ca="1" si="242"/>
        <v>-488</v>
      </c>
      <c r="D761" s="96" t="s">
        <v>1187</v>
      </c>
      <c r="E761" s="280" t="s">
        <v>290</v>
      </c>
      <c r="F761" s="98" t="str">
        <f t="shared" si="243"/>
        <v>01</v>
      </c>
      <c r="G761" s="110">
        <f ca="1">SUMIF($A:E,$A761,K:K)</f>
        <v>18</v>
      </c>
      <c r="H761" s="97" t="s">
        <v>505</v>
      </c>
      <c r="I761" s="98">
        <v>18</v>
      </c>
      <c r="J761" s="99">
        <v>18</v>
      </c>
      <c r="K761" s="143">
        <f t="shared" si="231"/>
        <v>18</v>
      </c>
      <c r="L761" s="144">
        <f t="shared" si="244"/>
        <v>0</v>
      </c>
      <c r="M761" s="275">
        <f t="shared" si="240"/>
        <v>54</v>
      </c>
      <c r="N761" s="98" t="s">
        <v>1776</v>
      </c>
      <c r="O761" s="93">
        <f t="shared" si="238"/>
        <v>100</v>
      </c>
      <c r="KW761" s="100">
        <v>4</v>
      </c>
      <c r="LB761" s="100">
        <v>5</v>
      </c>
      <c r="LC761" s="100">
        <v>2</v>
      </c>
      <c r="LD761" s="100">
        <v>2</v>
      </c>
      <c r="LE761" s="100">
        <v>2</v>
      </c>
      <c r="LF761" s="100">
        <v>2</v>
      </c>
      <c r="LL761" s="100">
        <v>1</v>
      </c>
      <c r="ON761" s="100">
        <f t="shared" si="232"/>
        <v>0</v>
      </c>
    </row>
    <row r="762" spans="1:404" ht="23.25" customHeight="1">
      <c r="A762" s="97" t="str">
        <f>D762&amp;E762</f>
        <v>004/COMERZIA-2168--70500-01-A1(phên)</v>
      </c>
      <c r="B762" s="95">
        <v>44518</v>
      </c>
      <c r="C762" s="97">
        <f t="shared" ca="1" si="242"/>
        <v>-546</v>
      </c>
      <c r="D762" s="112" t="s">
        <v>1067</v>
      </c>
      <c r="E762" s="279" t="s">
        <v>1069</v>
      </c>
      <c r="F762" s="98" t="str">
        <f t="shared" si="243"/>
        <v>-A</v>
      </c>
      <c r="G762" s="110">
        <f ca="1">SUMIF($A:E,$A762,K:K)</f>
        <v>18</v>
      </c>
      <c r="H762" s="97" t="s">
        <v>505</v>
      </c>
      <c r="I762" s="175">
        <v>18</v>
      </c>
      <c r="J762" s="115">
        <v>18</v>
      </c>
      <c r="K762" s="143">
        <f t="shared" si="231"/>
        <v>18</v>
      </c>
      <c r="L762" s="151">
        <f t="shared" si="244"/>
        <v>0</v>
      </c>
      <c r="M762" s="275">
        <f t="shared" si="240"/>
        <v>0</v>
      </c>
      <c r="N762" s="98" t="s">
        <v>1768</v>
      </c>
      <c r="O762" s="93">
        <f t="shared" si="238"/>
        <v>100</v>
      </c>
      <c r="KF762" s="100">
        <v>4</v>
      </c>
      <c r="KJ762" s="100">
        <v>4</v>
      </c>
      <c r="KQ762" s="100">
        <v>2</v>
      </c>
      <c r="KV762" s="100">
        <v>7</v>
      </c>
      <c r="KW762" s="100">
        <v>1</v>
      </c>
      <c r="ON762" s="100">
        <f t="shared" si="232"/>
        <v>0</v>
      </c>
    </row>
    <row r="763" spans="1:404" ht="23.25" customHeight="1">
      <c r="A763" s="97" t="str">
        <f>D763&amp;E763</f>
        <v xml:space="preserve"> 001/COMERZIA-2168-70500-01-A1(phen)</v>
      </c>
      <c r="B763" s="95">
        <v>44396</v>
      </c>
      <c r="C763" s="127">
        <f t="shared" ca="1" si="242"/>
        <v>-668</v>
      </c>
      <c r="D763" s="145" t="s">
        <v>723</v>
      </c>
      <c r="E763" s="253" t="s">
        <v>482</v>
      </c>
      <c r="F763" s="132" t="str">
        <f t="shared" si="243"/>
        <v>A1</v>
      </c>
      <c r="G763" s="130">
        <f ca="1">SUMIF($A:E,$A763,K:K)</f>
        <v>72</v>
      </c>
      <c r="H763" s="97" t="s">
        <v>505</v>
      </c>
      <c r="I763" s="196">
        <v>72</v>
      </c>
      <c r="J763" s="146">
        <v>72</v>
      </c>
      <c r="K763" s="143">
        <f t="shared" si="231"/>
        <v>72</v>
      </c>
      <c r="L763" s="151">
        <f t="shared" si="244"/>
        <v>0</v>
      </c>
      <c r="M763" s="275">
        <f t="shared" si="240"/>
        <v>72</v>
      </c>
      <c r="N763" s="98">
        <v>5</v>
      </c>
      <c r="O763" s="93">
        <f t="shared" si="238"/>
        <v>100</v>
      </c>
      <c r="DP763" s="101">
        <v>2</v>
      </c>
      <c r="DR763" s="101">
        <v>5</v>
      </c>
      <c r="DU763" s="100">
        <v>2</v>
      </c>
      <c r="DV763" s="100">
        <v>3</v>
      </c>
      <c r="DW763" s="100">
        <v>1</v>
      </c>
      <c r="DY763" s="100">
        <v>3</v>
      </c>
      <c r="DZ763" s="100">
        <v>1</v>
      </c>
      <c r="EA763" s="100">
        <v>5</v>
      </c>
      <c r="ED763" s="100">
        <v>1</v>
      </c>
      <c r="EF763" s="100">
        <v>2</v>
      </c>
      <c r="EG763" s="100">
        <v>2</v>
      </c>
      <c r="EH763" s="100">
        <v>5</v>
      </c>
      <c r="EI763" s="100">
        <v>3</v>
      </c>
      <c r="EJ763" s="100">
        <v>2</v>
      </c>
      <c r="EK763" s="100">
        <v>2</v>
      </c>
      <c r="EM763" s="100">
        <v>4</v>
      </c>
      <c r="EN763" s="100">
        <v>2</v>
      </c>
      <c r="EO763" s="100">
        <v>2</v>
      </c>
      <c r="EP763" s="100">
        <v>1</v>
      </c>
      <c r="EQ763" s="100">
        <v>2</v>
      </c>
      <c r="ER763" s="100">
        <v>2</v>
      </c>
      <c r="ET763" s="100">
        <v>1</v>
      </c>
      <c r="EU763" s="100">
        <v>4</v>
      </c>
      <c r="EV763" s="100">
        <v>2</v>
      </c>
      <c r="EW763" s="100">
        <v>2</v>
      </c>
      <c r="EX763" s="100">
        <v>2</v>
      </c>
      <c r="EY763" s="100">
        <v>2</v>
      </c>
      <c r="FA763" s="100">
        <v>2</v>
      </c>
      <c r="FC763" s="100">
        <v>3</v>
      </c>
      <c r="FD763" s="100">
        <v>2</v>
      </c>
      <c r="ON763" s="100">
        <f t="shared" si="232"/>
        <v>0</v>
      </c>
    </row>
    <row r="764" spans="1:404" ht="23.25" customHeight="1">
      <c r="A764" s="97" t="str">
        <f>D764&amp;E764</f>
        <v>001/FLEUR BE-2168-70500-01-A1(phen)</v>
      </c>
      <c r="B764" s="95">
        <v>44508</v>
      </c>
      <c r="C764" s="127">
        <f t="shared" ca="1" si="242"/>
        <v>-556</v>
      </c>
      <c r="D764" s="96" t="s">
        <v>1088</v>
      </c>
      <c r="E764" s="280" t="s">
        <v>482</v>
      </c>
      <c r="F764" s="132" t="str">
        <f t="shared" si="243"/>
        <v>A1</v>
      </c>
      <c r="G764" s="130">
        <f ca="1">SUMIF($A:E,$A764,K:K)</f>
        <v>14</v>
      </c>
      <c r="H764" s="97" t="s">
        <v>1086</v>
      </c>
      <c r="I764" s="98">
        <v>14</v>
      </c>
      <c r="J764" s="97">
        <v>14</v>
      </c>
      <c r="K764" s="143">
        <f t="shared" si="231"/>
        <v>14</v>
      </c>
      <c r="L764" s="151">
        <f t="shared" si="244"/>
        <v>0</v>
      </c>
      <c r="M764" s="275">
        <f t="shared" si="240"/>
        <v>14</v>
      </c>
      <c r="N764" s="98" t="s">
        <v>1768</v>
      </c>
      <c r="O764" s="93">
        <f t="shared" si="238"/>
        <v>100</v>
      </c>
      <c r="JX764" s="100">
        <v>3</v>
      </c>
      <c r="JY764" s="100">
        <v>1</v>
      </c>
      <c r="KB764" s="100">
        <v>4</v>
      </c>
      <c r="KC764" s="100">
        <v>2</v>
      </c>
      <c r="KD764" s="100">
        <v>2</v>
      </c>
      <c r="KE764" s="100">
        <v>2</v>
      </c>
      <c r="ON764" s="100">
        <f t="shared" si="232"/>
        <v>0</v>
      </c>
    </row>
    <row r="765" spans="1:404" ht="23.25" customHeight="1">
      <c r="A765" s="97" t="str">
        <f>D765&amp;E766</f>
        <v>008/COMERZIA-2168-70400-S3-54</v>
      </c>
      <c r="B765" s="95">
        <v>44576</v>
      </c>
      <c r="C765" s="127">
        <f t="shared" ca="1" si="242"/>
        <v>-488</v>
      </c>
      <c r="D765" s="96" t="s">
        <v>1187</v>
      </c>
      <c r="E765" s="280" t="s">
        <v>482</v>
      </c>
      <c r="F765" s="132" t="str">
        <f t="shared" si="243"/>
        <v>A1</v>
      </c>
      <c r="G765" s="130">
        <f ca="1">SUMIF($A:E,$A765,K:K)</f>
        <v>18</v>
      </c>
      <c r="H765" s="97" t="s">
        <v>505</v>
      </c>
      <c r="I765" s="98">
        <v>18</v>
      </c>
      <c r="J765" s="99">
        <v>18</v>
      </c>
      <c r="K765" s="143">
        <f t="shared" si="231"/>
        <v>18</v>
      </c>
      <c r="L765" s="151">
        <f t="shared" si="244"/>
        <v>0</v>
      </c>
      <c r="M765" s="275">
        <f t="shared" si="240"/>
        <v>18</v>
      </c>
      <c r="N765" s="98" t="s">
        <v>1776</v>
      </c>
      <c r="O765" s="93">
        <f t="shared" si="238"/>
        <v>100</v>
      </c>
      <c r="KW765" s="100">
        <v>4</v>
      </c>
      <c r="LB765" s="100">
        <v>5</v>
      </c>
      <c r="LC765" s="100">
        <v>2</v>
      </c>
      <c r="LD765" s="100">
        <v>2</v>
      </c>
      <c r="LE765" s="100">
        <v>2</v>
      </c>
      <c r="LF765" s="100">
        <v>2</v>
      </c>
      <c r="LL765" s="100">
        <v>1</v>
      </c>
      <c r="ON765" s="100">
        <f t="shared" si="232"/>
        <v>0</v>
      </c>
    </row>
    <row r="766" spans="1:404" ht="23.25" customHeight="1">
      <c r="A766" s="127" t="str">
        <f t="shared" ref="A766:A772" si="245">D766&amp;E766</f>
        <v>002/POTTERYPATCH-2168-70400-S3-54</v>
      </c>
      <c r="B766" s="95">
        <v>44442</v>
      </c>
      <c r="C766" s="127">
        <f t="shared" ca="1" si="242"/>
        <v>-622</v>
      </c>
      <c r="D766" s="128" t="s">
        <v>976</v>
      </c>
      <c r="E766" s="94" t="s">
        <v>566</v>
      </c>
      <c r="F766" s="132" t="str">
        <f t="shared" si="243"/>
        <v>54</v>
      </c>
      <c r="G766" s="130">
        <f ca="1">SUMIF($A:E,$A766,K:K)</f>
        <v>16</v>
      </c>
      <c r="H766" s="97" t="s">
        <v>505</v>
      </c>
      <c r="I766" s="98">
        <v>16</v>
      </c>
      <c r="J766" s="99">
        <v>16</v>
      </c>
      <c r="K766" s="143">
        <f t="shared" si="231"/>
        <v>16</v>
      </c>
      <c r="L766" s="151">
        <f t="shared" si="244"/>
        <v>0</v>
      </c>
      <c r="M766" s="275">
        <f t="shared" si="240"/>
        <v>48</v>
      </c>
      <c r="N766" s="98">
        <v>2</v>
      </c>
      <c r="O766" s="93">
        <f t="shared" si="238"/>
        <v>100</v>
      </c>
      <c r="GQ766" s="100">
        <v>8</v>
      </c>
      <c r="GR766" s="100">
        <v>2</v>
      </c>
      <c r="GS766" s="100">
        <v>3</v>
      </c>
      <c r="GU766" s="100">
        <v>3</v>
      </c>
      <c r="ON766" s="100">
        <f t="shared" si="232"/>
        <v>0</v>
      </c>
    </row>
    <row r="767" spans="1:404" ht="23.25" customHeight="1">
      <c r="A767" s="138" t="str">
        <f t="shared" si="245"/>
        <v>001/POTTERYPATCH-2168-70400-S3-54</v>
      </c>
      <c r="B767" s="114" t="s">
        <v>1423</v>
      </c>
      <c r="C767" s="135">
        <f t="shared" ca="1" si="242"/>
        <v>-659</v>
      </c>
      <c r="D767" s="262" t="s">
        <v>740</v>
      </c>
      <c r="E767" s="94" t="s">
        <v>566</v>
      </c>
      <c r="F767" s="132" t="str">
        <f t="shared" si="243"/>
        <v>54</v>
      </c>
      <c r="G767" s="130">
        <f ca="1">SUMIF($A:E,$A767,K:K)</f>
        <v>16</v>
      </c>
      <c r="H767" s="97" t="s">
        <v>505</v>
      </c>
      <c r="I767" s="98">
        <v>16</v>
      </c>
      <c r="J767" s="99">
        <v>16</v>
      </c>
      <c r="K767" s="143">
        <f t="shared" si="231"/>
        <v>16</v>
      </c>
      <c r="L767" s="151">
        <f t="shared" si="244"/>
        <v>0</v>
      </c>
      <c r="M767" s="275">
        <f t="shared" si="240"/>
        <v>48</v>
      </c>
      <c r="N767" s="98">
        <v>2</v>
      </c>
      <c r="O767" s="93">
        <f t="shared" si="238"/>
        <v>100</v>
      </c>
      <c r="FB767" s="100">
        <v>2</v>
      </c>
      <c r="FC767" s="100">
        <v>3</v>
      </c>
      <c r="FD767" s="100">
        <v>2</v>
      </c>
      <c r="FE767" s="100">
        <v>4</v>
      </c>
      <c r="FF767" s="100">
        <v>3</v>
      </c>
      <c r="FM767" s="100">
        <v>2</v>
      </c>
      <c r="ON767" s="100">
        <f t="shared" si="232"/>
        <v>0</v>
      </c>
    </row>
    <row r="768" spans="1:404" ht="23.25" customHeight="1">
      <c r="A768" s="97" t="str">
        <f t="shared" si="245"/>
        <v>001/COMERZIA-2168-70400-S3-01</v>
      </c>
      <c r="B768" s="95">
        <v>44396</v>
      </c>
      <c r="C768" s="127">
        <f t="shared" ca="1" si="242"/>
        <v>-668</v>
      </c>
      <c r="D768" s="145" t="s">
        <v>722</v>
      </c>
      <c r="E768" s="253" t="s">
        <v>255</v>
      </c>
      <c r="F768" s="132" t="str">
        <f t="shared" si="243"/>
        <v>01</v>
      </c>
      <c r="G768" s="130">
        <f ca="1">SUMIF($A:E,$A768,K:K)</f>
        <v>64</v>
      </c>
      <c r="H768" s="97" t="s">
        <v>505</v>
      </c>
      <c r="I768" s="196">
        <v>64</v>
      </c>
      <c r="J768" s="146">
        <v>64</v>
      </c>
      <c r="K768" s="143">
        <f t="shared" si="231"/>
        <v>64</v>
      </c>
      <c r="L768" s="151">
        <f t="shared" si="244"/>
        <v>0</v>
      </c>
      <c r="M768" s="275">
        <f t="shared" si="240"/>
        <v>192</v>
      </c>
      <c r="N768" s="98">
        <v>2</v>
      </c>
      <c r="O768" s="93">
        <f t="shared" si="238"/>
        <v>100</v>
      </c>
      <c r="DS768" s="100">
        <v>1</v>
      </c>
      <c r="DU768" s="100">
        <v>1</v>
      </c>
      <c r="DV768" s="100">
        <v>12</v>
      </c>
      <c r="DY768" s="100">
        <v>5</v>
      </c>
      <c r="DZ768" s="100">
        <v>3</v>
      </c>
      <c r="EA768" s="100">
        <v>2</v>
      </c>
      <c r="EC768" s="100">
        <v>2</v>
      </c>
      <c r="ED768" s="100">
        <v>3</v>
      </c>
      <c r="EF768" s="100">
        <v>6</v>
      </c>
      <c r="EG768" s="100">
        <v>2</v>
      </c>
      <c r="EH768" s="100">
        <v>5</v>
      </c>
      <c r="EI768" s="100">
        <v>3</v>
      </c>
      <c r="EJ768" s="100">
        <v>2</v>
      </c>
      <c r="EK768" s="100">
        <v>3</v>
      </c>
      <c r="EN768" s="100">
        <v>9</v>
      </c>
      <c r="EO768" s="100">
        <v>1</v>
      </c>
      <c r="EP768" s="100">
        <v>3</v>
      </c>
      <c r="EQ768" s="100">
        <v>1</v>
      </c>
      <c r="ON768" s="100">
        <f t="shared" si="232"/>
        <v>0</v>
      </c>
    </row>
    <row r="769" spans="1:404" ht="23.25" customHeight="1">
      <c r="A769" s="97" t="str">
        <f t="shared" si="245"/>
        <v>001/MOBEL-DESIGN-2168-70400-S3-01</v>
      </c>
      <c r="B769" s="95">
        <v>44404</v>
      </c>
      <c r="C769" s="127">
        <f t="shared" ca="1" si="242"/>
        <v>-660</v>
      </c>
      <c r="D769" s="96" t="s">
        <v>929</v>
      </c>
      <c r="E769" s="94" t="s">
        <v>255</v>
      </c>
      <c r="F769" s="132">
        <v>54</v>
      </c>
      <c r="G769" s="130">
        <f ca="1">SUMIF($A:E,$A769,K:K)</f>
        <v>16</v>
      </c>
      <c r="H769" s="97" t="s">
        <v>505</v>
      </c>
      <c r="I769" s="98">
        <v>16</v>
      </c>
      <c r="J769" s="97">
        <v>16</v>
      </c>
      <c r="K769" s="143">
        <f t="shared" si="231"/>
        <v>16</v>
      </c>
      <c r="L769" s="151">
        <f t="shared" si="244"/>
        <v>0</v>
      </c>
      <c r="M769" s="275">
        <f t="shared" si="240"/>
        <v>48</v>
      </c>
      <c r="N769" s="98">
        <v>2</v>
      </c>
      <c r="O769" s="93">
        <f t="shared" si="238"/>
        <v>100</v>
      </c>
      <c r="EQ769" s="100">
        <v>3</v>
      </c>
      <c r="ER769" s="100">
        <v>1</v>
      </c>
      <c r="ET769" s="100">
        <v>6</v>
      </c>
      <c r="EU769" s="100">
        <v>3</v>
      </c>
      <c r="EW769" s="100">
        <v>3</v>
      </c>
      <c r="ON769" s="100">
        <f t="shared" si="232"/>
        <v>0</v>
      </c>
    </row>
    <row r="770" spans="1:404" ht="23.25" customHeight="1">
      <c r="A770" s="97" t="str">
        <f t="shared" si="245"/>
        <v>003/COMERZIA-2168-70400-S3-01</v>
      </c>
      <c r="B770" s="95">
        <v>44454</v>
      </c>
      <c r="C770" s="127">
        <f t="shared" ca="1" si="242"/>
        <v>-610</v>
      </c>
      <c r="D770" s="112" t="s">
        <v>1064</v>
      </c>
      <c r="E770" s="123" t="s">
        <v>255</v>
      </c>
      <c r="F770" s="98" t="str">
        <f t="shared" ref="F770:F787" si="246">MID(E770,13,2)</f>
        <v>01</v>
      </c>
      <c r="G770" s="110">
        <f ca="1">SUMIF($A:E,$A770,K:K)</f>
        <v>64</v>
      </c>
      <c r="H770" s="97" t="s">
        <v>616</v>
      </c>
      <c r="I770" s="175">
        <v>64</v>
      </c>
      <c r="J770" s="115">
        <v>64</v>
      </c>
      <c r="K770" s="143">
        <f t="shared" si="231"/>
        <v>64</v>
      </c>
      <c r="L770" s="151">
        <f t="shared" si="244"/>
        <v>0</v>
      </c>
      <c r="M770" s="275">
        <f t="shared" si="240"/>
        <v>192</v>
      </c>
      <c r="N770" s="98">
        <v>2</v>
      </c>
      <c r="O770" s="93">
        <f t="shared" si="238"/>
        <v>100</v>
      </c>
      <c r="GG770" s="100">
        <v>4</v>
      </c>
      <c r="GI770" s="100">
        <v>8</v>
      </c>
      <c r="GK770" s="100">
        <v>4</v>
      </c>
      <c r="GL770" s="100">
        <v>5</v>
      </c>
      <c r="GO770" s="100">
        <v>1</v>
      </c>
      <c r="GR770" s="100">
        <v>2</v>
      </c>
      <c r="GU770" s="100">
        <v>6</v>
      </c>
      <c r="GV770" s="100">
        <v>10</v>
      </c>
      <c r="GW770" s="100">
        <v>4</v>
      </c>
      <c r="GX770" s="100">
        <v>10</v>
      </c>
      <c r="GZ770" s="100">
        <v>9</v>
      </c>
      <c r="HI770" s="100">
        <v>1</v>
      </c>
      <c r="ON770" s="100">
        <f t="shared" si="232"/>
        <v>0</v>
      </c>
    </row>
    <row r="771" spans="1:404" ht="23.25" customHeight="1">
      <c r="A771" s="97" t="str">
        <f t="shared" si="245"/>
        <v>004/COMERZIA-2168-70400-S3-01</v>
      </c>
      <c r="B771" s="95">
        <v>44518</v>
      </c>
      <c r="C771" s="127">
        <f t="shared" ca="1" si="242"/>
        <v>-546</v>
      </c>
      <c r="D771" s="112" t="s">
        <v>1067</v>
      </c>
      <c r="E771" s="279" t="s">
        <v>255</v>
      </c>
      <c r="F771" s="132" t="str">
        <f t="shared" si="246"/>
        <v>01</v>
      </c>
      <c r="G771" s="130">
        <f ca="1">SUMIF($A:E,$A771,K:K)</f>
        <v>48</v>
      </c>
      <c r="H771" s="97" t="s">
        <v>505</v>
      </c>
      <c r="I771" s="175">
        <v>48</v>
      </c>
      <c r="J771" s="115">
        <v>48</v>
      </c>
      <c r="K771" s="143">
        <f t="shared" si="231"/>
        <v>48</v>
      </c>
      <c r="L771" s="151">
        <f t="shared" si="244"/>
        <v>0</v>
      </c>
      <c r="M771" s="275">
        <f t="shared" si="240"/>
        <v>144</v>
      </c>
      <c r="N771" s="98" t="s">
        <v>1768</v>
      </c>
      <c r="O771" s="93">
        <f t="shared" si="238"/>
        <v>100</v>
      </c>
      <c r="KA771" s="100">
        <v>1</v>
      </c>
      <c r="KB771" s="100">
        <v>6</v>
      </c>
      <c r="KC771" s="100">
        <v>3</v>
      </c>
      <c r="KD771" s="100">
        <v>5</v>
      </c>
      <c r="KE771" s="100">
        <v>4</v>
      </c>
      <c r="KF771" s="100">
        <v>4</v>
      </c>
      <c r="KG771" s="100">
        <v>4</v>
      </c>
      <c r="KH771" s="100">
        <v>4</v>
      </c>
      <c r="KI771" s="100">
        <v>7</v>
      </c>
      <c r="KJ771" s="100">
        <v>4</v>
      </c>
      <c r="KN771" s="100">
        <v>3</v>
      </c>
      <c r="KO771" s="100">
        <v>3</v>
      </c>
      <c r="ON771" s="100">
        <f t="shared" si="232"/>
        <v>0</v>
      </c>
    </row>
    <row r="772" spans="1:404" ht="23.25" customHeight="1">
      <c r="A772" s="97" t="str">
        <f t="shared" si="245"/>
        <v>001/FLEUR BE-2168-70400-S3-01</v>
      </c>
      <c r="B772" s="95">
        <v>44508</v>
      </c>
      <c r="C772" s="127">
        <f t="shared" ca="1" si="242"/>
        <v>-556</v>
      </c>
      <c r="D772" s="96" t="s">
        <v>1088</v>
      </c>
      <c r="E772" s="280" t="s">
        <v>255</v>
      </c>
      <c r="F772" s="132" t="str">
        <f t="shared" si="246"/>
        <v>01</v>
      </c>
      <c r="G772" s="130">
        <f ca="1">SUMIF($A:E,$A772,K:K)</f>
        <v>14</v>
      </c>
      <c r="H772" s="97" t="s">
        <v>1086</v>
      </c>
      <c r="I772" s="98">
        <v>14</v>
      </c>
      <c r="J772" s="97">
        <v>14</v>
      </c>
      <c r="K772" s="143">
        <f t="shared" ref="K772:K835" si="247">SUM(P772:BBC772)</f>
        <v>14</v>
      </c>
      <c r="L772" s="151">
        <f t="shared" si="244"/>
        <v>0</v>
      </c>
      <c r="M772" s="275">
        <f t="shared" si="240"/>
        <v>42</v>
      </c>
      <c r="N772" s="98" t="s">
        <v>1768</v>
      </c>
      <c r="O772" s="93">
        <f t="shared" si="238"/>
        <v>100</v>
      </c>
      <c r="JU772" s="100">
        <v>2</v>
      </c>
      <c r="JV772" s="100">
        <v>3</v>
      </c>
      <c r="JW772" s="100">
        <v>3</v>
      </c>
      <c r="JX772" s="100">
        <v>3</v>
      </c>
      <c r="JY772" s="100">
        <v>1</v>
      </c>
      <c r="KA772" s="100">
        <v>2</v>
      </c>
      <c r="ON772" s="100">
        <f t="shared" ref="ON772:ON835" si="248">SUM(NS772:OM772)</f>
        <v>0</v>
      </c>
    </row>
    <row r="773" spans="1:404" ht="23.25" customHeight="1">
      <c r="A773" s="97" t="e">
        <f>D773&amp;#REF!</f>
        <v>#REF!</v>
      </c>
      <c r="B773" s="95">
        <v>44576</v>
      </c>
      <c r="C773" s="127">
        <f t="shared" ca="1" si="242"/>
        <v>-488</v>
      </c>
      <c r="D773" s="96" t="s">
        <v>1187</v>
      </c>
      <c r="E773" s="280" t="s">
        <v>255</v>
      </c>
      <c r="F773" s="98" t="str">
        <f t="shared" si="246"/>
        <v>01</v>
      </c>
      <c r="G773" s="110">
        <f ca="1">SUMIF($A:E,$A773,K:K)</f>
        <v>1754</v>
      </c>
      <c r="H773" s="97" t="s">
        <v>505</v>
      </c>
      <c r="I773" s="98">
        <v>48</v>
      </c>
      <c r="J773" s="99">
        <v>48</v>
      </c>
      <c r="K773" s="143">
        <f t="shared" si="247"/>
        <v>48</v>
      </c>
      <c r="L773" s="151">
        <f t="shared" si="244"/>
        <v>0</v>
      </c>
      <c r="M773" s="275">
        <f t="shared" si="240"/>
        <v>144</v>
      </c>
      <c r="N773" s="98" t="s">
        <v>1776</v>
      </c>
      <c r="O773" s="93">
        <f t="shared" si="238"/>
        <v>100</v>
      </c>
      <c r="KO773" s="100">
        <v>1</v>
      </c>
      <c r="KP773" s="100">
        <v>7</v>
      </c>
      <c r="KQ773" s="100">
        <v>7</v>
      </c>
      <c r="KR773" s="100">
        <v>4</v>
      </c>
      <c r="KU773" s="100">
        <v>6</v>
      </c>
      <c r="KW773" s="100">
        <v>14</v>
      </c>
      <c r="KX773" s="100">
        <v>3</v>
      </c>
      <c r="KY773" s="100">
        <v>5</v>
      </c>
      <c r="LB773" s="100">
        <v>1</v>
      </c>
      <c r="ON773" s="100">
        <f t="shared" si="248"/>
        <v>0</v>
      </c>
    </row>
    <row r="774" spans="1:404" ht="23.25" customHeight="1">
      <c r="A774" s="97" t="str">
        <f t="shared" ref="A774:A787" si="249">D774&amp;E774</f>
        <v>172/KHBS-2168-70400-03-B</v>
      </c>
      <c r="B774" s="95">
        <v>44325</v>
      </c>
      <c r="C774" s="127">
        <f t="shared" ca="1" si="242"/>
        <v>-739</v>
      </c>
      <c r="D774" s="96" t="s">
        <v>961</v>
      </c>
      <c r="E774" s="94" t="s">
        <v>522</v>
      </c>
      <c r="F774" s="98" t="str">
        <f t="shared" si="246"/>
        <v>B</v>
      </c>
      <c r="G774" s="110">
        <f ca="1">SUMIF($A:E,$A774,K:K)</f>
        <v>15</v>
      </c>
      <c r="H774" s="97" t="s">
        <v>508</v>
      </c>
      <c r="I774" s="98">
        <v>15</v>
      </c>
      <c r="J774" s="99">
        <v>15</v>
      </c>
      <c r="K774" s="143">
        <f t="shared" si="247"/>
        <v>15</v>
      </c>
      <c r="L774" s="151">
        <f t="shared" si="244"/>
        <v>0</v>
      </c>
      <c r="M774" s="275">
        <f t="shared" ref="M774:M814" si="250">IF(OR(MID(E774,10,1)="0",MID(E774,10,1)="F"),I774,IF(OR(,MID(E774,10,1)="S",MID(E774,10,1)="L",MID(E774,10,1)="B",MID(E774,10,1)="X"),MID(E774,11,1)*I774,0))</f>
        <v>15</v>
      </c>
      <c r="N774" s="98">
        <v>2</v>
      </c>
      <c r="O774" s="93">
        <f t="shared" ref="O774:O776" si="251">K774/J774*100</f>
        <v>100</v>
      </c>
      <c r="DO774" s="101">
        <v>3</v>
      </c>
      <c r="DP774" s="101">
        <v>8</v>
      </c>
      <c r="DR774" s="101">
        <v>4</v>
      </c>
      <c r="ON774" s="100">
        <f t="shared" si="248"/>
        <v>0</v>
      </c>
    </row>
    <row r="775" spans="1:404" ht="23.25" customHeight="1">
      <c r="A775" s="97" t="str">
        <f t="shared" si="249"/>
        <v>060/KHBS-2168-70400-02-B</v>
      </c>
      <c r="B775" s="95">
        <v>44233</v>
      </c>
      <c r="C775" s="127">
        <f t="shared" ca="1" si="242"/>
        <v>-831</v>
      </c>
      <c r="D775" s="96" t="s">
        <v>731</v>
      </c>
      <c r="E775" s="253" t="s">
        <v>30</v>
      </c>
      <c r="F775" s="132" t="str">
        <f t="shared" si="246"/>
        <v>B</v>
      </c>
      <c r="G775" s="130">
        <f ca="1">SUMIF($A:E,$A775,K:K)</f>
        <v>4</v>
      </c>
      <c r="H775" s="97" t="s">
        <v>508</v>
      </c>
      <c r="I775" s="196">
        <v>4</v>
      </c>
      <c r="J775" s="146">
        <v>4</v>
      </c>
      <c r="K775" s="143">
        <f t="shared" si="247"/>
        <v>4</v>
      </c>
      <c r="L775" s="151">
        <f t="shared" si="244"/>
        <v>0</v>
      </c>
      <c r="M775" s="275">
        <f t="shared" si="250"/>
        <v>4</v>
      </c>
      <c r="N775" s="98">
        <v>5</v>
      </c>
      <c r="O775" s="93">
        <f t="shared" si="251"/>
        <v>100</v>
      </c>
      <c r="AT775" s="101">
        <v>4</v>
      </c>
      <c r="ON775" s="100">
        <f t="shared" si="248"/>
        <v>0</v>
      </c>
    </row>
    <row r="776" spans="1:404" ht="23.25" customHeight="1">
      <c r="A776" s="97" t="str">
        <f t="shared" si="249"/>
        <v>096/KHBS-2168-70400-02-B</v>
      </c>
      <c r="B776" s="95">
        <v>44270</v>
      </c>
      <c r="C776" s="127">
        <f t="shared" ca="1" si="242"/>
        <v>-794</v>
      </c>
      <c r="D776" s="96" t="s">
        <v>798</v>
      </c>
      <c r="E776" s="94" t="s">
        <v>30</v>
      </c>
      <c r="F776" s="132" t="str">
        <f t="shared" si="246"/>
        <v>B</v>
      </c>
      <c r="G776" s="130">
        <f ca="1">SUMIF($A:E,$A776,K:K)</f>
        <v>2</v>
      </c>
      <c r="H776" s="97" t="s">
        <v>508</v>
      </c>
      <c r="I776" s="98">
        <v>2</v>
      </c>
      <c r="J776" s="99">
        <v>2</v>
      </c>
      <c r="K776" s="143">
        <f t="shared" si="247"/>
        <v>2</v>
      </c>
      <c r="L776" s="151">
        <f t="shared" si="244"/>
        <v>0</v>
      </c>
      <c r="M776" s="275">
        <f t="shared" si="250"/>
        <v>2</v>
      </c>
      <c r="N776" s="98">
        <v>5</v>
      </c>
      <c r="O776" s="93">
        <f t="shared" si="251"/>
        <v>100</v>
      </c>
      <c r="BP776" s="101">
        <v>2</v>
      </c>
      <c r="ON776" s="100">
        <f t="shared" si="248"/>
        <v>0</v>
      </c>
    </row>
    <row r="777" spans="1:404" ht="23.25" customHeight="1">
      <c r="A777" s="97" t="str">
        <f t="shared" si="249"/>
        <v>001/YAMATEI-2168-70400-01-01</v>
      </c>
      <c r="B777" s="95">
        <v>44416</v>
      </c>
      <c r="C777" s="127">
        <f t="shared" ca="1" si="242"/>
        <v>-648</v>
      </c>
      <c r="D777" s="145" t="s">
        <v>759</v>
      </c>
      <c r="E777" s="253" t="s">
        <v>500</v>
      </c>
      <c r="F777" s="132" t="str">
        <f t="shared" si="246"/>
        <v>01</v>
      </c>
      <c r="G777" s="130">
        <f ca="1">SUMIF($A:E,$A777,K:K)</f>
        <v>40</v>
      </c>
      <c r="H777" s="97" t="s">
        <v>1177</v>
      </c>
      <c r="I777" s="196">
        <v>40</v>
      </c>
      <c r="J777" s="146">
        <v>40</v>
      </c>
      <c r="K777" s="143">
        <f t="shared" si="247"/>
        <v>40</v>
      </c>
      <c r="L777" s="151">
        <f t="shared" si="244"/>
        <v>0</v>
      </c>
      <c r="M777" s="275">
        <f t="shared" si="250"/>
        <v>40</v>
      </c>
      <c r="N777" s="98">
        <v>2</v>
      </c>
      <c r="O777" s="93">
        <f t="shared" ref="O777:O813" si="252">K777/J777*100</f>
        <v>100</v>
      </c>
      <c r="EW777" s="100">
        <v>2</v>
      </c>
      <c r="FI777" s="100">
        <v>3</v>
      </c>
      <c r="FJ777" s="100">
        <v>3</v>
      </c>
      <c r="FP777" s="100">
        <v>3</v>
      </c>
      <c r="FR777" s="100">
        <v>4</v>
      </c>
      <c r="FT777" s="100">
        <v>7</v>
      </c>
      <c r="FU777" s="100">
        <v>3</v>
      </c>
      <c r="FV777" s="100">
        <v>3</v>
      </c>
      <c r="FW777" s="100">
        <v>3</v>
      </c>
      <c r="FX777" s="100">
        <v>1</v>
      </c>
      <c r="FZ777" s="100">
        <v>6</v>
      </c>
      <c r="GA777" s="100">
        <v>2</v>
      </c>
      <c r="ON777" s="100">
        <f t="shared" si="248"/>
        <v>0</v>
      </c>
    </row>
    <row r="778" spans="1:404" ht="23.25" customHeight="1">
      <c r="A778" s="97" t="str">
        <f t="shared" si="249"/>
        <v>005/YAMATEI-21( Đợt 1)68-70400-01-01</v>
      </c>
      <c r="B778" s="95">
        <v>44437</v>
      </c>
      <c r="C778" s="127">
        <f t="shared" ca="1" si="242"/>
        <v>-627</v>
      </c>
      <c r="D778" s="96" t="s">
        <v>1210</v>
      </c>
      <c r="E778" s="94" t="s">
        <v>500</v>
      </c>
      <c r="F778" s="132" t="str">
        <f t="shared" si="246"/>
        <v>01</v>
      </c>
      <c r="G778" s="130">
        <f ca="1">SUMIF($A:E,$A778,K:K)</f>
        <v>16</v>
      </c>
      <c r="H778" s="97" t="s">
        <v>1177</v>
      </c>
      <c r="I778" s="98">
        <v>16</v>
      </c>
      <c r="J778" s="97">
        <v>16</v>
      </c>
      <c r="K778" s="143">
        <f t="shared" si="247"/>
        <v>16</v>
      </c>
      <c r="L778" s="151">
        <f t="shared" si="244"/>
        <v>0</v>
      </c>
      <c r="M778" s="275">
        <f t="shared" si="250"/>
        <v>16</v>
      </c>
      <c r="N778" s="98">
        <v>2</v>
      </c>
      <c r="O778" s="93">
        <f t="shared" si="252"/>
        <v>100</v>
      </c>
      <c r="GC778" s="100">
        <v>4</v>
      </c>
      <c r="GJ778" s="100">
        <v>10</v>
      </c>
      <c r="HI778" s="100">
        <v>2</v>
      </c>
      <c r="ON778" s="100">
        <f t="shared" si="248"/>
        <v>0</v>
      </c>
    </row>
    <row r="779" spans="1:404" ht="23.25" customHeight="1">
      <c r="A779" s="127" t="str">
        <f t="shared" si="249"/>
        <v>001T/WESTELM-2168-70337-02-B4</v>
      </c>
      <c r="B779" s="126">
        <v>44322</v>
      </c>
      <c r="C779" s="127">
        <f t="shared" ca="1" si="242"/>
        <v>-742</v>
      </c>
      <c r="D779" s="152" t="s">
        <v>659</v>
      </c>
      <c r="E779" s="253" t="s">
        <v>615</v>
      </c>
      <c r="F779" s="132" t="str">
        <f t="shared" si="246"/>
        <v>B4</v>
      </c>
      <c r="G779" s="130">
        <f ca="1">SUMIF($A:E,$A779,K:K)</f>
        <v>51</v>
      </c>
      <c r="H779" s="97" t="s">
        <v>508</v>
      </c>
      <c r="I779" s="98">
        <v>51</v>
      </c>
      <c r="J779" s="99">
        <v>51</v>
      </c>
      <c r="K779" s="143">
        <f t="shared" si="247"/>
        <v>51</v>
      </c>
      <c r="L779" s="151">
        <f t="shared" si="244"/>
        <v>0</v>
      </c>
      <c r="M779" s="275">
        <f t="shared" si="250"/>
        <v>51</v>
      </c>
      <c r="N779" s="98">
        <v>4</v>
      </c>
      <c r="O779" s="93">
        <f t="shared" si="252"/>
        <v>100</v>
      </c>
      <c r="CZ779" s="101">
        <v>23</v>
      </c>
      <c r="DB779" s="101">
        <v>14</v>
      </c>
      <c r="DD779" s="101">
        <v>8</v>
      </c>
      <c r="DE779" s="101">
        <v>5</v>
      </c>
      <c r="DF779" s="101">
        <v>1</v>
      </c>
      <c r="ON779" s="100">
        <f t="shared" si="248"/>
        <v>0</v>
      </c>
    </row>
    <row r="780" spans="1:404" ht="23.25" customHeight="1">
      <c r="A780" s="97" t="str">
        <f t="shared" si="249"/>
        <v>003T/WESTELM-2168-70337-02-B4</v>
      </c>
      <c r="B780" s="95">
        <v>44459</v>
      </c>
      <c r="C780" s="97">
        <f t="shared" ca="1" si="242"/>
        <v>-605</v>
      </c>
      <c r="D780" s="145" t="s">
        <v>661</v>
      </c>
      <c r="E780" s="254" t="s">
        <v>615</v>
      </c>
      <c r="F780" s="132" t="str">
        <f t="shared" si="246"/>
        <v>B4</v>
      </c>
      <c r="G780" s="130">
        <f ca="1">SUMIF($A:E,$A780,K:K)</f>
        <v>59</v>
      </c>
      <c r="H780" s="127" t="s">
        <v>508</v>
      </c>
      <c r="I780" s="156">
        <v>59</v>
      </c>
      <c r="J780" s="153">
        <v>59</v>
      </c>
      <c r="K780" s="143">
        <f t="shared" si="247"/>
        <v>59</v>
      </c>
      <c r="L780" s="151">
        <f t="shared" si="244"/>
        <v>0</v>
      </c>
      <c r="M780" s="275">
        <f t="shared" si="250"/>
        <v>59</v>
      </c>
      <c r="N780" s="132">
        <v>4</v>
      </c>
      <c r="O780" s="93">
        <f t="shared" si="252"/>
        <v>100</v>
      </c>
      <c r="DF780" s="101">
        <v>7</v>
      </c>
      <c r="DG780" s="101">
        <v>9</v>
      </c>
      <c r="DK780" s="101">
        <v>7</v>
      </c>
      <c r="DL780" s="101">
        <v>9</v>
      </c>
      <c r="DM780" s="101">
        <v>6</v>
      </c>
      <c r="DN780" s="101">
        <v>7</v>
      </c>
      <c r="DO780" s="101">
        <v>7</v>
      </c>
      <c r="DP780" s="101">
        <v>7</v>
      </c>
      <c r="ON780" s="100">
        <f t="shared" si="248"/>
        <v>0</v>
      </c>
    </row>
    <row r="781" spans="1:404" ht="23.25" customHeight="1">
      <c r="A781" s="135" t="str">
        <f t="shared" si="249"/>
        <v>006T/WESTELM-2168-70337-02-B4</v>
      </c>
      <c r="B781" s="95">
        <v>44361</v>
      </c>
      <c r="C781" s="97">
        <f t="shared" ca="1" si="242"/>
        <v>-703</v>
      </c>
      <c r="D781" s="157" t="s">
        <v>663</v>
      </c>
      <c r="E781" s="253" t="s">
        <v>615</v>
      </c>
      <c r="F781" s="98" t="str">
        <f t="shared" si="246"/>
        <v>B4</v>
      </c>
      <c r="G781" s="110">
        <f ca="1">SUMIF($A:E,$A781,K:K)</f>
        <v>45</v>
      </c>
      <c r="H781" s="97" t="s">
        <v>508</v>
      </c>
      <c r="I781" s="196">
        <v>45</v>
      </c>
      <c r="J781" s="146">
        <v>45</v>
      </c>
      <c r="K781" s="143">
        <f t="shared" si="247"/>
        <v>45</v>
      </c>
      <c r="L781" s="144">
        <f t="shared" si="244"/>
        <v>0</v>
      </c>
      <c r="M781" s="275">
        <f t="shared" si="250"/>
        <v>45</v>
      </c>
      <c r="N781" s="98">
        <v>4</v>
      </c>
      <c r="O781" s="93">
        <f t="shared" si="252"/>
        <v>100</v>
      </c>
      <c r="DP781" s="101">
        <v>2</v>
      </c>
      <c r="DR781" s="101">
        <v>7</v>
      </c>
      <c r="DS781" s="100">
        <v>7</v>
      </c>
      <c r="DT781" s="100">
        <v>6</v>
      </c>
      <c r="DU781" s="100">
        <v>6</v>
      </c>
      <c r="DV781" s="100">
        <v>9</v>
      </c>
      <c r="DW781" s="100">
        <v>8</v>
      </c>
      <c r="ON781" s="100">
        <f t="shared" si="248"/>
        <v>0</v>
      </c>
    </row>
    <row r="782" spans="1:404" ht="23.25" customHeight="1">
      <c r="A782" s="97" t="str">
        <f t="shared" si="249"/>
        <v>007T/WESTELM-2168-70337-02-B4</v>
      </c>
      <c r="B782" s="95">
        <v>44368</v>
      </c>
      <c r="C782" s="97">
        <f t="shared" ca="1" si="242"/>
        <v>-696</v>
      </c>
      <c r="D782" s="145" t="s">
        <v>664</v>
      </c>
      <c r="E782" s="253" t="s">
        <v>615</v>
      </c>
      <c r="F782" s="98" t="str">
        <f t="shared" si="246"/>
        <v>B4</v>
      </c>
      <c r="G782" s="110">
        <f ca="1">SUMIF($A:E,$A782,K:K)</f>
        <v>45</v>
      </c>
      <c r="H782" s="97" t="s">
        <v>508</v>
      </c>
      <c r="I782" s="196">
        <v>45</v>
      </c>
      <c r="J782" s="146">
        <v>45</v>
      </c>
      <c r="K782" s="143">
        <f t="shared" si="247"/>
        <v>45</v>
      </c>
      <c r="L782" s="144">
        <f t="shared" si="244"/>
        <v>0</v>
      </c>
      <c r="M782" s="275">
        <f t="shared" si="250"/>
        <v>45</v>
      </c>
      <c r="N782" s="98">
        <v>4</v>
      </c>
      <c r="O782" s="93">
        <f t="shared" si="252"/>
        <v>100</v>
      </c>
      <c r="DW782" s="100">
        <v>4</v>
      </c>
      <c r="DY782" s="100">
        <v>8</v>
      </c>
      <c r="DZ782" s="100">
        <v>10</v>
      </c>
      <c r="EA782" s="100">
        <v>8</v>
      </c>
      <c r="EC782" s="100">
        <v>8</v>
      </c>
      <c r="ED782" s="100">
        <v>7</v>
      </c>
      <c r="ON782" s="100">
        <f t="shared" si="248"/>
        <v>0</v>
      </c>
    </row>
    <row r="783" spans="1:404" ht="23.25" customHeight="1">
      <c r="A783" s="138" t="str">
        <f t="shared" si="249"/>
        <v>014T/WESTELM-2168-70337-02-B4</v>
      </c>
      <c r="B783" s="95">
        <v>44417</v>
      </c>
      <c r="C783" s="101">
        <f t="shared" ca="1" si="242"/>
        <v>-647</v>
      </c>
      <c r="D783" s="264" t="s">
        <v>983</v>
      </c>
      <c r="E783" s="129" t="s">
        <v>615</v>
      </c>
      <c r="F783" s="132" t="str">
        <f t="shared" si="246"/>
        <v>B4</v>
      </c>
      <c r="G783" s="130">
        <f ca="1">SUMIF($A:E,$A783,K:K)</f>
        <v>82</v>
      </c>
      <c r="H783" s="127" t="s">
        <v>508</v>
      </c>
      <c r="I783" s="132">
        <v>82</v>
      </c>
      <c r="J783" s="131">
        <v>82</v>
      </c>
      <c r="K783" s="143">
        <f t="shared" si="247"/>
        <v>82</v>
      </c>
      <c r="L783" s="151">
        <f t="shared" si="244"/>
        <v>0</v>
      </c>
      <c r="M783" s="275">
        <f t="shared" si="250"/>
        <v>82</v>
      </c>
      <c r="N783" s="132">
        <v>4</v>
      </c>
      <c r="O783" s="93">
        <f t="shared" si="252"/>
        <v>100</v>
      </c>
      <c r="EM783" s="100">
        <v>2</v>
      </c>
      <c r="EN783" s="100">
        <v>6</v>
      </c>
      <c r="EO783" s="100">
        <v>8</v>
      </c>
      <c r="EP783" s="100">
        <v>4</v>
      </c>
      <c r="EQ783" s="100">
        <v>6</v>
      </c>
      <c r="ER783" s="100">
        <v>4</v>
      </c>
      <c r="ET783" s="100">
        <v>6</v>
      </c>
      <c r="EU783" s="100">
        <v>5</v>
      </c>
      <c r="EV783" s="100">
        <v>6</v>
      </c>
      <c r="EW783" s="100">
        <v>10</v>
      </c>
      <c r="EX783" s="100">
        <v>4</v>
      </c>
      <c r="EY783" s="100">
        <v>4</v>
      </c>
      <c r="FA783" s="100">
        <v>10</v>
      </c>
      <c r="FC783" s="100">
        <v>7</v>
      </c>
      <c r="ON783" s="100">
        <f t="shared" si="248"/>
        <v>0</v>
      </c>
    </row>
    <row r="784" spans="1:404" ht="23.25" customHeight="1">
      <c r="A784" s="97" t="str">
        <f t="shared" si="249"/>
        <v>016T/WESTELM-2168-70337-02-B4</v>
      </c>
      <c r="B784" s="95">
        <v>44451</v>
      </c>
      <c r="C784" s="97">
        <f t="shared" ca="1" si="242"/>
        <v>-613</v>
      </c>
      <c r="D784" s="96" t="s">
        <v>984</v>
      </c>
      <c r="E784" s="94" t="s">
        <v>615</v>
      </c>
      <c r="F784" s="98" t="str">
        <f t="shared" si="246"/>
        <v>B4</v>
      </c>
      <c r="G784" s="110">
        <f ca="1">SUMIF($A:E,$A784,K:K)</f>
        <v>26</v>
      </c>
      <c r="H784" s="97" t="s">
        <v>508</v>
      </c>
      <c r="I784" s="98">
        <v>26</v>
      </c>
      <c r="J784" s="99">
        <v>26</v>
      </c>
      <c r="K784" s="143">
        <f t="shared" si="247"/>
        <v>26</v>
      </c>
      <c r="L784" s="144">
        <f t="shared" si="244"/>
        <v>0</v>
      </c>
      <c r="M784" s="275">
        <f t="shared" si="250"/>
        <v>26</v>
      </c>
      <c r="N784" s="98">
        <v>1</v>
      </c>
      <c r="O784" s="93">
        <f t="shared" si="252"/>
        <v>100</v>
      </c>
      <c r="IH784" s="100">
        <v>19</v>
      </c>
      <c r="II784" s="100">
        <v>7</v>
      </c>
      <c r="ON784" s="100">
        <f t="shared" si="248"/>
        <v>0</v>
      </c>
    </row>
    <row r="785" spans="1:404" ht="23.25" customHeight="1">
      <c r="A785" s="97" t="str">
        <f t="shared" si="249"/>
        <v>019T/WESTELM-2168-70337-02-B4</v>
      </c>
      <c r="B785" s="95">
        <v>44482</v>
      </c>
      <c r="C785" s="97">
        <f t="shared" ca="1" si="242"/>
        <v>-582</v>
      </c>
      <c r="D785" s="96" t="s">
        <v>989</v>
      </c>
      <c r="E785" s="94" t="s">
        <v>615</v>
      </c>
      <c r="F785" s="98" t="str">
        <f t="shared" si="246"/>
        <v>B4</v>
      </c>
      <c r="G785" s="110">
        <f ca="1">SUMIF($A:E,$A785,K:K)</f>
        <v>26</v>
      </c>
      <c r="H785" s="97" t="s">
        <v>508</v>
      </c>
      <c r="I785" s="98">
        <v>26</v>
      </c>
      <c r="J785" s="99">
        <v>26</v>
      </c>
      <c r="K785" s="143">
        <f t="shared" si="247"/>
        <v>26</v>
      </c>
      <c r="L785" s="144">
        <f t="shared" si="244"/>
        <v>0</v>
      </c>
      <c r="M785" s="275">
        <f t="shared" si="250"/>
        <v>26</v>
      </c>
      <c r="N785" s="98">
        <v>1</v>
      </c>
      <c r="O785" s="93">
        <f t="shared" si="252"/>
        <v>100</v>
      </c>
      <c r="IN785" s="100">
        <v>20</v>
      </c>
      <c r="IO785" s="100">
        <v>6</v>
      </c>
      <c r="ON785" s="100">
        <f t="shared" si="248"/>
        <v>0</v>
      </c>
    </row>
    <row r="786" spans="1:404" ht="23.25" customHeight="1">
      <c r="A786" s="97" t="str">
        <f t="shared" si="249"/>
        <v>021T/WESTELM-2168-70337-02-B4</v>
      </c>
      <c r="B786" s="95">
        <v>44408</v>
      </c>
      <c r="C786" s="97">
        <f t="shared" ca="1" si="242"/>
        <v>-656</v>
      </c>
      <c r="D786" s="96" t="s">
        <v>1080</v>
      </c>
      <c r="E786" s="94" t="s">
        <v>615</v>
      </c>
      <c r="F786" s="98" t="str">
        <f t="shared" si="246"/>
        <v>B4</v>
      </c>
      <c r="G786" s="110">
        <f ca="1">SUMIF($A:E,$A786,K:K)</f>
        <v>317</v>
      </c>
      <c r="H786" s="97" t="s">
        <v>508</v>
      </c>
      <c r="I786" s="98">
        <v>317</v>
      </c>
      <c r="J786" s="97">
        <v>317</v>
      </c>
      <c r="K786" s="143">
        <f t="shared" si="247"/>
        <v>317</v>
      </c>
      <c r="L786" s="144">
        <f t="shared" si="244"/>
        <v>0</v>
      </c>
      <c r="M786" s="275">
        <f t="shared" si="250"/>
        <v>317</v>
      </c>
      <c r="N786" s="98">
        <v>4</v>
      </c>
      <c r="O786" s="93">
        <f t="shared" si="252"/>
        <v>100</v>
      </c>
      <c r="FC786" s="100">
        <v>1</v>
      </c>
      <c r="FD786" s="100">
        <v>11</v>
      </c>
      <c r="FE786" s="100">
        <v>4</v>
      </c>
      <c r="FF786" s="100">
        <v>8</v>
      </c>
      <c r="FH786" s="100">
        <v>9</v>
      </c>
      <c r="FI786" s="100">
        <v>9</v>
      </c>
      <c r="FJ786" s="100">
        <v>10</v>
      </c>
      <c r="FL786" s="100">
        <v>19</v>
      </c>
      <c r="FM786" s="100">
        <v>10</v>
      </c>
      <c r="FO786" s="100">
        <v>5</v>
      </c>
      <c r="FP786" s="100">
        <v>18</v>
      </c>
      <c r="FQ786" s="100">
        <v>1</v>
      </c>
      <c r="FR786" s="100">
        <v>10</v>
      </c>
      <c r="FS786" s="100">
        <v>19</v>
      </c>
      <c r="FT786" s="100">
        <v>1</v>
      </c>
      <c r="FU786" s="100">
        <v>10</v>
      </c>
      <c r="FV786" s="100">
        <v>9</v>
      </c>
      <c r="FW786" s="100">
        <v>9</v>
      </c>
      <c r="FX786" s="100">
        <v>5</v>
      </c>
      <c r="FZ786" s="100">
        <v>14</v>
      </c>
      <c r="GA786" s="100">
        <v>7</v>
      </c>
      <c r="GB786" s="100">
        <v>12</v>
      </c>
      <c r="GC786" s="100">
        <v>10</v>
      </c>
      <c r="GE786" s="100">
        <v>13</v>
      </c>
      <c r="GG786" s="100">
        <v>7</v>
      </c>
      <c r="GH786" s="100">
        <v>8</v>
      </c>
      <c r="GI786" s="100">
        <v>10</v>
      </c>
      <c r="GJ786" s="100">
        <v>10</v>
      </c>
      <c r="GK786" s="100">
        <v>5</v>
      </c>
      <c r="GL786" s="100">
        <v>10</v>
      </c>
      <c r="GN786" s="100">
        <v>8</v>
      </c>
      <c r="GO786" s="100">
        <v>6</v>
      </c>
      <c r="GP786" s="100">
        <v>9</v>
      </c>
      <c r="GQ786" s="100">
        <v>10</v>
      </c>
      <c r="GR786" s="100">
        <v>3</v>
      </c>
      <c r="GS786" s="100">
        <v>7</v>
      </c>
      <c r="ON786" s="100">
        <f t="shared" si="248"/>
        <v>0</v>
      </c>
    </row>
    <row r="787" spans="1:404" ht="23.25" customHeight="1">
      <c r="A787" s="97" t="str">
        <f t="shared" si="249"/>
        <v>001/HAWTHORE-2168-70300-L3-01</v>
      </c>
      <c r="B787" s="95">
        <v>44375</v>
      </c>
      <c r="C787" s="97">
        <f t="shared" ca="1" si="242"/>
        <v>-689</v>
      </c>
      <c r="D787" s="96" t="s">
        <v>737</v>
      </c>
      <c r="E787" s="123" t="s">
        <v>256</v>
      </c>
      <c r="F787" s="98" t="str">
        <f t="shared" si="246"/>
        <v>01</v>
      </c>
      <c r="G787" s="110">
        <f ca="1">SUMIF($A:E,$A787,K:K)</f>
        <v>15</v>
      </c>
      <c r="H787" s="97" t="s">
        <v>505</v>
      </c>
      <c r="I787" s="175">
        <v>15</v>
      </c>
      <c r="J787" s="115">
        <v>15</v>
      </c>
      <c r="K787" s="143">
        <f t="shared" si="247"/>
        <v>15</v>
      </c>
      <c r="L787" s="144">
        <f t="shared" si="244"/>
        <v>0</v>
      </c>
      <c r="M787" s="275">
        <f t="shared" si="250"/>
        <v>45</v>
      </c>
      <c r="N787" s="98">
        <v>2</v>
      </c>
      <c r="O787" s="93">
        <f t="shared" si="252"/>
        <v>100</v>
      </c>
      <c r="DS787" s="100">
        <v>6</v>
      </c>
      <c r="DU787" s="100">
        <v>9</v>
      </c>
      <c r="ON787" s="100">
        <f t="shared" si="248"/>
        <v>0</v>
      </c>
    </row>
    <row r="788" spans="1:404" ht="23.25" customHeight="1">
      <c r="A788" s="97" t="str">
        <f t="shared" ref="A788:A809" si="253">D788&amp;E788</f>
        <v>001T/WESTELM-2168-70300-02-B</v>
      </c>
      <c r="B788" s="95">
        <v>44322</v>
      </c>
      <c r="C788" s="97">
        <f t="shared" ca="1" si="242"/>
        <v>-742</v>
      </c>
      <c r="D788" s="145" t="s">
        <v>659</v>
      </c>
      <c r="E788" s="253" t="s">
        <v>338</v>
      </c>
      <c r="F788" s="98" t="str">
        <f t="shared" ref="F788:F809" si="254">MID(E788,13,2)</f>
        <v>B</v>
      </c>
      <c r="G788" s="110">
        <f ca="1">SUMIF($A:E,$A788,K:K)</f>
        <v>250</v>
      </c>
      <c r="H788" s="97" t="s">
        <v>508</v>
      </c>
      <c r="I788" s="98">
        <v>250</v>
      </c>
      <c r="J788" s="99">
        <v>100</v>
      </c>
      <c r="K788" s="143">
        <f t="shared" si="247"/>
        <v>100</v>
      </c>
      <c r="L788" s="151">
        <f t="shared" si="244"/>
        <v>0</v>
      </c>
      <c r="M788" s="275">
        <f t="shared" si="250"/>
        <v>250</v>
      </c>
      <c r="N788" s="98">
        <v>1</v>
      </c>
      <c r="O788" s="93">
        <f t="shared" si="252"/>
        <v>100</v>
      </c>
      <c r="CB788" s="101">
        <v>1</v>
      </c>
      <c r="CC788" s="101">
        <v>6</v>
      </c>
      <c r="CD788" s="101">
        <v>9</v>
      </c>
      <c r="CE788" s="101">
        <v>5</v>
      </c>
      <c r="CF788" s="101">
        <v>9</v>
      </c>
      <c r="CG788" s="101">
        <v>6</v>
      </c>
      <c r="CH788" s="101">
        <v>7</v>
      </c>
      <c r="CI788" s="101">
        <v>1</v>
      </c>
      <c r="CJ788" s="101">
        <v>6</v>
      </c>
      <c r="CK788" s="101">
        <v>6</v>
      </c>
      <c r="CL788" s="101">
        <v>7</v>
      </c>
      <c r="CM788" s="101">
        <v>7</v>
      </c>
      <c r="CN788" s="101">
        <v>17</v>
      </c>
      <c r="CQ788" s="101">
        <v>1</v>
      </c>
      <c r="CT788" s="121">
        <v>2</v>
      </c>
      <c r="CU788" s="101">
        <v>2</v>
      </c>
      <c r="DF788" s="101">
        <v>4</v>
      </c>
      <c r="DG788" s="101">
        <v>4</v>
      </c>
      <c r="ON788" s="100">
        <f t="shared" si="248"/>
        <v>0</v>
      </c>
    </row>
    <row r="789" spans="1:404" ht="23.25" customHeight="1">
      <c r="A789" s="97" t="str">
        <f t="shared" si="253"/>
        <v>001T/WESTELM-2168-70300-02-B</v>
      </c>
      <c r="B789" s="95">
        <v>44322</v>
      </c>
      <c r="C789" s="97">
        <f t="shared" ca="1" si="242"/>
        <v>-742</v>
      </c>
      <c r="D789" s="145" t="s">
        <v>659</v>
      </c>
      <c r="E789" s="253" t="s">
        <v>338</v>
      </c>
      <c r="F789" s="98" t="str">
        <f t="shared" si="254"/>
        <v>B</v>
      </c>
      <c r="G789" s="110">
        <f ca="1">SUMIF($A:E,$A789,K:K)</f>
        <v>250</v>
      </c>
      <c r="H789" s="97" t="s">
        <v>508</v>
      </c>
      <c r="I789" s="98">
        <v>250</v>
      </c>
      <c r="J789" s="99">
        <f>250-J788</f>
        <v>150</v>
      </c>
      <c r="K789" s="143">
        <f t="shared" si="247"/>
        <v>150</v>
      </c>
      <c r="L789" s="151">
        <f t="shared" si="244"/>
        <v>0</v>
      </c>
      <c r="M789" s="275">
        <f t="shared" si="250"/>
        <v>250</v>
      </c>
      <c r="N789" s="98">
        <v>5</v>
      </c>
      <c r="O789" s="93">
        <f t="shared" si="252"/>
        <v>100</v>
      </c>
      <c r="BN789" s="101">
        <v>11</v>
      </c>
      <c r="BO789" s="101">
        <v>7</v>
      </c>
      <c r="BP789" s="101">
        <v>1</v>
      </c>
      <c r="BT789" s="101">
        <v>5</v>
      </c>
      <c r="BU789" s="101">
        <v>6</v>
      </c>
      <c r="BV789" s="101">
        <v>22</v>
      </c>
      <c r="BW789" s="101">
        <v>22</v>
      </c>
      <c r="BX789" s="101">
        <v>22</v>
      </c>
      <c r="BY789" s="101">
        <v>22</v>
      </c>
      <c r="BZ789" s="101">
        <v>10</v>
      </c>
      <c r="CB789" s="101">
        <v>2</v>
      </c>
      <c r="CC789" s="101">
        <v>4</v>
      </c>
      <c r="CF789" s="101">
        <v>16</v>
      </c>
      <c r="ON789" s="100">
        <f t="shared" si="248"/>
        <v>0</v>
      </c>
    </row>
    <row r="790" spans="1:404" ht="23.25" customHeight="1">
      <c r="A790" s="97" t="str">
        <f t="shared" si="253"/>
        <v>002T/WESTELM-2168-70300-02-B</v>
      </c>
      <c r="B790" s="95">
        <v>44330</v>
      </c>
      <c r="C790" s="97">
        <f t="shared" ca="1" si="242"/>
        <v>-734</v>
      </c>
      <c r="D790" s="145" t="s">
        <v>660</v>
      </c>
      <c r="E790" s="253" t="s">
        <v>338</v>
      </c>
      <c r="F790" s="98" t="str">
        <f t="shared" si="254"/>
        <v>B</v>
      </c>
      <c r="G790" s="110">
        <f ca="1">SUMIF($A:E,$A790,K:K)</f>
        <v>245</v>
      </c>
      <c r="H790" s="97" t="s">
        <v>508</v>
      </c>
      <c r="I790" s="196">
        <v>245</v>
      </c>
      <c r="J790" s="146">
        <v>245</v>
      </c>
      <c r="K790" s="143">
        <f t="shared" si="247"/>
        <v>245</v>
      </c>
      <c r="L790" s="151">
        <f t="shared" si="244"/>
        <v>0</v>
      </c>
      <c r="M790" s="275">
        <f t="shared" si="250"/>
        <v>245</v>
      </c>
      <c r="N790" s="98">
        <v>3</v>
      </c>
      <c r="O790" s="93">
        <f t="shared" si="252"/>
        <v>100</v>
      </c>
      <c r="BK790" s="101">
        <v>8</v>
      </c>
      <c r="BL790" s="101">
        <v>7</v>
      </c>
      <c r="BM790" s="101">
        <v>7</v>
      </c>
      <c r="BN790" s="101">
        <v>7</v>
      </c>
      <c r="BO790" s="101">
        <v>13</v>
      </c>
      <c r="BP790" s="101">
        <v>15</v>
      </c>
      <c r="BQ790" s="101">
        <v>14</v>
      </c>
      <c r="BR790" s="101">
        <v>14</v>
      </c>
      <c r="BS790" s="101">
        <v>21</v>
      </c>
      <c r="BT790" s="101">
        <v>7</v>
      </c>
      <c r="BU790" s="101">
        <v>25</v>
      </c>
      <c r="BW790" s="101">
        <v>7</v>
      </c>
      <c r="BX790" s="101">
        <v>7</v>
      </c>
      <c r="BY790" s="101">
        <v>14</v>
      </c>
      <c r="BZ790" s="101">
        <v>8</v>
      </c>
      <c r="CA790" s="101">
        <v>7</v>
      </c>
      <c r="CB790" s="101">
        <v>7</v>
      </c>
      <c r="CD790" s="101">
        <v>7</v>
      </c>
      <c r="CE790" s="101">
        <v>9</v>
      </c>
      <c r="CF790" s="101">
        <v>5</v>
      </c>
      <c r="CG790" s="121">
        <v>9</v>
      </c>
      <c r="CH790" s="101">
        <v>6</v>
      </c>
      <c r="CI790" s="101">
        <v>4</v>
      </c>
      <c r="CJ790" s="101">
        <v>11</v>
      </c>
      <c r="CK790" s="101">
        <v>6</v>
      </c>
      <c r="ON790" s="100">
        <f t="shared" si="248"/>
        <v>0</v>
      </c>
    </row>
    <row r="791" spans="1:404" ht="23.25" customHeight="1">
      <c r="A791" s="97" t="str">
        <f t="shared" si="253"/>
        <v>003T/WESTELM-2168-70300-02-B</v>
      </c>
      <c r="B791" s="126">
        <v>44459</v>
      </c>
      <c r="C791" s="127">
        <f t="shared" ca="1" si="242"/>
        <v>-605</v>
      </c>
      <c r="D791" s="152" t="s">
        <v>661</v>
      </c>
      <c r="E791" s="254" t="s">
        <v>338</v>
      </c>
      <c r="F791" s="132" t="str">
        <f t="shared" si="254"/>
        <v>B</v>
      </c>
      <c r="G791" s="130">
        <f ca="1">SUMIF($A:E,$A791,K:K)</f>
        <v>156</v>
      </c>
      <c r="H791" s="127" t="s">
        <v>508</v>
      </c>
      <c r="I791" s="156">
        <v>156</v>
      </c>
      <c r="J791" s="153">
        <v>156</v>
      </c>
      <c r="K791" s="143">
        <f t="shared" si="247"/>
        <v>156</v>
      </c>
      <c r="L791" s="151">
        <f t="shared" si="244"/>
        <v>0</v>
      </c>
      <c r="M791" s="275">
        <f t="shared" si="250"/>
        <v>156</v>
      </c>
      <c r="N791" s="132">
        <v>1</v>
      </c>
      <c r="O791" s="93">
        <f t="shared" si="252"/>
        <v>100</v>
      </c>
      <c r="BL791" s="101">
        <v>7</v>
      </c>
      <c r="BM791" s="101">
        <v>15</v>
      </c>
      <c r="BN791" s="101">
        <v>11</v>
      </c>
      <c r="BO791" s="101">
        <v>8</v>
      </c>
      <c r="BP791" s="101">
        <v>8</v>
      </c>
      <c r="BQ791" s="101">
        <v>8</v>
      </c>
      <c r="BR791" s="101">
        <v>16</v>
      </c>
      <c r="BT791" s="101">
        <v>22</v>
      </c>
      <c r="BU791" s="101">
        <v>10</v>
      </c>
      <c r="BV791" s="101">
        <v>16</v>
      </c>
      <c r="BW791" s="101">
        <v>8</v>
      </c>
      <c r="BX791" s="101">
        <v>14</v>
      </c>
      <c r="BY791" s="101">
        <v>9</v>
      </c>
      <c r="CB791" s="101">
        <v>4</v>
      </c>
      <c r="ON791" s="100">
        <f t="shared" si="248"/>
        <v>0</v>
      </c>
    </row>
    <row r="792" spans="1:404" ht="23.25" customHeight="1">
      <c r="A792" s="97" t="str">
        <f t="shared" si="253"/>
        <v>006T/WESTELM-2168-70300-02-B</v>
      </c>
      <c r="B792" s="95">
        <v>44361</v>
      </c>
      <c r="C792" s="97">
        <f t="shared" ref="C792:C842" ca="1" si="255">B792-TODAY()</f>
        <v>-703</v>
      </c>
      <c r="D792" s="145" t="s">
        <v>663</v>
      </c>
      <c r="E792" s="253" t="s">
        <v>338</v>
      </c>
      <c r="F792" s="98" t="str">
        <f t="shared" si="254"/>
        <v>B</v>
      </c>
      <c r="G792" s="110">
        <f ca="1">SUMIF($A:E,$A792,K:K)</f>
        <v>38</v>
      </c>
      <c r="H792" s="97" t="s">
        <v>508</v>
      </c>
      <c r="I792" s="196">
        <v>38</v>
      </c>
      <c r="J792" s="146">
        <v>38</v>
      </c>
      <c r="K792" s="143">
        <f t="shared" si="247"/>
        <v>38</v>
      </c>
      <c r="L792" s="151">
        <f t="shared" ref="L792:L842" si="256">J792-K792</f>
        <v>0</v>
      </c>
      <c r="M792" s="275">
        <f t="shared" si="250"/>
        <v>38</v>
      </c>
      <c r="N792" s="98">
        <v>5</v>
      </c>
      <c r="O792" s="93">
        <f t="shared" si="252"/>
        <v>100</v>
      </c>
      <c r="CT792" s="101">
        <v>10</v>
      </c>
      <c r="CU792" s="101">
        <v>20</v>
      </c>
      <c r="CW792" s="101">
        <v>8</v>
      </c>
      <c r="ON792" s="100">
        <f t="shared" si="248"/>
        <v>0</v>
      </c>
    </row>
    <row r="793" spans="1:404" ht="23.25" customHeight="1">
      <c r="A793" s="127" t="str">
        <f t="shared" si="253"/>
        <v>007T/WESTELM-2168-70300-02-B</v>
      </c>
      <c r="B793" s="126">
        <v>44368</v>
      </c>
      <c r="C793" s="127">
        <f t="shared" ca="1" si="255"/>
        <v>-696</v>
      </c>
      <c r="D793" s="152" t="s">
        <v>664</v>
      </c>
      <c r="E793" s="253" t="s">
        <v>338</v>
      </c>
      <c r="F793" s="98" t="str">
        <f t="shared" si="254"/>
        <v>B</v>
      </c>
      <c r="G793" s="110">
        <f ca="1">SUMIF($A:E,$A793,K:K)</f>
        <v>70</v>
      </c>
      <c r="H793" s="97" t="s">
        <v>508</v>
      </c>
      <c r="I793" s="196">
        <v>70</v>
      </c>
      <c r="J793" s="146">
        <v>70</v>
      </c>
      <c r="K793" s="143">
        <f t="shared" si="247"/>
        <v>70</v>
      </c>
      <c r="L793" s="151">
        <f t="shared" si="256"/>
        <v>0</v>
      </c>
      <c r="M793" s="275">
        <f t="shared" si="250"/>
        <v>70</v>
      </c>
      <c r="N793" s="98">
        <v>5</v>
      </c>
      <c r="O793" s="93">
        <f t="shared" si="252"/>
        <v>100</v>
      </c>
      <c r="CW793" s="101">
        <v>2</v>
      </c>
      <c r="DA793" s="101">
        <v>6</v>
      </c>
      <c r="DB793" s="101">
        <v>6</v>
      </c>
      <c r="DE793" s="101">
        <v>3</v>
      </c>
      <c r="DF793" s="101">
        <v>9</v>
      </c>
      <c r="DG793" s="101">
        <v>13</v>
      </c>
      <c r="DK793" s="101">
        <v>9</v>
      </c>
      <c r="DL793" s="101">
        <v>8</v>
      </c>
      <c r="DM793" s="101">
        <v>6</v>
      </c>
      <c r="DN793" s="101">
        <v>8</v>
      </c>
      <c r="ON793" s="100">
        <f t="shared" si="248"/>
        <v>0</v>
      </c>
    </row>
    <row r="794" spans="1:404" ht="23.25" customHeight="1">
      <c r="A794" s="138" t="str">
        <f t="shared" si="253"/>
        <v>073/KHBS-2168-70300-02-B</v>
      </c>
      <c r="B794" s="114">
        <v>44280</v>
      </c>
      <c r="C794" s="138">
        <f t="shared" ca="1" si="255"/>
        <v>-784</v>
      </c>
      <c r="D794" s="262" t="s">
        <v>741</v>
      </c>
      <c r="E794" s="94" t="s">
        <v>338</v>
      </c>
      <c r="F794" s="98" t="str">
        <f t="shared" si="254"/>
        <v>B</v>
      </c>
      <c r="G794" s="110">
        <f ca="1">SUMIF($A:E,$A794,K:K)</f>
        <v>1</v>
      </c>
      <c r="H794" s="97" t="s">
        <v>508</v>
      </c>
      <c r="I794" s="98">
        <v>1</v>
      </c>
      <c r="J794" s="99">
        <v>1</v>
      </c>
      <c r="K794" s="143">
        <f t="shared" si="247"/>
        <v>1</v>
      </c>
      <c r="L794" s="151">
        <f t="shared" si="256"/>
        <v>0</v>
      </c>
      <c r="M794" s="275">
        <f t="shared" si="250"/>
        <v>1</v>
      </c>
      <c r="N794" s="98">
        <v>2</v>
      </c>
      <c r="O794" s="93">
        <f t="shared" si="252"/>
        <v>100</v>
      </c>
      <c r="BT794" s="101">
        <v>1</v>
      </c>
      <c r="ON794" s="100">
        <f t="shared" si="248"/>
        <v>0</v>
      </c>
    </row>
    <row r="795" spans="1:404" ht="23.25" customHeight="1">
      <c r="A795" s="97" t="str">
        <f t="shared" si="253"/>
        <v>014T/WESTELM-2168-70300-02-B</v>
      </c>
      <c r="B795" s="95">
        <v>44417</v>
      </c>
      <c r="C795" s="97">
        <f t="shared" ca="1" si="255"/>
        <v>-647</v>
      </c>
      <c r="D795" s="96" t="s">
        <v>983</v>
      </c>
      <c r="E795" s="94" t="s">
        <v>338</v>
      </c>
      <c r="F795" s="98" t="str">
        <f t="shared" si="254"/>
        <v>B</v>
      </c>
      <c r="G795" s="110">
        <f ca="1">SUMIF($A:E,$A795,K:K)</f>
        <v>220</v>
      </c>
      <c r="H795" s="97" t="s">
        <v>508</v>
      </c>
      <c r="I795" s="98">
        <v>220</v>
      </c>
      <c r="J795" s="99">
        <v>100</v>
      </c>
      <c r="K795" s="143">
        <f t="shared" si="247"/>
        <v>100</v>
      </c>
      <c r="L795" s="144">
        <f t="shared" si="256"/>
        <v>0</v>
      </c>
      <c r="M795" s="275">
        <f t="shared" si="250"/>
        <v>220</v>
      </c>
      <c r="N795" s="98">
        <v>5</v>
      </c>
      <c r="O795" s="93">
        <f t="shared" si="252"/>
        <v>100</v>
      </c>
      <c r="EG795" s="100">
        <v>8</v>
      </c>
      <c r="EH795" s="100">
        <v>16</v>
      </c>
      <c r="EI795" s="100">
        <v>32</v>
      </c>
      <c r="EJ795" s="100">
        <v>32</v>
      </c>
      <c r="EK795" s="100">
        <v>12</v>
      </c>
      <c r="ON795" s="100">
        <f t="shared" si="248"/>
        <v>0</v>
      </c>
    </row>
    <row r="796" spans="1:404" ht="23.25" customHeight="1">
      <c r="A796" s="97" t="str">
        <f t="shared" si="253"/>
        <v>005T/WESTELM-2168-70300-02-B</v>
      </c>
      <c r="B796" s="95">
        <v>44354</v>
      </c>
      <c r="C796" s="97">
        <f t="shared" ca="1" si="255"/>
        <v>-710</v>
      </c>
      <c r="D796" s="145" t="s">
        <v>662</v>
      </c>
      <c r="E796" s="253" t="s">
        <v>338</v>
      </c>
      <c r="F796" s="98" t="str">
        <f t="shared" si="254"/>
        <v>B</v>
      </c>
      <c r="G796" s="110">
        <f ca="1">SUMIF($A:E,$A796,K:K)</f>
        <v>130</v>
      </c>
      <c r="H796" s="97" t="s">
        <v>508</v>
      </c>
      <c r="I796" s="196">
        <v>130</v>
      </c>
      <c r="J796" s="146">
        <v>130</v>
      </c>
      <c r="K796" s="143">
        <f t="shared" si="247"/>
        <v>130</v>
      </c>
      <c r="L796" s="144">
        <f t="shared" si="256"/>
        <v>0</v>
      </c>
      <c r="M796" s="275">
        <f t="shared" si="250"/>
        <v>130</v>
      </c>
      <c r="N796" s="98">
        <v>2</v>
      </c>
      <c r="O796" s="93">
        <f t="shared" si="252"/>
        <v>100</v>
      </c>
      <c r="CT796" s="101">
        <v>3</v>
      </c>
      <c r="CU796" s="101">
        <v>12</v>
      </c>
      <c r="CX796" s="121">
        <v>48</v>
      </c>
      <c r="DG796" s="101">
        <v>8</v>
      </c>
      <c r="DL796" s="101">
        <v>10</v>
      </c>
      <c r="DM796" s="101">
        <v>6</v>
      </c>
      <c r="DN796" s="101">
        <v>1</v>
      </c>
      <c r="DO796" s="101">
        <v>4</v>
      </c>
      <c r="DR796" s="101">
        <v>5</v>
      </c>
      <c r="DT796" s="100">
        <v>5</v>
      </c>
      <c r="DU796" s="100">
        <v>15</v>
      </c>
      <c r="DV796" s="100">
        <v>12</v>
      </c>
      <c r="DZ796" s="100">
        <v>1</v>
      </c>
      <c r="ON796" s="100">
        <f t="shared" si="248"/>
        <v>0</v>
      </c>
    </row>
    <row r="797" spans="1:404" ht="23.25" customHeight="1">
      <c r="A797" s="97" t="str">
        <f t="shared" si="253"/>
        <v>010T/WESTELM-2168-70300-02-B</v>
      </c>
      <c r="B797" s="95">
        <v>44400</v>
      </c>
      <c r="C797" s="97">
        <f t="shared" ca="1" si="255"/>
        <v>-664</v>
      </c>
      <c r="D797" s="96" t="s">
        <v>849</v>
      </c>
      <c r="E797" s="94" t="s">
        <v>338</v>
      </c>
      <c r="F797" s="98" t="str">
        <f t="shared" si="254"/>
        <v>B</v>
      </c>
      <c r="G797" s="110">
        <f ca="1">SUMIF($A:E,$A797,K:K)</f>
        <v>807</v>
      </c>
      <c r="H797" s="97" t="s">
        <v>820</v>
      </c>
      <c r="I797" s="98">
        <v>807</v>
      </c>
      <c r="J797" s="99">
        <v>200</v>
      </c>
      <c r="K797" s="143">
        <f t="shared" si="247"/>
        <v>200</v>
      </c>
      <c r="L797" s="144">
        <f t="shared" si="256"/>
        <v>0</v>
      </c>
      <c r="M797" s="275">
        <f t="shared" si="250"/>
        <v>807</v>
      </c>
      <c r="N797" s="98">
        <v>2</v>
      </c>
      <c r="O797" s="93">
        <f t="shared" si="252"/>
        <v>100</v>
      </c>
      <c r="DF797" s="101">
        <v>22</v>
      </c>
      <c r="DK797" s="101">
        <v>10</v>
      </c>
      <c r="DY797" s="100">
        <v>25</v>
      </c>
      <c r="DZ797" s="100">
        <v>12</v>
      </c>
      <c r="EA797" s="100">
        <v>6</v>
      </c>
      <c r="EC797" s="100">
        <v>12</v>
      </c>
      <c r="ED797" s="100">
        <v>8</v>
      </c>
      <c r="EF797" s="100">
        <v>10</v>
      </c>
      <c r="EG797" s="100">
        <v>9</v>
      </c>
      <c r="EH797" s="100">
        <v>16</v>
      </c>
      <c r="EI797" s="100">
        <v>12</v>
      </c>
      <c r="EJ797" s="100">
        <v>9</v>
      </c>
      <c r="EK797" s="100">
        <v>16</v>
      </c>
      <c r="EL797" s="100">
        <v>12</v>
      </c>
      <c r="EM797" s="100">
        <v>8</v>
      </c>
      <c r="EN797" s="100">
        <v>5</v>
      </c>
      <c r="EO797" s="100">
        <v>8</v>
      </c>
      <c r="ON797" s="100">
        <f t="shared" si="248"/>
        <v>0</v>
      </c>
    </row>
    <row r="798" spans="1:404" ht="23.25" customHeight="1">
      <c r="A798" s="127" t="str">
        <f t="shared" si="253"/>
        <v>010T/WESTELM-2168-70300-02-B</v>
      </c>
      <c r="B798" s="126">
        <v>44400</v>
      </c>
      <c r="C798" s="127">
        <f t="shared" ca="1" si="255"/>
        <v>-664</v>
      </c>
      <c r="D798" s="128" t="s">
        <v>849</v>
      </c>
      <c r="E798" s="94" t="s">
        <v>338</v>
      </c>
      <c r="F798" s="98" t="str">
        <f t="shared" si="254"/>
        <v>B</v>
      </c>
      <c r="G798" s="110">
        <f ca="1">SUMIF($A:E,$A798,K:K)</f>
        <v>807</v>
      </c>
      <c r="H798" s="97" t="s">
        <v>820</v>
      </c>
      <c r="I798" s="98">
        <v>807</v>
      </c>
      <c r="J798" s="99">
        <v>207</v>
      </c>
      <c r="K798" s="143">
        <f t="shared" si="247"/>
        <v>207</v>
      </c>
      <c r="L798" s="144">
        <f t="shared" si="256"/>
        <v>0</v>
      </c>
      <c r="M798" s="275">
        <f t="shared" si="250"/>
        <v>807</v>
      </c>
      <c r="N798" s="98">
        <v>5</v>
      </c>
      <c r="O798" s="93">
        <f t="shared" si="252"/>
        <v>100</v>
      </c>
      <c r="DN798" s="101">
        <v>7</v>
      </c>
      <c r="DO798" s="101">
        <v>11</v>
      </c>
      <c r="DP798" s="101">
        <v>18</v>
      </c>
      <c r="DR798" s="101">
        <v>36</v>
      </c>
      <c r="DS798" s="100">
        <v>35</v>
      </c>
      <c r="DT798" s="100">
        <v>22</v>
      </c>
      <c r="DU798" s="100">
        <v>37</v>
      </c>
      <c r="DV798" s="100">
        <v>29</v>
      </c>
      <c r="DW798" s="100">
        <v>10</v>
      </c>
      <c r="DY798" s="100">
        <v>2</v>
      </c>
      <c r="ON798" s="100">
        <f t="shared" si="248"/>
        <v>0</v>
      </c>
    </row>
    <row r="799" spans="1:404" ht="23.25" customHeight="1">
      <c r="A799" s="97" t="str">
        <f t="shared" si="253"/>
        <v>010T/WESTELM-2168-70300-02-B</v>
      </c>
      <c r="B799" s="95">
        <v>44400</v>
      </c>
      <c r="C799" s="97">
        <f t="shared" ca="1" si="255"/>
        <v>-664</v>
      </c>
      <c r="D799" s="96" t="s">
        <v>849</v>
      </c>
      <c r="E799" s="94" t="s">
        <v>338</v>
      </c>
      <c r="F799" s="98" t="str">
        <f t="shared" si="254"/>
        <v>B</v>
      </c>
      <c r="G799" s="110">
        <f ca="1">SUMIF($A:E,$A799,K:K)</f>
        <v>807</v>
      </c>
      <c r="H799" s="97" t="s">
        <v>820</v>
      </c>
      <c r="I799" s="98">
        <v>807</v>
      </c>
      <c r="J799" s="99">
        <v>200</v>
      </c>
      <c r="K799" s="143">
        <f t="shared" si="247"/>
        <v>200</v>
      </c>
      <c r="L799" s="144">
        <f t="shared" si="256"/>
        <v>0</v>
      </c>
      <c r="M799" s="275">
        <f t="shared" si="250"/>
        <v>807</v>
      </c>
      <c r="N799" s="98">
        <v>3</v>
      </c>
      <c r="O799" s="93">
        <f t="shared" si="252"/>
        <v>100</v>
      </c>
      <c r="DB799" s="101">
        <v>3</v>
      </c>
      <c r="DD799" s="101">
        <v>7</v>
      </c>
      <c r="DE799" s="101">
        <v>7</v>
      </c>
      <c r="DF799" s="101">
        <v>7</v>
      </c>
      <c r="DG799" s="101">
        <v>7</v>
      </c>
      <c r="DK799" s="101">
        <v>7</v>
      </c>
      <c r="DL799" s="101">
        <v>11</v>
      </c>
      <c r="DM799" s="101">
        <v>12</v>
      </c>
      <c r="DN799" s="101">
        <v>13</v>
      </c>
      <c r="DO799" s="101">
        <v>13</v>
      </c>
      <c r="DP799" s="101">
        <v>12</v>
      </c>
      <c r="DR799" s="101">
        <v>11</v>
      </c>
      <c r="DS799" s="100">
        <v>12</v>
      </c>
      <c r="DT799" s="100">
        <v>12</v>
      </c>
      <c r="DW799" s="100">
        <v>22</v>
      </c>
      <c r="DY799" s="100">
        <v>8</v>
      </c>
      <c r="DZ799" s="100">
        <v>10</v>
      </c>
      <c r="EA799" s="100">
        <v>12</v>
      </c>
      <c r="EC799" s="100">
        <v>8</v>
      </c>
      <c r="ED799" s="100">
        <v>6</v>
      </c>
      <c r="ON799" s="100">
        <f t="shared" si="248"/>
        <v>0</v>
      </c>
    </row>
    <row r="800" spans="1:404" ht="23.25" customHeight="1">
      <c r="A800" s="138" t="str">
        <f t="shared" si="253"/>
        <v>010T/WESTELM-2168-70300-02-B</v>
      </c>
      <c r="B800" s="114">
        <v>44400</v>
      </c>
      <c r="C800" s="138">
        <f t="shared" ca="1" si="255"/>
        <v>-664</v>
      </c>
      <c r="D800" s="262" t="s">
        <v>849</v>
      </c>
      <c r="E800" s="94" t="s">
        <v>338</v>
      </c>
      <c r="F800" s="98" t="str">
        <f t="shared" si="254"/>
        <v>B</v>
      </c>
      <c r="G800" s="110">
        <f ca="1">SUMIF($A:E,$A800,K:K)</f>
        <v>807</v>
      </c>
      <c r="H800" s="97" t="s">
        <v>820</v>
      </c>
      <c r="I800" s="98">
        <v>807</v>
      </c>
      <c r="J800" s="99">
        <f>807-J797-J798-J799</f>
        <v>200</v>
      </c>
      <c r="K800" s="143">
        <f t="shared" si="247"/>
        <v>200</v>
      </c>
      <c r="L800" s="144">
        <f t="shared" si="256"/>
        <v>0</v>
      </c>
      <c r="M800" s="275">
        <f t="shared" si="250"/>
        <v>807</v>
      </c>
      <c r="N800" s="98">
        <v>1</v>
      </c>
      <c r="O800" s="93">
        <f t="shared" si="252"/>
        <v>100</v>
      </c>
      <c r="DG800" s="101">
        <v>6</v>
      </c>
      <c r="DK800" s="101">
        <v>10</v>
      </c>
      <c r="DL800" s="101">
        <v>10</v>
      </c>
      <c r="DM800" s="101">
        <v>9</v>
      </c>
      <c r="DN800" s="101">
        <v>10</v>
      </c>
      <c r="DP800" s="101">
        <v>21</v>
      </c>
      <c r="DS800" s="100">
        <v>14</v>
      </c>
      <c r="DT800" s="100">
        <v>16</v>
      </c>
      <c r="DU800" s="100">
        <v>12</v>
      </c>
      <c r="DV800" s="100">
        <v>14</v>
      </c>
      <c r="DY800" s="100">
        <v>17</v>
      </c>
      <c r="DZ800" s="100">
        <f>17+9</f>
        <v>26</v>
      </c>
      <c r="EA800" s="100">
        <v>14</v>
      </c>
      <c r="EC800" s="100">
        <v>1</v>
      </c>
      <c r="ED800" s="100">
        <v>5</v>
      </c>
      <c r="EF800" s="100">
        <v>7</v>
      </c>
      <c r="EG800" s="100">
        <v>8</v>
      </c>
      <c r="ON800" s="100">
        <f t="shared" si="248"/>
        <v>0</v>
      </c>
    </row>
    <row r="801" spans="1:404" ht="23.25" customHeight="1">
      <c r="A801" s="97" t="str">
        <f t="shared" si="253"/>
        <v>170/KHBS-2168-70300-02-B</v>
      </c>
      <c r="B801" s="95">
        <v>44325</v>
      </c>
      <c r="C801" s="97">
        <f t="shared" ca="1" si="255"/>
        <v>-739</v>
      </c>
      <c r="D801" s="96" t="s">
        <v>959</v>
      </c>
      <c r="E801" s="94" t="s">
        <v>338</v>
      </c>
      <c r="F801" s="98" t="str">
        <f t="shared" si="254"/>
        <v>B</v>
      </c>
      <c r="G801" s="110">
        <f ca="1">SUMIF($A:E,$A801,K:K)</f>
        <v>1</v>
      </c>
      <c r="H801" s="97" t="s">
        <v>933</v>
      </c>
      <c r="I801" s="98">
        <v>1</v>
      </c>
      <c r="J801" s="99">
        <v>1</v>
      </c>
      <c r="K801" s="143">
        <f t="shared" si="247"/>
        <v>1</v>
      </c>
      <c r="L801" s="144">
        <f t="shared" si="256"/>
        <v>0</v>
      </c>
      <c r="M801" s="275">
        <f t="shared" si="250"/>
        <v>1</v>
      </c>
      <c r="N801" s="98">
        <v>5</v>
      </c>
      <c r="O801" s="93">
        <f t="shared" si="252"/>
        <v>100</v>
      </c>
      <c r="DL801" s="101">
        <v>1</v>
      </c>
      <c r="ON801" s="100">
        <f t="shared" si="248"/>
        <v>0</v>
      </c>
    </row>
    <row r="802" spans="1:404" ht="23.25" customHeight="1">
      <c r="A802" s="97" t="str">
        <f t="shared" si="253"/>
        <v>014T/WESTELM-2168-70300-02-B</v>
      </c>
      <c r="B802" s="95">
        <v>44417</v>
      </c>
      <c r="C802" s="97">
        <f t="shared" ca="1" si="255"/>
        <v>-647</v>
      </c>
      <c r="D802" s="96" t="s">
        <v>983</v>
      </c>
      <c r="E802" s="94" t="s">
        <v>338</v>
      </c>
      <c r="F802" s="98" t="str">
        <f t="shared" si="254"/>
        <v>B</v>
      </c>
      <c r="G802" s="110">
        <f ca="1">SUMIF($A:E,$A802,K:K)</f>
        <v>220</v>
      </c>
      <c r="H802" s="97" t="s">
        <v>508</v>
      </c>
      <c r="I802" s="98">
        <v>220</v>
      </c>
      <c r="J802" s="99">
        <v>120</v>
      </c>
      <c r="K802" s="143">
        <f t="shared" si="247"/>
        <v>120</v>
      </c>
      <c r="L802" s="144">
        <f t="shared" si="256"/>
        <v>0</v>
      </c>
      <c r="M802" s="275">
        <f t="shared" si="250"/>
        <v>220</v>
      </c>
      <c r="N802" s="98">
        <v>1</v>
      </c>
      <c r="O802" s="93">
        <f t="shared" si="252"/>
        <v>100</v>
      </c>
      <c r="EG802" s="100">
        <v>26</v>
      </c>
      <c r="EH802" s="100">
        <v>7</v>
      </c>
      <c r="EI802" s="100">
        <v>11</v>
      </c>
      <c r="EJ802" s="100">
        <v>16</v>
      </c>
      <c r="EK802" s="100">
        <v>11</v>
      </c>
      <c r="EL802" s="100">
        <v>11</v>
      </c>
      <c r="EM802" s="100">
        <v>13</v>
      </c>
      <c r="EN802" s="100">
        <v>7</v>
      </c>
      <c r="EO802" s="100">
        <v>6</v>
      </c>
      <c r="EP802" s="100">
        <v>7</v>
      </c>
      <c r="EQ802" s="100">
        <v>3</v>
      </c>
      <c r="ER802" s="100">
        <v>2</v>
      </c>
      <c r="ON802" s="100">
        <f t="shared" si="248"/>
        <v>0</v>
      </c>
    </row>
    <row r="803" spans="1:404" ht="23.25" customHeight="1">
      <c r="A803" s="97" t="str">
        <f t="shared" si="253"/>
        <v>016T/WESTELM-2168-70300-02-B</v>
      </c>
      <c r="B803" s="95">
        <v>44435</v>
      </c>
      <c r="C803" s="97">
        <f t="shared" ca="1" si="255"/>
        <v>-629</v>
      </c>
      <c r="D803" s="96" t="s">
        <v>984</v>
      </c>
      <c r="E803" s="94" t="s">
        <v>338</v>
      </c>
      <c r="F803" s="98" t="str">
        <f t="shared" si="254"/>
        <v>B</v>
      </c>
      <c r="G803" s="110">
        <f ca="1">SUMIF($A:E,$A803,K:K)</f>
        <v>75</v>
      </c>
      <c r="H803" s="97" t="s">
        <v>508</v>
      </c>
      <c r="I803" s="98">
        <v>75</v>
      </c>
      <c r="J803" s="99">
        <v>75</v>
      </c>
      <c r="K803" s="143">
        <f t="shared" si="247"/>
        <v>75</v>
      </c>
      <c r="L803" s="144">
        <f t="shared" si="256"/>
        <v>0</v>
      </c>
      <c r="M803" s="275">
        <f t="shared" si="250"/>
        <v>75</v>
      </c>
      <c r="N803" s="98">
        <v>3</v>
      </c>
      <c r="O803" s="93">
        <f t="shared" si="252"/>
        <v>100</v>
      </c>
      <c r="EG803" s="100">
        <v>22</v>
      </c>
      <c r="EI803" s="100">
        <v>29</v>
      </c>
      <c r="EJ803" s="100">
        <v>14</v>
      </c>
      <c r="EK803" s="100">
        <v>10</v>
      </c>
      <c r="ON803" s="100">
        <f t="shared" si="248"/>
        <v>0</v>
      </c>
    </row>
    <row r="804" spans="1:404" ht="23.25" customHeight="1">
      <c r="A804" s="97" t="str">
        <f t="shared" si="253"/>
        <v>019T/WESTELM-2168-70300-02-B</v>
      </c>
      <c r="B804" s="95">
        <v>44480</v>
      </c>
      <c r="C804" s="97">
        <f t="shared" ca="1" si="255"/>
        <v>-584</v>
      </c>
      <c r="D804" s="96" t="s">
        <v>989</v>
      </c>
      <c r="E804" s="94" t="s">
        <v>338</v>
      </c>
      <c r="F804" s="98" t="str">
        <f t="shared" si="254"/>
        <v>B</v>
      </c>
      <c r="G804" s="110">
        <f ca="1">SUMIF($A:E,$A804,K:K)</f>
        <v>20</v>
      </c>
      <c r="H804" s="97" t="s">
        <v>508</v>
      </c>
      <c r="I804" s="98">
        <v>20</v>
      </c>
      <c r="J804" s="99">
        <v>20</v>
      </c>
      <c r="K804" s="143">
        <f t="shared" si="247"/>
        <v>20</v>
      </c>
      <c r="L804" s="144">
        <f t="shared" si="256"/>
        <v>0</v>
      </c>
      <c r="M804" s="275">
        <f t="shared" si="250"/>
        <v>20</v>
      </c>
      <c r="N804" s="98">
        <v>5</v>
      </c>
      <c r="O804" s="93">
        <f t="shared" si="252"/>
        <v>100</v>
      </c>
      <c r="ET804" s="100">
        <v>16</v>
      </c>
      <c r="EU804" s="100">
        <v>4</v>
      </c>
      <c r="ON804" s="100">
        <f t="shared" si="248"/>
        <v>0</v>
      </c>
    </row>
    <row r="805" spans="1:404" ht="23.25" customHeight="1">
      <c r="A805" s="97" t="str">
        <f t="shared" si="253"/>
        <v>018T/WESTELM-2168-70300-02-B</v>
      </c>
      <c r="B805" s="95">
        <v>44564</v>
      </c>
      <c r="C805" s="97">
        <f t="shared" ca="1" si="255"/>
        <v>-500</v>
      </c>
      <c r="D805" s="159" t="s">
        <v>985</v>
      </c>
      <c r="E805" s="123" t="s">
        <v>338</v>
      </c>
      <c r="F805" s="98" t="str">
        <f t="shared" si="254"/>
        <v>B</v>
      </c>
      <c r="G805" s="110">
        <f ca="1">SUMIF($A:E,$A805,K:K)</f>
        <v>23</v>
      </c>
      <c r="H805" s="97" t="s">
        <v>508</v>
      </c>
      <c r="I805" s="98">
        <v>23</v>
      </c>
      <c r="J805" s="99">
        <v>23</v>
      </c>
      <c r="K805" s="143">
        <f t="shared" si="247"/>
        <v>23</v>
      </c>
      <c r="L805" s="144">
        <f t="shared" si="256"/>
        <v>0</v>
      </c>
      <c r="M805" s="275">
        <f t="shared" si="250"/>
        <v>23</v>
      </c>
      <c r="N805" s="98">
        <v>5</v>
      </c>
      <c r="O805" s="93">
        <f t="shared" si="252"/>
        <v>100</v>
      </c>
      <c r="EU805" s="100">
        <v>23</v>
      </c>
      <c r="ON805" s="100">
        <f t="shared" si="248"/>
        <v>0</v>
      </c>
    </row>
    <row r="806" spans="1:404" ht="23.25" customHeight="1">
      <c r="A806" s="97" t="str">
        <f t="shared" si="253"/>
        <v>022T/WESTELM-2168-70300-02-B</v>
      </c>
      <c r="B806" s="95">
        <v>44457</v>
      </c>
      <c r="C806" s="97">
        <f t="shared" ca="1" si="255"/>
        <v>-607</v>
      </c>
      <c r="D806" s="96" t="s">
        <v>1079</v>
      </c>
      <c r="E806" s="94" t="s">
        <v>338</v>
      </c>
      <c r="F806" s="98" t="str">
        <f t="shared" si="254"/>
        <v>B</v>
      </c>
      <c r="G806" s="110">
        <f ca="1">SUMIF($A:E,$A806,K:K)</f>
        <v>89</v>
      </c>
      <c r="H806" s="97" t="s">
        <v>508</v>
      </c>
      <c r="I806" s="98">
        <v>89</v>
      </c>
      <c r="J806" s="97">
        <v>17</v>
      </c>
      <c r="K806" s="143">
        <f t="shared" si="247"/>
        <v>17</v>
      </c>
      <c r="L806" s="144">
        <f t="shared" si="256"/>
        <v>0</v>
      </c>
      <c r="M806" s="275">
        <f t="shared" si="250"/>
        <v>89</v>
      </c>
      <c r="N806" s="98">
        <v>5</v>
      </c>
      <c r="O806" s="93">
        <f t="shared" si="252"/>
        <v>100</v>
      </c>
      <c r="EU806" s="100">
        <v>9</v>
      </c>
      <c r="EV806" s="100">
        <v>8</v>
      </c>
      <c r="ON806" s="100">
        <f t="shared" si="248"/>
        <v>0</v>
      </c>
    </row>
    <row r="807" spans="1:404" ht="23.25" customHeight="1">
      <c r="A807" s="97" t="str">
        <f t="shared" si="253"/>
        <v>022T/WESTELM-2168-70300-02-B</v>
      </c>
      <c r="B807" s="95">
        <v>44457</v>
      </c>
      <c r="C807" s="97">
        <f t="shared" ca="1" si="255"/>
        <v>-607</v>
      </c>
      <c r="D807" s="96" t="s">
        <v>1079</v>
      </c>
      <c r="E807" s="94" t="s">
        <v>338</v>
      </c>
      <c r="F807" s="98" t="str">
        <f t="shared" si="254"/>
        <v>B</v>
      </c>
      <c r="G807" s="110">
        <f ca="1">SUMIF($A:E,$A807,K:K)</f>
        <v>89</v>
      </c>
      <c r="H807" s="97" t="s">
        <v>508</v>
      </c>
      <c r="I807" s="98">
        <v>89</v>
      </c>
      <c r="J807" s="97">
        <f>89-J806</f>
        <v>72</v>
      </c>
      <c r="K807" s="143">
        <f t="shared" si="247"/>
        <v>72</v>
      </c>
      <c r="L807" s="144">
        <f t="shared" si="256"/>
        <v>0</v>
      </c>
      <c r="M807" s="275">
        <f t="shared" si="250"/>
        <v>89</v>
      </c>
      <c r="N807" s="98">
        <v>2</v>
      </c>
      <c r="O807" s="93">
        <f t="shared" si="252"/>
        <v>100</v>
      </c>
      <c r="FQ807" s="100">
        <v>4</v>
      </c>
      <c r="FR807" s="100">
        <v>5</v>
      </c>
      <c r="FT807" s="100">
        <v>13</v>
      </c>
      <c r="FU807" s="100">
        <v>11</v>
      </c>
      <c r="FV807" s="100">
        <v>10</v>
      </c>
      <c r="FW807" s="100">
        <v>14</v>
      </c>
      <c r="FX807" s="100">
        <v>13</v>
      </c>
      <c r="FZ807" s="100">
        <v>1</v>
      </c>
      <c r="GA807" s="100">
        <v>1</v>
      </c>
      <c r="ON807" s="100">
        <f t="shared" si="248"/>
        <v>0</v>
      </c>
    </row>
    <row r="808" spans="1:404" ht="23.25" customHeight="1">
      <c r="A808" s="97" t="str">
        <f t="shared" si="253"/>
        <v>204/KHBS-2168-70300-02-B</v>
      </c>
      <c r="B808" s="95">
        <v>44365</v>
      </c>
      <c r="C808" s="97">
        <f t="shared" ca="1" si="255"/>
        <v>-699</v>
      </c>
      <c r="D808" s="96" t="s">
        <v>1099</v>
      </c>
      <c r="E808" s="94" t="s">
        <v>338</v>
      </c>
      <c r="F808" s="98" t="str">
        <f t="shared" si="254"/>
        <v>B</v>
      </c>
      <c r="G808" s="110">
        <f ca="1">SUMIF($A:E,$A808,K:K)</f>
        <v>2</v>
      </c>
      <c r="H808" s="97" t="s">
        <v>616</v>
      </c>
      <c r="I808" s="98">
        <v>2</v>
      </c>
      <c r="J808" s="97">
        <v>2</v>
      </c>
      <c r="K808" s="143">
        <f t="shared" si="247"/>
        <v>2</v>
      </c>
      <c r="L808" s="144">
        <f t="shared" si="256"/>
        <v>0</v>
      </c>
      <c r="M808" s="275">
        <f t="shared" si="250"/>
        <v>2</v>
      </c>
      <c r="N808" s="98">
        <v>3</v>
      </c>
      <c r="O808" s="93">
        <f t="shared" si="252"/>
        <v>100</v>
      </c>
      <c r="FB808" s="100">
        <v>1</v>
      </c>
      <c r="FD808" s="100">
        <v>1</v>
      </c>
      <c r="ON808" s="100">
        <f t="shared" si="248"/>
        <v>0</v>
      </c>
    </row>
    <row r="809" spans="1:404" ht="23.25" customHeight="1">
      <c r="A809" s="97" t="str">
        <f t="shared" si="253"/>
        <v>227/KHBS-2168-70300-02-B</v>
      </c>
      <c r="B809" s="95">
        <v>44408</v>
      </c>
      <c r="C809" s="97">
        <f t="shared" ca="1" si="255"/>
        <v>-656</v>
      </c>
      <c r="D809" s="96" t="s">
        <v>1439</v>
      </c>
      <c r="E809" s="94" t="s">
        <v>338</v>
      </c>
      <c r="F809" s="98" t="str">
        <f t="shared" si="254"/>
        <v>B</v>
      </c>
      <c r="G809" s="110">
        <f ca="1">SUMIF($A:E,$A809,K:K)</f>
        <v>1</v>
      </c>
      <c r="H809" s="97" t="s">
        <v>616</v>
      </c>
      <c r="I809" s="98">
        <v>1</v>
      </c>
      <c r="J809" s="99">
        <v>1</v>
      </c>
      <c r="K809" s="143">
        <f t="shared" si="247"/>
        <v>1</v>
      </c>
      <c r="L809" s="144">
        <f t="shared" si="256"/>
        <v>0</v>
      </c>
      <c r="M809" s="275">
        <f t="shared" si="250"/>
        <v>1</v>
      </c>
      <c r="N809" s="98">
        <v>2</v>
      </c>
      <c r="O809" s="93">
        <f t="shared" si="252"/>
        <v>100</v>
      </c>
      <c r="GN809" s="100">
        <v>1</v>
      </c>
      <c r="ON809" s="100">
        <f t="shared" si="248"/>
        <v>0</v>
      </c>
    </row>
    <row r="810" spans="1:404" ht="23.25" customHeight="1">
      <c r="A810" s="127" t="str">
        <f t="shared" ref="A810:A835" si="257">D810&amp;E810</f>
        <v>184/KHBS-21 (002T/WESTELM-21)68-70300-02-30</v>
      </c>
      <c r="B810" s="126">
        <v>44336</v>
      </c>
      <c r="C810" s="127">
        <f t="shared" ca="1" si="255"/>
        <v>-728</v>
      </c>
      <c r="D810" s="128" t="s">
        <v>981</v>
      </c>
      <c r="E810" s="94" t="s">
        <v>287</v>
      </c>
      <c r="F810" s="98" t="str">
        <f t="shared" ref="F810:F837" si="258">MID(E810,13,2)</f>
        <v>30</v>
      </c>
      <c r="G810" s="110">
        <f ca="1">SUMIF($A:E,$A810,K:K)</f>
        <v>2</v>
      </c>
      <c r="H810" s="97" t="s">
        <v>505</v>
      </c>
      <c r="I810" s="98">
        <v>2</v>
      </c>
      <c r="J810" s="99">
        <v>2</v>
      </c>
      <c r="K810" s="143">
        <f t="shared" si="247"/>
        <v>2</v>
      </c>
      <c r="L810" s="144">
        <f t="shared" si="256"/>
        <v>0</v>
      </c>
      <c r="M810" s="275">
        <f t="shared" si="250"/>
        <v>2</v>
      </c>
      <c r="N810" s="98">
        <v>1</v>
      </c>
      <c r="O810" s="93">
        <f t="shared" si="252"/>
        <v>100</v>
      </c>
      <c r="DZ810" s="100">
        <v>2</v>
      </c>
      <c r="ON810" s="100">
        <f t="shared" si="248"/>
        <v>0</v>
      </c>
    </row>
    <row r="811" spans="1:404" ht="23.25" customHeight="1">
      <c r="A811" s="97" t="str">
        <f t="shared" si="257"/>
        <v>001/HAWTHORE-2168-70300-01-05</v>
      </c>
      <c r="B811" s="95">
        <v>44375</v>
      </c>
      <c r="C811" s="97">
        <f t="shared" ca="1" si="255"/>
        <v>-689</v>
      </c>
      <c r="D811" s="96" t="s">
        <v>737</v>
      </c>
      <c r="E811" s="123" t="s">
        <v>487</v>
      </c>
      <c r="F811" s="98" t="str">
        <f t="shared" si="258"/>
        <v>05</v>
      </c>
      <c r="G811" s="110">
        <f ca="1">SUMIF($A:E,$A811,K:K)</f>
        <v>9</v>
      </c>
      <c r="H811" s="97" t="s">
        <v>505</v>
      </c>
      <c r="I811" s="175">
        <v>9</v>
      </c>
      <c r="J811" s="115">
        <v>9</v>
      </c>
      <c r="K811" s="143">
        <f t="shared" si="247"/>
        <v>9</v>
      </c>
      <c r="L811" s="144">
        <f t="shared" si="256"/>
        <v>0</v>
      </c>
      <c r="M811" s="275">
        <f t="shared" si="250"/>
        <v>9</v>
      </c>
      <c r="N811" s="98">
        <v>2</v>
      </c>
      <c r="O811" s="93">
        <f t="shared" si="252"/>
        <v>100</v>
      </c>
      <c r="DM811" s="101">
        <v>2</v>
      </c>
      <c r="DO811" s="101">
        <v>4</v>
      </c>
      <c r="DS811" s="100">
        <v>3</v>
      </c>
      <c r="ON811" s="100">
        <f t="shared" si="248"/>
        <v>0</v>
      </c>
    </row>
    <row r="812" spans="1:404" ht="23.25" customHeight="1">
      <c r="A812" s="97" t="str">
        <f t="shared" si="257"/>
        <v>001/FOWER POWER-2168-70200-S3-A</v>
      </c>
      <c r="B812" s="95">
        <v>44406</v>
      </c>
      <c r="C812" s="97">
        <f t="shared" ca="1" si="255"/>
        <v>-658</v>
      </c>
      <c r="D812" s="96" t="s">
        <v>988</v>
      </c>
      <c r="E812" s="94" t="s">
        <v>539</v>
      </c>
      <c r="F812" s="98" t="str">
        <f t="shared" si="258"/>
        <v>A</v>
      </c>
      <c r="G812" s="110">
        <f ca="1">SUMIF($A:E,$A812,K:K)</f>
        <v>60</v>
      </c>
      <c r="H812" s="97" t="s">
        <v>508</v>
      </c>
      <c r="I812" s="98">
        <v>60</v>
      </c>
      <c r="J812" s="99">
        <v>30</v>
      </c>
      <c r="K812" s="143">
        <f t="shared" si="247"/>
        <v>30</v>
      </c>
      <c r="L812" s="144">
        <f t="shared" si="256"/>
        <v>0</v>
      </c>
      <c r="M812" s="275">
        <f t="shared" si="250"/>
        <v>180</v>
      </c>
      <c r="N812" s="98">
        <v>3</v>
      </c>
      <c r="O812" s="93">
        <f t="shared" si="252"/>
        <v>100</v>
      </c>
      <c r="EJ812" s="100">
        <v>4</v>
      </c>
      <c r="EK812" s="100">
        <v>2</v>
      </c>
      <c r="EM812" s="100">
        <v>6</v>
      </c>
      <c r="EO812" s="100">
        <v>2</v>
      </c>
      <c r="EP812" s="100">
        <v>2</v>
      </c>
      <c r="EQ812" s="100">
        <v>1</v>
      </c>
      <c r="ER812" s="100">
        <v>3</v>
      </c>
      <c r="ET812" s="100">
        <v>2</v>
      </c>
      <c r="EV812" s="100">
        <v>4</v>
      </c>
      <c r="EX812" s="100">
        <v>3</v>
      </c>
      <c r="EY812" s="100">
        <v>1</v>
      </c>
      <c r="ON812" s="100">
        <f t="shared" si="248"/>
        <v>0</v>
      </c>
    </row>
    <row r="813" spans="1:404" ht="23.25" customHeight="1">
      <c r="A813" s="97" t="str">
        <f t="shared" si="257"/>
        <v>001/FOWER POWER-2168-70200-S3-A</v>
      </c>
      <c r="B813" s="95">
        <v>44406</v>
      </c>
      <c r="C813" s="97">
        <f t="shared" ca="1" si="255"/>
        <v>-658</v>
      </c>
      <c r="D813" s="96" t="s">
        <v>988</v>
      </c>
      <c r="E813" s="94" t="s">
        <v>539</v>
      </c>
      <c r="F813" s="98" t="str">
        <f t="shared" si="258"/>
        <v>A</v>
      </c>
      <c r="G813" s="110">
        <f ca="1">SUMIF($A:E,$A813,K:K)</f>
        <v>60</v>
      </c>
      <c r="H813" s="97" t="s">
        <v>508</v>
      </c>
      <c r="I813" s="98">
        <v>60</v>
      </c>
      <c r="J813" s="99">
        <v>30</v>
      </c>
      <c r="K813" s="143">
        <f t="shared" si="247"/>
        <v>30</v>
      </c>
      <c r="L813" s="144">
        <f t="shared" si="256"/>
        <v>0</v>
      </c>
      <c r="M813" s="275">
        <f t="shared" si="250"/>
        <v>180</v>
      </c>
      <c r="N813" s="98">
        <v>5</v>
      </c>
      <c r="O813" s="93">
        <f t="shared" si="252"/>
        <v>100</v>
      </c>
      <c r="EH813" s="100">
        <v>2</v>
      </c>
      <c r="EI813" s="100">
        <v>2</v>
      </c>
      <c r="EJ813" s="100">
        <v>1</v>
      </c>
      <c r="EK813" s="100">
        <v>4</v>
      </c>
      <c r="EM813" s="100">
        <v>5</v>
      </c>
      <c r="EO813" s="100">
        <v>1</v>
      </c>
      <c r="EP813" s="100">
        <v>2</v>
      </c>
      <c r="EQ813" s="100">
        <v>2</v>
      </c>
      <c r="ER813" s="100">
        <v>3</v>
      </c>
      <c r="ET813" s="100">
        <v>1</v>
      </c>
      <c r="EU813" s="100">
        <v>3</v>
      </c>
      <c r="EV813" s="100">
        <v>1</v>
      </c>
      <c r="EW813" s="100">
        <v>2</v>
      </c>
      <c r="EX813" s="100">
        <v>1</v>
      </c>
      <c r="ON813" s="100">
        <f t="shared" si="248"/>
        <v>0</v>
      </c>
    </row>
    <row r="814" spans="1:404" ht="23.25" customHeight="1">
      <c r="A814" s="97" t="str">
        <f t="shared" si="257"/>
        <v>001/MOJAY-2168-70200-S3-05</v>
      </c>
      <c r="B814" s="95">
        <v>44318</v>
      </c>
      <c r="C814" s="97">
        <f t="shared" ca="1" si="255"/>
        <v>-746</v>
      </c>
      <c r="D814" s="145" t="s">
        <v>742</v>
      </c>
      <c r="E814" s="253" t="s">
        <v>236</v>
      </c>
      <c r="F814" s="98" t="str">
        <f t="shared" si="258"/>
        <v>05</v>
      </c>
      <c r="G814" s="110">
        <f ca="1">SUMIF($A:E,$A814,K:K)</f>
        <v>6</v>
      </c>
      <c r="H814" s="97" t="s">
        <v>512</v>
      </c>
      <c r="I814" s="196">
        <v>6</v>
      </c>
      <c r="J814" s="146">
        <v>6</v>
      </c>
      <c r="K814" s="143">
        <f t="shared" si="247"/>
        <v>6</v>
      </c>
      <c r="L814" s="144">
        <f t="shared" si="256"/>
        <v>0</v>
      </c>
      <c r="M814" s="275">
        <f t="shared" si="250"/>
        <v>18</v>
      </c>
      <c r="N814" s="98">
        <v>5</v>
      </c>
      <c r="O814" s="93">
        <f t="shared" ref="O814:O851" si="259">K814/J814*100</f>
        <v>100</v>
      </c>
      <c r="CP814" s="101">
        <v>2</v>
      </c>
      <c r="CQ814" s="101">
        <v>2</v>
      </c>
      <c r="CR814" s="101">
        <v>2</v>
      </c>
      <c r="ON814" s="100">
        <f t="shared" si="248"/>
        <v>0</v>
      </c>
    </row>
    <row r="815" spans="1:404" ht="23.25" customHeight="1">
      <c r="A815" s="97" t="str">
        <f t="shared" si="257"/>
        <v>002/MOJAY-2168-70200-S3-05</v>
      </c>
      <c r="B815" s="95">
        <v>44347</v>
      </c>
      <c r="C815" s="97">
        <f t="shared" ca="1" si="255"/>
        <v>-717</v>
      </c>
      <c r="D815" s="145" t="s">
        <v>735</v>
      </c>
      <c r="E815" s="253" t="s">
        <v>236</v>
      </c>
      <c r="F815" s="98" t="str">
        <f t="shared" si="258"/>
        <v>05</v>
      </c>
      <c r="G815" s="110">
        <f ca="1">SUMIF($A:E,$A815,K:K)</f>
        <v>6</v>
      </c>
      <c r="H815" s="97" t="s">
        <v>584</v>
      </c>
      <c r="I815" s="196">
        <v>6</v>
      </c>
      <c r="J815" s="146">
        <v>6</v>
      </c>
      <c r="K815" s="143">
        <f t="shared" si="247"/>
        <v>6</v>
      </c>
      <c r="L815" s="144">
        <f t="shared" si="256"/>
        <v>0</v>
      </c>
      <c r="M815" s="275">
        <f t="shared" ref="M815:M851" si="260">IF(OR(MID(E815,10,1)="0",MID(E815,10,1)="F"),I815,IF(OR(,MID(E815,10,1)="S",MID(E815,10,1)="L",MID(E815,10,1)="B",MID(E815,10,1)="X"),MID(E815,11,1)*I815,0))</f>
        <v>18</v>
      </c>
      <c r="N815" s="98">
        <v>5</v>
      </c>
      <c r="O815" s="93">
        <f t="shared" si="259"/>
        <v>100</v>
      </c>
      <c r="CZ815" s="101">
        <v>3</v>
      </c>
      <c r="DA815" s="101">
        <v>2</v>
      </c>
      <c r="DB815" s="101">
        <v>1</v>
      </c>
      <c r="ON815" s="100">
        <f t="shared" si="248"/>
        <v>0</v>
      </c>
    </row>
    <row r="816" spans="1:404" ht="23.25" customHeight="1">
      <c r="A816" s="97" t="str">
        <f t="shared" si="257"/>
        <v>003/MOJAY-2168-70200-S3-05</v>
      </c>
      <c r="B816" s="95">
        <v>44347</v>
      </c>
      <c r="C816" s="97">
        <f t="shared" ca="1" si="255"/>
        <v>-717</v>
      </c>
      <c r="D816" s="145" t="s">
        <v>748</v>
      </c>
      <c r="E816" s="253" t="s">
        <v>236</v>
      </c>
      <c r="F816" s="98" t="str">
        <f t="shared" si="258"/>
        <v>05</v>
      </c>
      <c r="G816" s="110">
        <f ca="1">SUMIF($A:E,$A816,K:K)</f>
        <v>6</v>
      </c>
      <c r="H816" s="97" t="s">
        <v>584</v>
      </c>
      <c r="I816" s="196">
        <v>6</v>
      </c>
      <c r="J816" s="146">
        <v>6</v>
      </c>
      <c r="K816" s="143">
        <f t="shared" si="247"/>
        <v>6</v>
      </c>
      <c r="L816" s="144">
        <f t="shared" si="256"/>
        <v>0</v>
      </c>
      <c r="M816" s="275">
        <f t="shared" si="260"/>
        <v>18</v>
      </c>
      <c r="N816" s="98">
        <v>5</v>
      </c>
      <c r="O816" s="93">
        <f t="shared" si="259"/>
        <v>100</v>
      </c>
      <c r="DB816" s="101">
        <v>1</v>
      </c>
      <c r="DD816" s="101">
        <v>3</v>
      </c>
      <c r="DE816" s="101">
        <v>1</v>
      </c>
      <c r="DG816" s="101">
        <v>1</v>
      </c>
      <c r="ON816" s="100">
        <f t="shared" si="248"/>
        <v>0</v>
      </c>
    </row>
    <row r="817" spans="1:404" ht="23.25" customHeight="1">
      <c r="A817" s="97" t="str">
        <f t="shared" si="257"/>
        <v>001/FOWER POWER-2168-70200-S3-05</v>
      </c>
      <c r="B817" s="95">
        <v>44403</v>
      </c>
      <c r="C817" s="97">
        <f t="shared" ca="1" si="255"/>
        <v>-661</v>
      </c>
      <c r="D817" s="96" t="s">
        <v>988</v>
      </c>
      <c r="E817" s="94" t="s">
        <v>236</v>
      </c>
      <c r="F817" s="98" t="str">
        <f t="shared" si="258"/>
        <v>05</v>
      </c>
      <c r="G817" s="110">
        <f ca="1">SUMIF($A:E,$A817,K:K)</f>
        <v>60</v>
      </c>
      <c r="H817" s="97" t="s">
        <v>966</v>
      </c>
      <c r="I817" s="98">
        <v>60</v>
      </c>
      <c r="J817" s="99">
        <v>30</v>
      </c>
      <c r="K817" s="143">
        <f t="shared" si="247"/>
        <v>30</v>
      </c>
      <c r="L817" s="144">
        <f t="shared" si="256"/>
        <v>0</v>
      </c>
      <c r="M817" s="275">
        <f t="shared" si="260"/>
        <v>180</v>
      </c>
      <c r="N817" s="98">
        <v>1</v>
      </c>
      <c r="O817" s="93">
        <f t="shared" si="259"/>
        <v>100</v>
      </c>
      <c r="EJ817" s="100">
        <v>5</v>
      </c>
      <c r="EL817" s="100">
        <v>4</v>
      </c>
      <c r="EM817" s="100">
        <v>4</v>
      </c>
      <c r="EN817" s="100">
        <v>1</v>
      </c>
      <c r="EO817" s="100">
        <v>5</v>
      </c>
      <c r="EP817" s="100">
        <v>4</v>
      </c>
      <c r="EQ817" s="100">
        <v>6</v>
      </c>
      <c r="EU817" s="100">
        <v>1</v>
      </c>
      <c r="ON817" s="100">
        <f t="shared" si="248"/>
        <v>0</v>
      </c>
    </row>
    <row r="818" spans="1:404" ht="23.25" customHeight="1">
      <c r="A818" s="97" t="str">
        <f t="shared" si="257"/>
        <v>001/FOWER POWER-2168-70200-S3-05</v>
      </c>
      <c r="B818" s="95">
        <v>44403</v>
      </c>
      <c r="C818" s="97">
        <f t="shared" ca="1" si="255"/>
        <v>-661</v>
      </c>
      <c r="D818" s="96" t="s">
        <v>988</v>
      </c>
      <c r="E818" s="94" t="s">
        <v>236</v>
      </c>
      <c r="F818" s="98" t="str">
        <f t="shared" si="258"/>
        <v>05</v>
      </c>
      <c r="G818" s="110">
        <f ca="1">SUMIF($A:E,$A818,K:K)</f>
        <v>60</v>
      </c>
      <c r="H818" s="97" t="s">
        <v>966</v>
      </c>
      <c r="I818" s="98">
        <v>60</v>
      </c>
      <c r="J818" s="99">
        <v>30</v>
      </c>
      <c r="K818" s="143">
        <f t="shared" si="247"/>
        <v>30</v>
      </c>
      <c r="L818" s="144">
        <f t="shared" si="256"/>
        <v>0</v>
      </c>
      <c r="M818" s="275">
        <f t="shared" si="260"/>
        <v>180</v>
      </c>
      <c r="N818" s="98">
        <v>2</v>
      </c>
      <c r="O818" s="93">
        <f t="shared" si="259"/>
        <v>100</v>
      </c>
      <c r="EI818" s="100">
        <v>2</v>
      </c>
      <c r="EK818" s="100">
        <v>4</v>
      </c>
      <c r="EL818" s="100">
        <v>2</v>
      </c>
      <c r="EM818" s="100">
        <v>2</v>
      </c>
      <c r="EN818" s="100">
        <v>2</v>
      </c>
      <c r="EO818" s="100">
        <v>2</v>
      </c>
      <c r="EQ818" s="100">
        <v>2</v>
      </c>
      <c r="ET818" s="100">
        <v>4</v>
      </c>
      <c r="EW818" s="100">
        <v>1</v>
      </c>
      <c r="EX818" s="100">
        <v>7</v>
      </c>
      <c r="FE818" s="100">
        <v>2</v>
      </c>
      <c r="ON818" s="100">
        <f t="shared" si="248"/>
        <v>0</v>
      </c>
    </row>
    <row r="819" spans="1:404" ht="23.25" customHeight="1">
      <c r="A819" s="127" t="str">
        <f t="shared" si="257"/>
        <v>011/MOJAY-2168-70200-S3-05</v>
      </c>
      <c r="B819" s="95">
        <v>44640</v>
      </c>
      <c r="C819" s="97">
        <f t="shared" ca="1" si="255"/>
        <v>-424</v>
      </c>
      <c r="D819" s="263" t="s">
        <v>1118</v>
      </c>
      <c r="E819" s="94" t="s">
        <v>236</v>
      </c>
      <c r="F819" s="98" t="str">
        <f t="shared" si="258"/>
        <v>05</v>
      </c>
      <c r="G819" s="110">
        <f ca="1">SUMIF($A:E,$A819,K:K)</f>
        <v>18</v>
      </c>
      <c r="H819" s="97" t="s">
        <v>505</v>
      </c>
      <c r="I819" s="98">
        <v>12</v>
      </c>
      <c r="J819" s="99">
        <v>12</v>
      </c>
      <c r="K819" s="143">
        <f t="shared" si="247"/>
        <v>18</v>
      </c>
      <c r="L819" s="144">
        <f t="shared" si="256"/>
        <v>-6</v>
      </c>
      <c r="M819" s="275">
        <f t="shared" si="260"/>
        <v>36</v>
      </c>
      <c r="N819" s="98" t="s">
        <v>1768</v>
      </c>
      <c r="O819" s="93">
        <f>K819/J819*100</f>
        <v>150</v>
      </c>
      <c r="NL819" s="100">
        <v>2</v>
      </c>
      <c r="NM819" s="100">
        <v>2</v>
      </c>
      <c r="NN819" s="100">
        <v>2</v>
      </c>
      <c r="NS819" s="100">
        <v>2</v>
      </c>
      <c r="NU819" s="100">
        <v>4</v>
      </c>
      <c r="ON819" s="100">
        <f t="shared" si="248"/>
        <v>6</v>
      </c>
    </row>
    <row r="820" spans="1:404" ht="23.25" customHeight="1">
      <c r="A820" s="97" t="str">
        <f t="shared" si="257"/>
        <v>008/MOJAY-2168-70200-S3-05</v>
      </c>
      <c r="B820" s="95">
        <v>44432</v>
      </c>
      <c r="C820" s="97">
        <f t="shared" ca="1" si="255"/>
        <v>-632</v>
      </c>
      <c r="D820" s="96" t="s">
        <v>1122</v>
      </c>
      <c r="E820" s="94" t="s">
        <v>236</v>
      </c>
      <c r="F820" s="98" t="str">
        <f t="shared" si="258"/>
        <v>05</v>
      </c>
      <c r="G820" s="110">
        <f ca="1">SUMIF($A:E,$A820,K:K)</f>
        <v>9</v>
      </c>
      <c r="H820" s="97" t="s">
        <v>505</v>
      </c>
      <c r="I820" s="98">
        <v>9</v>
      </c>
      <c r="J820" s="97">
        <v>9</v>
      </c>
      <c r="K820" s="143">
        <f t="shared" si="247"/>
        <v>9</v>
      </c>
      <c r="L820" s="144">
        <f t="shared" si="256"/>
        <v>0</v>
      </c>
      <c r="M820" s="275">
        <f t="shared" si="260"/>
        <v>27</v>
      </c>
      <c r="N820" s="98">
        <v>5</v>
      </c>
      <c r="O820" s="93">
        <f t="shared" si="259"/>
        <v>100</v>
      </c>
      <c r="GY820" s="100">
        <v>3</v>
      </c>
      <c r="HB820" s="100">
        <v>4</v>
      </c>
      <c r="HD820" s="100">
        <v>2</v>
      </c>
      <c r="ON820" s="100">
        <f t="shared" si="248"/>
        <v>0</v>
      </c>
    </row>
    <row r="821" spans="1:404" ht="23.25" customHeight="1">
      <c r="A821" s="138" t="str">
        <f t="shared" si="257"/>
        <v>001/MOJAY-2168-70200-S3-01</v>
      </c>
      <c r="B821" s="95">
        <v>44318</v>
      </c>
      <c r="C821" s="97">
        <f t="shared" ca="1" si="255"/>
        <v>-746</v>
      </c>
      <c r="D821" s="145" t="s">
        <v>742</v>
      </c>
      <c r="E821" s="253" t="s">
        <v>235</v>
      </c>
      <c r="F821" s="98" t="str">
        <f t="shared" si="258"/>
        <v>01</v>
      </c>
      <c r="G821" s="110">
        <f ca="1">SUMIF($A:E,$A821,K:K)</f>
        <v>6</v>
      </c>
      <c r="H821" s="97" t="s">
        <v>512</v>
      </c>
      <c r="I821" s="196">
        <v>6</v>
      </c>
      <c r="J821" s="146">
        <v>6</v>
      </c>
      <c r="K821" s="143">
        <f t="shared" si="247"/>
        <v>6</v>
      </c>
      <c r="L821" s="144">
        <f t="shared" si="256"/>
        <v>0</v>
      </c>
      <c r="M821" s="275">
        <f t="shared" si="260"/>
        <v>18</v>
      </c>
      <c r="N821" s="98">
        <v>5</v>
      </c>
      <c r="O821" s="93">
        <f t="shared" si="259"/>
        <v>100</v>
      </c>
      <c r="CM821" s="101">
        <v>2</v>
      </c>
      <c r="CN821" s="101">
        <v>2</v>
      </c>
      <c r="CP821" s="101">
        <v>2</v>
      </c>
      <c r="ON821" s="100">
        <f t="shared" si="248"/>
        <v>0</v>
      </c>
    </row>
    <row r="822" spans="1:404" ht="23.25" customHeight="1">
      <c r="A822" s="97" t="str">
        <f t="shared" si="257"/>
        <v>002/MOJAY-2168-70200-S3-01</v>
      </c>
      <c r="B822" s="95">
        <v>44347</v>
      </c>
      <c r="C822" s="97">
        <f t="shared" ca="1" si="255"/>
        <v>-717</v>
      </c>
      <c r="D822" s="145" t="s">
        <v>735</v>
      </c>
      <c r="E822" s="253" t="s">
        <v>235</v>
      </c>
      <c r="F822" s="98" t="str">
        <f t="shared" si="258"/>
        <v>01</v>
      </c>
      <c r="G822" s="110">
        <f ca="1">SUMIF($A:E,$A822,K:K)</f>
        <v>6</v>
      </c>
      <c r="H822" s="97" t="s">
        <v>584</v>
      </c>
      <c r="I822" s="196">
        <v>6</v>
      </c>
      <c r="J822" s="146">
        <v>6</v>
      </c>
      <c r="K822" s="143">
        <f t="shared" si="247"/>
        <v>6</v>
      </c>
      <c r="L822" s="144">
        <f t="shared" si="256"/>
        <v>0</v>
      </c>
      <c r="M822" s="275">
        <f t="shared" si="260"/>
        <v>18</v>
      </c>
      <c r="N822" s="98">
        <v>5</v>
      </c>
      <c r="O822" s="93">
        <f t="shared" si="259"/>
        <v>100</v>
      </c>
      <c r="CT822" s="101">
        <v>2</v>
      </c>
      <c r="CU822" s="101">
        <v>1</v>
      </c>
      <c r="CW822" s="101">
        <v>3</v>
      </c>
      <c r="ON822" s="100">
        <f t="shared" si="248"/>
        <v>0</v>
      </c>
    </row>
    <row r="823" spans="1:404" ht="23.25" customHeight="1">
      <c r="A823" s="97" t="str">
        <f t="shared" si="257"/>
        <v>003/MOJAY-2168-70200-S3-01</v>
      </c>
      <c r="B823" s="95">
        <v>44347</v>
      </c>
      <c r="C823" s="97">
        <f t="shared" ca="1" si="255"/>
        <v>-717</v>
      </c>
      <c r="D823" s="145" t="s">
        <v>748</v>
      </c>
      <c r="E823" s="253" t="s">
        <v>235</v>
      </c>
      <c r="F823" s="98" t="str">
        <f t="shared" si="258"/>
        <v>01</v>
      </c>
      <c r="G823" s="110">
        <f ca="1">SUMIF($A:E,$A823,K:K)</f>
        <v>6</v>
      </c>
      <c r="H823" s="97" t="s">
        <v>584</v>
      </c>
      <c r="I823" s="196">
        <v>6</v>
      </c>
      <c r="J823" s="146">
        <v>6</v>
      </c>
      <c r="K823" s="143">
        <f t="shared" si="247"/>
        <v>6</v>
      </c>
      <c r="L823" s="144">
        <f t="shared" si="256"/>
        <v>0</v>
      </c>
      <c r="M823" s="275">
        <f t="shared" si="260"/>
        <v>18</v>
      </c>
      <c r="N823" s="98">
        <v>5</v>
      </c>
      <c r="O823" s="93">
        <f t="shared" si="259"/>
        <v>100</v>
      </c>
      <c r="DF823" s="101">
        <v>1</v>
      </c>
      <c r="DG823" s="101">
        <v>2</v>
      </c>
      <c r="DM823" s="101">
        <v>2</v>
      </c>
      <c r="DN823" s="101">
        <v>1</v>
      </c>
      <c r="ON823" s="100">
        <f t="shared" si="248"/>
        <v>0</v>
      </c>
    </row>
    <row r="824" spans="1:404" ht="23.25" customHeight="1">
      <c r="A824" s="127" t="str">
        <f t="shared" ref="A824" si="261">D824&amp;E824</f>
        <v>011/MOJAY-2168-79900-S2-B</v>
      </c>
      <c r="B824" s="95">
        <v>44625</v>
      </c>
      <c r="C824" s="97">
        <f t="shared" ref="C824" ca="1" si="262">B824-TODAY()</f>
        <v>-439</v>
      </c>
      <c r="D824" s="263" t="s">
        <v>1118</v>
      </c>
      <c r="E824" s="253" t="s">
        <v>1120</v>
      </c>
      <c r="F824" s="98" t="str">
        <f t="shared" ref="F824" si="263">MID(E824,13,2)</f>
        <v>B</v>
      </c>
      <c r="G824" s="110">
        <f ca="1">SUMIF($A:E,$A824,K:K)</f>
        <v>38</v>
      </c>
      <c r="H824" s="97" t="s">
        <v>820</v>
      </c>
      <c r="I824" s="196">
        <v>32</v>
      </c>
      <c r="J824" s="146">
        <v>32</v>
      </c>
      <c r="K824" s="143">
        <f t="shared" si="247"/>
        <v>38</v>
      </c>
      <c r="L824" s="144">
        <f t="shared" ref="L824" si="264">J824-K824</f>
        <v>-6</v>
      </c>
      <c r="M824" s="275"/>
      <c r="N824" s="98">
        <v>1</v>
      </c>
      <c r="O824" s="93">
        <f t="shared" si="259"/>
        <v>118.75</v>
      </c>
      <c r="OG824" s="100">
        <v>10</v>
      </c>
      <c r="OI824" s="100">
        <v>5</v>
      </c>
      <c r="OJ824" s="100">
        <v>4</v>
      </c>
      <c r="ON824" s="100">
        <f t="shared" si="248"/>
        <v>19</v>
      </c>
    </row>
    <row r="825" spans="1:404" ht="23.25" customHeight="1">
      <c r="A825" s="97" t="str">
        <f t="shared" si="257"/>
        <v>011/MOJAY-2168-70200-S3-01</v>
      </c>
      <c r="B825" s="95">
        <v>44640</v>
      </c>
      <c r="C825" s="97">
        <f t="shared" ca="1" si="255"/>
        <v>-424</v>
      </c>
      <c r="D825" s="263" t="s">
        <v>1118</v>
      </c>
      <c r="E825" s="94" t="s">
        <v>235</v>
      </c>
      <c r="F825" s="98" t="str">
        <f t="shared" si="258"/>
        <v>01</v>
      </c>
      <c r="G825" s="110">
        <f ca="1">SUMIF($A:E,$A825,K:K)</f>
        <v>12</v>
      </c>
      <c r="H825" s="97" t="s">
        <v>505</v>
      </c>
      <c r="I825" s="98">
        <v>12</v>
      </c>
      <c r="J825" s="99">
        <v>12</v>
      </c>
      <c r="K825" s="143">
        <f t="shared" si="247"/>
        <v>12</v>
      </c>
      <c r="L825" s="144">
        <f t="shared" si="256"/>
        <v>0</v>
      </c>
      <c r="M825" s="275">
        <f t="shared" si="260"/>
        <v>36</v>
      </c>
      <c r="N825" s="98" t="s">
        <v>1768</v>
      </c>
      <c r="O825" s="93">
        <f>K825/J825*100</f>
        <v>100</v>
      </c>
      <c r="NA825" s="100">
        <v>2</v>
      </c>
      <c r="NE825" s="100">
        <v>2</v>
      </c>
      <c r="NF825" s="100">
        <v>2</v>
      </c>
      <c r="NG825" s="100">
        <v>3</v>
      </c>
      <c r="NI825" s="100">
        <v>1</v>
      </c>
      <c r="NK825" s="100">
        <v>2</v>
      </c>
      <c r="ON825" s="100">
        <f t="shared" si="248"/>
        <v>0</v>
      </c>
    </row>
    <row r="826" spans="1:404" ht="23.25" customHeight="1">
      <c r="A826" s="97" t="str">
        <f t="shared" si="257"/>
        <v>008/MOJAY-2168-70200-S3-01</v>
      </c>
      <c r="B826" s="95">
        <v>44432</v>
      </c>
      <c r="C826" s="97">
        <f t="shared" ca="1" si="255"/>
        <v>-632</v>
      </c>
      <c r="D826" s="96" t="s">
        <v>1122</v>
      </c>
      <c r="E826" s="94" t="s">
        <v>235</v>
      </c>
      <c r="F826" s="98" t="str">
        <f t="shared" si="258"/>
        <v>01</v>
      </c>
      <c r="G826" s="110">
        <f ca="1">SUMIF($A:E,$A826,K:K)</f>
        <v>9</v>
      </c>
      <c r="H826" s="97" t="s">
        <v>505</v>
      </c>
      <c r="I826" s="98">
        <v>9</v>
      </c>
      <c r="J826" s="97">
        <v>9</v>
      </c>
      <c r="K826" s="143">
        <f t="shared" si="247"/>
        <v>9</v>
      </c>
      <c r="L826" s="144">
        <f t="shared" si="256"/>
        <v>0</v>
      </c>
      <c r="M826" s="275">
        <f t="shared" si="260"/>
        <v>27</v>
      </c>
      <c r="N826" s="98">
        <v>5</v>
      </c>
      <c r="O826" s="93">
        <f t="shared" si="259"/>
        <v>100</v>
      </c>
      <c r="GR826" s="100">
        <v>1</v>
      </c>
      <c r="GV826" s="100">
        <v>4</v>
      </c>
      <c r="GW826" s="100">
        <v>1</v>
      </c>
      <c r="GX826" s="100">
        <v>1</v>
      </c>
      <c r="GY826" s="100">
        <v>1</v>
      </c>
      <c r="HD826" s="100">
        <v>1</v>
      </c>
      <c r="ON826" s="100">
        <f t="shared" si="248"/>
        <v>0</v>
      </c>
    </row>
    <row r="827" spans="1:404" ht="23.25" customHeight="1">
      <c r="A827" s="97" t="str">
        <f t="shared" si="257"/>
        <v>004/COMERZIA-2168-70200-B2-01</v>
      </c>
      <c r="B827" s="95">
        <v>44518</v>
      </c>
      <c r="C827" s="97">
        <f t="shared" ca="1" si="255"/>
        <v>-546</v>
      </c>
      <c r="D827" s="112" t="s">
        <v>1067</v>
      </c>
      <c r="E827" s="279" t="s">
        <v>1068</v>
      </c>
      <c r="F827" s="98" t="str">
        <f t="shared" si="258"/>
        <v>01</v>
      </c>
      <c r="G827" s="110">
        <f ca="1">SUMIF($A:E,$A827,K:K)</f>
        <v>12</v>
      </c>
      <c r="H827" s="97" t="s">
        <v>505</v>
      </c>
      <c r="I827" s="175">
        <v>12</v>
      </c>
      <c r="J827" s="115">
        <v>12</v>
      </c>
      <c r="K827" s="143">
        <f t="shared" si="247"/>
        <v>12</v>
      </c>
      <c r="L827" s="144">
        <f t="shared" si="256"/>
        <v>0</v>
      </c>
      <c r="M827" s="275">
        <f t="shared" si="260"/>
        <v>24</v>
      </c>
      <c r="N827" s="98" t="s">
        <v>1768</v>
      </c>
      <c r="O827" s="93">
        <f t="shared" si="259"/>
        <v>100</v>
      </c>
      <c r="KA827" s="100">
        <v>1</v>
      </c>
      <c r="KB827" s="100">
        <v>2</v>
      </c>
      <c r="KC827" s="100">
        <v>1</v>
      </c>
      <c r="KD827" s="100">
        <v>1</v>
      </c>
      <c r="KE827" s="100">
        <v>1</v>
      </c>
      <c r="KF827" s="100">
        <v>1</v>
      </c>
      <c r="KG827" s="100">
        <v>1</v>
      </c>
      <c r="KH827" s="100">
        <v>1</v>
      </c>
      <c r="KI827" s="100">
        <v>1</v>
      </c>
      <c r="KJ827" s="100">
        <v>1</v>
      </c>
      <c r="KN827" s="100">
        <v>1</v>
      </c>
      <c r="ON827" s="100">
        <f t="shared" si="248"/>
        <v>0</v>
      </c>
    </row>
    <row r="828" spans="1:404" ht="23.25" customHeight="1">
      <c r="A828" s="97" t="str">
        <f t="shared" si="257"/>
        <v>003/ANNA-VG-21(đ6)68-70200-03-A</v>
      </c>
      <c r="B828" s="95">
        <v>44607</v>
      </c>
      <c r="C828" s="97">
        <f t="shared" ca="1" si="255"/>
        <v>-457</v>
      </c>
      <c r="D828" s="112" t="s">
        <v>1668</v>
      </c>
      <c r="E828" s="279" t="s">
        <v>555</v>
      </c>
      <c r="F828" s="98" t="str">
        <f t="shared" si="258"/>
        <v>A</v>
      </c>
      <c r="G828" s="110">
        <f ca="1">SUMIF($A:E,$A828,K:K)</f>
        <v>14</v>
      </c>
      <c r="H828" s="112" t="s">
        <v>990</v>
      </c>
      <c r="I828" s="175">
        <v>14</v>
      </c>
      <c r="J828" s="115">
        <v>14</v>
      </c>
      <c r="K828" s="143">
        <f t="shared" si="247"/>
        <v>14</v>
      </c>
      <c r="L828" s="144">
        <f t="shared" si="256"/>
        <v>0</v>
      </c>
      <c r="M828" s="275">
        <f t="shared" si="260"/>
        <v>14</v>
      </c>
      <c r="N828" s="98" t="s">
        <v>1768</v>
      </c>
      <c r="O828" s="93">
        <f t="shared" si="259"/>
        <v>100</v>
      </c>
      <c r="MP828" s="100">
        <v>2</v>
      </c>
      <c r="MR828" s="100">
        <v>2</v>
      </c>
      <c r="MS828" s="100">
        <v>2</v>
      </c>
      <c r="MT828" s="100">
        <v>2</v>
      </c>
      <c r="MU828" s="100">
        <v>2</v>
      </c>
      <c r="MW828" s="100">
        <v>2</v>
      </c>
      <c r="MX828" s="100">
        <v>2</v>
      </c>
      <c r="ON828" s="100">
        <f t="shared" si="248"/>
        <v>0</v>
      </c>
    </row>
    <row r="829" spans="1:404" ht="23.25" customHeight="1">
      <c r="A829" s="97" t="str">
        <f t="shared" si="257"/>
        <v>141/KHBS-2168-70200-03-54</v>
      </c>
      <c r="B829" s="95">
        <v>44292</v>
      </c>
      <c r="C829" s="97">
        <f t="shared" ca="1" si="255"/>
        <v>-772</v>
      </c>
      <c r="D829" s="96" t="s">
        <v>828</v>
      </c>
      <c r="E829" s="94" t="s">
        <v>521</v>
      </c>
      <c r="F829" s="98" t="str">
        <f t="shared" si="258"/>
        <v>54</v>
      </c>
      <c r="G829" s="110">
        <f ca="1">SUMIF($A:E,$A829,K:K)</f>
        <v>1</v>
      </c>
      <c r="H829" s="97" t="s">
        <v>832</v>
      </c>
      <c r="I829" s="98">
        <v>1</v>
      </c>
      <c r="J829" s="99">
        <v>1</v>
      </c>
      <c r="K829" s="143">
        <f t="shared" si="247"/>
        <v>1</v>
      </c>
      <c r="L829" s="144">
        <f t="shared" si="256"/>
        <v>0</v>
      </c>
      <c r="M829" s="275">
        <f t="shared" si="260"/>
        <v>1</v>
      </c>
      <c r="N829" s="98">
        <v>1</v>
      </c>
      <c r="O829" s="93">
        <f t="shared" si="259"/>
        <v>100</v>
      </c>
      <c r="CM829" s="101">
        <v>1</v>
      </c>
      <c r="ON829" s="100">
        <f t="shared" si="248"/>
        <v>0</v>
      </c>
    </row>
    <row r="830" spans="1:404" ht="23.25" customHeight="1">
      <c r="A830" s="97" t="str">
        <f t="shared" si="257"/>
        <v>003/ANNA-VG-21(đ6)68-70200-02-A</v>
      </c>
      <c r="B830" s="95">
        <v>44607</v>
      </c>
      <c r="C830" s="97">
        <f t="shared" ca="1" si="255"/>
        <v>-457</v>
      </c>
      <c r="D830" s="112" t="s">
        <v>1668</v>
      </c>
      <c r="E830" s="279" t="s">
        <v>556</v>
      </c>
      <c r="F830" s="98" t="str">
        <f t="shared" si="258"/>
        <v>A</v>
      </c>
      <c r="G830" s="110">
        <f ca="1">SUMIF($A:E,$A830,K:K)</f>
        <v>14</v>
      </c>
      <c r="H830" s="112" t="s">
        <v>990</v>
      </c>
      <c r="I830" s="175">
        <v>14</v>
      </c>
      <c r="J830" s="115">
        <v>14</v>
      </c>
      <c r="K830" s="143">
        <f t="shared" si="247"/>
        <v>14</v>
      </c>
      <c r="L830" s="144">
        <f t="shared" si="256"/>
        <v>0</v>
      </c>
      <c r="M830" s="275">
        <f t="shared" si="260"/>
        <v>14</v>
      </c>
      <c r="N830" s="98" t="s">
        <v>1768</v>
      </c>
      <c r="O830" s="93">
        <f t="shared" si="259"/>
        <v>100</v>
      </c>
      <c r="MP830" s="100">
        <v>2</v>
      </c>
      <c r="MR830" s="100">
        <v>2</v>
      </c>
      <c r="MS830" s="100">
        <v>2</v>
      </c>
      <c r="MT830" s="100">
        <v>2</v>
      </c>
      <c r="MU830" s="100">
        <v>2</v>
      </c>
      <c r="MW830" s="100">
        <v>2</v>
      </c>
      <c r="MX830" s="100">
        <v>2</v>
      </c>
      <c r="ON830" s="100">
        <f t="shared" si="248"/>
        <v>0</v>
      </c>
    </row>
    <row r="831" spans="1:404" ht="23.25" customHeight="1">
      <c r="A831" s="97" t="str">
        <f t="shared" si="257"/>
        <v>003/ANNA-VG-21(đ6)68-70200-01-A</v>
      </c>
      <c r="B831" s="95">
        <v>44607</v>
      </c>
      <c r="C831" s="97">
        <f t="shared" ca="1" si="255"/>
        <v>-457</v>
      </c>
      <c r="D831" s="112" t="s">
        <v>1668</v>
      </c>
      <c r="E831" s="279" t="s">
        <v>1669</v>
      </c>
      <c r="F831" s="98" t="str">
        <f t="shared" si="258"/>
        <v>A</v>
      </c>
      <c r="G831" s="110">
        <f ca="1">SUMIF($A:E,$A831,K:K)</f>
        <v>14</v>
      </c>
      <c r="H831" s="112" t="s">
        <v>990</v>
      </c>
      <c r="I831" s="175">
        <v>14</v>
      </c>
      <c r="J831" s="115">
        <v>14</v>
      </c>
      <c r="K831" s="143">
        <f t="shared" si="247"/>
        <v>14</v>
      </c>
      <c r="L831" s="144">
        <f t="shared" si="256"/>
        <v>0</v>
      </c>
      <c r="M831" s="275">
        <f t="shared" si="260"/>
        <v>14</v>
      </c>
      <c r="N831" s="98" t="s">
        <v>1768</v>
      </c>
      <c r="O831" s="93">
        <f t="shared" si="259"/>
        <v>100</v>
      </c>
      <c r="MP831" s="100">
        <v>2</v>
      </c>
      <c r="MR831" s="100">
        <v>2</v>
      </c>
      <c r="MS831" s="100">
        <v>2</v>
      </c>
      <c r="MT831" s="100">
        <v>2</v>
      </c>
      <c r="MU831" s="100">
        <v>2</v>
      </c>
      <c r="MW831" s="100">
        <v>2</v>
      </c>
      <c r="MX831" s="100">
        <v>2</v>
      </c>
      <c r="ON831" s="100">
        <f t="shared" si="248"/>
        <v>0</v>
      </c>
    </row>
    <row r="832" spans="1:404" ht="23.25" customHeight="1">
      <c r="A832" s="97" t="str">
        <f t="shared" si="257"/>
        <v>003/ANNA-VG-21(đ6)68-70100-S3-A</v>
      </c>
      <c r="B832" s="95">
        <v>44607</v>
      </c>
      <c r="C832" s="97">
        <f t="shared" ca="1" si="255"/>
        <v>-457</v>
      </c>
      <c r="D832" s="112" t="s">
        <v>1668</v>
      </c>
      <c r="E832" s="279" t="s">
        <v>515</v>
      </c>
      <c r="F832" s="98" t="str">
        <f t="shared" si="258"/>
        <v>A</v>
      </c>
      <c r="G832" s="110">
        <f ca="1">SUMIF($A:E,$A832,K:K)</f>
        <v>10</v>
      </c>
      <c r="H832" s="112" t="s">
        <v>990</v>
      </c>
      <c r="I832" s="175">
        <v>10</v>
      </c>
      <c r="J832" s="115">
        <v>10</v>
      </c>
      <c r="K832" s="143">
        <f t="shared" si="247"/>
        <v>10</v>
      </c>
      <c r="L832" s="144">
        <f t="shared" si="256"/>
        <v>0</v>
      </c>
      <c r="M832" s="275">
        <f t="shared" si="260"/>
        <v>30</v>
      </c>
      <c r="N832" s="98">
        <v>3</v>
      </c>
      <c r="O832" s="93">
        <f t="shared" si="259"/>
        <v>100</v>
      </c>
      <c r="MF832" s="100">
        <v>2</v>
      </c>
      <c r="MG832" s="100">
        <v>2</v>
      </c>
      <c r="MH832" s="100">
        <v>2</v>
      </c>
      <c r="MK832" s="100">
        <v>2</v>
      </c>
      <c r="ML832" s="100">
        <v>2</v>
      </c>
      <c r="ON832" s="100">
        <f t="shared" si="248"/>
        <v>0</v>
      </c>
    </row>
    <row r="833" spans="1:404" ht="23.25" customHeight="1">
      <c r="A833" s="97" t="str">
        <f t="shared" si="257"/>
        <v>003/ANNA-VG-21(đ1)68-70100-B2-A</v>
      </c>
      <c r="B833" s="95">
        <v>44545</v>
      </c>
      <c r="C833" s="97">
        <f t="shared" ca="1" si="255"/>
        <v>-519</v>
      </c>
      <c r="D833" s="112" t="s">
        <v>1622</v>
      </c>
      <c r="E833" s="279" t="s">
        <v>528</v>
      </c>
      <c r="F833" s="98" t="str">
        <f t="shared" si="258"/>
        <v>A</v>
      </c>
      <c r="G833" s="110">
        <f ca="1">SUMIF($A:E,$A833,K:K)</f>
        <v>15</v>
      </c>
      <c r="H833" s="112" t="s">
        <v>990</v>
      </c>
      <c r="I833" s="175">
        <v>15</v>
      </c>
      <c r="J833" s="115">
        <v>15</v>
      </c>
      <c r="K833" s="143">
        <f t="shared" si="247"/>
        <v>15</v>
      </c>
      <c r="L833" s="144">
        <f t="shared" si="256"/>
        <v>0</v>
      </c>
      <c r="M833" s="275">
        <f t="shared" si="260"/>
        <v>30</v>
      </c>
      <c r="N833" s="98" t="s">
        <v>1768</v>
      </c>
      <c r="O833" s="93">
        <f t="shared" si="259"/>
        <v>100</v>
      </c>
      <c r="LK833" s="100">
        <v>2</v>
      </c>
      <c r="LL833" s="100">
        <v>2</v>
      </c>
      <c r="LM833" s="100">
        <v>2</v>
      </c>
      <c r="LN833" s="100">
        <v>2</v>
      </c>
      <c r="LP833" s="100">
        <v>2</v>
      </c>
      <c r="LQ833" s="100">
        <v>2</v>
      </c>
      <c r="LR833" s="100">
        <v>2</v>
      </c>
      <c r="LS833" s="100">
        <v>1</v>
      </c>
      <c r="ON833" s="100">
        <f t="shared" si="248"/>
        <v>0</v>
      </c>
    </row>
    <row r="834" spans="1:404" ht="23.25" customHeight="1">
      <c r="A834" s="97" t="str">
        <f t="shared" si="257"/>
        <v>003/ANNA-VG-21(đ4)68-70100-03-A</v>
      </c>
      <c r="B834" s="95">
        <v>44579</v>
      </c>
      <c r="C834" s="97">
        <f t="shared" ca="1" si="255"/>
        <v>-485</v>
      </c>
      <c r="D834" s="112" t="s">
        <v>1652</v>
      </c>
      <c r="E834" s="279" t="s">
        <v>577</v>
      </c>
      <c r="F834" s="98" t="str">
        <f t="shared" si="258"/>
        <v>A</v>
      </c>
      <c r="G834" s="110">
        <f ca="1">SUMIF($A:E,$A834,K:K)</f>
        <v>31</v>
      </c>
      <c r="H834" s="112" t="s">
        <v>990</v>
      </c>
      <c r="I834" s="175">
        <v>31</v>
      </c>
      <c r="J834" s="115">
        <v>31</v>
      </c>
      <c r="K834" s="143">
        <f t="shared" si="247"/>
        <v>31</v>
      </c>
      <c r="L834" s="144">
        <f t="shared" si="256"/>
        <v>0</v>
      </c>
      <c r="M834" s="275">
        <f t="shared" si="260"/>
        <v>31</v>
      </c>
      <c r="N834" s="98">
        <v>3</v>
      </c>
      <c r="O834" s="93">
        <f t="shared" si="259"/>
        <v>100</v>
      </c>
      <c r="MD834" s="100">
        <v>4</v>
      </c>
      <c r="ME834" s="100">
        <v>1</v>
      </c>
      <c r="MF834" s="100">
        <v>1</v>
      </c>
      <c r="MG834" s="100">
        <v>1</v>
      </c>
      <c r="MH834" s="100">
        <v>1</v>
      </c>
      <c r="MK834" s="100">
        <v>1</v>
      </c>
      <c r="ML834" s="100">
        <v>1</v>
      </c>
      <c r="MM834" s="100">
        <v>3</v>
      </c>
      <c r="MN834" s="100">
        <v>3</v>
      </c>
      <c r="MO834" s="100">
        <v>12</v>
      </c>
      <c r="MQ834" s="100">
        <v>3</v>
      </c>
      <c r="ON834" s="100">
        <f t="shared" si="248"/>
        <v>0</v>
      </c>
    </row>
    <row r="835" spans="1:404" ht="23.25" customHeight="1">
      <c r="A835" s="97" t="str">
        <f t="shared" si="257"/>
        <v>004/COCOON-2168-70000-02-01</v>
      </c>
      <c r="B835" s="95">
        <v>44386</v>
      </c>
      <c r="C835" s="97">
        <f t="shared" ca="1" si="255"/>
        <v>-678</v>
      </c>
      <c r="D835" s="145" t="s">
        <v>780</v>
      </c>
      <c r="E835" s="253" t="s">
        <v>781</v>
      </c>
      <c r="F835" s="98" t="str">
        <f t="shared" si="258"/>
        <v>01</v>
      </c>
      <c r="G835" s="110">
        <f ca="1">SUMIF($A:E,$A835,K:K)</f>
        <v>28</v>
      </c>
      <c r="H835" s="97" t="s">
        <v>784</v>
      </c>
      <c r="I835" s="196">
        <v>28</v>
      </c>
      <c r="J835" s="146">
        <v>28</v>
      </c>
      <c r="K835" s="143">
        <f t="shared" si="247"/>
        <v>28</v>
      </c>
      <c r="L835" s="144">
        <f t="shared" si="256"/>
        <v>0</v>
      </c>
      <c r="M835" s="275">
        <f t="shared" si="260"/>
        <v>28</v>
      </c>
      <c r="N835" s="98">
        <v>3</v>
      </c>
      <c r="O835" s="93">
        <f t="shared" si="259"/>
        <v>100</v>
      </c>
      <c r="EF835" s="100">
        <v>3</v>
      </c>
      <c r="EG835" s="100">
        <v>6</v>
      </c>
      <c r="EH835" s="100">
        <v>3</v>
      </c>
      <c r="EI835" s="100">
        <v>2</v>
      </c>
      <c r="EJ835" s="100">
        <v>2</v>
      </c>
      <c r="EK835" s="100">
        <v>3</v>
      </c>
      <c r="EL835" s="100">
        <v>3</v>
      </c>
      <c r="EM835" s="100">
        <v>4</v>
      </c>
      <c r="EN835" s="100">
        <v>2</v>
      </c>
      <c r="ON835" s="100">
        <f t="shared" si="248"/>
        <v>0</v>
      </c>
    </row>
    <row r="836" spans="1:404" ht="23.25" customHeight="1">
      <c r="A836" s="97" t="str">
        <f t="shared" ref="A836:A840" si="265">D836&amp;E836</f>
        <v>001/COCOON-2168-61300-S3-05</v>
      </c>
      <c r="B836" s="95">
        <v>44324</v>
      </c>
      <c r="C836" s="97">
        <f t="shared" ca="1" si="255"/>
        <v>-740</v>
      </c>
      <c r="D836" s="145" t="s">
        <v>717</v>
      </c>
      <c r="E836" s="253" t="s">
        <v>234</v>
      </c>
      <c r="F836" s="98" t="str">
        <f t="shared" si="258"/>
        <v>05</v>
      </c>
      <c r="G836" s="110">
        <f ca="1">SUMIF($A:E,$A836,K:K)</f>
        <v>64</v>
      </c>
      <c r="H836" s="97" t="s">
        <v>721</v>
      </c>
      <c r="I836" s="196">
        <v>64</v>
      </c>
      <c r="J836" s="146">
        <v>64</v>
      </c>
      <c r="K836" s="143">
        <f t="shared" ref="K836:K899" si="266">SUM(P836:BBC836)</f>
        <v>64</v>
      </c>
      <c r="L836" s="144">
        <f t="shared" si="256"/>
        <v>0</v>
      </c>
      <c r="M836" s="275">
        <f t="shared" si="260"/>
        <v>192</v>
      </c>
      <c r="N836" s="98">
        <v>3</v>
      </c>
      <c r="O836" s="93">
        <f t="shared" si="259"/>
        <v>100</v>
      </c>
      <c r="CK836" s="101">
        <v>2</v>
      </c>
      <c r="CL836" s="101">
        <v>5</v>
      </c>
      <c r="CM836" s="101">
        <v>5</v>
      </c>
      <c r="CN836" s="101">
        <v>4</v>
      </c>
      <c r="CP836" s="101">
        <v>7</v>
      </c>
      <c r="CQ836" s="101">
        <v>2</v>
      </c>
      <c r="CR836" s="101">
        <v>4</v>
      </c>
      <c r="CS836" s="121">
        <v>6</v>
      </c>
      <c r="CT836" s="101">
        <v>3</v>
      </c>
      <c r="CU836" s="101">
        <v>9</v>
      </c>
      <c r="CW836" s="101">
        <v>5</v>
      </c>
      <c r="CX836" s="101">
        <v>5</v>
      </c>
      <c r="CZ836" s="101">
        <v>5</v>
      </c>
      <c r="DB836" s="101">
        <v>2</v>
      </c>
      <c r="ON836" s="100">
        <f t="shared" ref="ON836:ON899" si="267">SUM(NS836:OM836)</f>
        <v>0</v>
      </c>
    </row>
    <row r="837" spans="1:404" ht="23.25" customHeight="1">
      <c r="A837" s="97" t="str">
        <f t="shared" si="265"/>
        <v>004/COCOON-2168-61300-S3-05</v>
      </c>
      <c r="B837" s="95">
        <v>44386</v>
      </c>
      <c r="C837" s="97">
        <f t="shared" ca="1" si="255"/>
        <v>-678</v>
      </c>
      <c r="D837" s="145" t="s">
        <v>780</v>
      </c>
      <c r="E837" s="253" t="s">
        <v>234</v>
      </c>
      <c r="F837" s="98" t="str">
        <f t="shared" si="258"/>
        <v>05</v>
      </c>
      <c r="G837" s="110">
        <f ca="1">SUMIF($A:E,$A837,K:K)</f>
        <v>80</v>
      </c>
      <c r="H837" s="97" t="s">
        <v>784</v>
      </c>
      <c r="I837" s="196">
        <v>80</v>
      </c>
      <c r="J837" s="146">
        <v>80</v>
      </c>
      <c r="K837" s="143">
        <f t="shared" si="266"/>
        <v>80</v>
      </c>
      <c r="L837" s="144">
        <f t="shared" si="256"/>
        <v>0</v>
      </c>
      <c r="M837" s="275">
        <f t="shared" si="260"/>
        <v>240</v>
      </c>
      <c r="N837" s="98">
        <v>5</v>
      </c>
      <c r="O837" s="93">
        <f t="shared" si="259"/>
        <v>100</v>
      </c>
      <c r="DS837" s="100">
        <v>2</v>
      </c>
      <c r="DU837" s="100">
        <v>5</v>
      </c>
      <c r="DV837" s="100">
        <v>1</v>
      </c>
      <c r="DW837" s="100">
        <v>13</v>
      </c>
      <c r="DY837" s="100">
        <v>7</v>
      </c>
      <c r="DZ837" s="100">
        <v>10</v>
      </c>
      <c r="EA837" s="100">
        <v>4</v>
      </c>
      <c r="EC837" s="100">
        <v>4</v>
      </c>
      <c r="ED837" s="100">
        <v>7</v>
      </c>
      <c r="EF837" s="100">
        <v>4</v>
      </c>
      <c r="EG837" s="100">
        <v>13</v>
      </c>
      <c r="EH837" s="100">
        <v>10</v>
      </c>
      <c r="ON837" s="100">
        <f t="shared" si="267"/>
        <v>0</v>
      </c>
    </row>
    <row r="838" spans="1:404" ht="23.25" customHeight="1">
      <c r="A838" s="97" t="str">
        <f t="shared" si="265"/>
        <v>001/COCOON-2168-61300-S3-01</v>
      </c>
      <c r="B838" s="95">
        <v>44324</v>
      </c>
      <c r="C838" s="97">
        <f t="shared" ca="1" si="255"/>
        <v>-740</v>
      </c>
      <c r="D838" s="145" t="s">
        <v>717</v>
      </c>
      <c r="E838" s="253" t="s">
        <v>509</v>
      </c>
      <c r="F838" s="98" t="str">
        <f t="shared" ref="F838:F850" si="268">MID(E838,13,2)</f>
        <v>01</v>
      </c>
      <c r="G838" s="110">
        <f ca="1">SUMIF($A:E,$A838,K:K)</f>
        <v>160</v>
      </c>
      <c r="H838" s="97" t="s">
        <v>721</v>
      </c>
      <c r="I838" s="196">
        <v>160</v>
      </c>
      <c r="J838" s="146">
        <v>110</v>
      </c>
      <c r="K838" s="143">
        <f t="shared" si="266"/>
        <v>110</v>
      </c>
      <c r="L838" s="144">
        <f t="shared" si="256"/>
        <v>0</v>
      </c>
      <c r="M838" s="275">
        <f t="shared" si="260"/>
        <v>480</v>
      </c>
      <c r="N838" s="98">
        <v>5</v>
      </c>
      <c r="O838" s="93">
        <f t="shared" si="259"/>
        <v>100</v>
      </c>
      <c r="CW838" s="101">
        <v>6</v>
      </c>
      <c r="CX838" s="101">
        <v>5</v>
      </c>
      <c r="CZ838" s="101">
        <v>6</v>
      </c>
      <c r="DA838" s="101">
        <v>6</v>
      </c>
      <c r="DB838" s="101">
        <v>8</v>
      </c>
      <c r="DD838" s="101">
        <v>6</v>
      </c>
      <c r="DE838" s="101">
        <v>7</v>
      </c>
      <c r="DF838" s="101">
        <v>8</v>
      </c>
      <c r="DG838" s="101">
        <v>8</v>
      </c>
      <c r="DK838" s="101">
        <v>8</v>
      </c>
      <c r="DL838" s="101">
        <v>8</v>
      </c>
      <c r="DM838" s="101">
        <v>7</v>
      </c>
      <c r="DN838" s="101">
        <v>7</v>
      </c>
      <c r="DO838" s="101">
        <v>8</v>
      </c>
      <c r="DP838" s="101">
        <v>7</v>
      </c>
      <c r="DR838" s="101">
        <v>5</v>
      </c>
      <c r="ON838" s="100">
        <f t="shared" si="267"/>
        <v>0</v>
      </c>
    </row>
    <row r="839" spans="1:404" ht="23.25" customHeight="1">
      <c r="A839" s="97" t="str">
        <f t="shared" si="265"/>
        <v>001/COCOON-2168-61300-S3-01</v>
      </c>
      <c r="B839" s="95">
        <v>44324</v>
      </c>
      <c r="C839" s="97">
        <f t="shared" ca="1" si="255"/>
        <v>-740</v>
      </c>
      <c r="D839" s="145" t="s">
        <v>717</v>
      </c>
      <c r="E839" s="253" t="s">
        <v>509</v>
      </c>
      <c r="F839" s="98" t="str">
        <f t="shared" si="268"/>
        <v>01</v>
      </c>
      <c r="G839" s="110">
        <f ca="1">SUMIF($A:E,$A839,K:K)</f>
        <v>160</v>
      </c>
      <c r="H839" s="97" t="s">
        <v>721</v>
      </c>
      <c r="I839" s="196">
        <v>160</v>
      </c>
      <c r="J839" s="146">
        <f>160-J838</f>
        <v>50</v>
      </c>
      <c r="K839" s="143">
        <f t="shared" si="266"/>
        <v>50</v>
      </c>
      <c r="L839" s="144">
        <f t="shared" si="256"/>
        <v>0</v>
      </c>
      <c r="M839" s="275">
        <f t="shared" si="260"/>
        <v>480</v>
      </c>
      <c r="N839" s="98">
        <v>3</v>
      </c>
      <c r="O839" s="93">
        <f t="shared" si="259"/>
        <v>100</v>
      </c>
      <c r="DA839" s="101">
        <v>10</v>
      </c>
      <c r="DB839" s="101">
        <v>5</v>
      </c>
      <c r="DD839" s="101">
        <v>10</v>
      </c>
      <c r="DE839" s="101">
        <v>5</v>
      </c>
      <c r="DF839" s="101">
        <v>10</v>
      </c>
      <c r="DG839" s="101">
        <v>10</v>
      </c>
      <c r="ON839" s="100">
        <f t="shared" si="267"/>
        <v>0</v>
      </c>
    </row>
    <row r="840" spans="1:404" ht="23.25" customHeight="1">
      <c r="A840" s="97" t="str">
        <f t="shared" si="265"/>
        <v>004/COCOON-2168-61300-S3-01</v>
      </c>
      <c r="B840" s="126">
        <v>44386</v>
      </c>
      <c r="C840" s="127">
        <f t="shared" ca="1" si="255"/>
        <v>-678</v>
      </c>
      <c r="D840" s="152" t="s">
        <v>780</v>
      </c>
      <c r="E840" s="254" t="s">
        <v>509</v>
      </c>
      <c r="F840" s="98" t="str">
        <f t="shared" si="268"/>
        <v>01</v>
      </c>
      <c r="G840" s="110">
        <f ca="1">SUMIF($A:E,$A840,K:K)</f>
        <v>80</v>
      </c>
      <c r="H840" s="97" t="s">
        <v>784</v>
      </c>
      <c r="I840" s="156">
        <v>80</v>
      </c>
      <c r="J840" s="242">
        <v>80</v>
      </c>
      <c r="K840" s="143">
        <f t="shared" si="266"/>
        <v>80</v>
      </c>
      <c r="L840" s="151">
        <f t="shared" si="256"/>
        <v>0</v>
      </c>
      <c r="M840" s="275">
        <f t="shared" si="260"/>
        <v>240</v>
      </c>
      <c r="N840" s="132">
        <v>3</v>
      </c>
      <c r="O840" s="93">
        <f t="shared" si="259"/>
        <v>100</v>
      </c>
      <c r="DK840" s="101">
        <v>9</v>
      </c>
      <c r="DL840" s="101">
        <v>8</v>
      </c>
      <c r="DM840" s="101">
        <v>10</v>
      </c>
      <c r="DN840" s="101">
        <v>10</v>
      </c>
      <c r="DO840" s="101">
        <v>9</v>
      </c>
      <c r="DP840" s="101">
        <v>10</v>
      </c>
      <c r="DR840" s="101">
        <v>10</v>
      </c>
      <c r="DS840" s="100">
        <v>4</v>
      </c>
      <c r="DT840" s="100">
        <v>8</v>
      </c>
      <c r="DW840" s="100">
        <v>2</v>
      </c>
      <c r="ON840" s="100">
        <f t="shared" si="267"/>
        <v>0</v>
      </c>
    </row>
    <row r="841" spans="1:404" ht="23.25" customHeight="1">
      <c r="A841" s="97" t="str">
        <f>D841&amp;F841</f>
        <v>013/KHBS-21B</v>
      </c>
      <c r="B841" s="126">
        <v>44208</v>
      </c>
      <c r="C841" s="127">
        <f t="shared" ca="1" si="255"/>
        <v>-856</v>
      </c>
      <c r="D841" s="128" t="s">
        <v>655</v>
      </c>
      <c r="E841" s="129" t="s">
        <v>20</v>
      </c>
      <c r="F841" s="132" t="str">
        <f t="shared" si="268"/>
        <v>B</v>
      </c>
      <c r="G841" s="130">
        <f ca="1">SUMIF($A:E,$A841,K:K)</f>
        <v>2</v>
      </c>
      <c r="H841" s="127" t="s">
        <v>601</v>
      </c>
      <c r="I841" s="98">
        <v>1</v>
      </c>
      <c r="J841" s="99">
        <v>1</v>
      </c>
      <c r="K841" s="143">
        <f t="shared" si="266"/>
        <v>1</v>
      </c>
      <c r="L841" s="144">
        <f t="shared" si="256"/>
        <v>0</v>
      </c>
      <c r="M841" s="275">
        <f t="shared" si="260"/>
        <v>2</v>
      </c>
      <c r="N841" s="98">
        <v>2</v>
      </c>
      <c r="O841" s="93">
        <f t="shared" si="259"/>
        <v>100</v>
      </c>
      <c r="X841" s="101">
        <v>1</v>
      </c>
      <c r="ON841" s="100">
        <f t="shared" si="267"/>
        <v>0</v>
      </c>
    </row>
    <row r="842" spans="1:404" ht="23.25" customHeight="1">
      <c r="A842" s="97" t="str">
        <f t="shared" ref="A842:A843" si="269">D842&amp;E842</f>
        <v>051/KHBS-2168-61300-B2-B</v>
      </c>
      <c r="B842" s="95">
        <v>44244</v>
      </c>
      <c r="C842" s="97">
        <f t="shared" ca="1" si="255"/>
        <v>-820</v>
      </c>
      <c r="D842" s="96" t="s">
        <v>730</v>
      </c>
      <c r="E842" s="94" t="s">
        <v>20</v>
      </c>
      <c r="F842" s="98" t="str">
        <f t="shared" si="268"/>
        <v>B</v>
      </c>
      <c r="G842" s="110">
        <f ca="1">SUMIF($A:E,$A842,K:K)</f>
        <v>2</v>
      </c>
      <c r="H842" s="97" t="s">
        <v>601</v>
      </c>
      <c r="I842" s="98">
        <v>2</v>
      </c>
      <c r="J842" s="99">
        <v>2</v>
      </c>
      <c r="K842" s="143">
        <f t="shared" si="266"/>
        <v>2</v>
      </c>
      <c r="L842" s="144">
        <f t="shared" si="256"/>
        <v>0</v>
      </c>
      <c r="M842" s="275">
        <f t="shared" si="260"/>
        <v>4</v>
      </c>
      <c r="N842" s="98">
        <v>1</v>
      </c>
      <c r="O842" s="93">
        <f t="shared" si="259"/>
        <v>100</v>
      </c>
      <c r="BD842" s="101">
        <v>2</v>
      </c>
      <c r="ON842" s="100">
        <f t="shared" si="267"/>
        <v>0</v>
      </c>
    </row>
    <row r="843" spans="1:404" ht="23.25" customHeight="1">
      <c r="A843" s="97" t="str">
        <f t="shared" si="269"/>
        <v>203/KHBS-2168-61300-03-01</v>
      </c>
      <c r="B843" s="95">
        <v>44364</v>
      </c>
      <c r="C843" s="97">
        <f t="shared" ref="C843:C861" ca="1" si="270">B843-TODAY()</f>
        <v>-700</v>
      </c>
      <c r="D843" s="96" t="s">
        <v>1098</v>
      </c>
      <c r="E843" s="94" t="s">
        <v>454</v>
      </c>
      <c r="F843" s="98" t="str">
        <f t="shared" si="268"/>
        <v>01</v>
      </c>
      <c r="G843" s="110">
        <f ca="1">SUMIF($A:E,$A843,K:K)</f>
        <v>1</v>
      </c>
      <c r="H843" s="97" t="s">
        <v>518</v>
      </c>
      <c r="I843" s="98">
        <v>1</v>
      </c>
      <c r="J843" s="99">
        <v>1</v>
      </c>
      <c r="K843" s="143">
        <f t="shared" si="266"/>
        <v>1</v>
      </c>
      <c r="L843" s="144">
        <f t="shared" ref="L843:L861" si="271">J843-K843</f>
        <v>0</v>
      </c>
      <c r="M843" s="275">
        <f t="shared" si="260"/>
        <v>1</v>
      </c>
      <c r="N843" s="98">
        <v>3</v>
      </c>
      <c r="O843" s="93">
        <f t="shared" si="259"/>
        <v>100</v>
      </c>
      <c r="FD843" s="100">
        <v>1</v>
      </c>
      <c r="ON843" s="100">
        <f t="shared" si="267"/>
        <v>0</v>
      </c>
    </row>
    <row r="844" spans="1:404" ht="23.25" customHeight="1">
      <c r="A844" s="97" t="e">
        <f>D844&amp;#REF!</f>
        <v>#REF!</v>
      </c>
      <c r="B844" s="95">
        <v>44375</v>
      </c>
      <c r="C844" s="97">
        <f t="shared" ca="1" si="270"/>
        <v>-689</v>
      </c>
      <c r="D844" s="96" t="s">
        <v>1169</v>
      </c>
      <c r="E844" s="94" t="s">
        <v>196</v>
      </c>
      <c r="F844" s="98" t="str">
        <f t="shared" si="268"/>
        <v>B</v>
      </c>
      <c r="G844" s="110">
        <f ca="1">SUMIF($A:E,$A844,K:K)</f>
        <v>1754</v>
      </c>
      <c r="H844" s="97" t="s">
        <v>933</v>
      </c>
      <c r="I844" s="98">
        <v>6</v>
      </c>
      <c r="J844" s="99">
        <v>6</v>
      </c>
      <c r="K844" s="143">
        <f t="shared" si="266"/>
        <v>6</v>
      </c>
      <c r="L844" s="144">
        <f t="shared" si="271"/>
        <v>0</v>
      </c>
      <c r="M844" s="275">
        <f t="shared" si="260"/>
        <v>6</v>
      </c>
      <c r="N844" s="98">
        <v>5</v>
      </c>
      <c r="O844" s="93">
        <f t="shared" si="259"/>
        <v>100</v>
      </c>
      <c r="FM844" s="100">
        <v>6</v>
      </c>
      <c r="ON844" s="100">
        <f t="shared" si="267"/>
        <v>0</v>
      </c>
    </row>
    <row r="845" spans="1:404" ht="23.25" customHeight="1">
      <c r="A845" s="97" t="str">
        <f t="shared" ref="A845:A850" si="272">D845&amp;E845</f>
        <v>114/KHBS-2168-61300-02-01</v>
      </c>
      <c r="B845" s="95">
        <v>44280</v>
      </c>
      <c r="C845" s="97">
        <f t="shared" ca="1" si="270"/>
        <v>-784</v>
      </c>
      <c r="D845" s="96" t="s">
        <v>811</v>
      </c>
      <c r="E845" s="94" t="s">
        <v>490</v>
      </c>
      <c r="F845" s="98" t="str">
        <f t="shared" si="268"/>
        <v>01</v>
      </c>
      <c r="G845" s="110">
        <f ca="1">SUMIF($A:E,$A845,K:K)</f>
        <v>1</v>
      </c>
      <c r="H845" s="97" t="s">
        <v>512</v>
      </c>
      <c r="I845" s="98">
        <v>1</v>
      </c>
      <c r="J845" s="99">
        <v>1</v>
      </c>
      <c r="K845" s="143">
        <f t="shared" si="266"/>
        <v>1</v>
      </c>
      <c r="L845" s="144">
        <f t="shared" si="271"/>
        <v>0</v>
      </c>
      <c r="M845" s="275">
        <f t="shared" si="260"/>
        <v>1</v>
      </c>
      <c r="N845" s="98">
        <v>1</v>
      </c>
      <c r="O845" s="93">
        <f t="shared" si="259"/>
        <v>100</v>
      </c>
      <c r="BX845" s="101">
        <v>1</v>
      </c>
      <c r="ON845" s="100">
        <f t="shared" si="267"/>
        <v>0</v>
      </c>
    </row>
    <row r="846" spans="1:404" ht="23.25" customHeight="1">
      <c r="A846" s="97" t="str">
        <f t="shared" si="272"/>
        <v>001/ANNA-2168-57900-S2-A</v>
      </c>
      <c r="B846" s="95">
        <v>44395</v>
      </c>
      <c r="C846" s="97">
        <f t="shared" ca="1" si="270"/>
        <v>-669</v>
      </c>
      <c r="D846" s="159" t="s">
        <v>862</v>
      </c>
      <c r="E846" s="123" t="s">
        <v>877</v>
      </c>
      <c r="F846" s="98" t="str">
        <f t="shared" si="268"/>
        <v>A</v>
      </c>
      <c r="G846" s="110">
        <f ca="1">SUMIF($A:E,$A846,K:K)</f>
        <v>32</v>
      </c>
      <c r="H846" s="97" t="s">
        <v>882</v>
      </c>
      <c r="I846" s="175">
        <v>32</v>
      </c>
      <c r="J846" s="115">
        <v>32</v>
      </c>
      <c r="K846" s="143">
        <f t="shared" si="266"/>
        <v>32</v>
      </c>
      <c r="L846" s="144">
        <f t="shared" si="271"/>
        <v>0</v>
      </c>
      <c r="M846" s="275">
        <f t="shared" si="260"/>
        <v>64</v>
      </c>
      <c r="N846" s="98">
        <v>2</v>
      </c>
      <c r="O846" s="93">
        <f t="shared" si="259"/>
        <v>100</v>
      </c>
      <c r="EF846" s="100">
        <v>1</v>
      </c>
      <c r="EG846" s="100">
        <v>1</v>
      </c>
      <c r="EH846" s="100">
        <v>6</v>
      </c>
      <c r="EJ846" s="100">
        <v>4</v>
      </c>
      <c r="EL846" s="100">
        <v>6</v>
      </c>
      <c r="EM846" s="100">
        <v>6</v>
      </c>
      <c r="EN846" s="100">
        <v>2</v>
      </c>
      <c r="EO846" s="100">
        <v>3</v>
      </c>
      <c r="EQ846" s="100">
        <v>1</v>
      </c>
      <c r="ET846" s="100">
        <v>2</v>
      </c>
      <c r="ON846" s="100">
        <f t="shared" si="267"/>
        <v>0</v>
      </c>
    </row>
    <row r="847" spans="1:404" ht="23.25" customHeight="1">
      <c r="A847" s="97" t="str">
        <f t="shared" si="272"/>
        <v>003/ANNA-VG-21(đ7)68-57900-S2-A</v>
      </c>
      <c r="B847" s="95">
        <v>44634</v>
      </c>
      <c r="C847" s="97">
        <f t="shared" ca="1" si="270"/>
        <v>-430</v>
      </c>
      <c r="D847" s="112" t="s">
        <v>1671</v>
      </c>
      <c r="E847" s="279" t="s">
        <v>877</v>
      </c>
      <c r="F847" s="98" t="str">
        <f t="shared" si="268"/>
        <v>A</v>
      </c>
      <c r="G847" s="110">
        <f ca="1">SUMIF($A:E,$A847,K:K)</f>
        <v>24</v>
      </c>
      <c r="H847" s="112" t="s">
        <v>990</v>
      </c>
      <c r="I847" s="175">
        <v>24</v>
      </c>
      <c r="J847" s="115">
        <v>24</v>
      </c>
      <c r="K847" s="143">
        <f t="shared" si="266"/>
        <v>24</v>
      </c>
      <c r="L847" s="144">
        <f t="shared" si="271"/>
        <v>0</v>
      </c>
      <c r="M847" s="275">
        <f t="shared" si="260"/>
        <v>48</v>
      </c>
      <c r="N847" s="98" t="s">
        <v>1768</v>
      </c>
      <c r="O847" s="93">
        <f t="shared" si="259"/>
        <v>100</v>
      </c>
      <c r="MT847" s="100">
        <v>8</v>
      </c>
      <c r="MX847" s="100">
        <v>4</v>
      </c>
      <c r="NA847" s="100">
        <v>5</v>
      </c>
      <c r="ND847" s="100">
        <v>1</v>
      </c>
      <c r="NE847" s="100">
        <v>6</v>
      </c>
      <c r="ON847" s="100">
        <f t="shared" si="267"/>
        <v>0</v>
      </c>
    </row>
    <row r="848" spans="1:404" ht="23.25" customHeight="1">
      <c r="A848" s="97" t="str">
        <f t="shared" si="272"/>
        <v>001/ANNA-2168-57900-S2-39</v>
      </c>
      <c r="B848" s="95">
        <v>44403</v>
      </c>
      <c r="C848" s="97">
        <f t="shared" ca="1" si="270"/>
        <v>-661</v>
      </c>
      <c r="D848" s="159" t="s">
        <v>862</v>
      </c>
      <c r="E848" s="255" t="s">
        <v>876</v>
      </c>
      <c r="F848" s="98" t="str">
        <f t="shared" si="268"/>
        <v>39</v>
      </c>
      <c r="G848" s="110">
        <f ca="1">SUMIF($A:E,$A848,K:K)</f>
        <v>32</v>
      </c>
      <c r="H848" s="97" t="s">
        <v>881</v>
      </c>
      <c r="I848" s="175">
        <v>32</v>
      </c>
      <c r="J848" s="115">
        <v>32</v>
      </c>
      <c r="K848" s="143">
        <f t="shared" si="266"/>
        <v>32</v>
      </c>
      <c r="L848" s="144">
        <f t="shared" si="271"/>
        <v>0</v>
      </c>
      <c r="M848" s="275">
        <f t="shared" si="260"/>
        <v>64</v>
      </c>
      <c r="N848" s="98">
        <v>2</v>
      </c>
      <c r="O848" s="93">
        <f t="shared" si="259"/>
        <v>100</v>
      </c>
      <c r="EU848" s="100">
        <v>2</v>
      </c>
      <c r="EV848" s="100">
        <v>1</v>
      </c>
      <c r="EW848" s="100">
        <v>6</v>
      </c>
      <c r="EX848" s="100">
        <v>6</v>
      </c>
      <c r="EY848" s="100">
        <v>3</v>
      </c>
      <c r="FA848" s="100">
        <v>5</v>
      </c>
      <c r="FD848" s="100">
        <v>6</v>
      </c>
      <c r="FE848" s="100">
        <v>1</v>
      </c>
      <c r="FI848" s="100">
        <v>2</v>
      </c>
      <c r="ON848" s="100">
        <f t="shared" si="267"/>
        <v>0</v>
      </c>
    </row>
    <row r="849" spans="1:404" ht="23.25" customHeight="1">
      <c r="A849" s="97" t="str">
        <f t="shared" si="272"/>
        <v>003/COMERZIA-2168-57700-S3-B</v>
      </c>
      <c r="B849" s="95">
        <v>44454</v>
      </c>
      <c r="C849" s="97">
        <f t="shared" ca="1" si="270"/>
        <v>-610</v>
      </c>
      <c r="D849" s="112" t="s">
        <v>1064</v>
      </c>
      <c r="E849" s="123" t="s">
        <v>1065</v>
      </c>
      <c r="F849" s="98" t="str">
        <f t="shared" si="268"/>
        <v>B</v>
      </c>
      <c r="G849" s="110">
        <f ca="1">SUMIF($A:E,$A849,K:K)</f>
        <v>80</v>
      </c>
      <c r="H849" s="97" t="s">
        <v>616</v>
      </c>
      <c r="I849" s="175">
        <v>80</v>
      </c>
      <c r="J849" s="115">
        <v>80</v>
      </c>
      <c r="K849" s="143">
        <f t="shared" si="266"/>
        <v>80</v>
      </c>
      <c r="L849" s="144">
        <f t="shared" si="271"/>
        <v>0</v>
      </c>
      <c r="M849" s="275">
        <f t="shared" si="260"/>
        <v>240</v>
      </c>
      <c r="N849" s="98">
        <v>2</v>
      </c>
      <c r="O849" s="93">
        <f t="shared" si="259"/>
        <v>100</v>
      </c>
      <c r="HE849" s="100">
        <v>5</v>
      </c>
      <c r="HF849" s="100">
        <v>11</v>
      </c>
      <c r="HG849" s="100">
        <v>2</v>
      </c>
      <c r="HI849" s="100">
        <v>4</v>
      </c>
      <c r="HJ849" s="100">
        <v>6</v>
      </c>
      <c r="HK849" s="100">
        <v>9</v>
      </c>
      <c r="HN849" s="100">
        <v>2</v>
      </c>
      <c r="HQ849" s="100">
        <v>9</v>
      </c>
      <c r="HR849" s="100">
        <v>5</v>
      </c>
      <c r="HS849" s="100">
        <v>4</v>
      </c>
      <c r="HT849" s="100">
        <v>11</v>
      </c>
      <c r="HU849" s="100">
        <v>10</v>
      </c>
      <c r="HX849" s="100">
        <v>1</v>
      </c>
      <c r="IK849" s="100">
        <v>1</v>
      </c>
      <c r="ON849" s="100">
        <f t="shared" si="267"/>
        <v>0</v>
      </c>
    </row>
    <row r="850" spans="1:404" ht="23.25" customHeight="1">
      <c r="A850" s="97" t="str">
        <f t="shared" si="272"/>
        <v>004/COMERZIA-2168-57700-S3-B</v>
      </c>
      <c r="B850" s="95">
        <v>44503</v>
      </c>
      <c r="C850" s="97">
        <f t="shared" ca="1" si="270"/>
        <v>-561</v>
      </c>
      <c r="D850" s="112" t="s">
        <v>1067</v>
      </c>
      <c r="E850" s="123" t="s">
        <v>1065</v>
      </c>
      <c r="F850" s="98" t="str">
        <f t="shared" si="268"/>
        <v>B</v>
      </c>
      <c r="G850" s="110">
        <f ca="1">SUMIF($A:E,$A850,K:K)</f>
        <v>80</v>
      </c>
      <c r="H850" s="97" t="s">
        <v>616</v>
      </c>
      <c r="I850" s="175">
        <v>80</v>
      </c>
      <c r="J850" s="115">
        <v>80</v>
      </c>
      <c r="K850" s="143">
        <f t="shared" si="266"/>
        <v>80</v>
      </c>
      <c r="L850" s="144">
        <f t="shared" si="271"/>
        <v>0</v>
      </c>
      <c r="M850" s="275">
        <f t="shared" si="260"/>
        <v>240</v>
      </c>
      <c r="N850" s="98">
        <v>3</v>
      </c>
      <c r="O850" s="93">
        <f t="shared" si="259"/>
        <v>100</v>
      </c>
      <c r="JV850" s="100">
        <v>14</v>
      </c>
      <c r="KA850" s="100">
        <v>1</v>
      </c>
      <c r="KB850" s="100">
        <v>8</v>
      </c>
      <c r="KC850" s="100">
        <v>21</v>
      </c>
      <c r="KE850" s="100">
        <v>24</v>
      </c>
      <c r="KF850" s="100">
        <v>10</v>
      </c>
      <c r="KG850" s="100">
        <v>2</v>
      </c>
      <c r="ON850" s="100">
        <f t="shared" si="267"/>
        <v>0</v>
      </c>
    </row>
    <row r="851" spans="1:404" ht="23.25" customHeight="1">
      <c r="A851" s="97" t="e">
        <f>D851&amp;#REF!</f>
        <v>#REF!</v>
      </c>
      <c r="B851" s="95">
        <v>44551</v>
      </c>
      <c r="C851" s="97">
        <f t="shared" ca="1" si="270"/>
        <v>-513</v>
      </c>
      <c r="D851" s="96" t="s">
        <v>1187</v>
      </c>
      <c r="E851" s="94" t="s">
        <v>1065</v>
      </c>
      <c r="F851" s="98" t="str">
        <f t="shared" ref="F851:F855" si="273">MID(E851,13,2)</f>
        <v>B</v>
      </c>
      <c r="G851" s="110">
        <f ca="1">SUMIF($A:E,$A851,K:K)</f>
        <v>1754</v>
      </c>
      <c r="H851" s="97" t="s">
        <v>933</v>
      </c>
      <c r="I851" s="98">
        <v>112</v>
      </c>
      <c r="J851" s="99">
        <v>112</v>
      </c>
      <c r="K851" s="143">
        <f t="shared" si="266"/>
        <v>112</v>
      </c>
      <c r="L851" s="144">
        <f t="shared" ref="L851" si="274">J851-K851</f>
        <v>0</v>
      </c>
      <c r="M851" s="275">
        <f t="shared" si="260"/>
        <v>336</v>
      </c>
      <c r="N851" s="98">
        <v>3</v>
      </c>
      <c r="O851" s="93">
        <f t="shared" si="259"/>
        <v>100</v>
      </c>
      <c r="KG851" s="100">
        <v>6</v>
      </c>
      <c r="KI851" s="100">
        <v>5</v>
      </c>
      <c r="KN851" s="100">
        <v>5</v>
      </c>
      <c r="KP851" s="100">
        <v>5</v>
      </c>
      <c r="KQ851" s="100">
        <v>4</v>
      </c>
      <c r="KR851" s="100">
        <v>5</v>
      </c>
      <c r="KU851" s="100">
        <v>4</v>
      </c>
      <c r="KV851" s="100">
        <v>6</v>
      </c>
      <c r="KW851" s="100">
        <v>11</v>
      </c>
      <c r="KX851" s="100">
        <v>5</v>
      </c>
      <c r="KY851" s="100">
        <v>5</v>
      </c>
      <c r="LB851" s="100">
        <v>5</v>
      </c>
      <c r="LC851" s="100">
        <v>9</v>
      </c>
      <c r="LD851" s="100">
        <v>5</v>
      </c>
      <c r="LE851" s="100">
        <v>5</v>
      </c>
      <c r="LG851" s="100">
        <v>9</v>
      </c>
      <c r="LJ851" s="100">
        <v>5</v>
      </c>
      <c r="LK851" s="100">
        <v>5</v>
      </c>
      <c r="LM851" s="100">
        <v>5</v>
      </c>
      <c r="LN851" s="100">
        <v>3</v>
      </c>
      <c r="ON851" s="100">
        <f t="shared" si="267"/>
        <v>0</v>
      </c>
    </row>
    <row r="852" spans="1:404" ht="23.25" customHeight="1">
      <c r="A852" s="97" t="str">
        <f t="shared" ref="A852:A854" si="275">D852&amp;E852</f>
        <v>002/MES-2168-54500-S2-B</v>
      </c>
      <c r="B852" s="95">
        <v>44513</v>
      </c>
      <c r="C852" s="127">
        <f t="shared" ca="1" si="270"/>
        <v>-551</v>
      </c>
      <c r="D852" s="96" t="s">
        <v>986</v>
      </c>
      <c r="E852" s="94" t="s">
        <v>665</v>
      </c>
      <c r="F852" s="98" t="str">
        <f t="shared" si="273"/>
        <v>B</v>
      </c>
      <c r="G852" s="110">
        <f ca="1">SUMIF($A:E,$A852,K:K)</f>
        <v>24</v>
      </c>
      <c r="H852" s="97" t="s">
        <v>508</v>
      </c>
      <c r="I852" s="98">
        <v>24</v>
      </c>
      <c r="J852" s="99">
        <v>24</v>
      </c>
      <c r="K852" s="143">
        <f t="shared" si="266"/>
        <v>24</v>
      </c>
      <c r="L852" s="151">
        <f t="shared" si="271"/>
        <v>0</v>
      </c>
      <c r="M852" s="275">
        <f t="shared" ref="M852:M880" si="276">IF(OR(MID(E852,10,1)="0",MID(E852,10,1)="F"),I852,IF(OR(,MID(E852,10,1)="S",MID(E852,10,1)="L",MID(E852,10,1)="B",MID(E852,10,1)="X"),MID(E852,11,1)*I852,0))</f>
        <v>48</v>
      </c>
      <c r="N852" s="98">
        <v>5</v>
      </c>
      <c r="O852" s="93">
        <f t="shared" ref="O852:O854" si="277">K852/J852*100</f>
        <v>100</v>
      </c>
      <c r="HQ852" s="100">
        <v>6</v>
      </c>
      <c r="HR852" s="100">
        <v>6</v>
      </c>
      <c r="HT852" s="100">
        <v>6</v>
      </c>
      <c r="HW852" s="100">
        <v>3</v>
      </c>
      <c r="IB852" s="100">
        <v>2</v>
      </c>
      <c r="IE852" s="100">
        <v>1</v>
      </c>
      <c r="ON852" s="100">
        <f t="shared" si="267"/>
        <v>0</v>
      </c>
    </row>
    <row r="853" spans="1:404" ht="32.25" customHeight="1">
      <c r="A853" s="97" t="str">
        <f t="shared" si="275"/>
        <v>002/ANNA-2168-54500-S2-B</v>
      </c>
      <c r="B853" s="95">
        <v>44433</v>
      </c>
      <c r="C853" s="127">
        <f t="shared" ca="1" si="270"/>
        <v>-631</v>
      </c>
      <c r="D853" s="96" t="s">
        <v>991</v>
      </c>
      <c r="E853" s="94" t="s">
        <v>665</v>
      </c>
      <c r="F853" s="98" t="str">
        <f t="shared" si="273"/>
        <v>B</v>
      </c>
      <c r="G853" s="110">
        <f ca="1">SUMIF($A:E,$A853,K:K)</f>
        <v>36</v>
      </c>
      <c r="H853" s="97" t="s">
        <v>990</v>
      </c>
      <c r="I853" s="98">
        <v>36</v>
      </c>
      <c r="J853" s="97">
        <v>36</v>
      </c>
      <c r="K853" s="143">
        <f t="shared" si="266"/>
        <v>36</v>
      </c>
      <c r="L853" s="151">
        <f t="shared" si="271"/>
        <v>0</v>
      </c>
      <c r="M853" s="275">
        <f t="shared" si="276"/>
        <v>72</v>
      </c>
      <c r="N853" s="98">
        <v>5</v>
      </c>
      <c r="O853" s="93">
        <f t="shared" si="277"/>
        <v>100</v>
      </c>
      <c r="EP853" s="100">
        <v>2</v>
      </c>
      <c r="EQ853" s="100">
        <v>3</v>
      </c>
      <c r="ER853" s="100">
        <v>3</v>
      </c>
      <c r="ET853" s="100">
        <v>3</v>
      </c>
      <c r="EU853" s="100">
        <v>3</v>
      </c>
      <c r="EV853" s="100">
        <v>2</v>
      </c>
      <c r="EW853" s="100">
        <v>4</v>
      </c>
      <c r="EX853" s="100">
        <v>3</v>
      </c>
      <c r="EY853" s="100">
        <v>2</v>
      </c>
      <c r="FA853" s="100">
        <v>4</v>
      </c>
      <c r="FB853" s="100">
        <v>3</v>
      </c>
      <c r="FC853" s="100">
        <v>3</v>
      </c>
      <c r="FD853" s="100">
        <v>1</v>
      </c>
      <c r="ON853" s="100">
        <f t="shared" si="267"/>
        <v>0</v>
      </c>
    </row>
    <row r="854" spans="1:404" ht="19.5" customHeight="1">
      <c r="A854" s="97" t="str">
        <f t="shared" si="275"/>
        <v>006/BOTANICO-2168-54500-S2-B</v>
      </c>
      <c r="B854" s="95">
        <v>44642</v>
      </c>
      <c r="C854" s="127">
        <f t="shared" ca="1" si="270"/>
        <v>-422</v>
      </c>
      <c r="D854" s="112" t="s">
        <v>1511</v>
      </c>
      <c r="E854" s="123" t="s">
        <v>665</v>
      </c>
      <c r="F854" s="98" t="str">
        <f t="shared" si="273"/>
        <v>B</v>
      </c>
      <c r="G854" s="110">
        <f ca="1">SUMIF($A:E,$A854,K:K)</f>
        <v>20</v>
      </c>
      <c r="H854" s="97" t="s">
        <v>1593</v>
      </c>
      <c r="I854" s="175">
        <v>24</v>
      </c>
      <c r="J854" s="115">
        <v>24</v>
      </c>
      <c r="K854" s="143">
        <f t="shared" si="266"/>
        <v>20</v>
      </c>
      <c r="L854" s="151">
        <f t="shared" si="271"/>
        <v>4</v>
      </c>
      <c r="M854" s="275">
        <f t="shared" si="276"/>
        <v>48</v>
      </c>
      <c r="N854" s="98">
        <v>1</v>
      </c>
      <c r="O854" s="93">
        <f t="shared" si="277"/>
        <v>83.333333333333343</v>
      </c>
      <c r="OJ854" s="100">
        <v>6</v>
      </c>
      <c r="OK854" s="100">
        <v>4</v>
      </c>
      <c r="ON854" s="100">
        <f t="shared" si="267"/>
        <v>10</v>
      </c>
    </row>
    <row r="855" spans="1:404" ht="23.25" customHeight="1">
      <c r="A855" s="97" t="str">
        <f t="shared" ref="A855:A880" si="278">D855&amp;E855</f>
        <v>068/KHBS-2168-54400-S2-B2</v>
      </c>
      <c r="B855" s="95">
        <v>44252</v>
      </c>
      <c r="C855" s="97">
        <f t="shared" ca="1" si="270"/>
        <v>-812</v>
      </c>
      <c r="D855" s="96" t="s">
        <v>734</v>
      </c>
      <c r="E855" s="94" t="s">
        <v>277</v>
      </c>
      <c r="F855" s="98" t="str">
        <f t="shared" si="273"/>
        <v>B2</v>
      </c>
      <c r="G855" s="110">
        <f ca="1">SUMIF($A:E,$A855,K:K)</f>
        <v>2</v>
      </c>
      <c r="H855" s="97" t="s">
        <v>508</v>
      </c>
      <c r="I855" s="98">
        <v>2</v>
      </c>
      <c r="J855" s="99">
        <v>2</v>
      </c>
      <c r="K855" s="143">
        <f t="shared" si="266"/>
        <v>2</v>
      </c>
      <c r="L855" s="151">
        <f t="shared" si="271"/>
        <v>0</v>
      </c>
      <c r="M855" s="275">
        <f t="shared" si="276"/>
        <v>4</v>
      </c>
      <c r="N855" s="98">
        <v>2</v>
      </c>
      <c r="O855" s="93">
        <f t="shared" ref="O855:O864" si="279">K855/J855*100</f>
        <v>100</v>
      </c>
      <c r="BA855" s="101">
        <v>2</v>
      </c>
      <c r="ON855" s="100">
        <f t="shared" si="267"/>
        <v>0</v>
      </c>
    </row>
    <row r="856" spans="1:404" ht="23.25" customHeight="1">
      <c r="A856" s="97" t="str">
        <f t="shared" si="278"/>
        <v>002/MES-2168-54400-S2-B</v>
      </c>
      <c r="B856" s="95">
        <v>44513</v>
      </c>
      <c r="C856" s="97">
        <f t="shared" ca="1" si="270"/>
        <v>-551</v>
      </c>
      <c r="D856" s="96" t="s">
        <v>986</v>
      </c>
      <c r="E856" s="94" t="s">
        <v>560</v>
      </c>
      <c r="F856" s="98" t="str">
        <f t="shared" ref="F856:F860" si="280">MID(E856,13,2)</f>
        <v>B</v>
      </c>
      <c r="G856" s="110">
        <f ca="1">SUMIF($A:E,$A856,K:K)</f>
        <v>36</v>
      </c>
      <c r="H856" s="97" t="s">
        <v>508</v>
      </c>
      <c r="I856" s="98">
        <v>36</v>
      </c>
      <c r="J856" s="99">
        <v>36</v>
      </c>
      <c r="K856" s="143">
        <f t="shared" si="266"/>
        <v>36</v>
      </c>
      <c r="L856" s="144">
        <f t="shared" si="271"/>
        <v>0</v>
      </c>
      <c r="M856" s="275">
        <f t="shared" si="276"/>
        <v>72</v>
      </c>
      <c r="N856" s="98">
        <v>1</v>
      </c>
      <c r="O856" s="93">
        <f t="shared" si="279"/>
        <v>100</v>
      </c>
      <c r="JB856" s="100">
        <v>1</v>
      </c>
      <c r="JF856" s="100">
        <v>2</v>
      </c>
      <c r="JG856" s="100">
        <v>3</v>
      </c>
      <c r="JH856" s="100">
        <v>6</v>
      </c>
      <c r="JI856" s="100">
        <v>3</v>
      </c>
      <c r="JJ856" s="100">
        <v>3</v>
      </c>
      <c r="JK856" s="100">
        <v>3</v>
      </c>
      <c r="JM856" s="100">
        <v>6</v>
      </c>
      <c r="JN856" s="100">
        <v>2</v>
      </c>
      <c r="JO856" s="100">
        <v>4</v>
      </c>
      <c r="JU856" s="100">
        <v>3</v>
      </c>
      <c r="ON856" s="100">
        <f t="shared" si="267"/>
        <v>0</v>
      </c>
    </row>
    <row r="857" spans="1:404" ht="23.25" customHeight="1">
      <c r="A857" s="97" t="str">
        <f t="shared" si="278"/>
        <v>002/ANNA-2168-54400-S2-B</v>
      </c>
      <c r="B857" s="95">
        <v>44433</v>
      </c>
      <c r="C857" s="97">
        <f t="shared" ca="1" si="270"/>
        <v>-631</v>
      </c>
      <c r="D857" s="96" t="s">
        <v>991</v>
      </c>
      <c r="E857" s="94" t="s">
        <v>560</v>
      </c>
      <c r="F857" s="98" t="str">
        <f t="shared" si="280"/>
        <v>B</v>
      </c>
      <c r="G857" s="110">
        <f ca="1">SUMIF($A:E,$A857,K:K)</f>
        <v>72</v>
      </c>
      <c r="H857" s="97" t="s">
        <v>990</v>
      </c>
      <c r="I857" s="98">
        <v>72</v>
      </c>
      <c r="J857" s="97">
        <v>72</v>
      </c>
      <c r="K857" s="143">
        <f t="shared" si="266"/>
        <v>72</v>
      </c>
      <c r="L857" s="144">
        <f t="shared" si="271"/>
        <v>0</v>
      </c>
      <c r="M857" s="275">
        <f t="shared" si="276"/>
        <v>144</v>
      </c>
      <c r="N857" s="98">
        <v>3</v>
      </c>
      <c r="O857" s="93">
        <f t="shared" si="279"/>
        <v>100</v>
      </c>
      <c r="EU857" s="100">
        <v>1</v>
      </c>
      <c r="EW857" s="100">
        <v>4</v>
      </c>
      <c r="EX857" s="100">
        <v>3</v>
      </c>
      <c r="EY857" s="100">
        <v>3</v>
      </c>
      <c r="FB857" s="100">
        <v>1</v>
      </c>
      <c r="FC857" s="100">
        <v>3</v>
      </c>
      <c r="FD857" s="100">
        <v>10</v>
      </c>
      <c r="FE857" s="100">
        <v>6</v>
      </c>
      <c r="FF857" s="100">
        <v>5</v>
      </c>
      <c r="FH857" s="100">
        <v>4</v>
      </c>
      <c r="FI857" s="100">
        <v>3</v>
      </c>
      <c r="FJ857" s="100">
        <v>2</v>
      </c>
      <c r="FK857" s="100">
        <v>2</v>
      </c>
      <c r="FL857" s="100">
        <v>2</v>
      </c>
      <c r="FO857" s="100">
        <v>7</v>
      </c>
      <c r="FS857" s="100">
        <v>12</v>
      </c>
      <c r="FT857" s="100">
        <v>2</v>
      </c>
      <c r="GC857" s="100">
        <v>1</v>
      </c>
      <c r="GG857" s="100">
        <v>1</v>
      </c>
      <c r="ON857" s="100">
        <f t="shared" si="267"/>
        <v>0</v>
      </c>
    </row>
    <row r="858" spans="1:404" ht="23.25" customHeight="1">
      <c r="A858" s="97" t="str">
        <f t="shared" si="278"/>
        <v>006/BOTANICO-2168-54400-S2-B</v>
      </c>
      <c r="B858" s="95">
        <v>44642</v>
      </c>
      <c r="C858" s="97">
        <f t="shared" ca="1" si="270"/>
        <v>-422</v>
      </c>
      <c r="D858" s="112" t="s">
        <v>1511</v>
      </c>
      <c r="E858" s="123" t="s">
        <v>560</v>
      </c>
      <c r="F858" s="98" t="str">
        <f t="shared" si="280"/>
        <v>B</v>
      </c>
      <c r="G858" s="110">
        <f ca="1">SUMIF($A:E,$A858,K:K)</f>
        <v>34</v>
      </c>
      <c r="H858" s="97" t="s">
        <v>1593</v>
      </c>
      <c r="I858" s="175">
        <v>24</v>
      </c>
      <c r="J858" s="115">
        <v>24</v>
      </c>
      <c r="K858" s="143">
        <f t="shared" si="266"/>
        <v>34</v>
      </c>
      <c r="L858" s="144">
        <f t="shared" si="271"/>
        <v>-10</v>
      </c>
      <c r="M858" s="275">
        <f t="shared" si="276"/>
        <v>48</v>
      </c>
      <c r="N858" s="98">
        <v>4</v>
      </c>
      <c r="O858" s="93">
        <f t="shared" si="279"/>
        <v>141.66666666666669</v>
      </c>
      <c r="OB858" s="100">
        <v>1</v>
      </c>
      <c r="OC858" s="100">
        <v>1</v>
      </c>
      <c r="OF858" s="100">
        <v>2</v>
      </c>
      <c r="OG858" s="100">
        <v>4</v>
      </c>
      <c r="OH858" s="100">
        <v>1</v>
      </c>
      <c r="OI858" s="100">
        <v>1</v>
      </c>
      <c r="OJ858" s="100">
        <v>4</v>
      </c>
      <c r="OK858" s="100">
        <v>3</v>
      </c>
      <c r="ON858" s="100">
        <f t="shared" si="267"/>
        <v>17</v>
      </c>
    </row>
    <row r="859" spans="1:404" ht="23.25" customHeight="1">
      <c r="A859" s="97" t="str">
        <f t="shared" si="278"/>
        <v>001/NEVE YARAK-VG-2168-54400-S2-B</v>
      </c>
      <c r="B859" s="218">
        <v>44661</v>
      </c>
      <c r="C859" s="97">
        <f t="shared" ca="1" si="270"/>
        <v>-403</v>
      </c>
      <c r="D859" s="112" t="s">
        <v>1705</v>
      </c>
      <c r="E859" s="123" t="s">
        <v>560</v>
      </c>
      <c r="F859" s="98" t="str">
        <f t="shared" si="280"/>
        <v>B</v>
      </c>
      <c r="G859" s="110">
        <f ca="1">SUMIF($A:E,$A859,K:K)</f>
        <v>0</v>
      </c>
      <c r="H859" s="97" t="s">
        <v>927</v>
      </c>
      <c r="I859" s="175">
        <v>60</v>
      </c>
      <c r="J859" s="115">
        <v>60</v>
      </c>
      <c r="K859" s="143">
        <f t="shared" si="266"/>
        <v>0</v>
      </c>
      <c r="L859" s="144">
        <f t="shared" si="271"/>
        <v>60</v>
      </c>
      <c r="M859" s="275">
        <f t="shared" si="276"/>
        <v>120</v>
      </c>
      <c r="N859" s="98">
        <v>4</v>
      </c>
      <c r="O859" s="93">
        <f t="shared" si="279"/>
        <v>0</v>
      </c>
      <c r="ON859" s="100">
        <f t="shared" si="267"/>
        <v>0</v>
      </c>
    </row>
    <row r="860" spans="1:404" ht="23.25" customHeight="1">
      <c r="A860" s="97" t="str">
        <f t="shared" si="278"/>
        <v>265/KHBS-2168-54400-S2-B</v>
      </c>
      <c r="B860" s="95">
        <v>44464</v>
      </c>
      <c r="C860" s="97">
        <f t="shared" ca="1" si="270"/>
        <v>-600</v>
      </c>
      <c r="D860" s="96" t="s">
        <v>1843</v>
      </c>
      <c r="E860" s="94" t="s">
        <v>560</v>
      </c>
      <c r="F860" s="98" t="str">
        <f t="shared" si="280"/>
        <v>B</v>
      </c>
      <c r="G860" s="110">
        <f ca="1">SUMIF($A:E,$A860,K:K)</f>
        <v>1</v>
      </c>
      <c r="H860" s="97" t="s">
        <v>1593</v>
      </c>
      <c r="I860" s="98">
        <v>1</v>
      </c>
      <c r="J860" s="99">
        <v>1</v>
      </c>
      <c r="K860" s="143">
        <f t="shared" si="266"/>
        <v>1</v>
      </c>
      <c r="L860" s="144">
        <f t="shared" ref="L860" si="281">J860-K860</f>
        <v>0</v>
      </c>
      <c r="M860" s="275">
        <f t="shared" si="276"/>
        <v>2</v>
      </c>
      <c r="N860" s="98">
        <v>1</v>
      </c>
      <c r="O860" s="93">
        <f t="shared" si="279"/>
        <v>100</v>
      </c>
      <c r="JA860" s="100">
        <v>1</v>
      </c>
      <c r="ON860" s="100">
        <f t="shared" si="267"/>
        <v>0</v>
      </c>
    </row>
    <row r="861" spans="1:404" ht="23.25" customHeight="1">
      <c r="A861" s="97" t="str">
        <f t="shared" si="278"/>
        <v>033/KHBS-2168-54400-02-B</v>
      </c>
      <c r="B861" s="95">
        <v>44220</v>
      </c>
      <c r="C861" s="97">
        <f t="shared" ca="1" si="270"/>
        <v>-844</v>
      </c>
      <c r="D861" s="96" t="s">
        <v>678</v>
      </c>
      <c r="E861" s="94" t="s">
        <v>250</v>
      </c>
      <c r="F861" s="98" t="str">
        <f t="shared" ref="F861:F865" si="282">MID(E861,13,2)</f>
        <v>B</v>
      </c>
      <c r="G861" s="110">
        <f ca="1">SUMIF($A:E,$A861,K:K)</f>
        <v>1</v>
      </c>
      <c r="H861" s="97" t="s">
        <v>508</v>
      </c>
      <c r="I861" s="98">
        <v>1</v>
      </c>
      <c r="J861" s="99">
        <v>1</v>
      </c>
      <c r="K861" s="143">
        <f t="shared" si="266"/>
        <v>1</v>
      </c>
      <c r="L861" s="144">
        <f t="shared" si="271"/>
        <v>0</v>
      </c>
      <c r="M861" s="275">
        <f t="shared" si="276"/>
        <v>1</v>
      </c>
      <c r="N861" s="98">
        <v>1</v>
      </c>
      <c r="O861" s="93">
        <f t="shared" si="279"/>
        <v>100</v>
      </c>
      <c r="AI861" s="101">
        <v>1</v>
      </c>
      <c r="ON861" s="100">
        <f t="shared" si="267"/>
        <v>0</v>
      </c>
    </row>
    <row r="862" spans="1:404" ht="23.25" customHeight="1">
      <c r="A862" s="97" t="str">
        <f t="shared" si="278"/>
        <v>002/ANNA-2168-54400-02-B</v>
      </c>
      <c r="B862" s="95">
        <v>44433</v>
      </c>
      <c r="C862" s="97">
        <f t="shared" ref="C862:C888" ca="1" si="283">B862-TODAY()</f>
        <v>-631</v>
      </c>
      <c r="D862" s="96" t="s">
        <v>991</v>
      </c>
      <c r="E862" s="94" t="s">
        <v>250</v>
      </c>
      <c r="F862" s="98" t="str">
        <f t="shared" si="282"/>
        <v>B</v>
      </c>
      <c r="G862" s="110">
        <f ca="1">SUMIF($A:E,$A862,K:K)</f>
        <v>72</v>
      </c>
      <c r="H862" s="97" t="s">
        <v>990</v>
      </c>
      <c r="I862" s="98">
        <v>72</v>
      </c>
      <c r="J862" s="97">
        <v>72</v>
      </c>
      <c r="K862" s="143">
        <f t="shared" si="266"/>
        <v>72</v>
      </c>
      <c r="L862" s="144">
        <f t="shared" ref="L862:L922" si="284">J862-K862</f>
        <v>0</v>
      </c>
      <c r="M862" s="275">
        <f t="shared" si="276"/>
        <v>72</v>
      </c>
      <c r="N862" s="98">
        <v>3</v>
      </c>
      <c r="O862" s="93">
        <f t="shared" si="279"/>
        <v>100</v>
      </c>
      <c r="ET862" s="100">
        <v>4</v>
      </c>
      <c r="EX862" s="100">
        <v>3</v>
      </c>
      <c r="EY862" s="100">
        <v>7</v>
      </c>
      <c r="FB862" s="100">
        <v>12</v>
      </c>
      <c r="FC862" s="100">
        <v>8</v>
      </c>
      <c r="FE862" s="100">
        <v>2</v>
      </c>
      <c r="FF862" s="100">
        <v>6</v>
      </c>
      <c r="FH862" s="100">
        <v>10</v>
      </c>
      <c r="FI862" s="100">
        <v>1</v>
      </c>
      <c r="FJ862" s="100">
        <v>3</v>
      </c>
      <c r="FK862" s="100">
        <v>3</v>
      </c>
      <c r="FL862" s="100">
        <v>1</v>
      </c>
      <c r="FO862" s="100">
        <v>4</v>
      </c>
      <c r="FS862" s="100">
        <v>8</v>
      </c>
      <c r="ON862" s="100">
        <f t="shared" si="267"/>
        <v>0</v>
      </c>
    </row>
    <row r="863" spans="1:404" ht="23.25" customHeight="1">
      <c r="A863" s="97" t="str">
        <f t="shared" si="278"/>
        <v>003/TK MAXX-2168-54400-02-B</v>
      </c>
      <c r="B863" s="95">
        <v>44540</v>
      </c>
      <c r="C863" s="97">
        <f t="shared" ca="1" si="283"/>
        <v>-524</v>
      </c>
      <c r="D863" s="96" t="s">
        <v>1279</v>
      </c>
      <c r="E863" s="94" t="s">
        <v>250</v>
      </c>
      <c r="F863" s="98" t="str">
        <f t="shared" si="282"/>
        <v>B</v>
      </c>
      <c r="G863" s="110">
        <f ca="1">SUMIF($A:E,$A863,K:K)</f>
        <v>348</v>
      </c>
      <c r="H863" s="97" t="s">
        <v>933</v>
      </c>
      <c r="I863" s="98">
        <v>348</v>
      </c>
      <c r="J863" s="97">
        <v>348</v>
      </c>
      <c r="K863" s="143">
        <f t="shared" si="266"/>
        <v>348</v>
      </c>
      <c r="L863" s="144">
        <f>J863-K863</f>
        <v>0</v>
      </c>
      <c r="M863" s="275">
        <f t="shared" si="276"/>
        <v>348</v>
      </c>
      <c r="N863" s="98">
        <v>1</v>
      </c>
      <c r="O863" s="93">
        <f t="shared" si="279"/>
        <v>100</v>
      </c>
      <c r="JI863" s="100">
        <v>3</v>
      </c>
      <c r="JJ863" s="100">
        <v>1</v>
      </c>
      <c r="JK863" s="100">
        <v>6</v>
      </c>
      <c r="JN863" s="100">
        <v>11</v>
      </c>
      <c r="JO863" s="100">
        <v>3</v>
      </c>
      <c r="JQ863" s="100">
        <v>6</v>
      </c>
      <c r="KP863" s="100">
        <v>22</v>
      </c>
      <c r="KQ863" s="100">
        <v>6</v>
      </c>
      <c r="KR863" s="100">
        <v>19</v>
      </c>
      <c r="KS863" s="100">
        <v>1</v>
      </c>
      <c r="KU863" s="100">
        <v>17</v>
      </c>
      <c r="KV863" s="100">
        <v>6</v>
      </c>
      <c r="KW863" s="100">
        <v>12</v>
      </c>
      <c r="KX863" s="100">
        <v>6</v>
      </c>
      <c r="KY863" s="100">
        <v>12</v>
      </c>
      <c r="KZ863" s="100">
        <v>16</v>
      </c>
      <c r="LB863" s="100">
        <v>6</v>
      </c>
      <c r="LC863" s="100">
        <v>11</v>
      </c>
      <c r="LD863" s="100">
        <v>11</v>
      </c>
      <c r="LE863" s="100">
        <v>17</v>
      </c>
      <c r="LF863" s="100">
        <v>12</v>
      </c>
      <c r="LG863" s="100">
        <v>23</v>
      </c>
      <c r="LI863" s="100">
        <v>11</v>
      </c>
      <c r="LJ863" s="100">
        <v>1</v>
      </c>
      <c r="LK863" s="100">
        <v>1</v>
      </c>
      <c r="LM863" s="100">
        <v>14</v>
      </c>
      <c r="LN863" s="100">
        <v>4</v>
      </c>
      <c r="LQ863" s="100">
        <v>28</v>
      </c>
      <c r="LR863" s="100">
        <v>13</v>
      </c>
      <c r="LS863" s="100">
        <v>9</v>
      </c>
      <c r="LT863" s="100">
        <v>40</v>
      </c>
      <c r="ON863" s="100">
        <f t="shared" si="267"/>
        <v>0</v>
      </c>
    </row>
    <row r="864" spans="1:404" ht="23.25" customHeight="1">
      <c r="A864" s="97" t="str">
        <f t="shared" si="278"/>
        <v>004/TK MAXX-2168-54400-02-B</v>
      </c>
      <c r="B864" s="95">
        <v>44536</v>
      </c>
      <c r="C864" s="97">
        <f t="shared" ca="1" si="283"/>
        <v>-528</v>
      </c>
      <c r="D864" s="96" t="s">
        <v>1292</v>
      </c>
      <c r="E864" s="94" t="s">
        <v>250</v>
      </c>
      <c r="F864" s="98" t="str">
        <f t="shared" si="282"/>
        <v>B</v>
      </c>
      <c r="G864" s="110">
        <f ca="1">SUMIF($A:E,$A864,K:K)</f>
        <v>192</v>
      </c>
      <c r="H864" s="97" t="s">
        <v>933</v>
      </c>
      <c r="I864" s="98">
        <v>192</v>
      </c>
      <c r="J864" s="98">
        <v>192</v>
      </c>
      <c r="K864" s="143">
        <f t="shared" si="266"/>
        <v>192</v>
      </c>
      <c r="L864" s="144">
        <f t="shared" si="284"/>
        <v>0</v>
      </c>
      <c r="M864" s="275">
        <f t="shared" si="276"/>
        <v>192</v>
      </c>
      <c r="N864" s="98">
        <v>1</v>
      </c>
      <c r="O864" s="93">
        <f t="shared" si="279"/>
        <v>100</v>
      </c>
      <c r="JR864" s="100">
        <v>8</v>
      </c>
      <c r="JU864" s="100">
        <v>17</v>
      </c>
      <c r="JW864" s="100">
        <v>12</v>
      </c>
      <c r="JY864" s="100">
        <v>18</v>
      </c>
      <c r="KA864" s="100">
        <v>14</v>
      </c>
      <c r="KB864" s="100">
        <v>10</v>
      </c>
      <c r="KC864" s="100">
        <v>14</v>
      </c>
      <c r="KD864" s="100">
        <v>32</v>
      </c>
      <c r="KE864" s="100">
        <v>12</v>
      </c>
      <c r="KG864" s="100">
        <v>11</v>
      </c>
      <c r="KH864" s="100">
        <v>16</v>
      </c>
      <c r="KJ864" s="100">
        <v>2</v>
      </c>
      <c r="KO864" s="100">
        <v>24</v>
      </c>
      <c r="KP864" s="100">
        <v>2</v>
      </c>
      <c r="ON864" s="100">
        <f t="shared" si="267"/>
        <v>0</v>
      </c>
    </row>
    <row r="865" spans="1:404" ht="23.25" customHeight="1">
      <c r="A865" s="97" t="str">
        <f t="shared" si="278"/>
        <v>088/KHBS-2168-54400-01-B2</v>
      </c>
      <c r="B865" s="95">
        <v>44265</v>
      </c>
      <c r="C865" s="97">
        <f t="shared" ca="1" si="283"/>
        <v>-799</v>
      </c>
      <c r="D865" s="96" t="s">
        <v>794</v>
      </c>
      <c r="E865" s="94" t="s">
        <v>799</v>
      </c>
      <c r="F865" s="98" t="str">
        <f t="shared" si="282"/>
        <v>B2</v>
      </c>
      <c r="G865" s="110">
        <f ca="1">SUMIF($A:E,$A865,K:K)</f>
        <v>1</v>
      </c>
      <c r="H865" s="97" t="s">
        <v>508</v>
      </c>
      <c r="I865" s="98">
        <v>1</v>
      </c>
      <c r="J865" s="99">
        <v>1</v>
      </c>
      <c r="K865" s="143">
        <f t="shared" si="266"/>
        <v>1</v>
      </c>
      <c r="L865" s="144">
        <f t="shared" si="284"/>
        <v>0</v>
      </c>
      <c r="M865" s="275">
        <f t="shared" si="276"/>
        <v>1</v>
      </c>
      <c r="N865" s="98">
        <v>2</v>
      </c>
      <c r="O865" s="93">
        <f t="shared" ref="O865:O916" si="285">K865/J865*100</f>
        <v>100</v>
      </c>
      <c r="BP865" s="101">
        <v>1</v>
      </c>
      <c r="ON865" s="100">
        <f t="shared" si="267"/>
        <v>0</v>
      </c>
    </row>
    <row r="866" spans="1:404" ht="23.25" customHeight="1">
      <c r="A866" s="97" t="str">
        <f t="shared" si="278"/>
        <v>002/ANNA-2168-53700-S1-B</v>
      </c>
      <c r="B866" s="95">
        <v>44433</v>
      </c>
      <c r="C866" s="97">
        <f t="shared" ca="1" si="283"/>
        <v>-631</v>
      </c>
      <c r="D866" s="96" t="s">
        <v>991</v>
      </c>
      <c r="E866" s="94" t="s">
        <v>995</v>
      </c>
      <c r="F866" s="98" t="str">
        <f t="shared" ref="F866:F880" si="286">MID(E866,13,2)</f>
        <v>B</v>
      </c>
      <c r="G866" s="110">
        <f ca="1">SUMIF($A:E,$A866,K:K)</f>
        <v>50</v>
      </c>
      <c r="H866" s="97" t="s">
        <v>990</v>
      </c>
      <c r="I866" s="98">
        <v>50</v>
      </c>
      <c r="J866" s="97">
        <v>50</v>
      </c>
      <c r="K866" s="143">
        <f t="shared" si="266"/>
        <v>50</v>
      </c>
      <c r="L866" s="144">
        <f t="shared" si="284"/>
        <v>0</v>
      </c>
      <c r="M866" s="275">
        <f t="shared" si="276"/>
        <v>50</v>
      </c>
      <c r="N866" s="98">
        <v>5</v>
      </c>
      <c r="O866" s="93">
        <f t="shared" si="285"/>
        <v>100</v>
      </c>
      <c r="FW866" s="100">
        <v>6</v>
      </c>
      <c r="FX866" s="100">
        <v>1</v>
      </c>
      <c r="FZ866" s="100">
        <v>4</v>
      </c>
      <c r="GA866" s="100">
        <v>3</v>
      </c>
      <c r="GB866" s="100">
        <v>2</v>
      </c>
      <c r="GC866" s="100">
        <v>2</v>
      </c>
      <c r="GD866" s="100">
        <v>2</v>
      </c>
      <c r="GE866" s="100">
        <v>2</v>
      </c>
      <c r="GG866" s="100">
        <v>2</v>
      </c>
      <c r="GH866" s="100">
        <v>2</v>
      </c>
      <c r="GI866" s="100">
        <v>2</v>
      </c>
      <c r="GK866" s="100">
        <v>2</v>
      </c>
      <c r="GU866" s="100">
        <v>1</v>
      </c>
      <c r="GV866" s="100">
        <v>2</v>
      </c>
      <c r="GW866" s="100">
        <v>3</v>
      </c>
      <c r="GY866" s="100">
        <v>3</v>
      </c>
      <c r="HB866" s="100">
        <v>1</v>
      </c>
      <c r="HC866" s="100">
        <v>2</v>
      </c>
      <c r="HD866" s="100">
        <v>4</v>
      </c>
      <c r="HE866" s="100">
        <v>3</v>
      </c>
      <c r="HL866" s="100">
        <v>1</v>
      </c>
      <c r="ON866" s="100">
        <f t="shared" si="267"/>
        <v>0</v>
      </c>
    </row>
    <row r="867" spans="1:404" ht="23.25" customHeight="1">
      <c r="A867" s="97" t="str">
        <f t="shared" si="278"/>
        <v>002/TORRICELLI-2168-47400-S1-B2</v>
      </c>
      <c r="B867" s="95">
        <v>44384</v>
      </c>
      <c r="C867" s="97">
        <f t="shared" ca="1" si="283"/>
        <v>-680</v>
      </c>
      <c r="D867" s="145" t="s">
        <v>765</v>
      </c>
      <c r="E867" s="145" t="s">
        <v>382</v>
      </c>
      <c r="F867" s="98" t="str">
        <f t="shared" si="286"/>
        <v>B2</v>
      </c>
      <c r="G867" s="110">
        <f ca="1">SUMIF($A:E,$A867,K:K)</f>
        <v>45</v>
      </c>
      <c r="H867" s="97" t="s">
        <v>601</v>
      </c>
      <c r="I867" s="98">
        <v>45</v>
      </c>
      <c r="J867" s="97">
        <v>45</v>
      </c>
      <c r="K867" s="143">
        <f t="shared" si="266"/>
        <v>45</v>
      </c>
      <c r="L867" s="144">
        <f t="shared" si="284"/>
        <v>0</v>
      </c>
      <c r="M867" s="275">
        <f t="shared" si="276"/>
        <v>45</v>
      </c>
      <c r="N867" s="98">
        <v>5</v>
      </c>
      <c r="O867" s="93">
        <f t="shared" si="285"/>
        <v>100</v>
      </c>
      <c r="DA867" s="101">
        <v>1</v>
      </c>
      <c r="DB867" s="101">
        <v>2</v>
      </c>
      <c r="DD867" s="101">
        <v>1</v>
      </c>
      <c r="DE867" s="101">
        <v>4</v>
      </c>
      <c r="DF867" s="101">
        <v>2</v>
      </c>
      <c r="DK867" s="101">
        <v>2</v>
      </c>
      <c r="DL867" s="101">
        <v>2</v>
      </c>
      <c r="DM867" s="101">
        <v>2</v>
      </c>
      <c r="DO867" s="101">
        <v>1</v>
      </c>
      <c r="DP867" s="101">
        <v>2</v>
      </c>
      <c r="DR867" s="101">
        <v>4</v>
      </c>
      <c r="DS867" s="100">
        <v>2</v>
      </c>
      <c r="DU867" s="100">
        <v>4</v>
      </c>
      <c r="DW867" s="100">
        <v>3</v>
      </c>
      <c r="DY867" s="100">
        <v>1</v>
      </c>
      <c r="DZ867" s="100">
        <v>1</v>
      </c>
      <c r="ED867" s="100">
        <v>2</v>
      </c>
      <c r="EF867" s="100">
        <v>5</v>
      </c>
      <c r="EG867" s="100">
        <v>2</v>
      </c>
      <c r="EI867" s="100">
        <v>2</v>
      </c>
      <c r="ON867" s="100">
        <f t="shared" si="267"/>
        <v>0</v>
      </c>
    </row>
    <row r="868" spans="1:404" ht="23.25" customHeight="1">
      <c r="A868" s="97" t="str">
        <f t="shared" si="278"/>
        <v>002/ANNA-2168-47400-S1-B</v>
      </c>
      <c r="B868" s="95">
        <v>44435</v>
      </c>
      <c r="C868" s="97">
        <f t="shared" ca="1" si="283"/>
        <v>-629</v>
      </c>
      <c r="D868" s="96" t="s">
        <v>991</v>
      </c>
      <c r="E868" s="94" t="s">
        <v>251</v>
      </c>
      <c r="F868" s="98" t="str">
        <f t="shared" si="286"/>
        <v>B</v>
      </c>
      <c r="G868" s="110">
        <f ca="1">SUMIF($A:E,$A868,K:K)</f>
        <v>288</v>
      </c>
      <c r="H868" s="97" t="s">
        <v>990</v>
      </c>
      <c r="I868" s="98">
        <v>288</v>
      </c>
      <c r="J868" s="97">
        <v>181</v>
      </c>
      <c r="K868" s="143">
        <f t="shared" si="266"/>
        <v>181</v>
      </c>
      <c r="L868" s="144">
        <f t="shared" si="284"/>
        <v>0</v>
      </c>
      <c r="M868" s="275">
        <f t="shared" si="276"/>
        <v>288</v>
      </c>
      <c r="N868" s="98">
        <v>3</v>
      </c>
      <c r="O868" s="93">
        <f t="shared" si="285"/>
        <v>100</v>
      </c>
      <c r="EU868" s="100">
        <v>3</v>
      </c>
      <c r="EV868" s="100">
        <v>3</v>
      </c>
      <c r="EX868" s="100">
        <v>2</v>
      </c>
      <c r="EY868" s="100">
        <v>3</v>
      </c>
      <c r="FD868" s="100">
        <v>8</v>
      </c>
      <c r="FH868" s="100">
        <v>7</v>
      </c>
      <c r="FI868" s="100">
        <v>4</v>
      </c>
      <c r="FL868" s="100">
        <v>2</v>
      </c>
      <c r="FO868" s="100">
        <v>6</v>
      </c>
      <c r="FV868" s="100">
        <v>2</v>
      </c>
      <c r="GA868" s="100">
        <v>4</v>
      </c>
      <c r="GC868" s="100">
        <v>14</v>
      </c>
      <c r="GG868" s="100">
        <v>6</v>
      </c>
      <c r="GH868" s="100">
        <v>3</v>
      </c>
      <c r="GO868" s="100">
        <v>5</v>
      </c>
      <c r="GS868" s="100">
        <v>7</v>
      </c>
      <c r="GU868" s="100">
        <v>3</v>
      </c>
      <c r="GV868" s="100">
        <v>9</v>
      </c>
      <c r="GW868" s="100">
        <v>2</v>
      </c>
      <c r="GX868" s="100">
        <v>2</v>
      </c>
      <c r="GY868" s="100">
        <v>3</v>
      </c>
      <c r="HF868" s="100">
        <v>11</v>
      </c>
      <c r="HI868" s="100">
        <v>7</v>
      </c>
      <c r="HJ868" s="100">
        <v>8</v>
      </c>
      <c r="HK868" s="100">
        <v>2</v>
      </c>
      <c r="HL868" s="100">
        <v>8</v>
      </c>
      <c r="HM868" s="100">
        <v>9</v>
      </c>
      <c r="HN868" s="100">
        <v>8</v>
      </c>
      <c r="HP868" s="100">
        <v>7</v>
      </c>
      <c r="HQ868" s="100">
        <v>8</v>
      </c>
      <c r="HR868" s="100">
        <v>15</v>
      </c>
      <c r="ON868" s="100">
        <f t="shared" si="267"/>
        <v>0</v>
      </c>
    </row>
    <row r="869" spans="1:404" ht="23.25" customHeight="1">
      <c r="A869" s="97" t="str">
        <f t="shared" si="278"/>
        <v>002/ANNA-2168-47400-S1-B</v>
      </c>
      <c r="B869" s="95">
        <v>44433</v>
      </c>
      <c r="C869" s="97">
        <f t="shared" ca="1" si="283"/>
        <v>-631</v>
      </c>
      <c r="D869" s="96" t="s">
        <v>991</v>
      </c>
      <c r="E869" s="94" t="s">
        <v>251</v>
      </c>
      <c r="F869" s="98" t="str">
        <f t="shared" si="286"/>
        <v>B</v>
      </c>
      <c r="G869" s="110">
        <f ca="1">SUMIF($A:E,$A869,K:K)</f>
        <v>288</v>
      </c>
      <c r="H869" s="97" t="s">
        <v>990</v>
      </c>
      <c r="I869" s="98">
        <v>288</v>
      </c>
      <c r="J869" s="97">
        <v>107</v>
      </c>
      <c r="K869" s="143">
        <f t="shared" si="266"/>
        <v>107</v>
      </c>
      <c r="L869" s="144">
        <f t="shared" si="284"/>
        <v>0</v>
      </c>
      <c r="M869" s="275">
        <f t="shared" si="276"/>
        <v>288</v>
      </c>
      <c r="N869" s="98">
        <v>5</v>
      </c>
      <c r="O869" s="93">
        <f t="shared" si="285"/>
        <v>100</v>
      </c>
      <c r="EJ869" s="100">
        <v>2</v>
      </c>
      <c r="EK869" s="100">
        <v>2</v>
      </c>
      <c r="EM869" s="100">
        <v>3</v>
      </c>
      <c r="EN869" s="100">
        <v>3</v>
      </c>
      <c r="EO869" s="100">
        <v>2</v>
      </c>
      <c r="EP869" s="100">
        <v>2</v>
      </c>
      <c r="EQ869" s="100">
        <v>2</v>
      </c>
      <c r="ER869" s="100">
        <v>2</v>
      </c>
      <c r="ET869" s="100">
        <v>2</v>
      </c>
      <c r="EU869" s="100">
        <v>2</v>
      </c>
      <c r="EV869" s="100">
        <v>2</v>
      </c>
      <c r="EW869" s="100">
        <v>2</v>
      </c>
      <c r="FA869" s="100">
        <v>3</v>
      </c>
      <c r="FB869" s="100">
        <v>2</v>
      </c>
      <c r="FC869" s="100">
        <v>2</v>
      </c>
      <c r="FD869" s="100">
        <v>2</v>
      </c>
      <c r="FE869" s="100">
        <v>2</v>
      </c>
      <c r="FI869" s="100">
        <v>5</v>
      </c>
      <c r="FJ869" s="100">
        <v>3</v>
      </c>
      <c r="FK869" s="100">
        <v>2</v>
      </c>
      <c r="FL869" s="100">
        <v>2</v>
      </c>
      <c r="FO869" s="100">
        <v>4</v>
      </c>
      <c r="FP869" s="100">
        <v>2</v>
      </c>
      <c r="FQ869" s="100">
        <v>2</v>
      </c>
      <c r="FV869" s="100">
        <v>9</v>
      </c>
      <c r="FW869" s="100">
        <v>3</v>
      </c>
      <c r="FX869" s="100">
        <v>1</v>
      </c>
      <c r="FZ869" s="100">
        <v>4</v>
      </c>
      <c r="GA869" s="100">
        <v>2</v>
      </c>
      <c r="GB869" s="100">
        <v>2</v>
      </c>
      <c r="GC869" s="100">
        <v>2</v>
      </c>
      <c r="GD869" s="100">
        <v>1</v>
      </c>
      <c r="GE869" s="100">
        <v>2</v>
      </c>
      <c r="GG869" s="100">
        <v>3</v>
      </c>
      <c r="GH869" s="100">
        <v>2</v>
      </c>
      <c r="GI869" s="100">
        <v>2</v>
      </c>
      <c r="GK869" s="100">
        <v>2</v>
      </c>
      <c r="GR869" s="100">
        <v>4</v>
      </c>
      <c r="GW869" s="100">
        <v>3</v>
      </c>
      <c r="GY869" s="100">
        <v>8</v>
      </c>
      <c r="ON869" s="100">
        <f t="shared" si="267"/>
        <v>0</v>
      </c>
    </row>
    <row r="870" spans="1:404" ht="23.25" customHeight="1">
      <c r="A870" s="97" t="str">
        <f t="shared" si="278"/>
        <v>001/HANKKIJA-2168-47400-S1-B</v>
      </c>
      <c r="B870" s="95">
        <v>44478</v>
      </c>
      <c r="C870" s="97">
        <f t="shared" ca="1" si="283"/>
        <v>-586</v>
      </c>
      <c r="D870" s="112" t="s">
        <v>1041</v>
      </c>
      <c r="E870" s="123" t="s">
        <v>251</v>
      </c>
      <c r="F870" s="98" t="str">
        <f t="shared" si="286"/>
        <v>B</v>
      </c>
      <c r="G870" s="110">
        <f ca="1">SUMIF($A:E,$A870,K:K)</f>
        <v>45</v>
      </c>
      <c r="H870" s="97" t="s">
        <v>601</v>
      </c>
      <c r="I870" s="98">
        <v>45</v>
      </c>
      <c r="J870" s="97">
        <v>45</v>
      </c>
      <c r="K870" s="143">
        <f t="shared" si="266"/>
        <v>45</v>
      </c>
      <c r="L870" s="144">
        <f t="shared" si="284"/>
        <v>0</v>
      </c>
      <c r="M870" s="275">
        <f t="shared" si="276"/>
        <v>45</v>
      </c>
      <c r="N870" s="98">
        <v>2</v>
      </c>
      <c r="O870" s="93">
        <f t="shared" si="285"/>
        <v>100</v>
      </c>
      <c r="HK870" s="100">
        <v>6</v>
      </c>
      <c r="HS870" s="100">
        <v>5</v>
      </c>
      <c r="HW870" s="100">
        <v>4</v>
      </c>
      <c r="IE870" s="100">
        <v>4</v>
      </c>
      <c r="IH870" s="100">
        <v>6</v>
      </c>
      <c r="IS870" s="100">
        <v>4</v>
      </c>
      <c r="IZ870" s="100">
        <v>8</v>
      </c>
      <c r="JA870" s="100">
        <v>8</v>
      </c>
      <c r="ON870" s="100">
        <f t="shared" si="267"/>
        <v>0</v>
      </c>
    </row>
    <row r="871" spans="1:404" ht="23.25" customHeight="1">
      <c r="A871" s="97" t="str">
        <f t="shared" si="278"/>
        <v>002/TORRICELLI-2168-47300-S1-B2</v>
      </c>
      <c r="B871" s="95">
        <v>44384</v>
      </c>
      <c r="C871" s="97">
        <f t="shared" ca="1" si="283"/>
        <v>-680</v>
      </c>
      <c r="D871" s="145" t="s">
        <v>765</v>
      </c>
      <c r="E871" s="145" t="s">
        <v>372</v>
      </c>
      <c r="F871" s="98" t="str">
        <f t="shared" si="286"/>
        <v>B2</v>
      </c>
      <c r="G871" s="110">
        <f ca="1">SUMIF($A:E,$A871,K:K)</f>
        <v>12</v>
      </c>
      <c r="H871" s="97" t="s">
        <v>601</v>
      </c>
      <c r="I871" s="98">
        <v>12</v>
      </c>
      <c r="J871" s="97">
        <v>12</v>
      </c>
      <c r="K871" s="143">
        <f t="shared" si="266"/>
        <v>12</v>
      </c>
      <c r="L871" s="151">
        <f t="shared" si="284"/>
        <v>0</v>
      </c>
      <c r="M871" s="275">
        <f t="shared" si="276"/>
        <v>12</v>
      </c>
      <c r="N871" s="98">
        <v>2</v>
      </c>
      <c r="O871" s="93">
        <f t="shared" si="285"/>
        <v>100</v>
      </c>
      <c r="DB871" s="101">
        <v>2</v>
      </c>
      <c r="DL871" s="101">
        <v>2</v>
      </c>
      <c r="DM871" s="101">
        <v>2</v>
      </c>
      <c r="DR871" s="101">
        <v>4</v>
      </c>
      <c r="ED871" s="100">
        <v>2</v>
      </c>
      <c r="ON871" s="100">
        <f t="shared" si="267"/>
        <v>0</v>
      </c>
    </row>
    <row r="872" spans="1:404" ht="23.25" customHeight="1">
      <c r="A872" s="97" t="str">
        <f t="shared" si="278"/>
        <v>002/ANNA-2168-47300-S1-B</v>
      </c>
      <c r="B872" s="95">
        <v>44433</v>
      </c>
      <c r="C872" s="97">
        <f t="shared" ca="1" si="283"/>
        <v>-631</v>
      </c>
      <c r="D872" s="96" t="s">
        <v>991</v>
      </c>
      <c r="E872" s="94" t="s">
        <v>994</v>
      </c>
      <c r="F872" s="98" t="str">
        <f t="shared" si="286"/>
        <v>B</v>
      </c>
      <c r="G872" s="110">
        <f ca="1">SUMIF($A:E,$A872,K:K)</f>
        <v>48</v>
      </c>
      <c r="H872" s="97" t="s">
        <v>990</v>
      </c>
      <c r="I872" s="98">
        <v>48</v>
      </c>
      <c r="J872" s="97">
        <v>48</v>
      </c>
      <c r="K872" s="143">
        <f t="shared" si="266"/>
        <v>48</v>
      </c>
      <c r="L872" s="144">
        <f t="shared" si="284"/>
        <v>0</v>
      </c>
      <c r="M872" s="275">
        <f t="shared" si="276"/>
        <v>48</v>
      </c>
      <c r="N872" s="98">
        <v>1</v>
      </c>
      <c r="O872" s="93">
        <f t="shared" si="285"/>
        <v>100</v>
      </c>
      <c r="ER872" s="100">
        <v>3</v>
      </c>
      <c r="EU872" s="100">
        <v>8</v>
      </c>
      <c r="EY872" s="100">
        <v>4</v>
      </c>
      <c r="FD872" s="100">
        <v>1</v>
      </c>
      <c r="FF872" s="100">
        <v>6</v>
      </c>
      <c r="FJ872" s="100">
        <v>3</v>
      </c>
      <c r="FO872" s="100">
        <v>5</v>
      </c>
      <c r="FP872" s="100">
        <v>4</v>
      </c>
      <c r="FZ872" s="100">
        <v>3</v>
      </c>
      <c r="GO872" s="100">
        <v>8</v>
      </c>
      <c r="GV872" s="100">
        <v>3</v>
      </c>
      <c r="ON872" s="100">
        <f t="shared" si="267"/>
        <v>0</v>
      </c>
    </row>
    <row r="873" spans="1:404" ht="23.25" customHeight="1">
      <c r="A873" s="97" t="str">
        <f t="shared" si="278"/>
        <v>068/KHBS-2168-18600-S1-B2</v>
      </c>
      <c r="B873" s="95">
        <v>44252</v>
      </c>
      <c r="C873" s="97">
        <f t="shared" ca="1" si="283"/>
        <v>-812</v>
      </c>
      <c r="D873" s="96" t="s">
        <v>734</v>
      </c>
      <c r="E873" s="94" t="s">
        <v>381</v>
      </c>
      <c r="F873" s="98" t="str">
        <f t="shared" si="286"/>
        <v>B2</v>
      </c>
      <c r="G873" s="110">
        <f ca="1">SUMIF($A:E,$A873,K:K)</f>
        <v>2</v>
      </c>
      <c r="H873" s="97" t="s">
        <v>508</v>
      </c>
      <c r="I873" s="98">
        <v>2</v>
      </c>
      <c r="J873" s="99">
        <v>2</v>
      </c>
      <c r="K873" s="143">
        <f t="shared" si="266"/>
        <v>2</v>
      </c>
      <c r="L873" s="144">
        <f t="shared" si="284"/>
        <v>0</v>
      </c>
      <c r="M873" s="275">
        <f t="shared" si="276"/>
        <v>2</v>
      </c>
      <c r="N873" s="98">
        <v>2</v>
      </c>
      <c r="O873" s="93">
        <f t="shared" si="285"/>
        <v>100</v>
      </c>
      <c r="BC873" s="101">
        <v>2</v>
      </c>
      <c r="ON873" s="100">
        <f t="shared" si="267"/>
        <v>0</v>
      </c>
    </row>
    <row r="874" spans="1:404" ht="23.25" customHeight="1">
      <c r="A874" s="97" t="str">
        <f t="shared" si="278"/>
        <v>002/TORRICELLI-2168-18600-S1-B2</v>
      </c>
      <c r="B874" s="95">
        <v>44384</v>
      </c>
      <c r="C874" s="97">
        <f t="shared" ca="1" si="283"/>
        <v>-680</v>
      </c>
      <c r="D874" s="145" t="s">
        <v>765</v>
      </c>
      <c r="E874" s="145" t="s">
        <v>381</v>
      </c>
      <c r="F874" s="98" t="str">
        <f t="shared" si="286"/>
        <v>B2</v>
      </c>
      <c r="G874" s="110">
        <f ca="1">SUMIF($A:E,$A874,K:K)</f>
        <v>24</v>
      </c>
      <c r="H874" s="97" t="s">
        <v>601</v>
      </c>
      <c r="I874" s="98">
        <v>24</v>
      </c>
      <c r="J874" s="97">
        <v>24</v>
      </c>
      <c r="K874" s="143">
        <f t="shared" si="266"/>
        <v>24</v>
      </c>
      <c r="L874" s="144">
        <f t="shared" si="284"/>
        <v>0</v>
      </c>
      <c r="M874" s="275">
        <f t="shared" si="276"/>
        <v>24</v>
      </c>
      <c r="N874" s="98">
        <v>3</v>
      </c>
      <c r="O874" s="93">
        <f t="shared" si="285"/>
        <v>100</v>
      </c>
      <c r="DB874" s="101">
        <v>1</v>
      </c>
      <c r="DE874" s="101">
        <v>5</v>
      </c>
      <c r="DF874" s="101">
        <v>4</v>
      </c>
      <c r="DG874" s="101">
        <v>2</v>
      </c>
      <c r="DN874" s="101">
        <v>2</v>
      </c>
      <c r="DP874" s="101">
        <v>4</v>
      </c>
      <c r="DU874" s="100">
        <v>3</v>
      </c>
      <c r="DW874" s="100">
        <v>2</v>
      </c>
      <c r="ED874" s="100">
        <v>1</v>
      </c>
      <c r="ON874" s="100">
        <f t="shared" si="267"/>
        <v>0</v>
      </c>
    </row>
    <row r="875" spans="1:404" ht="23.25" customHeight="1">
      <c r="A875" s="97" t="str">
        <f t="shared" si="278"/>
        <v>002/ANNA-2168-18600-S1-B</v>
      </c>
      <c r="B875" s="95">
        <v>44433</v>
      </c>
      <c r="C875" s="97">
        <f t="shared" ca="1" si="283"/>
        <v>-631</v>
      </c>
      <c r="D875" s="96" t="s">
        <v>991</v>
      </c>
      <c r="E875" s="94" t="s">
        <v>993</v>
      </c>
      <c r="F875" s="98" t="str">
        <f t="shared" si="286"/>
        <v>B</v>
      </c>
      <c r="G875" s="110">
        <f ca="1">SUMIF($A:E,$A875,K:K)</f>
        <v>120</v>
      </c>
      <c r="H875" s="97" t="s">
        <v>990</v>
      </c>
      <c r="I875" s="98">
        <v>120</v>
      </c>
      <c r="J875" s="97">
        <v>120</v>
      </c>
      <c r="K875" s="143">
        <f t="shared" si="266"/>
        <v>120</v>
      </c>
      <c r="L875" s="144">
        <f t="shared" si="284"/>
        <v>0</v>
      </c>
      <c r="M875" s="275">
        <f t="shared" si="276"/>
        <v>120</v>
      </c>
      <c r="N875" s="98">
        <v>2</v>
      </c>
      <c r="O875" s="93">
        <f t="shared" si="285"/>
        <v>100</v>
      </c>
      <c r="EK875" s="100">
        <v>2</v>
      </c>
      <c r="EN875" s="100">
        <v>4</v>
      </c>
      <c r="EO875" s="100">
        <v>4</v>
      </c>
      <c r="EP875" s="100">
        <v>2</v>
      </c>
      <c r="ER875" s="100">
        <v>1</v>
      </c>
      <c r="ET875" s="100">
        <v>2</v>
      </c>
      <c r="EU875" s="100">
        <v>2</v>
      </c>
      <c r="EX875" s="100">
        <v>5</v>
      </c>
      <c r="EY875" s="100">
        <v>8</v>
      </c>
      <c r="FB875" s="100">
        <v>2</v>
      </c>
      <c r="FD875" s="100">
        <v>2</v>
      </c>
      <c r="FE875" s="100">
        <v>2</v>
      </c>
      <c r="FK875" s="100">
        <v>6</v>
      </c>
      <c r="FL875" s="100">
        <v>2</v>
      </c>
      <c r="FP875" s="100">
        <v>10</v>
      </c>
      <c r="FQ875" s="100">
        <v>4</v>
      </c>
      <c r="FV875" s="100">
        <v>6</v>
      </c>
      <c r="FW875" s="100">
        <v>1</v>
      </c>
      <c r="FX875" s="100">
        <v>1</v>
      </c>
      <c r="GA875" s="100">
        <v>1</v>
      </c>
      <c r="GC875" s="100">
        <v>9</v>
      </c>
      <c r="GH875" s="100">
        <v>2</v>
      </c>
      <c r="GK875" s="100">
        <v>7</v>
      </c>
      <c r="GR875" s="100">
        <v>1</v>
      </c>
      <c r="GU875" s="100">
        <v>5</v>
      </c>
      <c r="GW875" s="100">
        <v>1</v>
      </c>
      <c r="GY875" s="100">
        <v>5</v>
      </c>
      <c r="GZ875" s="100">
        <v>6</v>
      </c>
      <c r="HE875" s="100">
        <v>7</v>
      </c>
      <c r="HG875" s="100">
        <v>2</v>
      </c>
      <c r="HQ875" s="100">
        <v>7</v>
      </c>
      <c r="HR875" s="100">
        <v>1</v>
      </c>
      <c r="ON875" s="100">
        <f t="shared" si="267"/>
        <v>0</v>
      </c>
    </row>
    <row r="876" spans="1:404" ht="23.25" customHeight="1">
      <c r="A876" s="97" t="str">
        <f t="shared" si="278"/>
        <v>006/BOTANICO-2168-18600-S1-B</v>
      </c>
      <c r="B876" s="95">
        <v>44642</v>
      </c>
      <c r="C876" s="97">
        <f t="shared" ca="1" si="283"/>
        <v>-422</v>
      </c>
      <c r="D876" s="112" t="s">
        <v>1511</v>
      </c>
      <c r="E876" s="123" t="s">
        <v>993</v>
      </c>
      <c r="F876" s="98" t="str">
        <f t="shared" si="286"/>
        <v>B</v>
      </c>
      <c r="G876" s="110">
        <f ca="1">SUMIF($A:E,$A876,K:K)</f>
        <v>38</v>
      </c>
      <c r="H876" s="97" t="s">
        <v>1593</v>
      </c>
      <c r="I876" s="175">
        <v>24</v>
      </c>
      <c r="J876" s="115">
        <v>24</v>
      </c>
      <c r="K876" s="143">
        <f t="shared" si="266"/>
        <v>38</v>
      </c>
      <c r="L876" s="144">
        <f t="shared" si="284"/>
        <v>-14</v>
      </c>
      <c r="M876" s="275">
        <f t="shared" si="276"/>
        <v>24</v>
      </c>
      <c r="N876" s="98">
        <v>4</v>
      </c>
      <c r="O876" s="93">
        <f t="shared" si="285"/>
        <v>158.33333333333331</v>
      </c>
      <c r="OC876" s="100">
        <v>5</v>
      </c>
      <c r="OF876" s="100">
        <v>2</v>
      </c>
      <c r="OG876" s="100">
        <v>4</v>
      </c>
      <c r="OI876" s="100">
        <v>3</v>
      </c>
      <c r="OJ876" s="100">
        <v>4</v>
      </c>
      <c r="OK876" s="100">
        <v>1</v>
      </c>
      <c r="ON876" s="100">
        <f t="shared" si="267"/>
        <v>19</v>
      </c>
    </row>
    <row r="877" spans="1:404" ht="23.25" customHeight="1">
      <c r="A877" s="97" t="str">
        <f t="shared" si="278"/>
        <v>262/KHBS-2168-18600-S1-B</v>
      </c>
      <c r="B877" s="95">
        <v>44454</v>
      </c>
      <c r="C877" s="97">
        <f t="shared" ca="1" si="283"/>
        <v>-610</v>
      </c>
      <c r="D877" s="96" t="s">
        <v>1827</v>
      </c>
      <c r="E877" s="94" t="s">
        <v>993</v>
      </c>
      <c r="F877" s="98" t="str">
        <f t="shared" si="286"/>
        <v>B</v>
      </c>
      <c r="G877" s="110">
        <f ca="1">SUMIF($A:E,$A877,K:K)</f>
        <v>1</v>
      </c>
      <c r="H877" s="97" t="s">
        <v>1828</v>
      </c>
      <c r="I877" s="98">
        <v>1</v>
      </c>
      <c r="J877" s="99">
        <v>1</v>
      </c>
      <c r="K877" s="143">
        <f t="shared" si="266"/>
        <v>1</v>
      </c>
      <c r="L877" s="144">
        <f t="shared" si="284"/>
        <v>0</v>
      </c>
      <c r="M877" s="275">
        <f t="shared" si="276"/>
        <v>1</v>
      </c>
      <c r="N877" s="98">
        <v>2</v>
      </c>
      <c r="O877" s="93">
        <f t="shared" si="285"/>
        <v>100</v>
      </c>
      <c r="IO877" s="100">
        <v>1</v>
      </c>
      <c r="ON877" s="100">
        <f t="shared" si="267"/>
        <v>0</v>
      </c>
    </row>
    <row r="878" spans="1:404" ht="23.25" customHeight="1">
      <c r="A878" s="97" t="str">
        <f t="shared" si="278"/>
        <v>002/ANNA-2168-13800-S1-B</v>
      </c>
      <c r="B878" s="95">
        <v>44433</v>
      </c>
      <c r="C878" s="97">
        <f t="shared" ca="1" si="283"/>
        <v>-631</v>
      </c>
      <c r="D878" s="96" t="s">
        <v>991</v>
      </c>
      <c r="E878" s="94" t="s">
        <v>553</v>
      </c>
      <c r="F878" s="132" t="str">
        <f t="shared" si="286"/>
        <v>B</v>
      </c>
      <c r="G878" s="130">
        <f ca="1">SUMIF($A:E,$A878,K:K)</f>
        <v>156</v>
      </c>
      <c r="H878" s="97" t="s">
        <v>990</v>
      </c>
      <c r="I878" s="98">
        <v>156</v>
      </c>
      <c r="J878" s="97">
        <v>156</v>
      </c>
      <c r="K878" s="143">
        <f t="shared" si="266"/>
        <v>156</v>
      </c>
      <c r="L878" s="144">
        <f t="shared" si="284"/>
        <v>0</v>
      </c>
      <c r="M878" s="275">
        <f t="shared" si="276"/>
        <v>156</v>
      </c>
      <c r="N878" s="98">
        <v>5</v>
      </c>
      <c r="O878" s="93">
        <f t="shared" si="285"/>
        <v>100</v>
      </c>
      <c r="FW878" s="100">
        <v>12</v>
      </c>
      <c r="FX878" s="100">
        <v>4</v>
      </c>
      <c r="FZ878" s="100">
        <v>3</v>
      </c>
      <c r="GA878" s="100">
        <v>5</v>
      </c>
      <c r="GB878" s="100">
        <v>4</v>
      </c>
      <c r="GC878" s="100">
        <v>4</v>
      </c>
      <c r="GD878" s="100">
        <v>4</v>
      </c>
      <c r="GE878" s="100">
        <v>4</v>
      </c>
      <c r="GG878" s="100">
        <v>4</v>
      </c>
      <c r="GH878" s="100">
        <v>4</v>
      </c>
      <c r="GI878" s="100">
        <v>4</v>
      </c>
      <c r="GK878" s="100">
        <v>4</v>
      </c>
      <c r="GU878" s="100">
        <v>4</v>
      </c>
      <c r="GV878" s="100">
        <v>5</v>
      </c>
      <c r="GW878" s="100">
        <v>6</v>
      </c>
      <c r="GY878" s="100">
        <v>6</v>
      </c>
      <c r="HB878" s="100">
        <v>1</v>
      </c>
      <c r="HC878" s="100">
        <v>13</v>
      </c>
      <c r="HD878" s="100">
        <v>7</v>
      </c>
      <c r="HE878" s="100">
        <v>4</v>
      </c>
      <c r="HF878" s="100">
        <v>6</v>
      </c>
      <c r="HI878" s="100">
        <v>4</v>
      </c>
      <c r="HJ878" s="100">
        <v>3</v>
      </c>
      <c r="HL878" s="100">
        <v>9</v>
      </c>
      <c r="HP878" s="100">
        <v>15</v>
      </c>
      <c r="HQ878" s="100">
        <v>3</v>
      </c>
      <c r="HR878" s="100">
        <v>14</v>
      </c>
      <c r="ON878" s="100">
        <f t="shared" si="267"/>
        <v>0</v>
      </c>
    </row>
    <row r="879" spans="1:404" ht="23.25" customHeight="1">
      <c r="A879" s="97" t="str">
        <f t="shared" si="278"/>
        <v>002/ANNA-2168-13700-S1-B</v>
      </c>
      <c r="B879" s="95">
        <v>44433</v>
      </c>
      <c r="C879" s="97">
        <f t="shared" ca="1" si="283"/>
        <v>-631</v>
      </c>
      <c r="D879" s="96" t="s">
        <v>991</v>
      </c>
      <c r="E879" s="94" t="s">
        <v>552</v>
      </c>
      <c r="F879" s="98" t="str">
        <f t="shared" si="286"/>
        <v>B</v>
      </c>
      <c r="G879" s="110">
        <f ca="1">SUMIF($A:E,$A879,K:K)</f>
        <v>144</v>
      </c>
      <c r="H879" s="97" t="s">
        <v>990</v>
      </c>
      <c r="I879" s="98">
        <v>144</v>
      </c>
      <c r="J879" s="97">
        <v>144</v>
      </c>
      <c r="K879" s="143">
        <f t="shared" si="266"/>
        <v>144</v>
      </c>
      <c r="L879" s="144">
        <f t="shared" si="284"/>
        <v>0</v>
      </c>
      <c r="M879" s="275">
        <f t="shared" si="276"/>
        <v>144</v>
      </c>
      <c r="N879" s="98">
        <v>2</v>
      </c>
      <c r="O879" s="93">
        <f t="shared" si="285"/>
        <v>100</v>
      </c>
      <c r="FB879" s="100">
        <v>7</v>
      </c>
      <c r="FC879" s="100">
        <v>2</v>
      </c>
      <c r="FD879" s="100">
        <v>4</v>
      </c>
      <c r="FE879" s="100">
        <v>10</v>
      </c>
      <c r="FH879" s="100">
        <v>5</v>
      </c>
      <c r="FJ879" s="100">
        <v>4</v>
      </c>
      <c r="FK879" s="100">
        <v>7</v>
      </c>
      <c r="FL879" s="100">
        <v>6</v>
      </c>
      <c r="FO879" s="100">
        <v>6</v>
      </c>
      <c r="FP879" s="100">
        <v>4</v>
      </c>
      <c r="FQ879" s="100">
        <v>8</v>
      </c>
      <c r="FW879" s="100">
        <v>7</v>
      </c>
      <c r="FX879" s="100">
        <v>4</v>
      </c>
      <c r="GA879" s="100">
        <v>1</v>
      </c>
      <c r="GB879" s="100">
        <v>4</v>
      </c>
      <c r="GC879" s="100">
        <v>15</v>
      </c>
      <c r="GD879" s="100">
        <v>4</v>
      </c>
      <c r="GZ879" s="100">
        <v>3</v>
      </c>
      <c r="HE879" s="100">
        <v>19</v>
      </c>
      <c r="HF879" s="100">
        <v>4</v>
      </c>
      <c r="HK879" s="100">
        <v>10</v>
      </c>
      <c r="HQ879" s="100">
        <v>4</v>
      </c>
      <c r="HR879" s="100">
        <v>5</v>
      </c>
      <c r="HS879" s="100">
        <v>1</v>
      </c>
      <c r="ON879" s="100">
        <f t="shared" si="267"/>
        <v>0</v>
      </c>
    </row>
    <row r="880" spans="1:404" ht="23.25" customHeight="1">
      <c r="A880" s="97" t="str">
        <f t="shared" si="278"/>
        <v>002/ANNA-2168-13600-S1-B</v>
      </c>
      <c r="B880" s="95">
        <v>44433</v>
      </c>
      <c r="C880" s="97">
        <f t="shared" ca="1" si="283"/>
        <v>-631</v>
      </c>
      <c r="D880" s="96" t="s">
        <v>991</v>
      </c>
      <c r="E880" s="94" t="s">
        <v>992</v>
      </c>
      <c r="F880" s="98" t="str">
        <f t="shared" si="286"/>
        <v>B</v>
      </c>
      <c r="G880" s="110">
        <f ca="1">SUMIF($A:E,$A880,K:K)</f>
        <v>81</v>
      </c>
      <c r="H880" s="97" t="s">
        <v>990</v>
      </c>
      <c r="I880" s="98">
        <v>81</v>
      </c>
      <c r="J880" s="97">
        <v>81</v>
      </c>
      <c r="K880" s="143">
        <f t="shared" si="266"/>
        <v>81</v>
      </c>
      <c r="L880" s="144">
        <f t="shared" si="284"/>
        <v>0</v>
      </c>
      <c r="M880" s="275">
        <f t="shared" si="276"/>
        <v>81</v>
      </c>
      <c r="N880" s="98">
        <v>1</v>
      </c>
      <c r="O880" s="93">
        <f t="shared" si="285"/>
        <v>100</v>
      </c>
      <c r="EN880" s="100">
        <v>3</v>
      </c>
      <c r="EO880" s="100">
        <v>1</v>
      </c>
      <c r="EQ880" s="100">
        <v>7</v>
      </c>
      <c r="EU880" s="100">
        <v>17</v>
      </c>
      <c r="EV880" s="100">
        <v>5</v>
      </c>
      <c r="EW880" s="100">
        <v>3</v>
      </c>
      <c r="EY880" s="100">
        <v>11</v>
      </c>
      <c r="FD880" s="100">
        <v>3</v>
      </c>
      <c r="FE880" s="100">
        <v>1</v>
      </c>
      <c r="FF880" s="100">
        <v>6</v>
      </c>
      <c r="FI880" s="100">
        <v>11</v>
      </c>
      <c r="FJ880" s="100">
        <v>6</v>
      </c>
      <c r="FP880" s="100">
        <v>3</v>
      </c>
      <c r="GG880" s="100">
        <v>4</v>
      </c>
      <c r="ON880" s="100">
        <f t="shared" si="267"/>
        <v>0</v>
      </c>
    </row>
    <row r="881" spans="1:404" ht="23.25" customHeight="1">
      <c r="A881" s="97" t="s">
        <v>2069</v>
      </c>
      <c r="B881" s="95">
        <v>44526</v>
      </c>
      <c r="C881" s="97">
        <f t="shared" ca="1" si="283"/>
        <v>-538</v>
      </c>
      <c r="D881" s="96" t="s">
        <v>2071</v>
      </c>
      <c r="E881" s="280" t="s">
        <v>1484</v>
      </c>
      <c r="F881" s="98" t="s">
        <v>2070</v>
      </c>
      <c r="G881" s="110">
        <v>0</v>
      </c>
      <c r="H881" s="97" t="s">
        <v>616</v>
      </c>
      <c r="I881" s="98">
        <v>36</v>
      </c>
      <c r="J881" s="97">
        <v>36</v>
      </c>
      <c r="K881" s="143">
        <f t="shared" si="266"/>
        <v>36</v>
      </c>
      <c r="L881" s="144">
        <f t="shared" ref="L881" si="287">J881-K881</f>
        <v>0</v>
      </c>
      <c r="M881" s="98"/>
      <c r="N881" s="98">
        <v>6</v>
      </c>
      <c r="O881" s="93">
        <f t="shared" si="285"/>
        <v>100</v>
      </c>
      <c r="KJ881" s="100">
        <v>2</v>
      </c>
      <c r="KP881" s="100">
        <v>6</v>
      </c>
      <c r="KU881" s="100">
        <v>8</v>
      </c>
      <c r="KX881" s="100">
        <v>4</v>
      </c>
      <c r="KY881" s="100">
        <v>2</v>
      </c>
      <c r="KZ881" s="100">
        <v>7</v>
      </c>
      <c r="LB881" s="100">
        <v>1</v>
      </c>
      <c r="LC881" s="100">
        <v>6</v>
      </c>
      <c r="ON881" s="100">
        <f t="shared" si="267"/>
        <v>0</v>
      </c>
    </row>
    <row r="882" spans="1:404" ht="33.75" customHeight="1">
      <c r="A882" s="97" t="str">
        <f t="shared" ref="A882:A888" si="288">D882&amp;E882</f>
        <v>009/CLARIUS-21 đ166-72100-S1-A1(phen)</v>
      </c>
      <c r="B882" s="95">
        <v>44526</v>
      </c>
      <c r="C882" s="97">
        <f t="shared" ca="1" si="283"/>
        <v>-538</v>
      </c>
      <c r="D882" s="96" t="s">
        <v>2071</v>
      </c>
      <c r="E882" s="280" t="s">
        <v>1475</v>
      </c>
      <c r="F882" s="98" t="str">
        <f t="shared" ref="F882:F888" si="289">MID(E882,13,2)</f>
        <v>A1</v>
      </c>
      <c r="G882" s="110">
        <f ca="1">SUMIF($A:E,$A882,K:K)</f>
        <v>36</v>
      </c>
      <c r="H882" s="112" t="s">
        <v>1491</v>
      </c>
      <c r="I882" s="98">
        <v>36</v>
      </c>
      <c r="J882" s="97">
        <v>36</v>
      </c>
      <c r="K882" s="143">
        <f t="shared" si="266"/>
        <v>36</v>
      </c>
      <c r="L882" s="144">
        <f t="shared" si="284"/>
        <v>0</v>
      </c>
      <c r="M882" s="275">
        <f t="shared" ref="M882:M890" si="290">IF(OR(MID(E882,10,1)="0",MID(E882,10,1)="F"),I882,IF(OR(,MID(E882,10,1)="S",MID(E882,10,1)="L",MID(E882,10,1)="B",MID(E882,10,1)="X"),MID(E882,11,1)*I882,0))</f>
        <v>36</v>
      </c>
      <c r="N882" s="98">
        <v>6</v>
      </c>
      <c r="O882" s="93">
        <f t="shared" si="285"/>
        <v>100</v>
      </c>
      <c r="KJ882" s="100">
        <v>2</v>
      </c>
      <c r="KP882" s="100">
        <v>6</v>
      </c>
      <c r="KU882" s="100">
        <v>8</v>
      </c>
      <c r="KX882" s="100">
        <v>4</v>
      </c>
      <c r="KY882" s="100">
        <v>2</v>
      </c>
      <c r="KZ882" s="100">
        <v>7</v>
      </c>
      <c r="LB882" s="100">
        <v>1</v>
      </c>
      <c r="LC882" s="100">
        <v>6</v>
      </c>
      <c r="ON882" s="100">
        <f t="shared" si="267"/>
        <v>0</v>
      </c>
    </row>
    <row r="883" spans="1:404" ht="23.25" customHeight="1">
      <c r="A883" s="97" t="str">
        <f t="shared" si="288"/>
        <v xml:space="preserve">	002/WESTELM-VG_SR-2166-87839-04-B</v>
      </c>
      <c r="B883" s="95">
        <v>44454</v>
      </c>
      <c r="C883" s="97">
        <f t="shared" ca="1" si="283"/>
        <v>-610</v>
      </c>
      <c r="D883" s="112" t="s">
        <v>1801</v>
      </c>
      <c r="E883" s="279" t="s">
        <v>1803</v>
      </c>
      <c r="F883" s="98" t="str">
        <f t="shared" si="289"/>
        <v>B</v>
      </c>
      <c r="G883" s="110">
        <f ca="1">SUMIF($A:E,$A883,K:K)</f>
        <v>3</v>
      </c>
      <c r="H883" s="112" t="s">
        <v>820</v>
      </c>
      <c r="I883" s="175">
        <v>3</v>
      </c>
      <c r="J883" s="115">
        <v>3</v>
      </c>
      <c r="K883" s="143">
        <f t="shared" si="266"/>
        <v>3</v>
      </c>
      <c r="L883" s="144">
        <f t="shared" si="284"/>
        <v>0</v>
      </c>
      <c r="M883" s="275">
        <f t="shared" si="290"/>
        <v>3</v>
      </c>
      <c r="N883" s="211" t="s">
        <v>1768</v>
      </c>
      <c r="O883" s="93">
        <f t="shared" si="285"/>
        <v>100</v>
      </c>
      <c r="IG883" s="100">
        <v>3</v>
      </c>
      <c r="ON883" s="100">
        <f t="shared" si="267"/>
        <v>0</v>
      </c>
    </row>
    <row r="884" spans="1:404" ht="23.25" customHeight="1">
      <c r="A884" s="97" t="str">
        <f t="shared" si="288"/>
        <v xml:space="preserve">	002/WESTELM-VG_SR-2166-87839-03-B</v>
      </c>
      <c r="B884" s="95">
        <v>44454</v>
      </c>
      <c r="C884" s="97">
        <f t="shared" ca="1" si="283"/>
        <v>-610</v>
      </c>
      <c r="D884" s="112" t="s">
        <v>1801</v>
      </c>
      <c r="E884" s="123" t="s">
        <v>1802</v>
      </c>
      <c r="F884" s="98" t="str">
        <f t="shared" si="289"/>
        <v>B</v>
      </c>
      <c r="G884" s="110">
        <f ca="1">SUMIF($A:E,$A884,K:K)</f>
        <v>3</v>
      </c>
      <c r="H884" s="112" t="s">
        <v>820</v>
      </c>
      <c r="I884" s="175">
        <v>3</v>
      </c>
      <c r="J884" s="115">
        <v>3</v>
      </c>
      <c r="K884" s="143">
        <f t="shared" si="266"/>
        <v>3</v>
      </c>
      <c r="L884" s="144">
        <f t="shared" si="284"/>
        <v>0</v>
      </c>
      <c r="M884" s="275">
        <f t="shared" si="290"/>
        <v>3</v>
      </c>
      <c r="N884" s="211">
        <v>3</v>
      </c>
      <c r="O884" s="93">
        <f t="shared" si="285"/>
        <v>100</v>
      </c>
      <c r="IL884" s="100">
        <v>3</v>
      </c>
      <c r="ON884" s="100">
        <f t="shared" si="267"/>
        <v>0</v>
      </c>
    </row>
    <row r="885" spans="1:404" ht="23.25" customHeight="1">
      <c r="A885" s="97" t="str">
        <f t="shared" si="288"/>
        <v>051-VG_SR-21(EUROMARKET)66-87600-S1-B</v>
      </c>
      <c r="B885" s="95">
        <v>44426</v>
      </c>
      <c r="C885" s="97">
        <f t="shared" ca="1" si="283"/>
        <v>-638</v>
      </c>
      <c r="D885" s="112" t="s">
        <v>1546</v>
      </c>
      <c r="E885" s="123" t="s">
        <v>1549</v>
      </c>
      <c r="F885" s="98" t="str">
        <f t="shared" si="289"/>
        <v>B</v>
      </c>
      <c r="G885" s="110">
        <f ca="1">SUMIF($A:E,$A885,K:K)</f>
        <v>5</v>
      </c>
      <c r="H885" s="112" t="s">
        <v>1550</v>
      </c>
      <c r="I885" s="98">
        <v>5</v>
      </c>
      <c r="J885" s="99">
        <v>5</v>
      </c>
      <c r="K885" s="143">
        <f t="shared" si="266"/>
        <v>5</v>
      </c>
      <c r="L885" s="144">
        <f t="shared" si="284"/>
        <v>0</v>
      </c>
      <c r="M885" s="275">
        <f t="shared" si="290"/>
        <v>5</v>
      </c>
      <c r="N885" s="98">
        <v>2</v>
      </c>
      <c r="O885" s="93">
        <f t="shared" si="285"/>
        <v>100</v>
      </c>
      <c r="HF885" s="100">
        <v>1</v>
      </c>
      <c r="HK885" s="100">
        <v>4</v>
      </c>
      <c r="ON885" s="100">
        <f t="shared" si="267"/>
        <v>0</v>
      </c>
    </row>
    <row r="886" spans="1:404" ht="23.25" customHeight="1">
      <c r="A886" s="97" t="str">
        <f t="shared" si="288"/>
        <v>053-VG_SR-21(EUROMARKET)66-87600-S1-B</v>
      </c>
      <c r="B886" s="95">
        <v>44426</v>
      </c>
      <c r="C886" s="97">
        <f t="shared" ca="1" si="283"/>
        <v>-638</v>
      </c>
      <c r="D886" s="112" t="s">
        <v>1604</v>
      </c>
      <c r="E886" s="123" t="s">
        <v>1549</v>
      </c>
      <c r="F886" s="98" t="str">
        <f t="shared" si="289"/>
        <v>B</v>
      </c>
      <c r="G886" s="110">
        <f ca="1">SUMIF($A:E,$A886,K:K)</f>
        <v>2</v>
      </c>
      <c r="H886" s="112" t="s">
        <v>1614</v>
      </c>
      <c r="I886" s="175">
        <v>2</v>
      </c>
      <c r="J886" s="115">
        <v>2</v>
      </c>
      <c r="K886" s="143">
        <f t="shared" si="266"/>
        <v>2</v>
      </c>
      <c r="L886" s="144">
        <f t="shared" si="284"/>
        <v>0</v>
      </c>
      <c r="M886" s="275">
        <f t="shared" si="290"/>
        <v>2</v>
      </c>
      <c r="N886" s="98">
        <v>2</v>
      </c>
      <c r="O886" s="93">
        <f t="shared" si="285"/>
        <v>100</v>
      </c>
      <c r="HM886" s="100">
        <v>2</v>
      </c>
      <c r="ON886" s="100">
        <f t="shared" si="267"/>
        <v>0</v>
      </c>
    </row>
    <row r="887" spans="1:404" ht="23.25" customHeight="1">
      <c r="A887" s="97" t="str">
        <f t="shared" si="288"/>
        <v>002/EUROMARKET-VG_SR-2166-87600-S1-B</v>
      </c>
      <c r="B887" s="95">
        <v>44433</v>
      </c>
      <c r="C887" s="97">
        <f t="shared" ca="1" si="283"/>
        <v>-631</v>
      </c>
      <c r="D887" s="112" t="s">
        <v>1605</v>
      </c>
      <c r="E887" s="123" t="s">
        <v>1549</v>
      </c>
      <c r="F887" s="98" t="str">
        <f t="shared" si="289"/>
        <v>B</v>
      </c>
      <c r="G887" s="110">
        <f ca="1">SUMIF($A:E,$A887,K:K)</f>
        <v>7</v>
      </c>
      <c r="H887" s="159" t="s">
        <v>1615</v>
      </c>
      <c r="I887" s="175">
        <v>7</v>
      </c>
      <c r="J887" s="115">
        <v>7</v>
      </c>
      <c r="K887" s="143">
        <f t="shared" si="266"/>
        <v>7</v>
      </c>
      <c r="L887" s="144">
        <f t="shared" si="284"/>
        <v>0</v>
      </c>
      <c r="M887" s="275">
        <f t="shared" si="290"/>
        <v>7</v>
      </c>
      <c r="N887" s="98">
        <v>2</v>
      </c>
      <c r="O887" s="93">
        <f t="shared" si="285"/>
        <v>100</v>
      </c>
      <c r="HN887" s="100">
        <v>1</v>
      </c>
      <c r="HP887" s="100">
        <v>1</v>
      </c>
      <c r="HR887" s="100">
        <v>1</v>
      </c>
      <c r="HS887" s="100">
        <v>1</v>
      </c>
      <c r="HT887" s="100">
        <v>2</v>
      </c>
      <c r="IB887" s="100">
        <v>1</v>
      </c>
      <c r="ON887" s="100">
        <f t="shared" si="267"/>
        <v>0</v>
      </c>
    </row>
    <row r="888" spans="1:404" ht="23.25" customHeight="1">
      <c r="A888" s="97" t="str">
        <f t="shared" si="288"/>
        <v>001A/EUROMARKET-VG_SR-2166-87600-S1-B</v>
      </c>
      <c r="B888" s="217">
        <v>44437</v>
      </c>
      <c r="C888" s="97">
        <f t="shared" ca="1" si="283"/>
        <v>-627</v>
      </c>
      <c r="D888" s="112" t="s">
        <v>1695</v>
      </c>
      <c r="E888" s="123" t="s">
        <v>1549</v>
      </c>
      <c r="F888" s="98" t="str">
        <f t="shared" si="289"/>
        <v>B</v>
      </c>
      <c r="G888" s="110">
        <f ca="1">SUMIF($A:E,$A888,K:K)</f>
        <v>2</v>
      </c>
      <c r="H888" s="112" t="s">
        <v>1696</v>
      </c>
      <c r="I888" s="175">
        <v>2</v>
      </c>
      <c r="J888" s="115">
        <v>2</v>
      </c>
      <c r="K888" s="143">
        <f t="shared" si="266"/>
        <v>2</v>
      </c>
      <c r="L888" s="144">
        <f t="shared" si="284"/>
        <v>0</v>
      </c>
      <c r="M888" s="275">
        <f t="shared" si="290"/>
        <v>2</v>
      </c>
      <c r="N888" s="211">
        <v>2</v>
      </c>
      <c r="O888" s="93">
        <f t="shared" si="285"/>
        <v>100</v>
      </c>
      <c r="IB888" s="100">
        <v>2</v>
      </c>
      <c r="ON888" s="100">
        <f t="shared" si="267"/>
        <v>0</v>
      </c>
    </row>
    <row r="889" spans="1:404" ht="23.25" customHeight="1">
      <c r="A889" s="97" t="s">
        <v>1938</v>
      </c>
      <c r="B889" s="95">
        <v>44520</v>
      </c>
      <c r="C889" s="97">
        <v>54</v>
      </c>
      <c r="D889" s="112" t="s">
        <v>1712</v>
      </c>
      <c r="E889" s="123" t="s">
        <v>1549</v>
      </c>
      <c r="F889" s="98" t="s">
        <v>561</v>
      </c>
      <c r="G889" s="110">
        <v>0</v>
      </c>
      <c r="H889" s="97" t="s">
        <v>1593</v>
      </c>
      <c r="I889" s="175">
        <v>582</v>
      </c>
      <c r="J889" s="115">
        <v>290</v>
      </c>
      <c r="K889" s="143">
        <f t="shared" si="266"/>
        <v>290</v>
      </c>
      <c r="L889" s="144">
        <f t="shared" ref="L889:L890" si="291">J889-K889</f>
        <v>0</v>
      </c>
      <c r="M889" s="275">
        <f t="shared" si="290"/>
        <v>582</v>
      </c>
      <c r="N889" s="98">
        <v>2</v>
      </c>
      <c r="O889" s="93">
        <f t="shared" si="285"/>
        <v>100</v>
      </c>
      <c r="IZ889" s="100">
        <v>8</v>
      </c>
      <c r="JA889" s="100">
        <v>4</v>
      </c>
      <c r="JB889" s="100">
        <v>5</v>
      </c>
      <c r="JC889" s="100">
        <v>4</v>
      </c>
      <c r="JD889" s="100">
        <v>4</v>
      </c>
      <c r="JF889" s="100">
        <v>3</v>
      </c>
      <c r="JG889" s="100">
        <v>4</v>
      </c>
      <c r="JH889" s="100">
        <v>9</v>
      </c>
      <c r="JI889" s="100">
        <v>8</v>
      </c>
      <c r="JK889" s="100">
        <v>13</v>
      </c>
      <c r="JM889" s="100">
        <v>10</v>
      </c>
      <c r="JN889" s="100">
        <v>5</v>
      </c>
      <c r="JO889" s="100">
        <v>8</v>
      </c>
      <c r="JP889" s="100">
        <v>8</v>
      </c>
      <c r="JR889" s="100">
        <v>1</v>
      </c>
      <c r="JU889" s="100">
        <v>7</v>
      </c>
      <c r="JV889" s="100">
        <v>13</v>
      </c>
      <c r="JW889" s="100">
        <v>9</v>
      </c>
      <c r="JX889" s="100">
        <v>4</v>
      </c>
      <c r="JY889" s="100">
        <v>11</v>
      </c>
      <c r="KA889" s="100">
        <v>11</v>
      </c>
      <c r="KB889" s="100">
        <v>6</v>
      </c>
      <c r="KC889" s="100">
        <v>8</v>
      </c>
      <c r="KD889" s="100">
        <v>8</v>
      </c>
      <c r="KE889" s="100">
        <v>8</v>
      </c>
      <c r="KF889" s="100">
        <v>8</v>
      </c>
      <c r="KG889" s="100">
        <v>8</v>
      </c>
      <c r="KH889" s="100">
        <v>4</v>
      </c>
      <c r="KI889" s="100">
        <v>8</v>
      </c>
      <c r="KJ889" s="100">
        <v>4</v>
      </c>
      <c r="KN889" s="100">
        <v>8</v>
      </c>
      <c r="KO889" s="100">
        <v>8</v>
      </c>
      <c r="KP889" s="100">
        <v>3</v>
      </c>
      <c r="KS889" s="100">
        <v>4</v>
      </c>
      <c r="KW889" s="100">
        <v>6</v>
      </c>
      <c r="KY889" s="100">
        <v>7</v>
      </c>
      <c r="LB889" s="100">
        <v>4</v>
      </c>
      <c r="LC889" s="100">
        <v>3</v>
      </c>
      <c r="LF889" s="100">
        <v>17</v>
      </c>
      <c r="LG889" s="100">
        <v>13</v>
      </c>
      <c r="LJ889" s="100">
        <v>3</v>
      </c>
      <c r="LK889" s="100">
        <v>3</v>
      </c>
      <c r="ON889" s="100">
        <f t="shared" si="267"/>
        <v>0</v>
      </c>
    </row>
    <row r="890" spans="1:404" ht="23.25" customHeight="1">
      <c r="A890" s="97" t="str">
        <f>D890&amp;E890</f>
        <v>011T/EUROMARKET-2166-87600-S1-B</v>
      </c>
      <c r="B890" s="95">
        <v>44520</v>
      </c>
      <c r="C890" s="97">
        <v>54</v>
      </c>
      <c r="D890" s="112" t="s">
        <v>1712</v>
      </c>
      <c r="E890" s="123" t="s">
        <v>1549</v>
      </c>
      <c r="F890" s="98" t="str">
        <f>MID(E890,13,2)</f>
        <v>B</v>
      </c>
      <c r="G890" s="110">
        <f ca="1">SUMIF($A:E,$A890,K:K)</f>
        <v>582</v>
      </c>
      <c r="H890" s="97" t="s">
        <v>1593</v>
      </c>
      <c r="I890" s="175">
        <v>582</v>
      </c>
      <c r="J890" s="115">
        <f>582-J889</f>
        <v>292</v>
      </c>
      <c r="K890" s="143">
        <f t="shared" si="266"/>
        <v>292</v>
      </c>
      <c r="L890" s="144">
        <f t="shared" si="291"/>
        <v>0</v>
      </c>
      <c r="M890" s="275">
        <f t="shared" si="290"/>
        <v>582</v>
      </c>
      <c r="N890" s="98">
        <v>1</v>
      </c>
      <c r="O890" s="93">
        <f t="shared" si="285"/>
        <v>100</v>
      </c>
      <c r="IZ890" s="100">
        <v>2</v>
      </c>
      <c r="JA890" s="100">
        <v>7</v>
      </c>
      <c r="JB890" s="100">
        <v>3</v>
      </c>
      <c r="JC890" s="100">
        <v>3</v>
      </c>
      <c r="JD890" s="100">
        <v>5</v>
      </c>
      <c r="JF890" s="100">
        <v>1</v>
      </c>
      <c r="JG890" s="100">
        <v>7</v>
      </c>
      <c r="JH890" s="100">
        <v>4</v>
      </c>
      <c r="JI890" s="100">
        <v>8</v>
      </c>
      <c r="JJ890" s="100">
        <v>6</v>
      </c>
      <c r="JK890" s="100">
        <v>7</v>
      </c>
      <c r="JM890" s="100">
        <v>12</v>
      </c>
      <c r="JN890" s="100">
        <v>12</v>
      </c>
      <c r="JO890" s="100">
        <v>7</v>
      </c>
      <c r="JP890" s="100">
        <v>7</v>
      </c>
      <c r="JQ890" s="100">
        <v>12</v>
      </c>
      <c r="JT890" s="100">
        <v>3</v>
      </c>
      <c r="JU890" s="100">
        <v>14</v>
      </c>
      <c r="JV890" s="100">
        <v>2</v>
      </c>
      <c r="JW890" s="100">
        <v>8</v>
      </c>
      <c r="JY890" s="100">
        <v>9</v>
      </c>
      <c r="KA890" s="100">
        <v>16</v>
      </c>
      <c r="KB890" s="100">
        <v>12</v>
      </c>
      <c r="KC890" s="100">
        <v>18</v>
      </c>
      <c r="KD890" s="100">
        <v>12</v>
      </c>
      <c r="KE890" s="100">
        <v>2</v>
      </c>
      <c r="KF890" s="100">
        <v>15</v>
      </c>
      <c r="KG890" s="100">
        <v>3</v>
      </c>
      <c r="KJ890" s="100">
        <v>10</v>
      </c>
      <c r="KN890" s="100">
        <v>18</v>
      </c>
      <c r="KO890" s="100">
        <v>2</v>
      </c>
      <c r="KP890" s="100">
        <v>10</v>
      </c>
      <c r="KQ890" s="100">
        <v>9</v>
      </c>
      <c r="KR890" s="100">
        <v>2</v>
      </c>
      <c r="KS890" s="100">
        <v>12</v>
      </c>
      <c r="KU890" s="100">
        <v>10</v>
      </c>
      <c r="KV890" s="100">
        <v>2</v>
      </c>
      <c r="ON890" s="100">
        <f t="shared" si="267"/>
        <v>0</v>
      </c>
    </row>
    <row r="891" spans="1:404" ht="23.25" customHeight="1">
      <c r="A891" s="97" t="s">
        <v>2117</v>
      </c>
      <c r="B891" s="95">
        <v>44558</v>
      </c>
      <c r="C891" s="97">
        <v>54</v>
      </c>
      <c r="D891" s="112" t="s">
        <v>1713</v>
      </c>
      <c r="E891" s="123" t="s">
        <v>1549</v>
      </c>
      <c r="F891" s="98" t="s">
        <v>561</v>
      </c>
      <c r="G891" s="110">
        <v>0</v>
      </c>
      <c r="H891" s="97" t="s">
        <v>1593</v>
      </c>
      <c r="I891" s="175">
        <v>424</v>
      </c>
      <c r="J891" s="115">
        <v>210</v>
      </c>
      <c r="K891" s="143">
        <f t="shared" si="266"/>
        <v>210</v>
      </c>
      <c r="L891" s="144">
        <f t="shared" ref="L891:L892" si="292">J891-K891</f>
        <v>0</v>
      </c>
      <c r="M891" s="98"/>
      <c r="N891" s="98">
        <v>1</v>
      </c>
      <c r="O891" s="93">
        <f t="shared" si="285"/>
        <v>100</v>
      </c>
      <c r="LG891" s="100">
        <f>26-9</f>
        <v>17</v>
      </c>
      <c r="LI891" s="100">
        <v>10</v>
      </c>
      <c r="LJ891" s="100">
        <v>5</v>
      </c>
      <c r="LK891" s="100">
        <v>1</v>
      </c>
      <c r="LM891" s="100">
        <v>13</v>
      </c>
      <c r="LP891" s="100">
        <v>15</v>
      </c>
      <c r="LQ891" s="100">
        <v>14</v>
      </c>
      <c r="LR891" s="100">
        <v>5</v>
      </c>
      <c r="LS891" s="100">
        <v>12</v>
      </c>
      <c r="LT891" s="100">
        <v>11</v>
      </c>
      <c r="LW891" s="100">
        <v>16</v>
      </c>
      <c r="LX891" s="100">
        <v>12</v>
      </c>
      <c r="LY891" s="100">
        <v>5</v>
      </c>
      <c r="LZ891" s="100">
        <v>10</v>
      </c>
      <c r="MB891" s="100">
        <v>10</v>
      </c>
      <c r="MD891" s="100">
        <v>10</v>
      </c>
      <c r="ME891" s="100">
        <v>22</v>
      </c>
      <c r="MF891" s="100">
        <v>10</v>
      </c>
      <c r="MG891" s="100">
        <v>12</v>
      </c>
      <c r="ON891" s="100">
        <f t="shared" si="267"/>
        <v>0</v>
      </c>
    </row>
    <row r="892" spans="1:404" ht="23.25" customHeight="1">
      <c r="A892" s="97" t="str">
        <f t="shared" ref="A892:A907" si="293">D892&amp;E892</f>
        <v>012T/EUROMARKET-2166-87600-S1-B</v>
      </c>
      <c r="B892" s="95">
        <v>44558</v>
      </c>
      <c r="C892" s="97">
        <v>54</v>
      </c>
      <c r="D892" s="112" t="s">
        <v>1713</v>
      </c>
      <c r="E892" s="123" t="s">
        <v>1549</v>
      </c>
      <c r="F892" s="98" t="str">
        <f t="shared" ref="F892:F907" si="294">MID(E892,13,2)</f>
        <v>B</v>
      </c>
      <c r="G892" s="110">
        <f ca="1">SUMIF($A:E,$A892,K:K)</f>
        <v>424</v>
      </c>
      <c r="H892" s="97" t="s">
        <v>1593</v>
      </c>
      <c r="I892" s="175">
        <v>424</v>
      </c>
      <c r="J892" s="115">
        <f>424-J891</f>
        <v>214</v>
      </c>
      <c r="K892" s="143">
        <f t="shared" si="266"/>
        <v>214</v>
      </c>
      <c r="L892" s="144">
        <f t="shared" si="292"/>
        <v>0</v>
      </c>
      <c r="M892" s="275">
        <f t="shared" ref="M892:M955" si="295">IF(OR(MID(E892,10,1)="0",MID(E892,10,1)="F"),I892,IF(OR(,MID(E892,10,1)="S",MID(E892,10,1)="L",MID(E892,10,1)="B",MID(E892,10,1)="X"),MID(E892,11,1)*I892,0))</f>
        <v>424</v>
      </c>
      <c r="N892" s="98">
        <v>2</v>
      </c>
      <c r="O892" s="93">
        <f t="shared" si="285"/>
        <v>100</v>
      </c>
      <c r="LK892" s="100">
        <v>10</v>
      </c>
      <c r="LL892" s="100">
        <v>6</v>
      </c>
      <c r="LM892" s="100">
        <v>2</v>
      </c>
      <c r="LP892" s="100">
        <v>11</v>
      </c>
      <c r="LQ892" s="100">
        <v>13</v>
      </c>
      <c r="LS892" s="100">
        <v>4</v>
      </c>
      <c r="LT892" s="100">
        <v>14</v>
      </c>
      <c r="LU892" s="100">
        <v>19</v>
      </c>
      <c r="LW892" s="100">
        <v>8</v>
      </c>
      <c r="LX892" s="100">
        <v>4</v>
      </c>
      <c r="LY892" s="100">
        <v>7</v>
      </c>
      <c r="LZ892" s="100">
        <v>9</v>
      </c>
      <c r="MA892" s="100">
        <v>8</v>
      </c>
      <c r="MB892" s="100">
        <v>8</v>
      </c>
      <c r="MD892" s="100">
        <v>9</v>
      </c>
      <c r="ME892" s="100">
        <v>4</v>
      </c>
      <c r="MF892" s="100">
        <v>7</v>
      </c>
      <c r="MG892" s="100">
        <v>8</v>
      </c>
      <c r="MH892" s="100">
        <v>7</v>
      </c>
      <c r="MK892" s="100">
        <v>7</v>
      </c>
      <c r="ML892" s="100">
        <v>8</v>
      </c>
      <c r="MM892" s="100">
        <v>6</v>
      </c>
      <c r="MN892" s="100">
        <v>12</v>
      </c>
      <c r="MO892" s="100">
        <v>16</v>
      </c>
      <c r="MQ892" s="100">
        <v>7</v>
      </c>
      <c r="ON892" s="100">
        <f t="shared" si="267"/>
        <v>0</v>
      </c>
    </row>
    <row r="893" spans="1:404" ht="23.25" customHeight="1">
      <c r="A893" s="97" t="str">
        <f t="shared" si="293"/>
        <v>051-VG_SR-21(EUROMARKET)66-87500-S1-B</v>
      </c>
      <c r="B893" s="95">
        <v>44426</v>
      </c>
      <c r="C893" s="97">
        <f t="shared" ref="C893:C907" ca="1" si="296">B893-TODAY()</f>
        <v>-638</v>
      </c>
      <c r="D893" s="112" t="s">
        <v>1546</v>
      </c>
      <c r="E893" s="123" t="s">
        <v>1548</v>
      </c>
      <c r="F893" s="98" t="str">
        <f t="shared" si="294"/>
        <v>B</v>
      </c>
      <c r="G893" s="110">
        <f ca="1">SUMIF($A:E,$A893,K:K)</f>
        <v>5</v>
      </c>
      <c r="H893" s="112" t="s">
        <v>1550</v>
      </c>
      <c r="I893" s="98">
        <v>5</v>
      </c>
      <c r="J893" s="99">
        <v>5</v>
      </c>
      <c r="K893" s="143">
        <f t="shared" si="266"/>
        <v>5</v>
      </c>
      <c r="L893" s="144">
        <f t="shared" si="284"/>
        <v>0</v>
      </c>
      <c r="M893" s="275">
        <f t="shared" si="295"/>
        <v>5</v>
      </c>
      <c r="N893" s="98">
        <v>2</v>
      </c>
      <c r="O893" s="93">
        <f t="shared" si="285"/>
        <v>100</v>
      </c>
      <c r="HF893" s="100">
        <v>1</v>
      </c>
      <c r="HG893" s="100">
        <v>1</v>
      </c>
      <c r="HJ893" s="100">
        <v>2</v>
      </c>
      <c r="HK893" s="100">
        <v>1</v>
      </c>
      <c r="ON893" s="100">
        <f t="shared" si="267"/>
        <v>0</v>
      </c>
    </row>
    <row r="894" spans="1:404" ht="23.25" customHeight="1">
      <c r="A894" s="97" t="str">
        <f t="shared" si="293"/>
        <v>053-VG_SR-21(EUROMARKET)66-87500-S1-B</v>
      </c>
      <c r="B894" s="95">
        <v>44426</v>
      </c>
      <c r="C894" s="97">
        <f t="shared" ca="1" si="296"/>
        <v>-638</v>
      </c>
      <c r="D894" s="112" t="s">
        <v>1604</v>
      </c>
      <c r="E894" s="123" t="s">
        <v>1548</v>
      </c>
      <c r="F894" s="98" t="str">
        <f t="shared" si="294"/>
        <v>B</v>
      </c>
      <c r="G894" s="110">
        <f ca="1">SUMIF($A:E,$A894,K:K)</f>
        <v>2</v>
      </c>
      <c r="H894" s="112" t="s">
        <v>1614</v>
      </c>
      <c r="I894" s="175">
        <v>2</v>
      </c>
      <c r="J894" s="115">
        <v>2</v>
      </c>
      <c r="K894" s="143">
        <f t="shared" si="266"/>
        <v>2</v>
      </c>
      <c r="L894" s="144">
        <f t="shared" si="284"/>
        <v>0</v>
      </c>
      <c r="M894" s="275">
        <f t="shared" si="295"/>
        <v>2</v>
      </c>
      <c r="N894" s="98">
        <v>2</v>
      </c>
      <c r="O894" s="93">
        <f t="shared" si="285"/>
        <v>100</v>
      </c>
      <c r="HK894" s="100">
        <v>2</v>
      </c>
      <c r="ON894" s="100">
        <f t="shared" si="267"/>
        <v>0</v>
      </c>
    </row>
    <row r="895" spans="1:404" ht="23.25" customHeight="1">
      <c r="A895" s="97" t="str">
        <f t="shared" si="293"/>
        <v>002/EUROMARKET-VG_SR-2166-87500-S1-B</v>
      </c>
      <c r="B895" s="126">
        <v>44433</v>
      </c>
      <c r="C895" s="127">
        <f t="shared" ca="1" si="296"/>
        <v>-631</v>
      </c>
      <c r="D895" s="208" t="s">
        <v>1605</v>
      </c>
      <c r="E895" s="226" t="s">
        <v>1548</v>
      </c>
      <c r="F895" s="132" t="str">
        <f t="shared" si="294"/>
        <v>B</v>
      </c>
      <c r="G895" s="130">
        <f ca="1">SUMIF($A:E,$A895,K:K)</f>
        <v>14</v>
      </c>
      <c r="H895" s="164" t="s">
        <v>1615</v>
      </c>
      <c r="I895" s="203">
        <v>14</v>
      </c>
      <c r="J895" s="134">
        <v>14</v>
      </c>
      <c r="K895" s="160">
        <f t="shared" si="266"/>
        <v>14</v>
      </c>
      <c r="L895" s="151">
        <f t="shared" si="284"/>
        <v>0</v>
      </c>
      <c r="M895" s="275">
        <f t="shared" si="295"/>
        <v>14</v>
      </c>
      <c r="N895" s="132">
        <v>2</v>
      </c>
      <c r="O895" s="93">
        <f t="shared" si="285"/>
        <v>100</v>
      </c>
      <c r="HN895" s="100">
        <v>2</v>
      </c>
      <c r="HP895" s="100">
        <v>2</v>
      </c>
      <c r="HQ895" s="100">
        <v>1</v>
      </c>
      <c r="HR895" s="100">
        <v>2</v>
      </c>
      <c r="HS895" s="100">
        <v>2</v>
      </c>
      <c r="HT895" s="100">
        <v>5</v>
      </c>
      <c r="ON895" s="100">
        <f t="shared" si="267"/>
        <v>0</v>
      </c>
    </row>
    <row r="896" spans="1:404" ht="23.25" customHeight="1">
      <c r="A896" s="97" t="str">
        <f t="shared" si="293"/>
        <v>001A/EUROMARKET-VG_SR-2166-87500-S1-B</v>
      </c>
      <c r="B896" s="217">
        <v>44437</v>
      </c>
      <c r="C896" s="97">
        <f t="shared" ca="1" si="296"/>
        <v>-627</v>
      </c>
      <c r="D896" s="112" t="s">
        <v>1695</v>
      </c>
      <c r="E896" s="123" t="s">
        <v>1548</v>
      </c>
      <c r="F896" s="98" t="str">
        <f t="shared" si="294"/>
        <v>B</v>
      </c>
      <c r="G896" s="110">
        <f ca="1">SUMIF($A:E,$A896,K:K)</f>
        <v>2</v>
      </c>
      <c r="H896" s="112" t="s">
        <v>1696</v>
      </c>
      <c r="I896" s="175">
        <v>2</v>
      </c>
      <c r="J896" s="115">
        <v>2</v>
      </c>
      <c r="K896" s="143">
        <f t="shared" si="266"/>
        <v>2</v>
      </c>
      <c r="L896" s="144">
        <f t="shared" si="284"/>
        <v>0</v>
      </c>
      <c r="M896" s="275">
        <f t="shared" si="295"/>
        <v>2</v>
      </c>
      <c r="N896" s="211">
        <v>2</v>
      </c>
      <c r="O896" s="93">
        <f t="shared" si="285"/>
        <v>100</v>
      </c>
      <c r="IB896" s="100">
        <v>2</v>
      </c>
      <c r="ON896" s="100">
        <f t="shared" si="267"/>
        <v>0</v>
      </c>
    </row>
    <row r="897" spans="1:404" ht="23.25" customHeight="1">
      <c r="A897" s="97" t="str">
        <f t="shared" si="293"/>
        <v>011T/EUROMARKET-2166-87500-S1-B</v>
      </c>
      <c r="B897" s="114">
        <v>44520</v>
      </c>
      <c r="C897" s="138">
        <f t="shared" ca="1" si="296"/>
        <v>-544</v>
      </c>
      <c r="D897" s="234" t="s">
        <v>1712</v>
      </c>
      <c r="E897" s="284" t="s">
        <v>1548</v>
      </c>
      <c r="F897" s="133" t="str">
        <f t="shared" si="294"/>
        <v>B</v>
      </c>
      <c r="G897" s="140">
        <f ca="1">SUMIF($A:E,$A897,K:K)</f>
        <v>994</v>
      </c>
      <c r="H897" s="138" t="s">
        <v>1593</v>
      </c>
      <c r="I897" s="236">
        <v>994</v>
      </c>
      <c r="J897" s="240">
        <v>994</v>
      </c>
      <c r="K897" s="166">
        <f t="shared" si="266"/>
        <v>994</v>
      </c>
      <c r="L897" s="144">
        <f t="shared" si="284"/>
        <v>0</v>
      </c>
      <c r="M897" s="275">
        <f t="shared" si="295"/>
        <v>994</v>
      </c>
      <c r="N897" s="133" t="s">
        <v>1776</v>
      </c>
      <c r="O897" s="93">
        <f t="shared" si="285"/>
        <v>100</v>
      </c>
      <c r="IT897" s="100">
        <v>12</v>
      </c>
      <c r="IW897" s="100">
        <v>28</v>
      </c>
      <c r="IY897" s="100">
        <v>8</v>
      </c>
      <c r="IZ897" s="100">
        <v>24</v>
      </c>
      <c r="JA897" s="100">
        <v>22</v>
      </c>
      <c r="JB897" s="100">
        <v>28</v>
      </c>
      <c r="JC897" s="100">
        <v>13</v>
      </c>
      <c r="JD897" s="100">
        <v>15</v>
      </c>
      <c r="JF897" s="100">
        <v>8</v>
      </c>
      <c r="JG897" s="100">
        <v>51</v>
      </c>
      <c r="JH897" s="100">
        <v>23</v>
      </c>
      <c r="JI897" s="100">
        <v>25</v>
      </c>
      <c r="JJ897" s="100">
        <v>24</v>
      </c>
      <c r="JK897" s="100">
        <v>24</v>
      </c>
      <c r="JM897" s="100">
        <v>12</v>
      </c>
      <c r="JN897" s="100">
        <v>31</v>
      </c>
      <c r="JP897" s="100">
        <v>24</v>
      </c>
      <c r="JQ897" s="100">
        <f>29+24</f>
        <v>53</v>
      </c>
      <c r="JR897" s="100">
        <v>27</v>
      </c>
      <c r="JT897" s="100">
        <v>15</v>
      </c>
      <c r="JU897" s="100">
        <v>15</v>
      </c>
      <c r="JV897" s="100">
        <v>15</v>
      </c>
      <c r="JW897" s="100">
        <v>15</v>
      </c>
      <c r="JX897" s="100">
        <v>12</v>
      </c>
      <c r="JY897" s="100">
        <v>15</v>
      </c>
      <c r="KA897" s="100">
        <v>18</v>
      </c>
      <c r="KB897" s="100">
        <v>15</v>
      </c>
      <c r="KC897" s="100">
        <v>30</v>
      </c>
      <c r="KD897" s="100">
        <v>30</v>
      </c>
      <c r="KE897" s="100">
        <v>15</v>
      </c>
      <c r="KF897" s="100">
        <v>30</v>
      </c>
      <c r="KG897" s="100">
        <v>30</v>
      </c>
      <c r="KH897" s="100">
        <v>15</v>
      </c>
      <c r="KI897" s="100">
        <v>14</v>
      </c>
      <c r="KJ897" s="100">
        <v>14</v>
      </c>
      <c r="KN897" s="100">
        <v>13</v>
      </c>
      <c r="KO897" s="100">
        <v>31</v>
      </c>
      <c r="KP897" s="100">
        <v>30</v>
      </c>
      <c r="KQ897" s="100">
        <v>28</v>
      </c>
      <c r="KR897" s="100">
        <v>32</v>
      </c>
      <c r="KU897" s="100">
        <v>30</v>
      </c>
      <c r="KV897" s="100">
        <v>30</v>
      </c>
      <c r="KW897" s="100">
        <v>43</v>
      </c>
      <c r="KX897" s="100">
        <v>7</v>
      </c>
      <c r="ON897" s="100">
        <f t="shared" si="267"/>
        <v>0</v>
      </c>
    </row>
    <row r="898" spans="1:404" ht="23.25" customHeight="1">
      <c r="A898" s="97" t="str">
        <f t="shared" si="293"/>
        <v>012T/EUROMARKET-2166-87500-S1-B</v>
      </c>
      <c r="B898" s="95">
        <v>44557</v>
      </c>
      <c r="C898" s="97">
        <f t="shared" ca="1" si="296"/>
        <v>-507</v>
      </c>
      <c r="D898" s="112" t="s">
        <v>1713</v>
      </c>
      <c r="E898" s="279" t="s">
        <v>1548</v>
      </c>
      <c r="F898" s="98" t="str">
        <f t="shared" si="294"/>
        <v>B</v>
      </c>
      <c r="G898" s="110">
        <f ca="1">SUMIF($A:E,$A898,K:K)</f>
        <v>785</v>
      </c>
      <c r="H898" s="97" t="s">
        <v>1593</v>
      </c>
      <c r="I898" s="175">
        <v>785</v>
      </c>
      <c r="J898" s="115">
        <v>785</v>
      </c>
      <c r="K898" s="143">
        <f t="shared" si="266"/>
        <v>785</v>
      </c>
      <c r="L898" s="144">
        <f t="shared" si="284"/>
        <v>0</v>
      </c>
      <c r="M898" s="275">
        <f t="shared" si="295"/>
        <v>785</v>
      </c>
      <c r="N898" s="133" t="s">
        <v>1776</v>
      </c>
      <c r="O898" s="93">
        <f t="shared" si="285"/>
        <v>100</v>
      </c>
      <c r="LB898" s="100">
        <v>14</v>
      </c>
      <c r="LC898" s="100">
        <v>15</v>
      </c>
      <c r="LD898" s="100">
        <v>30</v>
      </c>
      <c r="LE898" s="100">
        <v>30</v>
      </c>
      <c r="LF898" s="100">
        <v>29</v>
      </c>
      <c r="LG898" s="100">
        <v>29</v>
      </c>
      <c r="LI898" s="100">
        <v>28</v>
      </c>
      <c r="LJ898" s="100">
        <v>31</v>
      </c>
      <c r="LK898" s="100">
        <v>30</v>
      </c>
      <c r="LL898" s="100">
        <v>30</v>
      </c>
      <c r="LM898" s="100">
        <v>15</v>
      </c>
      <c r="LN898" s="100">
        <v>30</v>
      </c>
      <c r="LP898" s="100">
        <v>30</v>
      </c>
      <c r="LQ898" s="100">
        <v>30</v>
      </c>
      <c r="LR898" s="100">
        <v>28</v>
      </c>
      <c r="LS898" s="100">
        <v>30</v>
      </c>
      <c r="LT898" s="100">
        <v>31</v>
      </c>
      <c r="LU898" s="100">
        <v>29</v>
      </c>
      <c r="LW898" s="100">
        <v>31</v>
      </c>
      <c r="LX898" s="100">
        <v>15</v>
      </c>
      <c r="LY898" s="100">
        <v>28</v>
      </c>
      <c r="LZ898" s="100">
        <v>31</v>
      </c>
      <c r="MA898" s="100">
        <v>27</v>
      </c>
      <c r="MB898" s="100">
        <v>30</v>
      </c>
      <c r="MD898" s="100">
        <v>31</v>
      </c>
      <c r="ME898" s="100">
        <v>30</v>
      </c>
      <c r="MF898" s="100">
        <v>30</v>
      </c>
      <c r="MG898" s="100">
        <v>30</v>
      </c>
      <c r="MH898" s="100">
        <v>13</v>
      </c>
      <c r="ON898" s="100">
        <f t="shared" si="267"/>
        <v>0</v>
      </c>
    </row>
    <row r="899" spans="1:404" ht="23.25" customHeight="1">
      <c r="A899" s="97" t="str">
        <f t="shared" si="293"/>
        <v>051-VG_SR-21(EUROMARKET)66-87400-S1-B</v>
      </c>
      <c r="B899" s="95">
        <v>44426</v>
      </c>
      <c r="C899" s="97">
        <f t="shared" ca="1" si="296"/>
        <v>-638</v>
      </c>
      <c r="D899" s="112" t="s">
        <v>1546</v>
      </c>
      <c r="E899" s="123" t="s">
        <v>1547</v>
      </c>
      <c r="F899" s="98" t="str">
        <f t="shared" si="294"/>
        <v>B</v>
      </c>
      <c r="G899" s="110">
        <f ca="1">SUMIF($A:E,$A899,K:K)</f>
        <v>5</v>
      </c>
      <c r="H899" s="112" t="s">
        <v>1550</v>
      </c>
      <c r="I899" s="98">
        <v>5</v>
      </c>
      <c r="J899" s="99">
        <v>5</v>
      </c>
      <c r="K899" s="143">
        <f t="shared" si="266"/>
        <v>5</v>
      </c>
      <c r="L899" s="144">
        <f t="shared" si="284"/>
        <v>0</v>
      </c>
      <c r="M899" s="275">
        <f t="shared" si="295"/>
        <v>5</v>
      </c>
      <c r="N899" s="98">
        <v>2</v>
      </c>
      <c r="O899" s="93">
        <f t="shared" si="285"/>
        <v>100</v>
      </c>
      <c r="HF899" s="100">
        <v>1</v>
      </c>
      <c r="HJ899" s="100">
        <v>2</v>
      </c>
      <c r="HK899" s="100">
        <v>2</v>
      </c>
      <c r="ON899" s="100">
        <f t="shared" si="267"/>
        <v>0</v>
      </c>
    </row>
    <row r="900" spans="1:404" ht="23.25" customHeight="1">
      <c r="A900" s="97" t="str">
        <f t="shared" si="293"/>
        <v>053-VG_SR-21(EUROMARKET)66-87400-S1-B</v>
      </c>
      <c r="B900" s="95">
        <v>44426</v>
      </c>
      <c r="C900" s="97">
        <f t="shared" ca="1" si="296"/>
        <v>-638</v>
      </c>
      <c r="D900" s="112" t="s">
        <v>1604</v>
      </c>
      <c r="E900" s="123" t="s">
        <v>1547</v>
      </c>
      <c r="F900" s="98" t="str">
        <f t="shared" si="294"/>
        <v>B</v>
      </c>
      <c r="G900" s="110">
        <f ca="1">SUMIF($A:E,$A900,K:K)</f>
        <v>2</v>
      </c>
      <c r="H900" s="112" t="s">
        <v>1614</v>
      </c>
      <c r="I900" s="175">
        <v>2</v>
      </c>
      <c r="J900" s="115">
        <v>2</v>
      </c>
      <c r="K900" s="143">
        <f t="shared" ref="K900:K963" si="297">SUM(P900:BBC900)</f>
        <v>2</v>
      </c>
      <c r="L900" s="144">
        <f t="shared" si="284"/>
        <v>0</v>
      </c>
      <c r="M900" s="275">
        <f t="shared" si="295"/>
        <v>2</v>
      </c>
      <c r="N900" s="98">
        <v>2</v>
      </c>
      <c r="O900" s="93">
        <f t="shared" si="285"/>
        <v>100</v>
      </c>
      <c r="HK900" s="100">
        <v>1</v>
      </c>
      <c r="HM900" s="100">
        <v>1</v>
      </c>
      <c r="ON900" s="100">
        <f t="shared" ref="ON900:ON963" si="298">SUM(NS900:OM900)</f>
        <v>0</v>
      </c>
    </row>
    <row r="901" spans="1:404" ht="23.25" customHeight="1">
      <c r="A901" s="97" t="str">
        <f t="shared" si="293"/>
        <v>002/EUROMARKET-VG_SR-2166-87400-S1-B</v>
      </c>
      <c r="B901" s="95">
        <v>44433</v>
      </c>
      <c r="C901" s="97">
        <f t="shared" ca="1" si="296"/>
        <v>-631</v>
      </c>
      <c r="D901" s="112" t="s">
        <v>1605</v>
      </c>
      <c r="E901" s="123" t="s">
        <v>1547</v>
      </c>
      <c r="F901" s="98" t="str">
        <f t="shared" si="294"/>
        <v>B</v>
      </c>
      <c r="G901" s="110">
        <f ca="1">SUMIF($A:E,$A901,K:K)</f>
        <v>9</v>
      </c>
      <c r="H901" s="159" t="s">
        <v>1615</v>
      </c>
      <c r="I901" s="175">
        <v>9</v>
      </c>
      <c r="J901" s="115">
        <v>9</v>
      </c>
      <c r="K901" s="143">
        <f t="shared" si="297"/>
        <v>9</v>
      </c>
      <c r="L901" s="144">
        <f t="shared" si="284"/>
        <v>0</v>
      </c>
      <c r="M901" s="275">
        <f t="shared" si="295"/>
        <v>9</v>
      </c>
      <c r="N901" s="98">
        <v>2</v>
      </c>
      <c r="O901" s="93">
        <f t="shared" si="285"/>
        <v>100</v>
      </c>
      <c r="HN901" s="100">
        <v>3</v>
      </c>
      <c r="HP901" s="100">
        <v>3</v>
      </c>
      <c r="HR901" s="100">
        <v>3</v>
      </c>
      <c r="ON901" s="100">
        <f t="shared" si="298"/>
        <v>0</v>
      </c>
    </row>
    <row r="902" spans="1:404" ht="23.25" customHeight="1">
      <c r="A902" s="97" t="str">
        <f t="shared" si="293"/>
        <v>001A/EUROMARKET-VG_SR-2166-87400-S1-B</v>
      </c>
      <c r="B902" s="217">
        <v>44437</v>
      </c>
      <c r="C902" s="97">
        <f t="shared" ca="1" si="296"/>
        <v>-627</v>
      </c>
      <c r="D902" s="112" t="s">
        <v>1695</v>
      </c>
      <c r="E902" s="123" t="s">
        <v>1547</v>
      </c>
      <c r="F902" s="98" t="str">
        <f t="shared" si="294"/>
        <v>B</v>
      </c>
      <c r="G902" s="110">
        <f ca="1">SUMIF($A:E,$A902,K:K)</f>
        <v>2</v>
      </c>
      <c r="H902" s="112" t="s">
        <v>1696</v>
      </c>
      <c r="I902" s="175">
        <v>2</v>
      </c>
      <c r="J902" s="115">
        <v>2</v>
      </c>
      <c r="K902" s="143">
        <f t="shared" si="297"/>
        <v>2</v>
      </c>
      <c r="L902" s="144">
        <f t="shared" si="284"/>
        <v>0</v>
      </c>
      <c r="M902" s="275">
        <f t="shared" si="295"/>
        <v>2</v>
      </c>
      <c r="N902" s="211">
        <v>2</v>
      </c>
      <c r="O902" s="93">
        <f t="shared" si="285"/>
        <v>100</v>
      </c>
      <c r="HT902" s="100">
        <v>1</v>
      </c>
      <c r="IB902" s="100">
        <v>1</v>
      </c>
      <c r="ON902" s="100">
        <f t="shared" si="298"/>
        <v>0</v>
      </c>
    </row>
    <row r="903" spans="1:404" ht="23.25" customHeight="1">
      <c r="A903" s="97" t="str">
        <f t="shared" si="293"/>
        <v>011T/EUROMARKET-2166-87400-S1-B</v>
      </c>
      <c r="B903" s="95">
        <v>44528</v>
      </c>
      <c r="C903" s="97">
        <f t="shared" ca="1" si="296"/>
        <v>-536</v>
      </c>
      <c r="D903" s="112" t="s">
        <v>1712</v>
      </c>
      <c r="E903" s="123" t="s">
        <v>1547</v>
      </c>
      <c r="F903" s="98" t="str">
        <f t="shared" si="294"/>
        <v>B</v>
      </c>
      <c r="G903" s="110">
        <f ca="1">SUMIF($A:E,$A903,K:K)</f>
        <v>533</v>
      </c>
      <c r="H903" s="97" t="s">
        <v>1593</v>
      </c>
      <c r="I903" s="175">
        <v>533</v>
      </c>
      <c r="J903" s="115">
        <v>533</v>
      </c>
      <c r="K903" s="143">
        <f t="shared" si="297"/>
        <v>533</v>
      </c>
      <c r="L903" s="144">
        <f t="shared" si="284"/>
        <v>0</v>
      </c>
      <c r="M903" s="275">
        <f t="shared" si="295"/>
        <v>533</v>
      </c>
      <c r="N903" s="98">
        <v>3</v>
      </c>
      <c r="O903" s="93">
        <f t="shared" si="285"/>
        <v>100</v>
      </c>
      <c r="IY903" s="100">
        <v>5</v>
      </c>
      <c r="IZ903" s="100">
        <v>6</v>
      </c>
      <c r="JA903" s="100">
        <v>5</v>
      </c>
      <c r="JB903" s="100">
        <v>20</v>
      </c>
      <c r="JC903" s="100">
        <v>4</v>
      </c>
      <c r="JD903" s="100">
        <v>5</v>
      </c>
      <c r="JF903" s="100">
        <v>14</v>
      </c>
      <c r="JG903" s="100">
        <v>16</v>
      </c>
      <c r="JH903" s="100">
        <v>15</v>
      </c>
      <c r="JI903" s="100">
        <v>12</v>
      </c>
      <c r="JJ903" s="100">
        <v>12</v>
      </c>
      <c r="JK903" s="100">
        <v>14</v>
      </c>
      <c r="JM903" s="100">
        <v>7</v>
      </c>
      <c r="JN903" s="100">
        <v>10</v>
      </c>
      <c r="JO903" s="100">
        <v>14</v>
      </c>
      <c r="JP903" s="100">
        <v>11</v>
      </c>
      <c r="JQ903" s="100">
        <v>2</v>
      </c>
      <c r="JR903" s="100">
        <v>28</v>
      </c>
      <c r="JU903" s="100">
        <v>19</v>
      </c>
      <c r="JV903" s="100">
        <v>5</v>
      </c>
      <c r="JW903" s="100">
        <v>18</v>
      </c>
      <c r="JX903" s="100">
        <v>7</v>
      </c>
      <c r="JY903" s="100">
        <v>25</v>
      </c>
      <c r="KA903" s="100">
        <v>4</v>
      </c>
      <c r="KC903" s="100">
        <v>29</v>
      </c>
      <c r="KD903" s="100">
        <v>34</v>
      </c>
      <c r="KE903" s="100">
        <v>2</v>
      </c>
      <c r="KF903" s="100">
        <v>38</v>
      </c>
      <c r="KG903" s="100">
        <v>11</v>
      </c>
      <c r="KH903" s="100">
        <v>9</v>
      </c>
      <c r="KI903" s="100">
        <v>18</v>
      </c>
      <c r="KJ903" s="100">
        <v>14</v>
      </c>
      <c r="KN903" s="100">
        <v>8</v>
      </c>
      <c r="KO903" s="100">
        <v>17</v>
      </c>
      <c r="KP903" s="100">
        <v>19</v>
      </c>
      <c r="KQ903" s="100">
        <v>8</v>
      </c>
      <c r="KR903" s="100">
        <v>12</v>
      </c>
      <c r="KU903" s="100">
        <v>20</v>
      </c>
      <c r="KV903" s="100">
        <v>16</v>
      </c>
      <c r="ON903" s="100">
        <f t="shared" si="298"/>
        <v>0</v>
      </c>
    </row>
    <row r="904" spans="1:404" ht="23.25" customHeight="1">
      <c r="A904" s="97" t="str">
        <f t="shared" si="293"/>
        <v>012T/EUROMARKET-2166-87400-S1-B</v>
      </c>
      <c r="B904" s="95">
        <v>44551</v>
      </c>
      <c r="C904" s="97">
        <f t="shared" ca="1" si="296"/>
        <v>-513</v>
      </c>
      <c r="D904" s="112" t="s">
        <v>1713</v>
      </c>
      <c r="E904" s="123" t="s">
        <v>1547</v>
      </c>
      <c r="F904" s="98" t="str">
        <f t="shared" si="294"/>
        <v>B</v>
      </c>
      <c r="G904" s="110">
        <f ca="1">SUMIF($A:E,$A904,K:K)</f>
        <v>435</v>
      </c>
      <c r="H904" s="97" t="s">
        <v>1593</v>
      </c>
      <c r="I904" s="175">
        <v>435</v>
      </c>
      <c r="J904" s="115">
        <v>435</v>
      </c>
      <c r="K904" s="143">
        <f t="shared" si="297"/>
        <v>435</v>
      </c>
      <c r="L904" s="144">
        <f t="shared" si="284"/>
        <v>0</v>
      </c>
      <c r="M904" s="275">
        <f t="shared" si="295"/>
        <v>435</v>
      </c>
      <c r="N904" s="98">
        <v>3</v>
      </c>
      <c r="O904" s="93">
        <f t="shared" si="285"/>
        <v>100</v>
      </c>
      <c r="LB904" s="100">
        <v>16</v>
      </c>
      <c r="LC904" s="100">
        <v>9</v>
      </c>
      <c r="LD904" s="100">
        <v>10</v>
      </c>
      <c r="LE904" s="100">
        <v>23</v>
      </c>
      <c r="LF904" s="100">
        <v>18</v>
      </c>
      <c r="LG904" s="100">
        <v>20</v>
      </c>
      <c r="LI904" s="100">
        <v>18</v>
      </c>
      <c r="LJ904" s="100">
        <v>20</v>
      </c>
      <c r="LK904" s="100">
        <v>11</v>
      </c>
      <c r="LL904" s="100">
        <v>7</v>
      </c>
      <c r="LM904" s="100">
        <v>12</v>
      </c>
      <c r="LN904" s="100">
        <v>33</v>
      </c>
      <c r="LP904" s="100">
        <v>16</v>
      </c>
      <c r="LQ904" s="100">
        <v>31</v>
      </c>
      <c r="LS904" s="100">
        <v>22</v>
      </c>
      <c r="LT904" s="100">
        <v>19</v>
      </c>
      <c r="LU904" s="100">
        <v>21</v>
      </c>
      <c r="LW904" s="100">
        <v>20</v>
      </c>
      <c r="LX904" s="100">
        <v>28</v>
      </c>
      <c r="LY904" s="100">
        <v>2</v>
      </c>
      <c r="LZ904" s="100">
        <v>20</v>
      </c>
      <c r="MA904" s="100">
        <v>40</v>
      </c>
      <c r="MD904" s="100">
        <v>19</v>
      </c>
      <c r="ON904" s="100">
        <f t="shared" si="298"/>
        <v>0</v>
      </c>
    </row>
    <row r="905" spans="1:404" ht="23.25" customHeight="1">
      <c r="A905" s="97" t="str">
        <f t="shared" si="293"/>
        <v>003/EUROMARKET-VG_SR-2166-87400-S1-B</v>
      </c>
      <c r="B905" s="95">
        <v>44458</v>
      </c>
      <c r="C905" s="97">
        <f t="shared" ca="1" si="296"/>
        <v>-606</v>
      </c>
      <c r="D905" s="96" t="s">
        <v>1839</v>
      </c>
      <c r="E905" s="94" t="s">
        <v>1547</v>
      </c>
      <c r="F905" s="98" t="str">
        <f t="shared" si="294"/>
        <v>B</v>
      </c>
      <c r="G905" s="110">
        <f ca="1">SUMIF($A:E,$A905,K:K)</f>
        <v>1</v>
      </c>
      <c r="H905" s="97" t="s">
        <v>1838</v>
      </c>
      <c r="I905" s="98">
        <v>1</v>
      </c>
      <c r="J905" s="99">
        <v>1</v>
      </c>
      <c r="K905" s="143">
        <f t="shared" si="297"/>
        <v>1</v>
      </c>
      <c r="L905" s="144">
        <f t="shared" si="284"/>
        <v>0</v>
      </c>
      <c r="M905" s="275">
        <f t="shared" si="295"/>
        <v>1</v>
      </c>
      <c r="N905" s="98">
        <v>1</v>
      </c>
      <c r="O905" s="93">
        <f t="shared" si="285"/>
        <v>100</v>
      </c>
      <c r="IR905" s="100">
        <v>1</v>
      </c>
      <c r="ON905" s="100">
        <f t="shared" si="298"/>
        <v>0</v>
      </c>
    </row>
    <row r="906" spans="1:404" ht="23.25" customHeight="1">
      <c r="A906" s="97" t="str">
        <f t="shared" si="293"/>
        <v xml:space="preserve"> 009T/EUROMARKET-2166-87200-02-B</v>
      </c>
      <c r="B906" s="95">
        <v>44469</v>
      </c>
      <c r="C906" s="97">
        <f t="shared" ca="1" si="296"/>
        <v>-595</v>
      </c>
      <c r="D906" s="112" t="s">
        <v>1540</v>
      </c>
      <c r="E906" s="123" t="s">
        <v>1541</v>
      </c>
      <c r="F906" s="98" t="str">
        <f t="shared" si="294"/>
        <v>B</v>
      </c>
      <c r="G906" s="110">
        <f ca="1">SUMIF($A:E,$A906,K:K)</f>
        <v>12</v>
      </c>
      <c r="H906" s="112" t="s">
        <v>1525</v>
      </c>
      <c r="I906" s="175">
        <v>12</v>
      </c>
      <c r="J906" s="115">
        <v>12</v>
      </c>
      <c r="K906" s="143">
        <f t="shared" si="297"/>
        <v>12</v>
      </c>
      <c r="L906" s="144">
        <f t="shared" si="284"/>
        <v>0</v>
      </c>
      <c r="M906" s="275">
        <f t="shared" si="295"/>
        <v>12</v>
      </c>
      <c r="N906" s="98">
        <v>5</v>
      </c>
      <c r="O906" s="93">
        <f t="shared" si="285"/>
        <v>100</v>
      </c>
      <c r="HU906" s="100">
        <v>6</v>
      </c>
      <c r="IB906" s="100">
        <v>6</v>
      </c>
      <c r="ON906" s="100">
        <f t="shared" si="298"/>
        <v>0</v>
      </c>
    </row>
    <row r="907" spans="1:404" ht="23.25" customHeight="1">
      <c r="A907" s="97" t="str">
        <f t="shared" si="293"/>
        <v>001/EUROMARKET-VG_SR-2166-87200-02-B</v>
      </c>
      <c r="B907" s="95">
        <v>44425</v>
      </c>
      <c r="C907" s="97">
        <f t="shared" ca="1" si="296"/>
        <v>-639</v>
      </c>
      <c r="D907" s="112" t="s">
        <v>1552</v>
      </c>
      <c r="E907" s="123" t="s">
        <v>1541</v>
      </c>
      <c r="F907" s="98" t="str">
        <f t="shared" si="294"/>
        <v>B</v>
      </c>
      <c r="G907" s="110">
        <f ca="1">SUMIF($A:E,$A907,K:K)</f>
        <v>6</v>
      </c>
      <c r="H907" s="112" t="s">
        <v>1553</v>
      </c>
      <c r="I907" s="175">
        <v>6</v>
      </c>
      <c r="J907" s="115">
        <v>6</v>
      </c>
      <c r="K907" s="143">
        <f t="shared" si="297"/>
        <v>6</v>
      </c>
      <c r="L907" s="144">
        <f t="shared" si="284"/>
        <v>0</v>
      </c>
      <c r="M907" s="275">
        <f t="shared" si="295"/>
        <v>6</v>
      </c>
      <c r="N907" s="98">
        <v>2</v>
      </c>
      <c r="O907" s="93">
        <f t="shared" si="285"/>
        <v>100</v>
      </c>
      <c r="HE907" s="100">
        <v>1</v>
      </c>
      <c r="HF907" s="100">
        <v>1</v>
      </c>
      <c r="HG907" s="100">
        <v>4</v>
      </c>
      <c r="ON907" s="100">
        <f t="shared" si="298"/>
        <v>0</v>
      </c>
    </row>
    <row r="908" spans="1:404" ht="23.25" customHeight="1">
      <c r="A908" s="97" t="s">
        <v>1793</v>
      </c>
      <c r="B908" s="95">
        <v>44491</v>
      </c>
      <c r="C908" s="97">
        <v>18</v>
      </c>
      <c r="D908" s="112" t="s">
        <v>1565</v>
      </c>
      <c r="E908" s="279" t="s">
        <v>1541</v>
      </c>
      <c r="F908" s="98" t="s">
        <v>561</v>
      </c>
      <c r="G908" s="110">
        <v>52</v>
      </c>
      <c r="H908" s="97" t="s">
        <v>1566</v>
      </c>
      <c r="I908" s="98">
        <v>177</v>
      </c>
      <c r="J908" s="99">
        <v>125</v>
      </c>
      <c r="K908" s="143">
        <f t="shared" si="297"/>
        <v>125</v>
      </c>
      <c r="L908" s="144">
        <f t="shared" si="284"/>
        <v>0</v>
      </c>
      <c r="M908" s="275">
        <f t="shared" si="295"/>
        <v>177</v>
      </c>
      <c r="N908" s="98" t="s">
        <v>1776</v>
      </c>
      <c r="O908" s="93">
        <f t="shared" si="285"/>
        <v>100</v>
      </c>
      <c r="IF908" s="100">
        <v>16</v>
      </c>
      <c r="IG908" s="100">
        <v>16</v>
      </c>
      <c r="IH908" s="100">
        <v>8</v>
      </c>
      <c r="IK908" s="100">
        <v>32</v>
      </c>
      <c r="IL908" s="100">
        <v>8</v>
      </c>
      <c r="IN908" s="100">
        <v>32</v>
      </c>
      <c r="IP908" s="100">
        <v>8</v>
      </c>
      <c r="IR908" s="100">
        <v>5</v>
      </c>
      <c r="ON908" s="100">
        <f t="shared" si="298"/>
        <v>0</v>
      </c>
    </row>
    <row r="909" spans="1:404" ht="23.25" customHeight="1">
      <c r="A909" s="97" t="str">
        <f t="shared" ref="A909:A916" si="299">D909&amp;E909</f>
        <v xml:space="preserve"> 010T/EUROMARKET-2166-87200-02-B</v>
      </c>
      <c r="B909" s="126">
        <v>44491</v>
      </c>
      <c r="C909" s="97">
        <f t="shared" ref="C909:C916" ca="1" si="300">B909-TODAY()</f>
        <v>-573</v>
      </c>
      <c r="D909" s="208" t="s">
        <v>1565</v>
      </c>
      <c r="E909" s="226" t="s">
        <v>1541</v>
      </c>
      <c r="F909" s="132" t="str">
        <f t="shared" ref="F909:F916" si="301">MID(E909,13,2)</f>
        <v>B</v>
      </c>
      <c r="G909" s="130">
        <f ca="1">SUMIF($A:E,$A909,K:K)</f>
        <v>177</v>
      </c>
      <c r="H909" s="127" t="s">
        <v>1566</v>
      </c>
      <c r="I909" s="132">
        <v>177</v>
      </c>
      <c r="J909" s="131">
        <v>52</v>
      </c>
      <c r="K909" s="143">
        <f t="shared" si="297"/>
        <v>52</v>
      </c>
      <c r="L909" s="144">
        <f t="shared" si="284"/>
        <v>0</v>
      </c>
      <c r="M909" s="275">
        <f t="shared" si="295"/>
        <v>177</v>
      </c>
      <c r="N909" s="132">
        <v>5</v>
      </c>
      <c r="O909" s="93">
        <f t="shared" si="285"/>
        <v>100</v>
      </c>
      <c r="HW909" s="100">
        <v>14</v>
      </c>
      <c r="HX909" s="100">
        <v>6</v>
      </c>
      <c r="ID909" s="100">
        <v>15</v>
      </c>
      <c r="IE909" s="100">
        <v>17</v>
      </c>
      <c r="ON909" s="100">
        <f t="shared" si="298"/>
        <v>0</v>
      </c>
    </row>
    <row r="910" spans="1:404" ht="23.25" customHeight="1">
      <c r="A910" s="97" t="str">
        <f t="shared" si="299"/>
        <v>001A/EUROMARKET-VG_SR-2166-87200-02-B</v>
      </c>
      <c r="B910" s="217">
        <v>44437</v>
      </c>
      <c r="C910" s="97">
        <f t="shared" ca="1" si="300"/>
        <v>-627</v>
      </c>
      <c r="D910" s="112" t="s">
        <v>1695</v>
      </c>
      <c r="E910" s="123" t="s">
        <v>1541</v>
      </c>
      <c r="F910" s="98" t="str">
        <f t="shared" si="301"/>
        <v>B</v>
      </c>
      <c r="G910" s="110">
        <f ca="1">SUMIF($A:E,$A910,K:K)</f>
        <v>1</v>
      </c>
      <c r="H910" s="112" t="s">
        <v>1696</v>
      </c>
      <c r="I910" s="175">
        <v>1</v>
      </c>
      <c r="J910" s="115">
        <v>1</v>
      </c>
      <c r="K910" s="143">
        <f t="shared" si="297"/>
        <v>1</v>
      </c>
      <c r="L910" s="144">
        <f t="shared" si="284"/>
        <v>0</v>
      </c>
      <c r="M910" s="275">
        <f t="shared" si="295"/>
        <v>1</v>
      </c>
      <c r="N910" s="211">
        <v>1</v>
      </c>
      <c r="O910" s="93">
        <f t="shared" si="285"/>
        <v>100</v>
      </c>
      <c r="HT910" s="100">
        <v>1</v>
      </c>
      <c r="ON910" s="100">
        <f t="shared" si="298"/>
        <v>0</v>
      </c>
    </row>
    <row r="911" spans="1:404" ht="23.25" customHeight="1">
      <c r="A911" s="97" t="str">
        <f t="shared" si="299"/>
        <v>014T/EUROMARKET-2166-87200-02-B</v>
      </c>
      <c r="B911" s="95">
        <v>44490</v>
      </c>
      <c r="C911" s="97">
        <f t="shared" ca="1" si="300"/>
        <v>-574</v>
      </c>
      <c r="D911" s="112" t="s">
        <v>1740</v>
      </c>
      <c r="E911" s="280" t="s">
        <v>1541</v>
      </c>
      <c r="F911" s="98" t="str">
        <f t="shared" si="301"/>
        <v>B</v>
      </c>
      <c r="G911" s="110">
        <f ca="1">SUMIF($A:E,$A911,K:K)</f>
        <v>81</v>
      </c>
      <c r="H911" s="97" t="s">
        <v>1741</v>
      </c>
      <c r="I911" s="98">
        <v>81</v>
      </c>
      <c r="J911" s="99">
        <v>81</v>
      </c>
      <c r="K911" s="143">
        <f t="shared" si="297"/>
        <v>81</v>
      </c>
      <c r="L911" s="144">
        <f t="shared" si="284"/>
        <v>0</v>
      </c>
      <c r="M911" s="275">
        <f t="shared" si="295"/>
        <v>81</v>
      </c>
      <c r="N911" s="98" t="s">
        <v>1776</v>
      </c>
      <c r="O911" s="93">
        <f t="shared" si="285"/>
        <v>100</v>
      </c>
      <c r="IR911" s="100">
        <v>3</v>
      </c>
      <c r="IS911" s="100">
        <v>16</v>
      </c>
      <c r="IT911" s="100">
        <v>16</v>
      </c>
      <c r="IU911" s="100">
        <v>17</v>
      </c>
      <c r="IV911" s="100">
        <v>9</v>
      </c>
      <c r="IW911" s="100">
        <v>8</v>
      </c>
      <c r="IY911" s="100">
        <v>12</v>
      </c>
      <c r="ON911" s="100">
        <f t="shared" si="298"/>
        <v>0</v>
      </c>
    </row>
    <row r="912" spans="1:404" ht="23.25" customHeight="1">
      <c r="A912" s="97" t="str">
        <f t="shared" si="299"/>
        <v>017T/EUROMARKET-2166-87200-02-B</v>
      </c>
      <c r="B912" s="95">
        <v>44518</v>
      </c>
      <c r="C912" s="97">
        <f t="shared" ca="1" si="300"/>
        <v>-546</v>
      </c>
      <c r="D912" s="112" t="s">
        <v>1835</v>
      </c>
      <c r="E912" s="279" t="s">
        <v>1541</v>
      </c>
      <c r="F912" s="98" t="str">
        <f t="shared" si="301"/>
        <v>B</v>
      </c>
      <c r="G912" s="110">
        <f ca="1">SUMIF($A:E,$A912,K:K)</f>
        <v>81</v>
      </c>
      <c r="H912" s="97" t="s">
        <v>616</v>
      </c>
      <c r="I912" s="175">
        <v>81</v>
      </c>
      <c r="J912" s="115">
        <v>81</v>
      </c>
      <c r="K912" s="143">
        <f t="shared" si="297"/>
        <v>81</v>
      </c>
      <c r="L912" s="144">
        <f t="shared" si="284"/>
        <v>0</v>
      </c>
      <c r="M912" s="275">
        <f t="shared" si="295"/>
        <v>81</v>
      </c>
      <c r="N912" s="98" t="s">
        <v>1768</v>
      </c>
      <c r="O912" s="93">
        <f t="shared" si="285"/>
        <v>100</v>
      </c>
      <c r="IY912" s="100">
        <v>2</v>
      </c>
      <c r="IZ912" s="100">
        <v>9</v>
      </c>
      <c r="JA912" s="100">
        <v>16</v>
      </c>
      <c r="JB912" s="100">
        <v>16</v>
      </c>
      <c r="JC912" s="100">
        <v>8</v>
      </c>
      <c r="JD912" s="100">
        <v>16</v>
      </c>
      <c r="JF912" s="100">
        <v>14</v>
      </c>
      <c r="ON912" s="100">
        <f t="shared" si="298"/>
        <v>0</v>
      </c>
    </row>
    <row r="913" spans="1:404" ht="23.25" customHeight="1">
      <c r="A913" s="97" t="str">
        <f t="shared" si="299"/>
        <v>003/EUROMARKET-VG_SR-2166-87200-02-B</v>
      </c>
      <c r="B913" s="95">
        <v>44458</v>
      </c>
      <c r="C913" s="97">
        <f t="shared" ca="1" si="300"/>
        <v>-606</v>
      </c>
      <c r="D913" s="96" t="s">
        <v>1839</v>
      </c>
      <c r="E913" s="94" t="s">
        <v>1541</v>
      </c>
      <c r="F913" s="98" t="str">
        <f t="shared" si="301"/>
        <v>B</v>
      </c>
      <c r="G913" s="110">
        <f ca="1">SUMIF($A:E,$A913,K:K)</f>
        <v>1</v>
      </c>
      <c r="H913" s="97" t="s">
        <v>1838</v>
      </c>
      <c r="I913" s="98">
        <v>1</v>
      </c>
      <c r="J913" s="99">
        <v>1</v>
      </c>
      <c r="K913" s="143">
        <f t="shared" si="297"/>
        <v>1</v>
      </c>
      <c r="L913" s="144">
        <f t="shared" si="284"/>
        <v>0</v>
      </c>
      <c r="M913" s="275">
        <f t="shared" si="295"/>
        <v>1</v>
      </c>
      <c r="N913" s="98">
        <v>1</v>
      </c>
      <c r="O913" s="93">
        <f t="shared" si="285"/>
        <v>100</v>
      </c>
      <c r="IR913" s="100">
        <v>1</v>
      </c>
      <c r="ON913" s="100">
        <f t="shared" si="298"/>
        <v>0</v>
      </c>
    </row>
    <row r="914" spans="1:404" ht="23.25" customHeight="1">
      <c r="A914" s="97" t="str">
        <f t="shared" si="299"/>
        <v>050-VG_SR-21(EUROMARKKET)66-87200-01-B</v>
      </c>
      <c r="B914" s="95">
        <v>44416</v>
      </c>
      <c r="C914" s="97">
        <f t="shared" ca="1" si="300"/>
        <v>-648</v>
      </c>
      <c r="D914" s="96" t="s">
        <v>1528</v>
      </c>
      <c r="E914" s="94" t="s">
        <v>1529</v>
      </c>
      <c r="F914" s="98" t="str">
        <f t="shared" si="301"/>
        <v>B</v>
      </c>
      <c r="G914" s="110">
        <f ca="1">SUMIF($A:E,$A914,K:K)</f>
        <v>1</v>
      </c>
      <c r="H914" s="112" t="s">
        <v>1525</v>
      </c>
      <c r="I914" s="98">
        <v>1</v>
      </c>
      <c r="J914" s="99">
        <v>1</v>
      </c>
      <c r="K914" s="143">
        <f t="shared" si="297"/>
        <v>1</v>
      </c>
      <c r="L914" s="144">
        <f t="shared" si="284"/>
        <v>0</v>
      </c>
      <c r="M914" s="275">
        <f t="shared" si="295"/>
        <v>1</v>
      </c>
      <c r="N914" s="98">
        <v>2</v>
      </c>
      <c r="O914" s="93">
        <f t="shared" si="285"/>
        <v>100</v>
      </c>
      <c r="HD914" s="100">
        <v>1</v>
      </c>
      <c r="ON914" s="100">
        <f t="shared" si="298"/>
        <v>0</v>
      </c>
    </row>
    <row r="915" spans="1:404" ht="23.25" customHeight="1">
      <c r="A915" s="97" t="str">
        <f t="shared" si="299"/>
        <v xml:space="preserve"> 009T/EUROMARKET-2166-87200-01-B</v>
      </c>
      <c r="B915" s="95">
        <v>44469</v>
      </c>
      <c r="C915" s="97">
        <f t="shared" ca="1" si="300"/>
        <v>-595</v>
      </c>
      <c r="D915" s="112" t="s">
        <v>1540</v>
      </c>
      <c r="E915" s="123" t="s">
        <v>1529</v>
      </c>
      <c r="F915" s="98" t="str">
        <f t="shared" si="301"/>
        <v>B</v>
      </c>
      <c r="G915" s="110">
        <f ca="1">SUMIF($A:E,$A915,K:K)</f>
        <v>12</v>
      </c>
      <c r="H915" s="112" t="s">
        <v>1525</v>
      </c>
      <c r="I915" s="175">
        <v>12</v>
      </c>
      <c r="J915" s="115">
        <v>12</v>
      </c>
      <c r="K915" s="143">
        <f t="shared" si="297"/>
        <v>12</v>
      </c>
      <c r="L915" s="144">
        <f t="shared" si="284"/>
        <v>0</v>
      </c>
      <c r="M915" s="275">
        <f t="shared" si="295"/>
        <v>12</v>
      </c>
      <c r="N915" s="98">
        <v>5</v>
      </c>
      <c r="O915" s="93">
        <f t="shared" si="285"/>
        <v>100</v>
      </c>
      <c r="HU915" s="100">
        <v>6</v>
      </c>
      <c r="IB915" s="100">
        <v>6</v>
      </c>
      <c r="ON915" s="100">
        <f t="shared" si="298"/>
        <v>0</v>
      </c>
    </row>
    <row r="916" spans="1:404" ht="23.25" customHeight="1">
      <c r="A916" s="97" t="str">
        <f t="shared" si="299"/>
        <v>001/EUROMARKET-VG_SR-2166-87200-01-B</v>
      </c>
      <c r="B916" s="95">
        <v>44425</v>
      </c>
      <c r="C916" s="97">
        <f t="shared" ca="1" si="300"/>
        <v>-639</v>
      </c>
      <c r="D916" s="112" t="s">
        <v>1552</v>
      </c>
      <c r="E916" s="123" t="s">
        <v>1529</v>
      </c>
      <c r="F916" s="98" t="str">
        <f t="shared" si="301"/>
        <v>B</v>
      </c>
      <c r="G916" s="110">
        <f ca="1">SUMIF($A:E,$A916,K:K)</f>
        <v>5</v>
      </c>
      <c r="H916" s="112" t="s">
        <v>1553</v>
      </c>
      <c r="I916" s="175">
        <v>5</v>
      </c>
      <c r="J916" s="115">
        <v>5</v>
      </c>
      <c r="K916" s="143">
        <f t="shared" si="297"/>
        <v>5</v>
      </c>
      <c r="L916" s="144">
        <f t="shared" si="284"/>
        <v>0</v>
      </c>
      <c r="M916" s="275">
        <f t="shared" si="295"/>
        <v>5</v>
      </c>
      <c r="N916" s="98">
        <v>2</v>
      </c>
      <c r="O916" s="93">
        <f t="shared" si="285"/>
        <v>100</v>
      </c>
      <c r="HF916" s="100">
        <v>2</v>
      </c>
      <c r="HG916" s="100">
        <v>2</v>
      </c>
      <c r="HJ916" s="100">
        <v>1</v>
      </c>
      <c r="ON916" s="100">
        <f t="shared" si="298"/>
        <v>0</v>
      </c>
    </row>
    <row r="917" spans="1:404" ht="23.25" customHeight="1">
      <c r="A917" s="97" t="s">
        <v>1794</v>
      </c>
      <c r="B917" s="95">
        <v>44491</v>
      </c>
      <c r="C917" s="97">
        <v>18</v>
      </c>
      <c r="D917" s="112" t="s">
        <v>1565</v>
      </c>
      <c r="E917" s="279" t="s">
        <v>1529</v>
      </c>
      <c r="F917" s="98" t="s">
        <v>561</v>
      </c>
      <c r="G917" s="110">
        <v>52</v>
      </c>
      <c r="H917" s="97" t="s">
        <v>1566</v>
      </c>
      <c r="I917" s="98">
        <v>125</v>
      </c>
      <c r="J917" s="99">
        <v>73</v>
      </c>
      <c r="K917" s="143">
        <f t="shared" si="297"/>
        <v>73</v>
      </c>
      <c r="L917" s="144">
        <f t="shared" si="284"/>
        <v>0</v>
      </c>
      <c r="M917" s="275">
        <f t="shared" si="295"/>
        <v>125</v>
      </c>
      <c r="N917" s="98" t="s">
        <v>1776</v>
      </c>
      <c r="O917" s="93">
        <f t="shared" ref="O917:O980" si="302">K917/J917*100</f>
        <v>100</v>
      </c>
      <c r="IF917" s="100">
        <v>15</v>
      </c>
      <c r="IG917" s="100">
        <v>16</v>
      </c>
      <c r="IH917" s="100">
        <v>8</v>
      </c>
      <c r="II917" s="100">
        <v>1</v>
      </c>
      <c r="IK917" s="100">
        <v>32</v>
      </c>
      <c r="IL917" s="100">
        <v>1</v>
      </c>
      <c r="ON917" s="100">
        <f t="shared" si="298"/>
        <v>0</v>
      </c>
    </row>
    <row r="918" spans="1:404" ht="23.25" customHeight="1">
      <c r="A918" s="97" t="str">
        <f>D918&amp;E918</f>
        <v xml:space="preserve"> 010T/EUROMARKET-2166-87200-01-B</v>
      </c>
      <c r="B918" s="95">
        <v>44491</v>
      </c>
      <c r="C918" s="97">
        <f t="shared" ref="C918:C949" ca="1" si="303">B918-TODAY()</f>
        <v>-573</v>
      </c>
      <c r="D918" s="112" t="s">
        <v>1565</v>
      </c>
      <c r="E918" s="123" t="s">
        <v>1529</v>
      </c>
      <c r="F918" s="98" t="str">
        <f t="shared" ref="F918:F924" si="304">MID(E918,13,2)</f>
        <v>B</v>
      </c>
      <c r="G918" s="110">
        <f ca="1">SUMIF($A:E,$A918,K:K)</f>
        <v>125</v>
      </c>
      <c r="H918" s="97" t="s">
        <v>1566</v>
      </c>
      <c r="I918" s="98">
        <v>125</v>
      </c>
      <c r="J918" s="99">
        <v>52</v>
      </c>
      <c r="K918" s="143">
        <f t="shared" si="297"/>
        <v>52</v>
      </c>
      <c r="L918" s="144">
        <f t="shared" si="284"/>
        <v>0</v>
      </c>
      <c r="M918" s="275">
        <f t="shared" si="295"/>
        <v>125</v>
      </c>
      <c r="N918" s="98">
        <v>5</v>
      </c>
      <c r="O918" s="93">
        <f t="shared" si="302"/>
        <v>100</v>
      </c>
      <c r="HW918" s="100">
        <v>14</v>
      </c>
      <c r="HX918" s="100">
        <v>6</v>
      </c>
      <c r="ID918" s="100">
        <v>15</v>
      </c>
      <c r="IE918" s="100">
        <v>17</v>
      </c>
      <c r="ON918" s="100">
        <f t="shared" si="298"/>
        <v>0</v>
      </c>
    </row>
    <row r="919" spans="1:404" ht="23.25" customHeight="1">
      <c r="A919" s="97" t="str">
        <f>D919&amp;E919</f>
        <v>001A/EUROMARKET-VG_SR-2166-87200-01-B</v>
      </c>
      <c r="B919" s="217">
        <v>44437</v>
      </c>
      <c r="C919" s="97">
        <f t="shared" ca="1" si="303"/>
        <v>-627</v>
      </c>
      <c r="D919" s="112" t="s">
        <v>1695</v>
      </c>
      <c r="E919" s="123" t="s">
        <v>1529</v>
      </c>
      <c r="F919" s="98" t="str">
        <f t="shared" si="304"/>
        <v>B</v>
      </c>
      <c r="G919" s="110">
        <f ca="1">SUMIF($A:E,$A919,K:K)</f>
        <v>1</v>
      </c>
      <c r="H919" s="112" t="s">
        <v>1696</v>
      </c>
      <c r="I919" s="175">
        <v>1</v>
      </c>
      <c r="J919" s="115">
        <v>1</v>
      </c>
      <c r="K919" s="143">
        <f t="shared" si="297"/>
        <v>1</v>
      </c>
      <c r="L919" s="144">
        <f t="shared" si="284"/>
        <v>0</v>
      </c>
      <c r="M919" s="275">
        <f t="shared" si="295"/>
        <v>1</v>
      </c>
      <c r="N919" s="211">
        <v>1</v>
      </c>
      <c r="O919" s="93">
        <f t="shared" si="302"/>
        <v>100</v>
      </c>
      <c r="HT919" s="100">
        <v>1</v>
      </c>
      <c r="ON919" s="100">
        <f t="shared" si="298"/>
        <v>0</v>
      </c>
    </row>
    <row r="920" spans="1:404" ht="23.25" customHeight="1">
      <c r="A920" s="97" t="str">
        <f>D920&amp;E920</f>
        <v>014T/EUROMARKET-2166-87200-01-B</v>
      </c>
      <c r="B920" s="95">
        <v>44490</v>
      </c>
      <c r="C920" s="97">
        <f t="shared" ca="1" si="303"/>
        <v>-574</v>
      </c>
      <c r="D920" s="112" t="s">
        <v>1740</v>
      </c>
      <c r="E920" s="280" t="s">
        <v>1529</v>
      </c>
      <c r="F920" s="98" t="str">
        <f t="shared" si="304"/>
        <v>B</v>
      </c>
      <c r="G920" s="110">
        <f ca="1">SUMIF($A:E,$A920,K:K)</f>
        <v>153</v>
      </c>
      <c r="H920" s="97" t="s">
        <v>1741</v>
      </c>
      <c r="I920" s="98">
        <v>153</v>
      </c>
      <c r="J920" s="99">
        <v>153</v>
      </c>
      <c r="K920" s="143">
        <f t="shared" si="297"/>
        <v>153</v>
      </c>
      <c r="L920" s="144">
        <f t="shared" si="284"/>
        <v>0</v>
      </c>
      <c r="M920" s="275">
        <f t="shared" si="295"/>
        <v>153</v>
      </c>
      <c r="N920" s="98" t="s">
        <v>1776</v>
      </c>
      <c r="O920" s="93">
        <f t="shared" si="302"/>
        <v>100</v>
      </c>
      <c r="IL920" s="100">
        <v>7</v>
      </c>
      <c r="IN920" s="100">
        <v>32</v>
      </c>
      <c r="IP920" s="100">
        <v>8</v>
      </c>
      <c r="IR920" s="100">
        <v>10</v>
      </c>
      <c r="IS920" s="100">
        <v>14</v>
      </c>
      <c r="IT920" s="100">
        <v>16</v>
      </c>
      <c r="IU920" s="100">
        <v>16</v>
      </c>
      <c r="IV920" s="100">
        <v>7</v>
      </c>
      <c r="IW920" s="100">
        <v>8</v>
      </c>
      <c r="IY920" s="100">
        <v>16</v>
      </c>
      <c r="IZ920" s="100">
        <v>10</v>
      </c>
      <c r="JA920" s="100">
        <v>9</v>
      </c>
      <c r="ON920" s="100">
        <f t="shared" si="298"/>
        <v>0</v>
      </c>
    </row>
    <row r="921" spans="1:404" ht="30.75" customHeight="1">
      <c r="A921" s="97" t="str">
        <f>D921&amp;E921</f>
        <v>017T/EUROMARKET-2166-87200-01-B</v>
      </c>
      <c r="B921" s="95">
        <v>44518</v>
      </c>
      <c r="C921" s="97">
        <f t="shared" ca="1" si="303"/>
        <v>-546</v>
      </c>
      <c r="D921" s="112" t="s">
        <v>1835</v>
      </c>
      <c r="E921" s="279" t="s">
        <v>1529</v>
      </c>
      <c r="F921" s="98" t="str">
        <f t="shared" si="304"/>
        <v>B</v>
      </c>
      <c r="G921" s="110">
        <f ca="1">SUMIF($A:E,$A921,K:K)</f>
        <v>149</v>
      </c>
      <c r="H921" s="97" t="s">
        <v>616</v>
      </c>
      <c r="I921" s="175">
        <v>149</v>
      </c>
      <c r="J921" s="115">
        <v>149</v>
      </c>
      <c r="K921" s="143">
        <f t="shared" si="297"/>
        <v>149</v>
      </c>
      <c r="L921" s="144">
        <f t="shared" si="284"/>
        <v>0</v>
      </c>
      <c r="M921" s="275">
        <f t="shared" si="295"/>
        <v>149</v>
      </c>
      <c r="N921" s="98" t="s">
        <v>1768</v>
      </c>
      <c r="O921" s="93">
        <f t="shared" si="302"/>
        <v>100</v>
      </c>
      <c r="JA921" s="100">
        <v>7</v>
      </c>
      <c r="JB921" s="100">
        <v>16</v>
      </c>
      <c r="JC921" s="100">
        <v>8</v>
      </c>
      <c r="JD921" s="100">
        <v>16</v>
      </c>
      <c r="JF921" s="100">
        <v>8</v>
      </c>
      <c r="JG921" s="100">
        <v>8</v>
      </c>
      <c r="JH921" s="100">
        <v>15</v>
      </c>
      <c r="JI921" s="100">
        <v>10</v>
      </c>
      <c r="JJ921" s="100">
        <v>14</v>
      </c>
      <c r="JK921" s="100">
        <v>16</v>
      </c>
      <c r="JM921" s="100">
        <v>8</v>
      </c>
      <c r="JN921" s="100">
        <v>8</v>
      </c>
      <c r="JO921" s="100">
        <v>15</v>
      </c>
      <c r="ON921" s="100">
        <f t="shared" si="298"/>
        <v>0</v>
      </c>
    </row>
    <row r="922" spans="1:404" ht="30.75" customHeight="1">
      <c r="A922" s="97" t="s">
        <v>1370</v>
      </c>
      <c r="B922" s="95">
        <v>44403</v>
      </c>
      <c r="C922" s="97">
        <f t="shared" ca="1" si="303"/>
        <v>-661</v>
      </c>
      <c r="D922" s="112" t="s">
        <v>1382</v>
      </c>
      <c r="E922" s="123" t="s">
        <v>1389</v>
      </c>
      <c r="F922" s="98" t="str">
        <f t="shared" si="304"/>
        <v>B</v>
      </c>
      <c r="G922" s="110">
        <f ca="1">SUMIF($A:E,$A922,K:K)</f>
        <v>5654</v>
      </c>
      <c r="H922" s="97" t="s">
        <v>1403</v>
      </c>
      <c r="I922" s="175">
        <v>1</v>
      </c>
      <c r="J922" s="115">
        <v>1</v>
      </c>
      <c r="K922" s="143">
        <f t="shared" si="297"/>
        <v>1</v>
      </c>
      <c r="L922" s="144">
        <f t="shared" si="284"/>
        <v>0</v>
      </c>
      <c r="M922" s="275">
        <f t="shared" si="295"/>
        <v>1</v>
      </c>
      <c r="N922" s="98">
        <v>5</v>
      </c>
      <c r="O922" s="93">
        <f t="shared" si="302"/>
        <v>100</v>
      </c>
      <c r="GI922" s="100">
        <v>1</v>
      </c>
      <c r="ON922" s="100">
        <f t="shared" si="298"/>
        <v>0</v>
      </c>
    </row>
    <row r="923" spans="1:404" ht="23.25" customHeight="1">
      <c r="A923" s="97" t="s">
        <v>1370</v>
      </c>
      <c r="B923" s="95">
        <v>44402</v>
      </c>
      <c r="C923" s="97">
        <f t="shared" ca="1" si="303"/>
        <v>-662</v>
      </c>
      <c r="D923" s="112" t="s">
        <v>1320</v>
      </c>
      <c r="E923" s="123" t="s">
        <v>1389</v>
      </c>
      <c r="F923" s="98" t="str">
        <f t="shared" si="304"/>
        <v>B</v>
      </c>
      <c r="G923" s="110">
        <f ca="1">SUMIF($A:E,$A923,K:K)</f>
        <v>5654</v>
      </c>
      <c r="H923" s="112" t="s">
        <v>1404</v>
      </c>
      <c r="I923" s="175">
        <v>1</v>
      </c>
      <c r="J923" s="115">
        <v>1</v>
      </c>
      <c r="K923" s="143">
        <f t="shared" si="297"/>
        <v>1</v>
      </c>
      <c r="L923" s="144">
        <f t="shared" ref="L923:L977" si="305">J923-K923</f>
        <v>0</v>
      </c>
      <c r="M923" s="275">
        <f t="shared" si="295"/>
        <v>1</v>
      </c>
      <c r="N923" s="98">
        <v>5</v>
      </c>
      <c r="O923" s="93">
        <f t="shared" si="302"/>
        <v>100</v>
      </c>
      <c r="GK923" s="100">
        <v>1</v>
      </c>
      <c r="ON923" s="100">
        <f t="shared" si="298"/>
        <v>0</v>
      </c>
    </row>
    <row r="924" spans="1:404" ht="23.25" customHeight="1">
      <c r="A924" s="97" t="s">
        <v>1370</v>
      </c>
      <c r="B924" s="95">
        <v>44402</v>
      </c>
      <c r="C924" s="97">
        <f t="shared" ca="1" si="303"/>
        <v>-662</v>
      </c>
      <c r="D924" s="112" t="s">
        <v>1320</v>
      </c>
      <c r="E924" s="123" t="s">
        <v>1389</v>
      </c>
      <c r="F924" s="98" t="str">
        <f t="shared" si="304"/>
        <v>B</v>
      </c>
      <c r="G924" s="110">
        <f ca="1">SUMIF($A:E,$A924,K:K)</f>
        <v>5654</v>
      </c>
      <c r="H924" s="112" t="s">
        <v>1405</v>
      </c>
      <c r="I924" s="175">
        <v>2</v>
      </c>
      <c r="J924" s="115">
        <v>2</v>
      </c>
      <c r="K924" s="143">
        <f t="shared" si="297"/>
        <v>2</v>
      </c>
      <c r="L924" s="144">
        <f t="shared" si="305"/>
        <v>0</v>
      </c>
      <c r="M924" s="275">
        <f t="shared" si="295"/>
        <v>2</v>
      </c>
      <c r="N924" s="98">
        <v>5</v>
      </c>
      <c r="O924" s="93">
        <f t="shared" si="302"/>
        <v>100</v>
      </c>
      <c r="GJ924" s="100">
        <v>2</v>
      </c>
      <c r="ON924" s="100">
        <f t="shared" si="298"/>
        <v>0</v>
      </c>
    </row>
    <row r="925" spans="1:404" ht="23.25" customHeight="1">
      <c r="A925" s="97" t="s">
        <v>2001</v>
      </c>
      <c r="B925" s="95">
        <v>44528</v>
      </c>
      <c r="C925" s="97">
        <f t="shared" ca="1" si="303"/>
        <v>-536</v>
      </c>
      <c r="D925" s="112" t="s">
        <v>1998</v>
      </c>
      <c r="E925" s="123" t="s">
        <v>1389</v>
      </c>
      <c r="F925" s="98" t="s">
        <v>561</v>
      </c>
      <c r="G925" s="110">
        <v>325</v>
      </c>
      <c r="H925" s="97" t="s">
        <v>616</v>
      </c>
      <c r="I925" s="175">
        <v>176</v>
      </c>
      <c r="J925" s="115">
        <v>176</v>
      </c>
      <c r="K925" s="143">
        <f t="shared" si="297"/>
        <v>176</v>
      </c>
      <c r="L925" s="144">
        <f t="shared" ref="L925:L926" si="306">J925-K925</f>
        <v>0</v>
      </c>
      <c r="M925" s="275">
        <f t="shared" si="295"/>
        <v>176</v>
      </c>
      <c r="N925" s="98">
        <v>2</v>
      </c>
      <c r="O925" s="93">
        <f t="shared" si="302"/>
        <v>100</v>
      </c>
      <c r="IU925" s="100">
        <v>1</v>
      </c>
      <c r="IW925" s="100">
        <v>23</v>
      </c>
      <c r="IZ925" s="100">
        <v>12</v>
      </c>
      <c r="JA925" s="100">
        <v>12</v>
      </c>
      <c r="JB925" s="100">
        <v>7</v>
      </c>
      <c r="JC925" s="100">
        <v>11</v>
      </c>
      <c r="JF925" s="100">
        <v>6</v>
      </c>
      <c r="JG925" s="100">
        <v>7</v>
      </c>
      <c r="JH925" s="100">
        <v>11</v>
      </c>
      <c r="JI925" s="100">
        <v>13</v>
      </c>
      <c r="JJ925" s="100">
        <v>5</v>
      </c>
      <c r="JK925" s="100">
        <v>6</v>
      </c>
      <c r="JN925" s="100">
        <v>6</v>
      </c>
      <c r="KU925" s="100">
        <v>1</v>
      </c>
      <c r="KY925" s="100">
        <v>5</v>
      </c>
      <c r="KZ925" s="100">
        <v>6</v>
      </c>
      <c r="LB925" s="100">
        <v>7</v>
      </c>
      <c r="LC925" s="100">
        <v>12</v>
      </c>
      <c r="LD925" s="100">
        <v>12</v>
      </c>
      <c r="LE925" s="100">
        <v>13</v>
      </c>
      <c r="ON925" s="100">
        <f t="shared" si="298"/>
        <v>0</v>
      </c>
    </row>
    <row r="926" spans="1:404" ht="23.25" customHeight="1">
      <c r="A926" s="97" t="str">
        <f>D926&amp;E926</f>
        <v>027T/WESTELM-21-đ166-87100-S1-B</v>
      </c>
      <c r="B926" s="95">
        <v>44490</v>
      </c>
      <c r="C926" s="97">
        <f t="shared" ca="1" si="303"/>
        <v>-574</v>
      </c>
      <c r="D926" s="112" t="s">
        <v>2000</v>
      </c>
      <c r="E926" s="123" t="s">
        <v>1389</v>
      </c>
      <c r="F926" s="98" t="str">
        <f t="shared" ref="F926:F944" si="307">MID(E926,13,2)</f>
        <v>B</v>
      </c>
      <c r="G926" s="110">
        <f ca="1">SUMIF($A:E,$A926,K:K)</f>
        <v>211</v>
      </c>
      <c r="H926" s="97" t="s">
        <v>616</v>
      </c>
      <c r="I926" s="175">
        <v>211</v>
      </c>
      <c r="J926" s="115">
        <v>211</v>
      </c>
      <c r="K926" s="143">
        <f t="shared" si="297"/>
        <v>211</v>
      </c>
      <c r="L926" s="144">
        <f t="shared" si="306"/>
        <v>0</v>
      </c>
      <c r="M926" s="275">
        <f t="shared" si="295"/>
        <v>211</v>
      </c>
      <c r="N926" s="98">
        <v>2</v>
      </c>
      <c r="O926" s="93">
        <f t="shared" si="302"/>
        <v>100</v>
      </c>
      <c r="HM926" s="100">
        <v>3</v>
      </c>
      <c r="HQ926" s="100">
        <v>3</v>
      </c>
      <c r="HR926" s="100">
        <v>8</v>
      </c>
      <c r="HS926" s="100">
        <v>6</v>
      </c>
      <c r="HT926" s="100">
        <v>4</v>
      </c>
      <c r="HU926" s="100">
        <v>6</v>
      </c>
      <c r="HW926" s="100">
        <v>6</v>
      </c>
      <c r="HX926" s="100">
        <v>16</v>
      </c>
      <c r="HY926" s="100">
        <v>10</v>
      </c>
      <c r="ID926" s="100">
        <v>3</v>
      </c>
      <c r="IE926" s="100">
        <v>26</v>
      </c>
      <c r="IG926" s="100">
        <v>9</v>
      </c>
      <c r="IH926" s="100">
        <v>11</v>
      </c>
      <c r="II926" s="100">
        <v>4</v>
      </c>
      <c r="IK926" s="100">
        <v>8</v>
      </c>
      <c r="IL926" s="100">
        <v>20</v>
      </c>
      <c r="IM926" s="100">
        <v>15</v>
      </c>
      <c r="IN926" s="100">
        <v>15</v>
      </c>
      <c r="IR926" s="100">
        <v>12</v>
      </c>
      <c r="IS926" s="100">
        <v>11</v>
      </c>
      <c r="IT926" s="100">
        <v>15</v>
      </c>
      <c r="ON926" s="100">
        <f t="shared" si="298"/>
        <v>0</v>
      </c>
    </row>
    <row r="927" spans="1:404" ht="24" customHeight="1">
      <c r="A927" s="97" t="str">
        <f>D927&amp;E927</f>
        <v>029T/WESTELM-2166-87100-S1-B</v>
      </c>
      <c r="B927" s="95">
        <v>44515</v>
      </c>
      <c r="C927" s="97">
        <f t="shared" ca="1" si="303"/>
        <v>-549</v>
      </c>
      <c r="D927" s="112" t="s">
        <v>1544</v>
      </c>
      <c r="E927" s="123" t="s">
        <v>1389</v>
      </c>
      <c r="F927" s="98" t="str">
        <f t="shared" si="307"/>
        <v>B</v>
      </c>
      <c r="G927" s="110">
        <f ca="1">SUMIF($A:E,$A927,K:K)</f>
        <v>148</v>
      </c>
      <c r="H927" s="112" t="s">
        <v>1545</v>
      </c>
      <c r="I927" s="175">
        <v>148</v>
      </c>
      <c r="J927" s="115">
        <v>148</v>
      </c>
      <c r="K927" s="143">
        <f t="shared" si="297"/>
        <v>148</v>
      </c>
      <c r="L927" s="144">
        <f t="shared" si="305"/>
        <v>0</v>
      </c>
      <c r="M927" s="275">
        <f t="shared" si="295"/>
        <v>148</v>
      </c>
      <c r="N927" s="98">
        <v>2</v>
      </c>
      <c r="O927" s="93">
        <f t="shared" si="302"/>
        <v>100</v>
      </c>
      <c r="JM927" s="100">
        <v>6</v>
      </c>
      <c r="JO927" s="100">
        <v>6</v>
      </c>
      <c r="JP927" s="100">
        <v>8</v>
      </c>
      <c r="JR927" s="100">
        <v>6</v>
      </c>
      <c r="JT927" s="100">
        <v>7</v>
      </c>
      <c r="JU927" s="100">
        <v>22</v>
      </c>
      <c r="JV927" s="100">
        <v>6</v>
      </c>
      <c r="JX927" s="100">
        <v>12</v>
      </c>
      <c r="JY927" s="100">
        <v>18</v>
      </c>
      <c r="KA927" s="100">
        <v>12</v>
      </c>
      <c r="KB927" s="100">
        <v>6</v>
      </c>
      <c r="KC927" s="100">
        <v>12</v>
      </c>
      <c r="KD927" s="100">
        <v>12</v>
      </c>
      <c r="KE927" s="100">
        <v>12</v>
      </c>
      <c r="KF927" s="100">
        <v>3</v>
      </c>
      <c r="ON927" s="100">
        <f t="shared" si="298"/>
        <v>0</v>
      </c>
    </row>
    <row r="928" spans="1:404" ht="35.25" customHeight="1">
      <c r="A928" s="97" t="str">
        <f>D928&amp;E928</f>
        <v>030T/WESTELM-2166-87100-S1-B</v>
      </c>
      <c r="B928" s="95">
        <v>44524</v>
      </c>
      <c r="C928" s="97">
        <f t="shared" ca="1" si="303"/>
        <v>-540</v>
      </c>
      <c r="D928" s="112" t="s">
        <v>1592</v>
      </c>
      <c r="E928" s="123" t="s">
        <v>1389</v>
      </c>
      <c r="F928" s="98" t="str">
        <f t="shared" si="307"/>
        <v>B</v>
      </c>
      <c r="G928" s="110">
        <f ca="1">SUMIF($A:E,$A928,K:K)</f>
        <v>123</v>
      </c>
      <c r="H928" s="97" t="s">
        <v>1593</v>
      </c>
      <c r="I928" s="175">
        <v>123</v>
      </c>
      <c r="J928" s="115">
        <v>123</v>
      </c>
      <c r="K928" s="143">
        <f t="shared" si="297"/>
        <v>123</v>
      </c>
      <c r="L928" s="144">
        <f t="shared" si="305"/>
        <v>0</v>
      </c>
      <c r="M928" s="275">
        <f t="shared" si="295"/>
        <v>123</v>
      </c>
      <c r="N928" s="98">
        <v>2</v>
      </c>
      <c r="O928" s="93">
        <f t="shared" si="302"/>
        <v>100</v>
      </c>
      <c r="KF928" s="100">
        <v>9</v>
      </c>
      <c r="KG928" s="100">
        <v>12</v>
      </c>
      <c r="KH928" s="100">
        <v>6</v>
      </c>
      <c r="KI928" s="100">
        <v>12</v>
      </c>
      <c r="KJ928" s="100">
        <v>12</v>
      </c>
      <c r="KN928" s="100">
        <v>11</v>
      </c>
      <c r="KO928" s="100">
        <v>13</v>
      </c>
      <c r="KP928" s="100">
        <v>11</v>
      </c>
      <c r="KQ928" s="100">
        <v>13</v>
      </c>
      <c r="KS928" s="100">
        <v>12</v>
      </c>
      <c r="KU928" s="100">
        <v>12</v>
      </c>
      <c r="ON928" s="100">
        <f t="shared" si="298"/>
        <v>0</v>
      </c>
    </row>
    <row r="929" spans="1:404" ht="35.25" customHeight="1">
      <c r="A929" s="97" t="str">
        <f>D929&amp;E929</f>
        <v>031T/WESTELM-2166-87100-S1-B</v>
      </c>
      <c r="B929" s="95">
        <v>44547</v>
      </c>
      <c r="C929" s="97">
        <f t="shared" ca="1" si="303"/>
        <v>-517</v>
      </c>
      <c r="D929" s="112" t="s">
        <v>1688</v>
      </c>
      <c r="E929" s="123" t="s">
        <v>1389</v>
      </c>
      <c r="F929" s="98" t="str">
        <f t="shared" si="307"/>
        <v>B</v>
      </c>
      <c r="G929" s="110">
        <f ca="1">SUMIF($A:E,$A929,K:K)</f>
        <v>156</v>
      </c>
      <c r="H929" s="112" t="s">
        <v>616</v>
      </c>
      <c r="I929" s="248">
        <v>156</v>
      </c>
      <c r="J929" s="115">
        <v>156</v>
      </c>
      <c r="K929" s="143">
        <f t="shared" si="297"/>
        <v>156</v>
      </c>
      <c r="L929" s="144">
        <f t="shared" si="305"/>
        <v>0</v>
      </c>
      <c r="M929" s="275">
        <f t="shared" si="295"/>
        <v>156</v>
      </c>
      <c r="N929" s="98">
        <v>2</v>
      </c>
      <c r="O929" s="93">
        <f t="shared" si="302"/>
        <v>100</v>
      </c>
      <c r="LE929" s="100">
        <v>11</v>
      </c>
      <c r="LF929" s="100">
        <v>4</v>
      </c>
      <c r="LG929" s="100">
        <v>16</v>
      </c>
      <c r="LI929" s="100">
        <v>1</v>
      </c>
      <c r="LJ929" s="100">
        <v>6</v>
      </c>
      <c r="LK929" s="100">
        <v>11</v>
      </c>
      <c r="LM929" s="100">
        <v>22</v>
      </c>
      <c r="LN929" s="100">
        <v>12</v>
      </c>
      <c r="LP929" s="100">
        <v>4</v>
      </c>
      <c r="LQ929" s="100">
        <v>10</v>
      </c>
      <c r="LS929" s="100">
        <v>28</v>
      </c>
      <c r="LT929" s="100">
        <v>6</v>
      </c>
      <c r="LU929" s="100">
        <v>12</v>
      </c>
      <c r="LW929" s="100">
        <v>6</v>
      </c>
      <c r="LX929" s="100">
        <v>6</v>
      </c>
      <c r="LY929" s="100">
        <v>1</v>
      </c>
      <c r="ON929" s="100">
        <f t="shared" si="298"/>
        <v>0</v>
      </c>
    </row>
    <row r="930" spans="1:404" ht="35.25" customHeight="1">
      <c r="A930" s="97" t="str">
        <f>D930&amp;E930</f>
        <v xml:space="preserve">	002/WESTELM-VG_SR-2166-87100-S1-B</v>
      </c>
      <c r="B930" s="95">
        <v>44454</v>
      </c>
      <c r="C930" s="97">
        <f t="shared" ca="1" si="303"/>
        <v>-610</v>
      </c>
      <c r="D930" s="112" t="s">
        <v>1801</v>
      </c>
      <c r="E930" s="123" t="s">
        <v>1389</v>
      </c>
      <c r="F930" s="98" t="str">
        <f t="shared" si="307"/>
        <v>B</v>
      </c>
      <c r="G930" s="110">
        <f ca="1">SUMIF($A:E,$A930,K:K)</f>
        <v>6</v>
      </c>
      <c r="H930" s="112" t="s">
        <v>820</v>
      </c>
      <c r="I930" s="175">
        <v>6</v>
      </c>
      <c r="J930" s="115">
        <v>6</v>
      </c>
      <c r="K930" s="143">
        <f t="shared" si="297"/>
        <v>6</v>
      </c>
      <c r="L930" s="144">
        <f t="shared" si="305"/>
        <v>0</v>
      </c>
      <c r="M930" s="275">
        <f t="shared" si="295"/>
        <v>6</v>
      </c>
      <c r="N930" s="211">
        <v>2</v>
      </c>
      <c r="O930" s="93">
        <f t="shared" si="302"/>
        <v>100</v>
      </c>
      <c r="IG930" s="100">
        <v>3</v>
      </c>
      <c r="IK930" s="100">
        <v>3</v>
      </c>
      <c r="ON930" s="100">
        <f t="shared" si="298"/>
        <v>0</v>
      </c>
    </row>
    <row r="931" spans="1:404" ht="35.25" customHeight="1">
      <c r="A931" s="97" t="s">
        <v>1370</v>
      </c>
      <c r="B931" s="95">
        <v>44403</v>
      </c>
      <c r="C931" s="97">
        <f t="shared" ca="1" si="303"/>
        <v>-661</v>
      </c>
      <c r="D931" s="112" t="s">
        <v>1382</v>
      </c>
      <c r="E931" s="123" t="s">
        <v>1388</v>
      </c>
      <c r="F931" s="98" t="str">
        <f t="shared" si="307"/>
        <v>B</v>
      </c>
      <c r="G931" s="110">
        <f ca="1">SUMIF($A:E,$A931,K:K)</f>
        <v>5654</v>
      </c>
      <c r="H931" s="97" t="s">
        <v>1403</v>
      </c>
      <c r="I931" s="175">
        <v>1</v>
      </c>
      <c r="J931" s="115">
        <v>1</v>
      </c>
      <c r="K931" s="143">
        <f t="shared" si="297"/>
        <v>1</v>
      </c>
      <c r="L931" s="144">
        <f t="shared" si="305"/>
        <v>0</v>
      </c>
      <c r="M931" s="275">
        <f t="shared" si="295"/>
        <v>1</v>
      </c>
      <c r="N931" s="98">
        <v>5</v>
      </c>
      <c r="O931" s="93">
        <f t="shared" si="302"/>
        <v>100</v>
      </c>
      <c r="GI931" s="100">
        <v>1</v>
      </c>
      <c r="ON931" s="100">
        <f t="shared" si="298"/>
        <v>0</v>
      </c>
    </row>
    <row r="932" spans="1:404" ht="23.25" customHeight="1">
      <c r="A932" s="97" t="s">
        <v>1370</v>
      </c>
      <c r="B932" s="95">
        <v>44402</v>
      </c>
      <c r="C932" s="97">
        <f t="shared" ca="1" si="303"/>
        <v>-662</v>
      </c>
      <c r="D932" s="112" t="s">
        <v>1320</v>
      </c>
      <c r="E932" s="123" t="s">
        <v>1388</v>
      </c>
      <c r="F932" s="98" t="str">
        <f t="shared" si="307"/>
        <v>B</v>
      </c>
      <c r="G932" s="110">
        <f ca="1">SUMIF($A:E,$A932,K:K)</f>
        <v>5654</v>
      </c>
      <c r="H932" s="112" t="s">
        <v>1404</v>
      </c>
      <c r="I932" s="175">
        <v>1</v>
      </c>
      <c r="J932" s="115">
        <v>1</v>
      </c>
      <c r="K932" s="143">
        <f t="shared" si="297"/>
        <v>1</v>
      </c>
      <c r="L932" s="144">
        <f t="shared" si="305"/>
        <v>0</v>
      </c>
      <c r="M932" s="275">
        <f t="shared" si="295"/>
        <v>1</v>
      </c>
      <c r="N932" s="98">
        <v>5</v>
      </c>
      <c r="O932" s="93">
        <f t="shared" si="302"/>
        <v>100</v>
      </c>
      <c r="GJ932" s="100">
        <v>1</v>
      </c>
      <c r="ON932" s="100">
        <f t="shared" si="298"/>
        <v>0</v>
      </c>
    </row>
    <row r="933" spans="1:404" ht="23.25" customHeight="1">
      <c r="A933" s="97" t="s">
        <v>1370</v>
      </c>
      <c r="B933" s="95">
        <v>44402</v>
      </c>
      <c r="C933" s="97">
        <f t="shared" ca="1" si="303"/>
        <v>-662</v>
      </c>
      <c r="D933" s="112" t="s">
        <v>1320</v>
      </c>
      <c r="E933" s="123" t="s">
        <v>1388</v>
      </c>
      <c r="F933" s="98" t="str">
        <f t="shared" si="307"/>
        <v>B</v>
      </c>
      <c r="G933" s="110">
        <f ca="1">SUMIF($A:E,$A933,K:K)</f>
        <v>5654</v>
      </c>
      <c r="H933" s="112" t="s">
        <v>1405</v>
      </c>
      <c r="I933" s="175">
        <v>2</v>
      </c>
      <c r="J933" s="115">
        <v>2</v>
      </c>
      <c r="K933" s="143">
        <f t="shared" si="297"/>
        <v>2</v>
      </c>
      <c r="L933" s="144">
        <f t="shared" si="305"/>
        <v>0</v>
      </c>
      <c r="M933" s="275">
        <f t="shared" si="295"/>
        <v>2</v>
      </c>
      <c r="N933" s="98">
        <v>5</v>
      </c>
      <c r="O933" s="93">
        <f t="shared" si="302"/>
        <v>100</v>
      </c>
      <c r="GJ933" s="100">
        <v>1</v>
      </c>
      <c r="GK933" s="100">
        <v>1</v>
      </c>
      <c r="ON933" s="100">
        <f t="shared" si="298"/>
        <v>0</v>
      </c>
    </row>
    <row r="934" spans="1:404" ht="23.25" customHeight="1">
      <c r="A934" s="97" t="str">
        <f>D934&amp;E934</f>
        <v>027T/WESTELM-21-đ166-87000-S1-B</v>
      </c>
      <c r="B934" s="95">
        <v>44528</v>
      </c>
      <c r="C934" s="97">
        <f t="shared" ca="1" si="303"/>
        <v>-536</v>
      </c>
      <c r="D934" s="112" t="s">
        <v>2000</v>
      </c>
      <c r="E934" s="123" t="s">
        <v>1388</v>
      </c>
      <c r="F934" s="98" t="str">
        <f t="shared" si="307"/>
        <v>B</v>
      </c>
      <c r="G934" s="110">
        <f ca="1">SUMIF($A:E,$A934,K:K)</f>
        <v>154</v>
      </c>
      <c r="H934" s="97" t="s">
        <v>616</v>
      </c>
      <c r="I934" s="175">
        <v>154</v>
      </c>
      <c r="J934" s="115">
        <v>154</v>
      </c>
      <c r="K934" s="143">
        <f t="shared" si="297"/>
        <v>154</v>
      </c>
      <c r="L934" s="144">
        <f t="shared" si="305"/>
        <v>0</v>
      </c>
      <c r="M934" s="275">
        <f t="shared" si="295"/>
        <v>154</v>
      </c>
      <c r="N934" s="98">
        <v>1</v>
      </c>
      <c r="O934" s="93">
        <f t="shared" si="302"/>
        <v>100</v>
      </c>
      <c r="HN934" s="100">
        <v>1</v>
      </c>
      <c r="HQ934" s="100">
        <v>3</v>
      </c>
      <c r="HS934" s="100">
        <v>6</v>
      </c>
      <c r="HT934" s="100">
        <v>3</v>
      </c>
      <c r="HW934" s="100">
        <v>4</v>
      </c>
      <c r="HX934" s="100">
        <v>2</v>
      </c>
      <c r="HY934" s="100">
        <v>8</v>
      </c>
      <c r="IB934" s="100">
        <v>3</v>
      </c>
      <c r="IE934" s="100">
        <v>1</v>
      </c>
      <c r="IF934" s="100">
        <v>6</v>
      </c>
      <c r="IG934" s="100">
        <v>7</v>
      </c>
      <c r="IH934" s="100">
        <v>9</v>
      </c>
      <c r="II934" s="100">
        <v>1</v>
      </c>
      <c r="IK934" s="100">
        <v>6</v>
      </c>
      <c r="IL934" s="100">
        <v>9</v>
      </c>
      <c r="IN934" s="100">
        <v>1</v>
      </c>
      <c r="IO934" s="100">
        <v>5</v>
      </c>
      <c r="IP934" s="100">
        <v>3</v>
      </c>
      <c r="IS934" s="100">
        <v>6</v>
      </c>
      <c r="IT934" s="100">
        <v>6</v>
      </c>
      <c r="IU934" s="100">
        <v>3</v>
      </c>
      <c r="IV934" s="100">
        <v>5</v>
      </c>
      <c r="IW934" s="100">
        <v>6</v>
      </c>
      <c r="IY934" s="100">
        <v>2</v>
      </c>
      <c r="IZ934" s="100">
        <v>3</v>
      </c>
      <c r="JA934" s="100">
        <v>2</v>
      </c>
      <c r="JB934" s="100">
        <v>15</v>
      </c>
      <c r="KH934" s="100">
        <v>3</v>
      </c>
      <c r="KI934" s="100">
        <v>3</v>
      </c>
      <c r="KJ934" s="100">
        <v>8</v>
      </c>
      <c r="KN934" s="100">
        <v>3</v>
      </c>
      <c r="KO934" s="100">
        <v>11</v>
      </c>
      <c r="ON934" s="100">
        <f t="shared" si="298"/>
        <v>0</v>
      </c>
    </row>
    <row r="935" spans="1:404" ht="23.25" customHeight="1">
      <c r="A935" s="97" t="str">
        <f>D935&amp;E935</f>
        <v>029T/WESTELM-2166-87000-S1-B</v>
      </c>
      <c r="B935" s="95">
        <v>44515</v>
      </c>
      <c r="C935" s="97">
        <f t="shared" ca="1" si="303"/>
        <v>-549</v>
      </c>
      <c r="D935" s="112" t="s">
        <v>1544</v>
      </c>
      <c r="E935" s="123" t="s">
        <v>1388</v>
      </c>
      <c r="F935" s="98" t="str">
        <f t="shared" si="307"/>
        <v>B</v>
      </c>
      <c r="G935" s="110">
        <f ca="1">SUMIF($A:E,$A935,K:K)</f>
        <v>114</v>
      </c>
      <c r="H935" s="112" t="s">
        <v>1545</v>
      </c>
      <c r="I935" s="175">
        <v>114</v>
      </c>
      <c r="J935" s="115">
        <v>114</v>
      </c>
      <c r="K935" s="143">
        <f t="shared" si="297"/>
        <v>114</v>
      </c>
      <c r="L935" s="144">
        <f t="shared" si="305"/>
        <v>0</v>
      </c>
      <c r="M935" s="275">
        <f t="shared" si="295"/>
        <v>114</v>
      </c>
      <c r="N935" s="98">
        <v>1</v>
      </c>
      <c r="O935" s="93">
        <f t="shared" si="302"/>
        <v>100</v>
      </c>
      <c r="JC935" s="100">
        <v>2</v>
      </c>
      <c r="JD935" s="100">
        <v>2</v>
      </c>
      <c r="JF935" s="100">
        <v>3</v>
      </c>
      <c r="JG935" s="100">
        <v>4</v>
      </c>
      <c r="JH935" s="100">
        <v>2</v>
      </c>
      <c r="JI935" s="100">
        <v>6</v>
      </c>
      <c r="JJ935" s="100">
        <v>3</v>
      </c>
      <c r="JK935" s="100">
        <v>3</v>
      </c>
      <c r="JM935" s="100">
        <v>4</v>
      </c>
      <c r="JN935" s="100">
        <v>6</v>
      </c>
      <c r="JO935" s="100">
        <v>3</v>
      </c>
      <c r="JQ935" s="100">
        <v>6</v>
      </c>
      <c r="JR935" s="100">
        <v>2</v>
      </c>
      <c r="JT935" s="100">
        <v>3</v>
      </c>
      <c r="JU935" s="100">
        <v>5</v>
      </c>
      <c r="JV935" s="100">
        <v>3</v>
      </c>
      <c r="JX935" s="100">
        <v>3</v>
      </c>
      <c r="JY935" s="100">
        <v>7</v>
      </c>
      <c r="KA935" s="100">
        <v>5</v>
      </c>
      <c r="KB935" s="100">
        <v>8</v>
      </c>
      <c r="KC935" s="100">
        <v>9</v>
      </c>
      <c r="KD935" s="100">
        <v>6</v>
      </c>
      <c r="KE935" s="100">
        <v>3</v>
      </c>
      <c r="KF935" s="100">
        <v>9</v>
      </c>
      <c r="KG935" s="100">
        <v>3</v>
      </c>
      <c r="KH935" s="100">
        <v>4</v>
      </c>
      <c r="ON935" s="100">
        <f t="shared" si="298"/>
        <v>0</v>
      </c>
    </row>
    <row r="936" spans="1:404" ht="23.25" customHeight="1">
      <c r="A936" s="97" t="str">
        <f>D936&amp;E936</f>
        <v>030T/WESTELM-2166-87000-S1-B</v>
      </c>
      <c r="B936" s="95">
        <v>44524</v>
      </c>
      <c r="C936" s="97">
        <f t="shared" ca="1" si="303"/>
        <v>-540</v>
      </c>
      <c r="D936" s="112" t="s">
        <v>1592</v>
      </c>
      <c r="E936" s="123" t="s">
        <v>1388</v>
      </c>
      <c r="F936" s="98" t="str">
        <f t="shared" si="307"/>
        <v>B</v>
      </c>
      <c r="G936" s="110">
        <f ca="1">SUMIF($A:E,$A936,K:K)</f>
        <v>124</v>
      </c>
      <c r="H936" s="97" t="s">
        <v>1593</v>
      </c>
      <c r="I936" s="175">
        <v>124</v>
      </c>
      <c r="J936" s="115">
        <v>124</v>
      </c>
      <c r="K936" s="143">
        <f t="shared" si="297"/>
        <v>124</v>
      </c>
      <c r="L936" s="144">
        <f t="shared" si="305"/>
        <v>0</v>
      </c>
      <c r="M936" s="275">
        <f t="shared" si="295"/>
        <v>124</v>
      </c>
      <c r="N936" s="98">
        <v>1</v>
      </c>
      <c r="O936" s="93">
        <f t="shared" si="302"/>
        <v>100</v>
      </c>
      <c r="KO936" s="100">
        <v>1</v>
      </c>
      <c r="KQ936" s="100">
        <v>3</v>
      </c>
      <c r="KS936" s="100">
        <v>6</v>
      </c>
      <c r="KU936" s="100">
        <v>3</v>
      </c>
      <c r="KV936" s="100">
        <v>10</v>
      </c>
      <c r="KW936" s="100">
        <v>4</v>
      </c>
      <c r="KX936" s="100">
        <v>6</v>
      </c>
      <c r="KY936" s="100">
        <v>10</v>
      </c>
      <c r="KZ936" s="100">
        <v>3</v>
      </c>
      <c r="LB936" s="100">
        <v>8</v>
      </c>
      <c r="LC936" s="100">
        <v>11</v>
      </c>
      <c r="LE936" s="100">
        <v>9</v>
      </c>
      <c r="LF936" s="100">
        <v>19</v>
      </c>
      <c r="LG936" s="100">
        <v>17</v>
      </c>
      <c r="LI936" s="100">
        <v>5</v>
      </c>
      <c r="LJ936" s="100">
        <v>3</v>
      </c>
      <c r="LK936" s="100">
        <v>1</v>
      </c>
      <c r="LL936" s="100">
        <v>5</v>
      </c>
      <c r="ON936" s="100">
        <f t="shared" si="298"/>
        <v>0</v>
      </c>
    </row>
    <row r="937" spans="1:404" ht="23.25" customHeight="1">
      <c r="A937" s="97" t="str">
        <f>D937&amp;E937</f>
        <v xml:space="preserve">	002/WESTELM-VG_SR-2166-87000-S1-B</v>
      </c>
      <c r="B937" s="95">
        <v>44454</v>
      </c>
      <c r="C937" s="97">
        <f t="shared" ca="1" si="303"/>
        <v>-610</v>
      </c>
      <c r="D937" s="112" t="s">
        <v>1801</v>
      </c>
      <c r="E937" s="123" t="s">
        <v>1388</v>
      </c>
      <c r="F937" s="98" t="str">
        <f t="shared" si="307"/>
        <v>B</v>
      </c>
      <c r="G937" s="110">
        <f ca="1">SUMIF($A:E,$A937,K:K)</f>
        <v>6</v>
      </c>
      <c r="H937" s="112" t="s">
        <v>820</v>
      </c>
      <c r="I937" s="175">
        <v>6</v>
      </c>
      <c r="J937" s="115">
        <v>6</v>
      </c>
      <c r="K937" s="143">
        <f t="shared" si="297"/>
        <v>6</v>
      </c>
      <c r="L937" s="144">
        <f t="shared" si="305"/>
        <v>0</v>
      </c>
      <c r="M937" s="275">
        <f t="shared" si="295"/>
        <v>6</v>
      </c>
      <c r="N937" s="211">
        <v>1</v>
      </c>
      <c r="O937" s="93">
        <f t="shared" si="302"/>
        <v>100</v>
      </c>
      <c r="IH937" s="100">
        <v>6</v>
      </c>
      <c r="ON937" s="100">
        <f t="shared" si="298"/>
        <v>0</v>
      </c>
    </row>
    <row r="938" spans="1:404" ht="23.25" customHeight="1">
      <c r="A938" s="97" t="s">
        <v>1370</v>
      </c>
      <c r="B938" s="95">
        <v>44403</v>
      </c>
      <c r="C938" s="97">
        <f t="shared" ca="1" si="303"/>
        <v>-661</v>
      </c>
      <c r="D938" s="112" t="s">
        <v>1382</v>
      </c>
      <c r="E938" s="123" t="s">
        <v>1387</v>
      </c>
      <c r="F938" s="98" t="str">
        <f t="shared" si="307"/>
        <v>B</v>
      </c>
      <c r="G938" s="110">
        <f ca="1">SUMIF($A:E,$A938,K:K)</f>
        <v>5654</v>
      </c>
      <c r="H938" s="97" t="s">
        <v>1403</v>
      </c>
      <c r="I938" s="175">
        <v>1</v>
      </c>
      <c r="J938" s="115">
        <v>1</v>
      </c>
      <c r="K938" s="143">
        <f t="shared" si="297"/>
        <v>1</v>
      </c>
      <c r="L938" s="144">
        <f t="shared" si="305"/>
        <v>0</v>
      </c>
      <c r="M938" s="275">
        <f t="shared" si="295"/>
        <v>1</v>
      </c>
      <c r="N938" s="98">
        <v>5</v>
      </c>
      <c r="O938" s="93">
        <f t="shared" si="302"/>
        <v>100</v>
      </c>
      <c r="GO938" s="100">
        <v>1</v>
      </c>
      <c r="ON938" s="100">
        <f t="shared" si="298"/>
        <v>0</v>
      </c>
    </row>
    <row r="939" spans="1:404" ht="23.25" customHeight="1">
      <c r="A939" s="97" t="s">
        <v>1370</v>
      </c>
      <c r="B939" s="95">
        <v>44402</v>
      </c>
      <c r="C939" s="97">
        <f t="shared" ca="1" si="303"/>
        <v>-662</v>
      </c>
      <c r="D939" s="112" t="s">
        <v>1320</v>
      </c>
      <c r="E939" s="123" t="s">
        <v>1387</v>
      </c>
      <c r="F939" s="98" t="str">
        <f t="shared" si="307"/>
        <v>B</v>
      </c>
      <c r="G939" s="110">
        <f ca="1">SUMIF($A:E,$A939,K:K)</f>
        <v>5654</v>
      </c>
      <c r="H939" s="112" t="s">
        <v>1404</v>
      </c>
      <c r="I939" s="175">
        <v>1</v>
      </c>
      <c r="J939" s="115">
        <v>1</v>
      </c>
      <c r="K939" s="143">
        <f t="shared" si="297"/>
        <v>1</v>
      </c>
      <c r="L939" s="144">
        <f t="shared" si="305"/>
        <v>0</v>
      </c>
      <c r="M939" s="275">
        <f t="shared" si="295"/>
        <v>1</v>
      </c>
      <c r="N939" s="98">
        <v>5</v>
      </c>
      <c r="O939" s="93">
        <f t="shared" si="302"/>
        <v>100</v>
      </c>
      <c r="GK939" s="100">
        <v>1</v>
      </c>
      <c r="ON939" s="100">
        <f t="shared" si="298"/>
        <v>0</v>
      </c>
    </row>
    <row r="940" spans="1:404" ht="23.25" customHeight="1">
      <c r="A940" s="97" t="str">
        <f>D940&amp;E940</f>
        <v>027T/WESTELM-21-đ166-86900-S1-B</v>
      </c>
      <c r="B940" s="95">
        <v>44490</v>
      </c>
      <c r="C940" s="97">
        <f t="shared" ca="1" si="303"/>
        <v>-574</v>
      </c>
      <c r="D940" s="112" t="s">
        <v>2000</v>
      </c>
      <c r="E940" s="123" t="s">
        <v>1387</v>
      </c>
      <c r="F940" s="98" t="str">
        <f t="shared" si="307"/>
        <v>B</v>
      </c>
      <c r="G940" s="110">
        <f ca="1">SUMIF($A:E,$A940,K:K)</f>
        <v>224</v>
      </c>
      <c r="H940" s="97" t="s">
        <v>616</v>
      </c>
      <c r="I940" s="175">
        <v>224</v>
      </c>
      <c r="J940" s="115">
        <v>224</v>
      </c>
      <c r="K940" s="143">
        <f t="shared" si="297"/>
        <v>224</v>
      </c>
      <c r="L940" s="144">
        <f t="shared" si="305"/>
        <v>0</v>
      </c>
      <c r="M940" s="275">
        <f t="shared" si="295"/>
        <v>224</v>
      </c>
      <c r="N940" s="98">
        <v>2</v>
      </c>
      <c r="O940" s="93">
        <f t="shared" si="302"/>
        <v>100</v>
      </c>
      <c r="HN940" s="100">
        <v>3</v>
      </c>
      <c r="HP940" s="100">
        <v>3</v>
      </c>
      <c r="HQ940" s="100">
        <v>3</v>
      </c>
      <c r="HR940" s="100">
        <v>3</v>
      </c>
      <c r="HS940" s="100">
        <v>2</v>
      </c>
      <c r="HT940" s="100">
        <v>2</v>
      </c>
      <c r="HU940" s="100">
        <v>2</v>
      </c>
      <c r="HW940" s="100">
        <v>4</v>
      </c>
      <c r="HX940" s="100">
        <v>9</v>
      </c>
      <c r="HY940" s="100">
        <v>5</v>
      </c>
      <c r="IB940" s="100">
        <v>2</v>
      </c>
      <c r="ID940" s="100">
        <v>3</v>
      </c>
      <c r="IE940" s="100">
        <v>11</v>
      </c>
      <c r="IG940" s="100">
        <v>9</v>
      </c>
      <c r="II940" s="100">
        <v>9</v>
      </c>
      <c r="IK940" s="100">
        <v>3</v>
      </c>
      <c r="IL940" s="100">
        <v>9</v>
      </c>
      <c r="IM940" s="100">
        <v>5</v>
      </c>
      <c r="IO940" s="100">
        <v>6</v>
      </c>
      <c r="IR940" s="100">
        <v>10</v>
      </c>
      <c r="IS940" s="100">
        <v>1</v>
      </c>
      <c r="IT940" s="100">
        <v>3</v>
      </c>
      <c r="IU940" s="100">
        <v>3</v>
      </c>
      <c r="IW940" s="100">
        <v>11</v>
      </c>
      <c r="IY940" s="100">
        <v>5</v>
      </c>
      <c r="IZ940" s="100">
        <v>3</v>
      </c>
      <c r="JA940" s="100">
        <v>5</v>
      </c>
      <c r="JB940" s="100">
        <v>3</v>
      </c>
      <c r="JC940" s="100">
        <v>3</v>
      </c>
      <c r="JD940" s="100">
        <v>3</v>
      </c>
      <c r="JF940" s="100">
        <v>3</v>
      </c>
      <c r="JH940" s="100">
        <v>10</v>
      </c>
      <c r="JI940" s="100">
        <v>2</v>
      </c>
      <c r="JJ940" s="100">
        <v>6</v>
      </c>
      <c r="JK940" s="100">
        <v>8</v>
      </c>
      <c r="JN940" s="100">
        <v>8</v>
      </c>
      <c r="JO940" s="100">
        <v>6</v>
      </c>
      <c r="JP940" s="100">
        <v>6</v>
      </c>
      <c r="JR940" s="100">
        <v>3</v>
      </c>
      <c r="JU940" s="100">
        <v>3</v>
      </c>
      <c r="JV940" s="100">
        <v>7</v>
      </c>
      <c r="JW940" s="100">
        <v>6</v>
      </c>
      <c r="JX940" s="100">
        <v>13</v>
      </c>
      <c r="ON940" s="100">
        <f t="shared" si="298"/>
        <v>0</v>
      </c>
    </row>
    <row r="941" spans="1:404" ht="23.25" customHeight="1">
      <c r="A941" s="97" t="str">
        <f>D941&amp;E941</f>
        <v>029T/WESTELM-2166-86900-S1-B</v>
      </c>
      <c r="B941" s="95">
        <v>44515</v>
      </c>
      <c r="C941" s="97">
        <f t="shared" ca="1" si="303"/>
        <v>-549</v>
      </c>
      <c r="D941" s="112" t="s">
        <v>1544</v>
      </c>
      <c r="E941" s="123" t="s">
        <v>1387</v>
      </c>
      <c r="F941" s="98" t="str">
        <f t="shared" si="307"/>
        <v>B</v>
      </c>
      <c r="G941" s="110">
        <f ca="1">SUMIF($A:E,$A941,K:K)</f>
        <v>22</v>
      </c>
      <c r="H941" s="112" t="s">
        <v>1545</v>
      </c>
      <c r="I941" s="175">
        <v>22</v>
      </c>
      <c r="J941" s="115">
        <v>22</v>
      </c>
      <c r="K941" s="143">
        <f t="shared" si="297"/>
        <v>22</v>
      </c>
      <c r="L941" s="144">
        <f t="shared" si="305"/>
        <v>0</v>
      </c>
      <c r="M941" s="275">
        <f t="shared" si="295"/>
        <v>22</v>
      </c>
      <c r="N941" s="98">
        <v>2</v>
      </c>
      <c r="O941" s="93">
        <f t="shared" si="302"/>
        <v>100</v>
      </c>
      <c r="KA941" s="100">
        <v>1</v>
      </c>
      <c r="KB941" s="100">
        <v>3</v>
      </c>
      <c r="KC941" s="100">
        <v>3</v>
      </c>
      <c r="KD941" s="100">
        <v>3</v>
      </c>
      <c r="KE941" s="100">
        <v>6</v>
      </c>
      <c r="KF941" s="100">
        <v>3</v>
      </c>
      <c r="KG941" s="100">
        <v>3</v>
      </c>
      <c r="ON941" s="100">
        <f t="shared" si="298"/>
        <v>0</v>
      </c>
    </row>
    <row r="942" spans="1:404" ht="23.25" customHeight="1">
      <c r="A942" s="97" t="str">
        <f>D942&amp;E942</f>
        <v xml:space="preserve">	002/WESTELM-VG_SR-2166-86900-S1-B</v>
      </c>
      <c r="B942" s="95">
        <v>44454</v>
      </c>
      <c r="C942" s="97">
        <f t="shared" ca="1" si="303"/>
        <v>-610</v>
      </c>
      <c r="D942" s="112" t="s">
        <v>1801</v>
      </c>
      <c r="E942" s="123" t="s">
        <v>1387</v>
      </c>
      <c r="F942" s="98" t="str">
        <f t="shared" si="307"/>
        <v>B</v>
      </c>
      <c r="G942" s="110">
        <f ca="1">SUMIF($A:E,$A942,K:K)</f>
        <v>3</v>
      </c>
      <c r="H942" s="112" t="s">
        <v>820</v>
      </c>
      <c r="I942" s="175">
        <v>3</v>
      </c>
      <c r="J942" s="115">
        <v>3</v>
      </c>
      <c r="K942" s="143">
        <f t="shared" si="297"/>
        <v>3</v>
      </c>
      <c r="L942" s="144">
        <f t="shared" si="305"/>
        <v>0</v>
      </c>
      <c r="M942" s="275">
        <f t="shared" si="295"/>
        <v>3</v>
      </c>
      <c r="N942" s="211">
        <v>2</v>
      </c>
      <c r="O942" s="93">
        <f t="shared" si="302"/>
        <v>100</v>
      </c>
      <c r="IG942" s="100">
        <v>3</v>
      </c>
      <c r="ON942" s="100">
        <f t="shared" si="298"/>
        <v>0</v>
      </c>
    </row>
    <row r="943" spans="1:404" ht="23.25" customHeight="1">
      <c r="A943" s="97" t="s">
        <v>1370</v>
      </c>
      <c r="B943" s="95">
        <v>44403</v>
      </c>
      <c r="C943" s="97">
        <f t="shared" ca="1" si="303"/>
        <v>-661</v>
      </c>
      <c r="D943" s="112" t="s">
        <v>1382</v>
      </c>
      <c r="E943" s="123" t="s">
        <v>1386</v>
      </c>
      <c r="F943" s="98" t="str">
        <f t="shared" si="307"/>
        <v>B</v>
      </c>
      <c r="G943" s="110">
        <f ca="1">SUMIF($A:E,$A943,K:K)</f>
        <v>5654</v>
      </c>
      <c r="H943" s="97" t="s">
        <v>1403</v>
      </c>
      <c r="I943" s="175">
        <v>1</v>
      </c>
      <c r="J943" s="115">
        <v>1</v>
      </c>
      <c r="K943" s="143">
        <f t="shared" si="297"/>
        <v>1</v>
      </c>
      <c r="L943" s="144">
        <f t="shared" si="305"/>
        <v>0</v>
      </c>
      <c r="M943" s="275">
        <f t="shared" si="295"/>
        <v>1</v>
      </c>
      <c r="N943" s="98">
        <v>5</v>
      </c>
      <c r="O943" s="93">
        <f t="shared" si="302"/>
        <v>100</v>
      </c>
      <c r="GK943" s="100">
        <v>1</v>
      </c>
      <c r="ON943" s="100">
        <f t="shared" si="298"/>
        <v>0</v>
      </c>
    </row>
    <row r="944" spans="1:404" ht="23.25" customHeight="1">
      <c r="A944" s="97" t="s">
        <v>1370</v>
      </c>
      <c r="B944" s="95">
        <v>44402</v>
      </c>
      <c r="C944" s="97">
        <f t="shared" ca="1" si="303"/>
        <v>-662</v>
      </c>
      <c r="D944" s="112" t="s">
        <v>1320</v>
      </c>
      <c r="E944" s="123" t="s">
        <v>1386</v>
      </c>
      <c r="F944" s="98" t="str">
        <f t="shared" si="307"/>
        <v>B</v>
      </c>
      <c r="G944" s="110">
        <f ca="1">SUMIF($A:E,$A944,K:K)</f>
        <v>5654</v>
      </c>
      <c r="H944" s="112" t="s">
        <v>1404</v>
      </c>
      <c r="I944" s="175">
        <v>1</v>
      </c>
      <c r="J944" s="115">
        <v>1</v>
      </c>
      <c r="K944" s="143">
        <f t="shared" si="297"/>
        <v>1</v>
      </c>
      <c r="L944" s="144">
        <f t="shared" si="305"/>
        <v>0</v>
      </c>
      <c r="M944" s="275">
        <f t="shared" si="295"/>
        <v>1</v>
      </c>
      <c r="N944" s="98">
        <v>5</v>
      </c>
      <c r="O944" s="93">
        <f t="shared" si="302"/>
        <v>100</v>
      </c>
      <c r="GJ944" s="100">
        <v>1</v>
      </c>
      <c r="ON944" s="100">
        <f t="shared" si="298"/>
        <v>0</v>
      </c>
    </row>
    <row r="945" spans="1:404" ht="23.25" customHeight="1">
      <c r="A945" s="97" t="s">
        <v>1997</v>
      </c>
      <c r="B945" s="95">
        <v>44528</v>
      </c>
      <c r="C945" s="97">
        <f t="shared" ca="1" si="303"/>
        <v>-536</v>
      </c>
      <c r="D945" s="112" t="s">
        <v>1998</v>
      </c>
      <c r="E945" s="123" t="s">
        <v>1386</v>
      </c>
      <c r="F945" s="98" t="s">
        <v>561</v>
      </c>
      <c r="G945" s="110">
        <v>374</v>
      </c>
      <c r="H945" s="97" t="s">
        <v>616</v>
      </c>
      <c r="I945" s="175">
        <v>136</v>
      </c>
      <c r="J945" s="115">
        <v>136</v>
      </c>
      <c r="K945" s="143">
        <f t="shared" si="297"/>
        <v>136</v>
      </c>
      <c r="L945" s="144">
        <f t="shared" ref="L945:L946" si="308">J945-K945</f>
        <v>0</v>
      </c>
      <c r="M945" s="275">
        <f t="shared" si="295"/>
        <v>136</v>
      </c>
      <c r="N945" s="98">
        <v>1</v>
      </c>
      <c r="O945" s="93">
        <f t="shared" si="302"/>
        <v>100</v>
      </c>
      <c r="JP945" s="100">
        <v>20</v>
      </c>
      <c r="JQ945" s="100">
        <v>5</v>
      </c>
      <c r="JR945" s="100">
        <v>7</v>
      </c>
      <c r="JT945" s="100">
        <v>1</v>
      </c>
      <c r="JU945" s="100">
        <v>5</v>
      </c>
      <c r="JV945" s="100">
        <v>8</v>
      </c>
      <c r="JW945" s="100">
        <v>6</v>
      </c>
      <c r="JX945" s="100">
        <v>8</v>
      </c>
      <c r="JY945" s="100">
        <v>11</v>
      </c>
      <c r="KB945" s="100">
        <v>13</v>
      </c>
      <c r="KC945" s="100">
        <v>5</v>
      </c>
      <c r="KD945" s="100">
        <v>13</v>
      </c>
      <c r="KE945" s="100">
        <v>11</v>
      </c>
      <c r="KF945" s="100">
        <v>7</v>
      </c>
      <c r="KG945" s="100">
        <v>6</v>
      </c>
      <c r="KH945" s="100">
        <v>2</v>
      </c>
      <c r="KI945" s="100">
        <v>4</v>
      </c>
      <c r="KJ945" s="100">
        <v>4</v>
      </c>
      <c r="ON945" s="100">
        <f t="shared" si="298"/>
        <v>0</v>
      </c>
    </row>
    <row r="946" spans="1:404" ht="23.25" customHeight="1">
      <c r="A946" s="97" t="str">
        <f>D946&amp;E946</f>
        <v>027T/WESTELM-21- đ166-86800-S1-B</v>
      </c>
      <c r="B946" s="95">
        <v>44490</v>
      </c>
      <c r="C946" s="97">
        <f t="shared" ca="1" si="303"/>
        <v>-574</v>
      </c>
      <c r="D946" s="112" t="s">
        <v>1999</v>
      </c>
      <c r="E946" s="123" t="s">
        <v>1386</v>
      </c>
      <c r="F946" s="98" t="str">
        <f t="shared" ref="F946:F951" si="309">MID(E946,13,2)</f>
        <v>B</v>
      </c>
      <c r="G946" s="110">
        <f ca="1">SUMIF($A:E,$A946,K:K)</f>
        <v>378</v>
      </c>
      <c r="H946" s="97" t="s">
        <v>616</v>
      </c>
      <c r="I946" s="175">
        <v>378</v>
      </c>
      <c r="J946" s="115">
        <v>378</v>
      </c>
      <c r="K946" s="143">
        <f t="shared" si="297"/>
        <v>378</v>
      </c>
      <c r="L946" s="144">
        <f t="shared" si="308"/>
        <v>0</v>
      </c>
      <c r="M946" s="275">
        <f t="shared" si="295"/>
        <v>378</v>
      </c>
      <c r="N946" s="98">
        <v>1</v>
      </c>
      <c r="O946" s="93">
        <f t="shared" si="302"/>
        <v>100</v>
      </c>
      <c r="HN946" s="100">
        <v>3</v>
      </c>
      <c r="HQ946" s="100">
        <v>6</v>
      </c>
      <c r="HR946" s="100">
        <v>2</v>
      </c>
      <c r="HS946" s="100">
        <v>7</v>
      </c>
      <c r="HT946" s="100">
        <v>6</v>
      </c>
      <c r="HW946" s="100">
        <v>3</v>
      </c>
      <c r="HX946" s="100">
        <v>3</v>
      </c>
      <c r="HY946" s="100">
        <v>1</v>
      </c>
      <c r="IB946" s="100">
        <v>3</v>
      </c>
      <c r="ID946" s="100">
        <v>5</v>
      </c>
      <c r="IE946" s="100">
        <v>4</v>
      </c>
      <c r="IF946" s="100">
        <v>39</v>
      </c>
      <c r="IG946" s="100">
        <v>9</v>
      </c>
      <c r="IH946" s="100">
        <v>20</v>
      </c>
      <c r="II946" s="100">
        <v>6</v>
      </c>
      <c r="IK946" s="100">
        <v>22</v>
      </c>
      <c r="IM946" s="100">
        <v>19</v>
      </c>
      <c r="IN946" s="100">
        <v>9</v>
      </c>
      <c r="IO946" s="100">
        <v>5</v>
      </c>
      <c r="IP946" s="100">
        <v>2</v>
      </c>
      <c r="IR946" s="100">
        <v>9</v>
      </c>
      <c r="IS946" s="100">
        <v>23</v>
      </c>
      <c r="IT946" s="100">
        <v>6</v>
      </c>
      <c r="IU946" s="100">
        <v>3</v>
      </c>
      <c r="IV946" s="100">
        <v>20</v>
      </c>
      <c r="IW946" s="100">
        <v>7</v>
      </c>
      <c r="IY946" s="100">
        <v>12</v>
      </c>
      <c r="IZ946" s="100">
        <v>10</v>
      </c>
      <c r="JA946" s="100">
        <v>8</v>
      </c>
      <c r="JB946" s="100">
        <v>18</v>
      </c>
      <c r="JC946" s="100">
        <v>3</v>
      </c>
      <c r="JD946" s="100">
        <v>8</v>
      </c>
      <c r="JF946" s="100">
        <v>6</v>
      </c>
      <c r="JG946" s="100">
        <v>13</v>
      </c>
      <c r="JH946" s="100">
        <v>15</v>
      </c>
      <c r="JI946" s="100">
        <v>15</v>
      </c>
      <c r="JJ946" s="100">
        <v>11</v>
      </c>
      <c r="JK946" s="100">
        <v>13</v>
      </c>
      <c r="JM946" s="100">
        <v>4</v>
      </c>
      <c r="ON946" s="100">
        <f t="shared" si="298"/>
        <v>0</v>
      </c>
    </row>
    <row r="947" spans="1:404" ht="23.25" customHeight="1">
      <c r="A947" s="97" t="str">
        <f>D947&amp;E947</f>
        <v>029T/WESTELM-2166-86800-S1-B</v>
      </c>
      <c r="B947" s="95">
        <v>44515</v>
      </c>
      <c r="C947" s="97">
        <f t="shared" ca="1" si="303"/>
        <v>-549</v>
      </c>
      <c r="D947" s="112" t="s">
        <v>1544</v>
      </c>
      <c r="E947" s="123" t="s">
        <v>1386</v>
      </c>
      <c r="F947" s="98" t="str">
        <f t="shared" si="309"/>
        <v>B</v>
      </c>
      <c r="G947" s="110">
        <f ca="1">SUMIF($A:E,$A947,K:K)</f>
        <v>30</v>
      </c>
      <c r="H947" s="112" t="s">
        <v>1545</v>
      </c>
      <c r="I947" s="175">
        <v>30</v>
      </c>
      <c r="J947" s="115">
        <v>30</v>
      </c>
      <c r="K947" s="143">
        <f t="shared" si="297"/>
        <v>30</v>
      </c>
      <c r="L947" s="144">
        <f t="shared" si="305"/>
        <v>0</v>
      </c>
      <c r="M947" s="275">
        <f t="shared" si="295"/>
        <v>30</v>
      </c>
      <c r="N947" s="98">
        <v>1</v>
      </c>
      <c r="O947" s="93">
        <f t="shared" si="302"/>
        <v>100</v>
      </c>
      <c r="JM947" s="100">
        <v>20</v>
      </c>
      <c r="JN947" s="100">
        <v>5</v>
      </c>
      <c r="JO947" s="100">
        <v>2</v>
      </c>
      <c r="JP947" s="100">
        <v>3</v>
      </c>
      <c r="ON947" s="100">
        <f t="shared" si="298"/>
        <v>0</v>
      </c>
    </row>
    <row r="948" spans="1:404" ht="23.25" customHeight="1">
      <c r="A948" s="97" t="str">
        <f>D948&amp;E948</f>
        <v xml:space="preserve">	002/WESTELM-VG_SR-2166-86800-S1-B</v>
      </c>
      <c r="B948" s="95">
        <v>44454</v>
      </c>
      <c r="C948" s="97">
        <f t="shared" ca="1" si="303"/>
        <v>-610</v>
      </c>
      <c r="D948" s="112" t="s">
        <v>1801</v>
      </c>
      <c r="E948" s="123" t="s">
        <v>1386</v>
      </c>
      <c r="F948" s="98" t="str">
        <f t="shared" si="309"/>
        <v>B</v>
      </c>
      <c r="G948" s="110">
        <f ca="1">SUMIF($A:E,$A948,K:K)</f>
        <v>3</v>
      </c>
      <c r="H948" s="112" t="s">
        <v>820</v>
      </c>
      <c r="I948" s="175">
        <v>3</v>
      </c>
      <c r="J948" s="115">
        <v>3</v>
      </c>
      <c r="K948" s="143">
        <f t="shared" si="297"/>
        <v>3</v>
      </c>
      <c r="L948" s="144">
        <f t="shared" si="305"/>
        <v>0</v>
      </c>
      <c r="M948" s="275">
        <f t="shared" si="295"/>
        <v>3</v>
      </c>
      <c r="N948" s="211">
        <v>1</v>
      </c>
      <c r="O948" s="93">
        <f t="shared" si="302"/>
        <v>100</v>
      </c>
      <c r="IH948" s="100">
        <v>3</v>
      </c>
      <c r="ON948" s="100">
        <f t="shared" si="298"/>
        <v>0</v>
      </c>
    </row>
    <row r="949" spans="1:404" ht="23.25" customHeight="1">
      <c r="A949" s="97" t="s">
        <v>1370</v>
      </c>
      <c r="B949" s="95">
        <v>44403</v>
      </c>
      <c r="C949" s="97">
        <f t="shared" ca="1" si="303"/>
        <v>-661</v>
      </c>
      <c r="D949" s="112" t="s">
        <v>1382</v>
      </c>
      <c r="E949" s="123" t="s">
        <v>1385</v>
      </c>
      <c r="F949" s="98" t="str">
        <f t="shared" si="309"/>
        <v>B</v>
      </c>
      <c r="G949" s="110">
        <f ca="1">SUMIF($A:E,$A949,K:K)</f>
        <v>5654</v>
      </c>
      <c r="H949" s="97" t="s">
        <v>1403</v>
      </c>
      <c r="I949" s="175">
        <v>1</v>
      </c>
      <c r="J949" s="115">
        <v>1</v>
      </c>
      <c r="K949" s="143">
        <f t="shared" si="297"/>
        <v>1</v>
      </c>
      <c r="L949" s="144">
        <f t="shared" si="305"/>
        <v>0</v>
      </c>
      <c r="M949" s="275">
        <f t="shared" si="295"/>
        <v>1</v>
      </c>
      <c r="N949" s="98">
        <v>5</v>
      </c>
      <c r="O949" s="93">
        <f t="shared" si="302"/>
        <v>100</v>
      </c>
      <c r="GS949" s="100">
        <v>1</v>
      </c>
      <c r="ON949" s="100">
        <f t="shared" si="298"/>
        <v>0</v>
      </c>
    </row>
    <row r="950" spans="1:404" ht="23.25" customHeight="1">
      <c r="A950" s="97" t="s">
        <v>1370</v>
      </c>
      <c r="B950" s="95">
        <v>44402</v>
      </c>
      <c r="C950" s="97">
        <f t="shared" ref="C950:C981" ca="1" si="310">B950-TODAY()</f>
        <v>-662</v>
      </c>
      <c r="D950" s="112" t="s">
        <v>1320</v>
      </c>
      <c r="E950" s="123" t="s">
        <v>1385</v>
      </c>
      <c r="F950" s="98" t="str">
        <f t="shared" si="309"/>
        <v>B</v>
      </c>
      <c r="G950" s="110">
        <f ca="1">SUMIF($A:E,$A950,K:K)</f>
        <v>5654</v>
      </c>
      <c r="H950" s="112" t="s">
        <v>1404</v>
      </c>
      <c r="I950" s="175">
        <v>1</v>
      </c>
      <c r="J950" s="115">
        <v>1</v>
      </c>
      <c r="K950" s="143">
        <f t="shared" si="297"/>
        <v>1</v>
      </c>
      <c r="L950" s="144">
        <f t="shared" si="305"/>
        <v>0</v>
      </c>
      <c r="M950" s="275">
        <f t="shared" si="295"/>
        <v>1</v>
      </c>
      <c r="N950" s="98">
        <v>5</v>
      </c>
      <c r="O950" s="93">
        <f t="shared" si="302"/>
        <v>100</v>
      </c>
      <c r="GJ950" s="100">
        <v>1</v>
      </c>
      <c r="ON950" s="100">
        <f t="shared" si="298"/>
        <v>0</v>
      </c>
    </row>
    <row r="951" spans="1:404" ht="23.25" customHeight="1">
      <c r="A951" s="97" t="s">
        <v>1370</v>
      </c>
      <c r="B951" s="95">
        <v>44402</v>
      </c>
      <c r="C951" s="97">
        <f t="shared" ca="1" si="310"/>
        <v>-662</v>
      </c>
      <c r="D951" s="112" t="s">
        <v>1320</v>
      </c>
      <c r="E951" s="123" t="s">
        <v>1385</v>
      </c>
      <c r="F951" s="98" t="str">
        <f t="shared" si="309"/>
        <v>B</v>
      </c>
      <c r="G951" s="110">
        <f ca="1">SUMIF($A:E,$A951,K:K)</f>
        <v>5654</v>
      </c>
      <c r="H951" s="112" t="s">
        <v>1405</v>
      </c>
      <c r="I951" s="175">
        <v>2</v>
      </c>
      <c r="J951" s="115">
        <v>2</v>
      </c>
      <c r="K951" s="143">
        <f t="shared" si="297"/>
        <v>2</v>
      </c>
      <c r="L951" s="144">
        <f t="shared" si="305"/>
        <v>0</v>
      </c>
      <c r="M951" s="275">
        <f t="shared" si="295"/>
        <v>2</v>
      </c>
      <c r="N951" s="98">
        <v>5</v>
      </c>
      <c r="O951" s="93">
        <f t="shared" si="302"/>
        <v>100</v>
      </c>
      <c r="GK951" s="100">
        <v>1</v>
      </c>
      <c r="GL951" s="100">
        <v>1</v>
      </c>
      <c r="ON951" s="100">
        <f t="shared" si="298"/>
        <v>0</v>
      </c>
    </row>
    <row r="952" spans="1:404" ht="23.25" customHeight="1">
      <c r="A952" s="97" t="s">
        <v>1789</v>
      </c>
      <c r="B952" s="95">
        <v>44528</v>
      </c>
      <c r="C952" s="97">
        <f t="shared" ca="1" si="310"/>
        <v>-536</v>
      </c>
      <c r="D952" s="112" t="s">
        <v>1998</v>
      </c>
      <c r="E952" s="279" t="s">
        <v>1385</v>
      </c>
      <c r="F952" s="98" t="s">
        <v>561</v>
      </c>
      <c r="G952" s="110">
        <v>82</v>
      </c>
      <c r="H952" s="97" t="s">
        <v>616</v>
      </c>
      <c r="I952" s="175">
        <v>237</v>
      </c>
      <c r="J952" s="115">
        <v>155</v>
      </c>
      <c r="K952" s="143">
        <f t="shared" si="297"/>
        <v>155</v>
      </c>
      <c r="L952" s="144">
        <f t="shared" si="305"/>
        <v>0</v>
      </c>
      <c r="M952" s="275">
        <f t="shared" si="295"/>
        <v>237</v>
      </c>
      <c r="N952" s="98" t="s">
        <v>1776</v>
      </c>
      <c r="O952" s="93">
        <f t="shared" si="302"/>
        <v>100</v>
      </c>
      <c r="IG952" s="100">
        <v>9</v>
      </c>
      <c r="II952" s="100">
        <v>9</v>
      </c>
      <c r="IK952" s="100">
        <v>6</v>
      </c>
      <c r="IL952" s="100">
        <v>6</v>
      </c>
      <c r="IM952" s="100">
        <v>12</v>
      </c>
      <c r="IN952" s="100">
        <v>8</v>
      </c>
      <c r="IP952" s="100">
        <v>5</v>
      </c>
      <c r="IR952" s="100">
        <v>14</v>
      </c>
      <c r="IS952" s="100">
        <v>5</v>
      </c>
      <c r="IU952" s="100">
        <v>14</v>
      </c>
      <c r="IV952" s="100">
        <v>4</v>
      </c>
      <c r="IW952" s="100">
        <v>2</v>
      </c>
      <c r="IY952" s="100">
        <v>16</v>
      </c>
      <c r="IZ952" s="100">
        <v>4</v>
      </c>
      <c r="JA952" s="100">
        <v>5</v>
      </c>
      <c r="JB952" s="100">
        <v>10</v>
      </c>
      <c r="JC952" s="100">
        <v>2</v>
      </c>
      <c r="JF952" s="100">
        <v>7</v>
      </c>
      <c r="JG952" s="100">
        <v>14</v>
      </c>
      <c r="JH952" s="100">
        <v>3</v>
      </c>
      <c r="ON952" s="100">
        <f t="shared" si="298"/>
        <v>0</v>
      </c>
    </row>
    <row r="953" spans="1:404" ht="23.25" customHeight="1">
      <c r="A953" s="97" t="str">
        <f>D953&amp;E953</f>
        <v>027T/WESTELM-21-đ166-86740-01-B</v>
      </c>
      <c r="B953" s="95">
        <v>44490</v>
      </c>
      <c r="C953" s="97">
        <f t="shared" ca="1" si="310"/>
        <v>-574</v>
      </c>
      <c r="D953" s="112" t="s">
        <v>2000</v>
      </c>
      <c r="E953" s="123" t="s">
        <v>1385</v>
      </c>
      <c r="F953" s="98" t="str">
        <f t="shared" ref="F953:F959" si="311">MID(E953,13,2)</f>
        <v>B</v>
      </c>
      <c r="G953" s="110">
        <f ca="1">SUMIF($A:E,$A953,K:K)</f>
        <v>82</v>
      </c>
      <c r="H953" s="97" t="s">
        <v>616</v>
      </c>
      <c r="I953" s="175">
        <v>237</v>
      </c>
      <c r="J953" s="115">
        <f>237-J952</f>
        <v>82</v>
      </c>
      <c r="K953" s="143">
        <f t="shared" si="297"/>
        <v>82</v>
      </c>
      <c r="L953" s="144">
        <f t="shared" si="305"/>
        <v>0</v>
      </c>
      <c r="M953" s="275">
        <f t="shared" si="295"/>
        <v>237</v>
      </c>
      <c r="N953" s="98">
        <v>5</v>
      </c>
      <c r="O953" s="93">
        <f t="shared" si="302"/>
        <v>100</v>
      </c>
      <c r="HQ953" s="100">
        <v>10</v>
      </c>
      <c r="HR953" s="100">
        <v>7</v>
      </c>
      <c r="HS953" s="100">
        <v>9</v>
      </c>
      <c r="HT953" s="100">
        <v>16</v>
      </c>
      <c r="HW953" s="100">
        <v>5</v>
      </c>
      <c r="HX953" s="100">
        <v>4</v>
      </c>
      <c r="HY953" s="100">
        <v>13</v>
      </c>
      <c r="IB953" s="100">
        <v>7</v>
      </c>
      <c r="ID953" s="100">
        <v>3</v>
      </c>
      <c r="IE953" s="100">
        <v>8</v>
      </c>
      <c r="ON953" s="100">
        <f t="shared" si="298"/>
        <v>0</v>
      </c>
    </row>
    <row r="954" spans="1:404" ht="23.25" customHeight="1">
      <c r="A954" s="97" t="str">
        <f>D954&amp;E954</f>
        <v>029T/WESTELM-2166-86740-01-B</v>
      </c>
      <c r="B954" s="95">
        <v>44515</v>
      </c>
      <c r="C954" s="97">
        <f t="shared" ca="1" si="310"/>
        <v>-549</v>
      </c>
      <c r="D954" s="112" t="s">
        <v>1544</v>
      </c>
      <c r="E954" s="279" t="s">
        <v>1385</v>
      </c>
      <c r="F954" s="98" t="str">
        <f t="shared" si="311"/>
        <v>B</v>
      </c>
      <c r="G954" s="110">
        <f ca="1">SUMIF($A:E,$A954,K:K)</f>
        <v>172</v>
      </c>
      <c r="H954" s="112" t="s">
        <v>1545</v>
      </c>
      <c r="I954" s="175">
        <v>172</v>
      </c>
      <c r="J954" s="115">
        <v>172</v>
      </c>
      <c r="K954" s="143">
        <f t="shared" si="297"/>
        <v>172</v>
      </c>
      <c r="L954" s="144">
        <f t="shared" si="305"/>
        <v>0</v>
      </c>
      <c r="M954" s="275">
        <f t="shared" si="295"/>
        <v>172</v>
      </c>
      <c r="N954" s="211" t="s">
        <v>1768</v>
      </c>
      <c r="O954" s="93">
        <f t="shared" si="302"/>
        <v>100</v>
      </c>
      <c r="JH954" s="100">
        <v>3</v>
      </c>
      <c r="JI954" s="100">
        <v>8</v>
      </c>
      <c r="JJ954" s="100">
        <v>6</v>
      </c>
      <c r="JM954" s="100">
        <v>15</v>
      </c>
      <c r="JN954" s="100">
        <v>5</v>
      </c>
      <c r="JO954" s="100">
        <v>8</v>
      </c>
      <c r="JP954" s="100">
        <v>8</v>
      </c>
      <c r="JQ954" s="100">
        <v>4</v>
      </c>
      <c r="JT954" s="100">
        <v>14</v>
      </c>
      <c r="JU954" s="100">
        <v>5</v>
      </c>
      <c r="JV954" s="100">
        <v>10</v>
      </c>
      <c r="JW954" s="100">
        <v>13</v>
      </c>
      <c r="JX954" s="100">
        <v>5</v>
      </c>
      <c r="JY954" s="100">
        <v>10</v>
      </c>
      <c r="KA954" s="100">
        <v>10</v>
      </c>
      <c r="KB954" s="100">
        <v>5</v>
      </c>
      <c r="KC954" s="100">
        <v>10</v>
      </c>
      <c r="KD954" s="100">
        <v>10</v>
      </c>
      <c r="KE954" s="100">
        <v>5</v>
      </c>
      <c r="KF954" s="100">
        <v>10</v>
      </c>
      <c r="KH954" s="100">
        <v>8</v>
      </c>
      <c r="ON954" s="100">
        <f t="shared" si="298"/>
        <v>0</v>
      </c>
    </row>
    <row r="955" spans="1:404" ht="23.25" customHeight="1">
      <c r="A955" s="97" t="str">
        <f>D955&amp;E955</f>
        <v>030T/WESTELM-2166-86740-01-B</v>
      </c>
      <c r="B955" s="95">
        <v>44525</v>
      </c>
      <c r="C955" s="97">
        <f t="shared" ca="1" si="310"/>
        <v>-539</v>
      </c>
      <c r="D955" s="112" t="s">
        <v>1592</v>
      </c>
      <c r="E955" s="279" t="s">
        <v>1385</v>
      </c>
      <c r="F955" s="98" t="str">
        <f t="shared" si="311"/>
        <v>B</v>
      </c>
      <c r="G955" s="110">
        <f ca="1">SUMIF($A:E,$A955,K:K)</f>
        <v>158</v>
      </c>
      <c r="H955" s="97" t="s">
        <v>1593</v>
      </c>
      <c r="I955" s="175">
        <v>158</v>
      </c>
      <c r="J955" s="115">
        <v>158</v>
      </c>
      <c r="K955" s="143">
        <f t="shared" si="297"/>
        <v>158</v>
      </c>
      <c r="L955" s="144">
        <f t="shared" si="305"/>
        <v>0</v>
      </c>
      <c r="M955" s="275">
        <f t="shared" si="295"/>
        <v>158</v>
      </c>
      <c r="N955" s="211" t="s">
        <v>1768</v>
      </c>
      <c r="O955" s="93">
        <f t="shared" si="302"/>
        <v>100</v>
      </c>
      <c r="KH955" s="100">
        <v>7</v>
      </c>
      <c r="KI955" s="100">
        <v>10</v>
      </c>
      <c r="KJ955" s="100">
        <v>9</v>
      </c>
      <c r="KN955" s="100">
        <v>6</v>
      </c>
      <c r="KO955" s="100">
        <v>9</v>
      </c>
      <c r="KP955" s="100">
        <v>11</v>
      </c>
      <c r="KQ955" s="100">
        <v>10</v>
      </c>
      <c r="KR955" s="100">
        <v>10</v>
      </c>
      <c r="KU955" s="100">
        <v>10</v>
      </c>
      <c r="KV955" s="100">
        <v>10</v>
      </c>
      <c r="KW955" s="100">
        <v>15</v>
      </c>
      <c r="KX955" s="100">
        <v>8</v>
      </c>
      <c r="KY955" s="100">
        <v>9</v>
      </c>
      <c r="KZ955" s="100">
        <v>10</v>
      </c>
      <c r="LB955" s="100">
        <v>10</v>
      </c>
      <c r="LC955" s="100">
        <v>5</v>
      </c>
      <c r="LD955" s="100">
        <v>9</v>
      </c>
      <c r="ON955" s="100">
        <f t="shared" si="298"/>
        <v>0</v>
      </c>
    </row>
    <row r="956" spans="1:404" ht="23.25" customHeight="1">
      <c r="A956" s="97" t="str">
        <f>D956&amp;E956</f>
        <v xml:space="preserve">	002/WESTELM-VG_SR-2166-86740-01-B</v>
      </c>
      <c r="B956" s="95">
        <v>44454</v>
      </c>
      <c r="C956" s="97">
        <f t="shared" ca="1" si="310"/>
        <v>-610</v>
      </c>
      <c r="D956" s="112" t="s">
        <v>1801</v>
      </c>
      <c r="E956" s="279" t="s">
        <v>1385</v>
      </c>
      <c r="F956" s="98" t="str">
        <f t="shared" si="311"/>
        <v>B</v>
      </c>
      <c r="G956" s="110">
        <f ca="1">SUMIF($A:E,$A956,K:K)</f>
        <v>6</v>
      </c>
      <c r="H956" s="112" t="s">
        <v>820</v>
      </c>
      <c r="I956" s="175">
        <v>6</v>
      </c>
      <c r="J956" s="115">
        <v>6</v>
      </c>
      <c r="K956" s="143">
        <f t="shared" si="297"/>
        <v>6</v>
      </c>
      <c r="L956" s="144">
        <f t="shared" si="305"/>
        <v>0</v>
      </c>
      <c r="M956" s="275">
        <f t="shared" ref="M956:M1019" si="312">IF(OR(MID(E956,10,1)="0",MID(E956,10,1)="F"),I956,IF(OR(,MID(E956,10,1)="S",MID(E956,10,1)="L",MID(E956,10,1)="B",MID(E956,10,1)="X"),MID(E956,11,1)*I956,0))</f>
        <v>6</v>
      </c>
      <c r="N956" s="211" t="s">
        <v>1768</v>
      </c>
      <c r="O956" s="93">
        <f t="shared" si="302"/>
        <v>100</v>
      </c>
      <c r="IG956" s="100">
        <v>6</v>
      </c>
      <c r="ON956" s="100">
        <f t="shared" si="298"/>
        <v>0</v>
      </c>
    </row>
    <row r="957" spans="1:404" ht="23.25" customHeight="1">
      <c r="A957" s="97" t="s">
        <v>1370</v>
      </c>
      <c r="B957" s="95">
        <v>44403</v>
      </c>
      <c r="C957" s="97">
        <f t="shared" ca="1" si="310"/>
        <v>-661</v>
      </c>
      <c r="D957" s="112" t="s">
        <v>1382</v>
      </c>
      <c r="E957" s="123" t="s">
        <v>1384</v>
      </c>
      <c r="F957" s="98" t="str">
        <f t="shared" si="311"/>
        <v>B</v>
      </c>
      <c r="G957" s="110">
        <f ca="1">SUMIF($A:E,$A957,K:K)</f>
        <v>5654</v>
      </c>
      <c r="H957" s="97" t="s">
        <v>1403</v>
      </c>
      <c r="I957" s="175">
        <v>2</v>
      </c>
      <c r="J957" s="115">
        <v>2</v>
      </c>
      <c r="K957" s="143">
        <f t="shared" si="297"/>
        <v>2</v>
      </c>
      <c r="L957" s="144">
        <f t="shared" si="305"/>
        <v>0</v>
      </c>
      <c r="M957" s="275">
        <f t="shared" si="312"/>
        <v>2</v>
      </c>
      <c r="N957" s="98">
        <v>5</v>
      </c>
      <c r="O957" s="93">
        <f t="shared" si="302"/>
        <v>100</v>
      </c>
      <c r="GO957" s="100">
        <v>2</v>
      </c>
      <c r="ON957" s="100">
        <f t="shared" si="298"/>
        <v>0</v>
      </c>
    </row>
    <row r="958" spans="1:404" ht="23.25" customHeight="1">
      <c r="A958" s="97" t="s">
        <v>1370</v>
      </c>
      <c r="B958" s="95">
        <v>44402</v>
      </c>
      <c r="C958" s="97">
        <f t="shared" ca="1" si="310"/>
        <v>-662</v>
      </c>
      <c r="D958" s="112" t="s">
        <v>1320</v>
      </c>
      <c r="E958" s="123" t="s">
        <v>1384</v>
      </c>
      <c r="F958" s="98" t="str">
        <f t="shared" si="311"/>
        <v>B</v>
      </c>
      <c r="G958" s="110">
        <f ca="1">SUMIF($A:E,$A958,K:K)</f>
        <v>5654</v>
      </c>
      <c r="H958" s="112" t="s">
        <v>1404</v>
      </c>
      <c r="I958" s="175">
        <v>1</v>
      </c>
      <c r="J958" s="115">
        <v>1</v>
      </c>
      <c r="K958" s="143">
        <f t="shared" si="297"/>
        <v>1</v>
      </c>
      <c r="L958" s="144">
        <f t="shared" si="305"/>
        <v>0</v>
      </c>
      <c r="M958" s="275">
        <f t="shared" si="312"/>
        <v>1</v>
      </c>
      <c r="N958" s="98">
        <v>5</v>
      </c>
      <c r="O958" s="93">
        <f t="shared" si="302"/>
        <v>100</v>
      </c>
      <c r="GO958" s="100">
        <v>1</v>
      </c>
      <c r="ON958" s="100">
        <f t="shared" si="298"/>
        <v>0</v>
      </c>
    </row>
    <row r="959" spans="1:404" ht="23.25" customHeight="1">
      <c r="A959" s="97" t="s">
        <v>1370</v>
      </c>
      <c r="B959" s="95">
        <v>44402</v>
      </c>
      <c r="C959" s="97">
        <f t="shared" ca="1" si="310"/>
        <v>-662</v>
      </c>
      <c r="D959" s="112" t="s">
        <v>1320</v>
      </c>
      <c r="E959" s="123" t="s">
        <v>1384</v>
      </c>
      <c r="F959" s="98" t="str">
        <f t="shared" si="311"/>
        <v>B</v>
      </c>
      <c r="G959" s="110">
        <f ca="1">SUMIF($A:E,$A959,K:K)</f>
        <v>5654</v>
      </c>
      <c r="H959" s="112" t="s">
        <v>1404</v>
      </c>
      <c r="I959" s="175">
        <v>1</v>
      </c>
      <c r="J959" s="115">
        <v>1</v>
      </c>
      <c r="K959" s="143">
        <f t="shared" si="297"/>
        <v>1</v>
      </c>
      <c r="L959" s="144">
        <f t="shared" si="305"/>
        <v>0</v>
      </c>
      <c r="M959" s="275">
        <f t="shared" si="312"/>
        <v>1</v>
      </c>
      <c r="N959" s="98">
        <v>5</v>
      </c>
      <c r="O959" s="93">
        <f t="shared" si="302"/>
        <v>100</v>
      </c>
      <c r="GO959" s="100">
        <v>1</v>
      </c>
      <c r="ON959" s="100">
        <f t="shared" si="298"/>
        <v>0</v>
      </c>
    </row>
    <row r="960" spans="1:404" ht="23.25" customHeight="1">
      <c r="A960" s="97" t="s">
        <v>1996</v>
      </c>
      <c r="B960" s="95">
        <v>44528</v>
      </c>
      <c r="C960" s="97">
        <f t="shared" ca="1" si="310"/>
        <v>-536</v>
      </c>
      <c r="D960" s="112" t="s">
        <v>1449</v>
      </c>
      <c r="E960" s="123" t="s">
        <v>1384</v>
      </c>
      <c r="F960" s="98" t="s">
        <v>561</v>
      </c>
      <c r="G960" s="110">
        <v>388</v>
      </c>
      <c r="H960" s="97" t="s">
        <v>616</v>
      </c>
      <c r="I960" s="175">
        <v>218</v>
      </c>
      <c r="J960" s="115">
        <v>218</v>
      </c>
      <c r="K960" s="143">
        <f t="shared" si="297"/>
        <v>218</v>
      </c>
      <c r="L960" s="144">
        <f t="shared" si="305"/>
        <v>0</v>
      </c>
      <c r="M960" s="275">
        <f t="shared" si="312"/>
        <v>218</v>
      </c>
      <c r="N960" s="98">
        <v>3</v>
      </c>
      <c r="O960" s="93">
        <f t="shared" si="302"/>
        <v>100</v>
      </c>
      <c r="JG960" s="100">
        <v>7</v>
      </c>
      <c r="JH960" s="100">
        <v>9</v>
      </c>
      <c r="JI960" s="100">
        <v>10</v>
      </c>
      <c r="JJ960" s="100">
        <v>26</v>
      </c>
      <c r="JN960" s="100">
        <v>5</v>
      </c>
      <c r="KQ960" s="100">
        <v>5</v>
      </c>
      <c r="KR960" s="100">
        <v>2</v>
      </c>
      <c r="KU960" s="100">
        <v>24</v>
      </c>
      <c r="KV960" s="100">
        <v>24</v>
      </c>
      <c r="KW960" s="100">
        <v>3</v>
      </c>
      <c r="KX960" s="100">
        <v>4</v>
      </c>
      <c r="KY960" s="100">
        <v>5</v>
      </c>
      <c r="KZ960" s="100">
        <v>7</v>
      </c>
      <c r="LB960" s="100">
        <v>5</v>
      </c>
      <c r="LC960" s="100">
        <v>13</v>
      </c>
      <c r="LD960" s="100">
        <v>20</v>
      </c>
      <c r="LF960" s="100">
        <v>27</v>
      </c>
      <c r="LG960" s="100">
        <v>12</v>
      </c>
      <c r="LK960" s="100">
        <v>10</v>
      </c>
      <c r="ON960" s="100">
        <f t="shared" si="298"/>
        <v>0</v>
      </c>
    </row>
    <row r="961" spans="1:404" ht="23.25" customHeight="1">
      <c r="A961" s="97" t="str">
        <f>D961&amp;E961</f>
        <v>027T/WESTELM-2166-86640-02-B</v>
      </c>
      <c r="B961" s="95">
        <v>44490</v>
      </c>
      <c r="C961" s="97">
        <f t="shared" ca="1" si="310"/>
        <v>-574</v>
      </c>
      <c r="D961" s="112" t="s">
        <v>1449</v>
      </c>
      <c r="E961" s="123" t="s">
        <v>1384</v>
      </c>
      <c r="F961" s="98" t="str">
        <f t="shared" ref="F961:F966" si="313">MID(E961,13,2)</f>
        <v>B</v>
      </c>
      <c r="G961" s="110">
        <f ca="1">SUMIF($A:E,$A961,K:K)</f>
        <v>554</v>
      </c>
      <c r="H961" s="97" t="s">
        <v>616</v>
      </c>
      <c r="I961" s="175">
        <v>336</v>
      </c>
      <c r="J961" s="115">
        <v>336</v>
      </c>
      <c r="K961" s="143">
        <f t="shared" si="297"/>
        <v>336</v>
      </c>
      <c r="L961" s="144">
        <f t="shared" si="305"/>
        <v>0</v>
      </c>
      <c r="M961" s="275">
        <f t="shared" si="312"/>
        <v>336</v>
      </c>
      <c r="N961" s="98">
        <v>3</v>
      </c>
      <c r="O961" s="93">
        <f t="shared" si="302"/>
        <v>100</v>
      </c>
      <c r="HT961" s="100">
        <v>11</v>
      </c>
      <c r="HX961" s="100">
        <v>20</v>
      </c>
      <c r="HY961" s="100">
        <v>11</v>
      </c>
      <c r="ID961" s="100">
        <v>14</v>
      </c>
      <c r="IE961" s="100">
        <v>31</v>
      </c>
      <c r="IF961" s="100">
        <v>13</v>
      </c>
      <c r="IG961" s="100">
        <v>13</v>
      </c>
      <c r="II961" s="100">
        <v>9</v>
      </c>
      <c r="IK961" s="100">
        <v>8</v>
      </c>
      <c r="IM961" s="100">
        <v>28</v>
      </c>
      <c r="IR961" s="100">
        <v>31</v>
      </c>
      <c r="IS961" s="100">
        <v>4</v>
      </c>
      <c r="IT961" s="100">
        <v>12</v>
      </c>
      <c r="IU961" s="100">
        <v>34</v>
      </c>
      <c r="IV961" s="100">
        <v>1</v>
      </c>
      <c r="IW961" s="100">
        <v>7</v>
      </c>
      <c r="IY961" s="100">
        <v>11</v>
      </c>
      <c r="IZ961" s="100">
        <v>4</v>
      </c>
      <c r="JA961" s="100">
        <v>9</v>
      </c>
      <c r="JB961" s="100">
        <v>14</v>
      </c>
      <c r="JC961" s="100">
        <v>5</v>
      </c>
      <c r="JD961" s="100">
        <v>33</v>
      </c>
      <c r="JF961" s="100">
        <v>10</v>
      </c>
      <c r="JG961" s="100">
        <v>3</v>
      </c>
      <c r="ON961" s="100">
        <f t="shared" si="298"/>
        <v>0</v>
      </c>
    </row>
    <row r="962" spans="1:404" ht="23.25" customHeight="1">
      <c r="A962" s="97" t="str">
        <f>D962&amp;E962</f>
        <v>029T/WESTELM-2166-86640-02-B</v>
      </c>
      <c r="B962" s="95">
        <v>44515</v>
      </c>
      <c r="C962" s="97">
        <f t="shared" ca="1" si="310"/>
        <v>-549</v>
      </c>
      <c r="D962" s="234" t="s">
        <v>1544</v>
      </c>
      <c r="E962" s="259" t="s">
        <v>1384</v>
      </c>
      <c r="F962" s="133" t="str">
        <f t="shared" si="313"/>
        <v>B</v>
      </c>
      <c r="G962" s="140">
        <f ca="1">SUMIF($A:E,$A962,K:K)</f>
        <v>93</v>
      </c>
      <c r="H962" s="234" t="s">
        <v>1545</v>
      </c>
      <c r="I962" s="236">
        <v>93</v>
      </c>
      <c r="J962" s="240">
        <v>93</v>
      </c>
      <c r="K962" s="143">
        <f t="shared" si="297"/>
        <v>93</v>
      </c>
      <c r="L962" s="144">
        <f t="shared" si="305"/>
        <v>0</v>
      </c>
      <c r="M962" s="275">
        <f t="shared" si="312"/>
        <v>93</v>
      </c>
      <c r="N962" s="133">
        <v>3</v>
      </c>
      <c r="O962" s="93">
        <f t="shared" si="302"/>
        <v>100</v>
      </c>
      <c r="JM962" s="100">
        <v>5</v>
      </c>
      <c r="JO962" s="100">
        <v>11</v>
      </c>
      <c r="JP962" s="100">
        <v>9</v>
      </c>
      <c r="JQ962" s="100">
        <v>8</v>
      </c>
      <c r="JR962" s="100">
        <v>5</v>
      </c>
      <c r="JT962" s="100">
        <v>7</v>
      </c>
      <c r="JV962" s="100">
        <v>6</v>
      </c>
      <c r="JW962" s="100">
        <v>10</v>
      </c>
      <c r="JX962" s="100">
        <v>12</v>
      </c>
      <c r="KA962" s="100">
        <v>20</v>
      </c>
      <c r="ON962" s="100">
        <f t="shared" si="298"/>
        <v>0</v>
      </c>
    </row>
    <row r="963" spans="1:404" ht="23.25" customHeight="1">
      <c r="A963" s="97" t="str">
        <f>D963&amp;E963</f>
        <v>030T/WESTELM-2166-86640-02-B</v>
      </c>
      <c r="B963" s="95">
        <v>44524</v>
      </c>
      <c r="C963" s="97">
        <f t="shared" ca="1" si="310"/>
        <v>-540</v>
      </c>
      <c r="D963" s="234" t="s">
        <v>1592</v>
      </c>
      <c r="E963" s="123" t="s">
        <v>1384</v>
      </c>
      <c r="F963" s="98" t="str">
        <f t="shared" si="313"/>
        <v>B</v>
      </c>
      <c r="G963" s="110">
        <f ca="1">SUMIF($A:E,$A963,K:K)</f>
        <v>80</v>
      </c>
      <c r="H963" s="97" t="s">
        <v>1593</v>
      </c>
      <c r="I963" s="175">
        <v>80</v>
      </c>
      <c r="J963" s="115">
        <v>80</v>
      </c>
      <c r="K963" s="143">
        <f t="shared" si="297"/>
        <v>80</v>
      </c>
      <c r="L963" s="144">
        <f t="shared" si="305"/>
        <v>0</v>
      </c>
      <c r="M963" s="275">
        <f t="shared" si="312"/>
        <v>80</v>
      </c>
      <c r="N963" s="98">
        <v>3</v>
      </c>
      <c r="O963" s="93">
        <f t="shared" si="302"/>
        <v>100</v>
      </c>
      <c r="KA963" s="100">
        <v>1</v>
      </c>
      <c r="KB963" s="100">
        <v>9</v>
      </c>
      <c r="KC963" s="100">
        <v>4</v>
      </c>
      <c r="KD963" s="100">
        <v>14</v>
      </c>
      <c r="KF963" s="100">
        <v>13</v>
      </c>
      <c r="KG963" s="100">
        <v>6</v>
      </c>
      <c r="KH963" s="100">
        <v>6</v>
      </c>
      <c r="KI963" s="100">
        <v>7</v>
      </c>
      <c r="KN963" s="100">
        <v>6</v>
      </c>
      <c r="KO963" s="100">
        <v>5</v>
      </c>
      <c r="KP963" s="100">
        <v>2</v>
      </c>
      <c r="KQ963" s="100">
        <v>7</v>
      </c>
      <c r="ON963" s="100">
        <f t="shared" si="298"/>
        <v>0</v>
      </c>
    </row>
    <row r="964" spans="1:404" ht="23.25" customHeight="1">
      <c r="A964" s="97" t="str">
        <f>D964&amp;E964</f>
        <v xml:space="preserve">	002/WESTELM-VG_SR-2166-86640-02-B</v>
      </c>
      <c r="B964" s="95">
        <v>44454</v>
      </c>
      <c r="C964" s="97">
        <f t="shared" ca="1" si="310"/>
        <v>-610</v>
      </c>
      <c r="D964" s="112" t="s">
        <v>1801</v>
      </c>
      <c r="E964" s="123" t="s">
        <v>1384</v>
      </c>
      <c r="F964" s="98" t="str">
        <f t="shared" si="313"/>
        <v>B</v>
      </c>
      <c r="G964" s="110">
        <f ca="1">SUMIF($A:E,$A964,K:K)</f>
        <v>6</v>
      </c>
      <c r="H964" s="112" t="s">
        <v>820</v>
      </c>
      <c r="I964" s="175">
        <v>6</v>
      </c>
      <c r="J964" s="115">
        <v>6</v>
      </c>
      <c r="K964" s="143">
        <f t="shared" ref="K964:K1027" si="314">SUM(P964:BBC964)</f>
        <v>6</v>
      </c>
      <c r="L964" s="144">
        <f t="shared" si="305"/>
        <v>0</v>
      </c>
      <c r="M964" s="275">
        <f t="shared" si="312"/>
        <v>6</v>
      </c>
      <c r="N964" s="211">
        <v>3</v>
      </c>
      <c r="O964" s="93">
        <f t="shared" si="302"/>
        <v>100</v>
      </c>
      <c r="IK964" s="100">
        <v>6</v>
      </c>
      <c r="ON964" s="100">
        <f t="shared" ref="ON964:ON1027" si="315">SUM(NS964:OM964)</f>
        <v>0</v>
      </c>
    </row>
    <row r="965" spans="1:404" ht="23.25" customHeight="1">
      <c r="A965" s="97" t="s">
        <v>1370</v>
      </c>
      <c r="B965" s="95">
        <v>44403</v>
      </c>
      <c r="C965" s="97">
        <f t="shared" ca="1" si="310"/>
        <v>-661</v>
      </c>
      <c r="D965" s="112" t="s">
        <v>1382</v>
      </c>
      <c r="E965" s="123" t="s">
        <v>1383</v>
      </c>
      <c r="F965" s="98" t="str">
        <f t="shared" si="313"/>
        <v>B</v>
      </c>
      <c r="G965" s="110">
        <f ca="1">SUMIF($A:E,$A965,K:K)</f>
        <v>5654</v>
      </c>
      <c r="H965" s="97" t="s">
        <v>1403</v>
      </c>
      <c r="I965" s="175">
        <v>2</v>
      </c>
      <c r="J965" s="115">
        <v>2</v>
      </c>
      <c r="K965" s="143">
        <f t="shared" si="314"/>
        <v>2</v>
      </c>
      <c r="L965" s="144">
        <f t="shared" si="305"/>
        <v>0</v>
      </c>
      <c r="M965" s="275">
        <f t="shared" si="312"/>
        <v>2</v>
      </c>
      <c r="N965" s="98">
        <v>5</v>
      </c>
      <c r="O965" s="93">
        <f t="shared" si="302"/>
        <v>100</v>
      </c>
      <c r="GJ965" s="100">
        <v>2</v>
      </c>
      <c r="ON965" s="100">
        <f t="shared" si="315"/>
        <v>0</v>
      </c>
    </row>
    <row r="966" spans="1:404" ht="23.25" customHeight="1">
      <c r="A966" s="97" t="s">
        <v>1370</v>
      </c>
      <c r="B966" s="95">
        <v>44402</v>
      </c>
      <c r="C966" s="97">
        <f t="shared" ca="1" si="310"/>
        <v>-662</v>
      </c>
      <c r="D966" s="112" t="s">
        <v>1320</v>
      </c>
      <c r="E966" s="123" t="s">
        <v>1383</v>
      </c>
      <c r="F966" s="98" t="str">
        <f t="shared" si="313"/>
        <v>B</v>
      </c>
      <c r="G966" s="110">
        <f ca="1">SUMIF($A:E,$A966,K:K)</f>
        <v>5654</v>
      </c>
      <c r="H966" s="112" t="s">
        <v>1404</v>
      </c>
      <c r="I966" s="175">
        <v>2</v>
      </c>
      <c r="J966" s="115">
        <v>2</v>
      </c>
      <c r="K966" s="143">
        <f t="shared" si="314"/>
        <v>2</v>
      </c>
      <c r="L966" s="144">
        <f t="shared" si="305"/>
        <v>0</v>
      </c>
      <c r="M966" s="275">
        <f t="shared" si="312"/>
        <v>2</v>
      </c>
      <c r="N966" s="98">
        <v>5</v>
      </c>
      <c r="O966" s="93">
        <f t="shared" si="302"/>
        <v>100</v>
      </c>
      <c r="GJ966" s="100">
        <v>1</v>
      </c>
      <c r="GL966" s="100">
        <v>1</v>
      </c>
      <c r="ON966" s="100">
        <f t="shared" si="315"/>
        <v>0</v>
      </c>
    </row>
    <row r="967" spans="1:404" ht="23.25" customHeight="1">
      <c r="A967" s="97" t="s">
        <v>1979</v>
      </c>
      <c r="B967" s="95">
        <v>44528</v>
      </c>
      <c r="C967" s="97">
        <f t="shared" ca="1" si="310"/>
        <v>-536</v>
      </c>
      <c r="D967" s="112" t="s">
        <v>1980</v>
      </c>
      <c r="E967" s="123" t="s">
        <v>1383</v>
      </c>
      <c r="F967" s="98" t="s">
        <v>561</v>
      </c>
      <c r="G967" s="110">
        <v>313</v>
      </c>
      <c r="H967" s="97" t="s">
        <v>616</v>
      </c>
      <c r="I967" s="175">
        <v>158</v>
      </c>
      <c r="J967" s="115">
        <v>158</v>
      </c>
      <c r="K967" s="143">
        <f t="shared" si="314"/>
        <v>158</v>
      </c>
      <c r="L967" s="144">
        <f t="shared" si="305"/>
        <v>0</v>
      </c>
      <c r="M967" s="275">
        <f t="shared" si="312"/>
        <v>158</v>
      </c>
      <c r="N967" s="98">
        <v>3</v>
      </c>
      <c r="O967" s="93">
        <f t="shared" si="302"/>
        <v>100</v>
      </c>
      <c r="KY967" s="100">
        <v>8</v>
      </c>
      <c r="KZ967" s="100">
        <v>11</v>
      </c>
      <c r="LB967" s="100">
        <v>19</v>
      </c>
      <c r="LC967" s="100">
        <v>7</v>
      </c>
      <c r="LD967" s="100">
        <v>14</v>
      </c>
      <c r="LE967" s="100">
        <v>14</v>
      </c>
      <c r="LF967" s="100">
        <v>28</v>
      </c>
      <c r="LG967" s="100">
        <v>12</v>
      </c>
      <c r="LM967" s="100">
        <v>38</v>
      </c>
      <c r="LP967" s="100">
        <v>7</v>
      </c>
      <c r="ON967" s="100">
        <f t="shared" si="315"/>
        <v>0</v>
      </c>
    </row>
    <row r="968" spans="1:404" ht="23.25" customHeight="1">
      <c r="A968" s="97" t="str">
        <f>D968&amp;E968</f>
        <v>027T/WESTELM-21( đợt 1)66-86540-01-B</v>
      </c>
      <c r="B968" s="206">
        <v>44490</v>
      </c>
      <c r="C968" s="97">
        <f t="shared" ca="1" si="310"/>
        <v>-574</v>
      </c>
      <c r="D968" s="112" t="s">
        <v>1978</v>
      </c>
      <c r="E968" s="123" t="s">
        <v>1383</v>
      </c>
      <c r="F968" s="98" t="str">
        <f t="shared" ref="F968:F973" si="316">MID(E968,13,2)</f>
        <v>B</v>
      </c>
      <c r="G968" s="110">
        <f ca="1">SUMIF($A:E,$A968,K:K)</f>
        <v>371</v>
      </c>
      <c r="H968" s="97" t="s">
        <v>616</v>
      </c>
      <c r="I968" s="175">
        <v>371</v>
      </c>
      <c r="J968" s="115">
        <v>371</v>
      </c>
      <c r="K968" s="143">
        <f t="shared" si="314"/>
        <v>371</v>
      </c>
      <c r="L968" s="144">
        <f t="shared" ref="L968" si="317">J968-K968</f>
        <v>0</v>
      </c>
      <c r="M968" s="275">
        <f t="shared" si="312"/>
        <v>371</v>
      </c>
      <c r="N968" s="98">
        <v>3</v>
      </c>
      <c r="O968" s="93">
        <f t="shared" si="302"/>
        <v>100</v>
      </c>
      <c r="HT968" s="100">
        <v>12</v>
      </c>
      <c r="HU968" s="100">
        <v>4</v>
      </c>
      <c r="HW968" s="100">
        <v>2</v>
      </c>
      <c r="HX968" s="100">
        <v>21</v>
      </c>
      <c r="HY968" s="100">
        <v>8</v>
      </c>
      <c r="IB968" s="100">
        <v>10</v>
      </c>
      <c r="ID968" s="100">
        <v>14</v>
      </c>
      <c r="IE968" s="100">
        <v>13</v>
      </c>
      <c r="IF968" s="100">
        <v>14</v>
      </c>
      <c r="IH968" s="100">
        <v>14</v>
      </c>
      <c r="II968" s="100">
        <v>14</v>
      </c>
      <c r="IK968" s="100">
        <v>3</v>
      </c>
      <c r="IL968" s="100">
        <v>14</v>
      </c>
      <c r="IM968" s="100">
        <v>10</v>
      </c>
      <c r="IN968" s="100">
        <v>12</v>
      </c>
      <c r="IP968" s="100">
        <v>17</v>
      </c>
      <c r="IR968" s="100">
        <v>26</v>
      </c>
      <c r="IS968" s="100">
        <v>21</v>
      </c>
      <c r="IU968" s="100">
        <v>1</v>
      </c>
      <c r="IV968" s="100">
        <v>2</v>
      </c>
      <c r="IW968" s="100">
        <v>18</v>
      </c>
      <c r="IY968" s="100">
        <v>11</v>
      </c>
      <c r="IZ968" s="100">
        <v>3</v>
      </c>
      <c r="JA968" s="100">
        <v>9</v>
      </c>
      <c r="JB968" s="100">
        <v>21</v>
      </c>
      <c r="JC968" s="100">
        <v>5</v>
      </c>
      <c r="JD968" s="100">
        <v>9</v>
      </c>
      <c r="JG968" s="100">
        <v>10</v>
      </c>
      <c r="JH968" s="100">
        <v>5</v>
      </c>
      <c r="JI968" s="100">
        <v>13</v>
      </c>
      <c r="JJ968" s="100">
        <v>24</v>
      </c>
      <c r="JN968" s="100">
        <v>7</v>
      </c>
      <c r="JO968" s="100">
        <v>4</v>
      </c>
      <c r="ON968" s="100">
        <f t="shared" si="315"/>
        <v>0</v>
      </c>
    </row>
    <row r="969" spans="1:404" ht="23.25" customHeight="1">
      <c r="A969" s="97" t="str">
        <f>D969&amp;E969</f>
        <v>029T/WESTELM-2166-86540-01-B</v>
      </c>
      <c r="B969" s="95">
        <v>44515</v>
      </c>
      <c r="C969" s="97">
        <f t="shared" ca="1" si="310"/>
        <v>-549</v>
      </c>
      <c r="D969" s="112" t="s">
        <v>1544</v>
      </c>
      <c r="E969" s="123" t="s">
        <v>1383</v>
      </c>
      <c r="F969" s="98" t="str">
        <f t="shared" si="316"/>
        <v>B</v>
      </c>
      <c r="G969" s="110">
        <f ca="1">SUMIF($A:E,$A969,K:K)</f>
        <v>115</v>
      </c>
      <c r="H969" s="112" t="s">
        <v>1545</v>
      </c>
      <c r="I969" s="175">
        <v>115</v>
      </c>
      <c r="J969" s="115">
        <v>115</v>
      </c>
      <c r="K969" s="143">
        <f t="shared" si="314"/>
        <v>115</v>
      </c>
      <c r="L969" s="144">
        <f t="shared" si="305"/>
        <v>0</v>
      </c>
      <c r="M969" s="275">
        <f t="shared" si="312"/>
        <v>115</v>
      </c>
      <c r="N969" s="98">
        <v>3</v>
      </c>
      <c r="O969" s="93">
        <f t="shared" si="302"/>
        <v>100</v>
      </c>
      <c r="JM969" s="100">
        <v>6</v>
      </c>
      <c r="JO969" s="100">
        <v>2</v>
      </c>
      <c r="JP969" s="100">
        <v>8</v>
      </c>
      <c r="JQ969" s="100">
        <v>10</v>
      </c>
      <c r="JR969" s="100">
        <v>7</v>
      </c>
      <c r="JV969" s="100">
        <v>17</v>
      </c>
      <c r="JY969" s="100">
        <v>7</v>
      </c>
      <c r="KA969" s="100">
        <v>3</v>
      </c>
      <c r="KC969" s="100">
        <v>22</v>
      </c>
      <c r="KE969" s="100">
        <v>8</v>
      </c>
      <c r="KF969" s="100">
        <v>13</v>
      </c>
      <c r="KG969" s="100">
        <v>7</v>
      </c>
      <c r="KH969" s="100">
        <v>5</v>
      </c>
      <c r="ON969" s="100">
        <f t="shared" si="315"/>
        <v>0</v>
      </c>
    </row>
    <row r="970" spans="1:404" ht="23.25" customHeight="1">
      <c r="A970" s="97" t="str">
        <f>D970&amp;E970</f>
        <v>030T/WESTELM-2166-86540-01-B</v>
      </c>
      <c r="B970" s="95">
        <v>44524</v>
      </c>
      <c r="C970" s="97">
        <f t="shared" ca="1" si="310"/>
        <v>-540</v>
      </c>
      <c r="D970" s="112" t="s">
        <v>1592</v>
      </c>
      <c r="E970" s="123" t="s">
        <v>1383</v>
      </c>
      <c r="F970" s="98" t="str">
        <f t="shared" si="316"/>
        <v>B</v>
      </c>
      <c r="G970" s="110">
        <f ca="1">SUMIF($A:E,$A970,K:K)</f>
        <v>98</v>
      </c>
      <c r="H970" s="97" t="s">
        <v>1593</v>
      </c>
      <c r="I970" s="175">
        <v>98</v>
      </c>
      <c r="J970" s="115">
        <v>98</v>
      </c>
      <c r="K970" s="143">
        <f t="shared" si="314"/>
        <v>98</v>
      </c>
      <c r="L970" s="144">
        <f t="shared" si="305"/>
        <v>0</v>
      </c>
      <c r="M970" s="275">
        <f t="shared" si="312"/>
        <v>98</v>
      </c>
      <c r="N970" s="98">
        <v>3</v>
      </c>
      <c r="O970" s="93">
        <f t="shared" si="302"/>
        <v>100</v>
      </c>
      <c r="KH970" s="100">
        <v>2</v>
      </c>
      <c r="KI970" s="100">
        <v>7</v>
      </c>
      <c r="KN970" s="100">
        <v>7</v>
      </c>
      <c r="KO970" s="100">
        <v>14</v>
      </c>
      <c r="KP970" s="100">
        <v>10</v>
      </c>
      <c r="KQ970" s="100">
        <v>2</v>
      </c>
      <c r="KR970" s="100">
        <v>8</v>
      </c>
      <c r="KS970" s="100">
        <v>5</v>
      </c>
      <c r="KU970" s="100">
        <v>13</v>
      </c>
      <c r="KV970" s="100">
        <v>8</v>
      </c>
      <c r="KX970" s="100">
        <v>18</v>
      </c>
      <c r="KY970" s="100">
        <v>4</v>
      </c>
      <c r="ON970" s="100">
        <f t="shared" si="315"/>
        <v>0</v>
      </c>
    </row>
    <row r="971" spans="1:404" ht="23.25" customHeight="1">
      <c r="A971" s="97" t="str">
        <f>D971&amp;E971</f>
        <v xml:space="preserve">	002/WESTELM-VG_SR-2166-86540-01-B</v>
      </c>
      <c r="B971" s="205">
        <v>44454</v>
      </c>
      <c r="C971" s="97">
        <f t="shared" ca="1" si="310"/>
        <v>-610</v>
      </c>
      <c r="D971" s="112" t="s">
        <v>1801</v>
      </c>
      <c r="E971" s="123" t="s">
        <v>1383</v>
      </c>
      <c r="F971" s="98" t="str">
        <f t="shared" si="316"/>
        <v>B</v>
      </c>
      <c r="G971" s="110">
        <f ca="1">SUMIF($A:E,$A971,K:K)</f>
        <v>6</v>
      </c>
      <c r="H971" s="112" t="s">
        <v>820</v>
      </c>
      <c r="I971" s="175">
        <v>6</v>
      </c>
      <c r="J971" s="115">
        <v>6</v>
      </c>
      <c r="K971" s="143">
        <f t="shared" si="314"/>
        <v>6</v>
      </c>
      <c r="L971" s="144">
        <f t="shared" si="305"/>
        <v>0</v>
      </c>
      <c r="M971" s="275">
        <f t="shared" si="312"/>
        <v>6</v>
      </c>
      <c r="N971" s="211">
        <v>3</v>
      </c>
      <c r="O971" s="93">
        <f t="shared" si="302"/>
        <v>100</v>
      </c>
      <c r="IK971" s="100">
        <v>6</v>
      </c>
      <c r="ON971" s="100">
        <f t="shared" si="315"/>
        <v>0</v>
      </c>
    </row>
    <row r="972" spans="1:404" ht="23.25" customHeight="1">
      <c r="A972" s="97" t="str">
        <f>D972&amp;E972</f>
        <v>043/VG_SR-21( WESTELM)66-86439-03-B</v>
      </c>
      <c r="B972" s="205">
        <v>44395</v>
      </c>
      <c r="C972" s="97">
        <f t="shared" ca="1" si="310"/>
        <v>-669</v>
      </c>
      <c r="D972" s="112" t="s">
        <v>1317</v>
      </c>
      <c r="E972" s="123" t="s">
        <v>1319</v>
      </c>
      <c r="F972" s="98" t="str">
        <f t="shared" si="316"/>
        <v>B</v>
      </c>
      <c r="G972" s="110">
        <f ca="1">SUMIF($A:E,$A972,K:K)</f>
        <v>5</v>
      </c>
      <c r="H972" s="97" t="s">
        <v>508</v>
      </c>
      <c r="I972" s="98">
        <v>5</v>
      </c>
      <c r="J972" s="99">
        <v>5</v>
      </c>
      <c r="K972" s="143">
        <f t="shared" si="314"/>
        <v>5</v>
      </c>
      <c r="L972" s="144">
        <f t="shared" si="305"/>
        <v>0</v>
      </c>
      <c r="M972" s="275">
        <f t="shared" si="312"/>
        <v>5</v>
      </c>
      <c r="N972" s="98">
        <v>5</v>
      </c>
      <c r="O972" s="93">
        <f t="shared" si="302"/>
        <v>100</v>
      </c>
      <c r="GD972" s="100">
        <v>2</v>
      </c>
      <c r="GE972" s="100">
        <v>1</v>
      </c>
      <c r="GH972" s="100">
        <v>2</v>
      </c>
      <c r="ON972" s="100">
        <f t="shared" si="315"/>
        <v>0</v>
      </c>
    </row>
    <row r="973" spans="1:404" ht="23.25" customHeight="1">
      <c r="A973" s="97" t="s">
        <v>1370</v>
      </c>
      <c r="B973" s="95">
        <v>44402</v>
      </c>
      <c r="C973" s="97">
        <f t="shared" ca="1" si="310"/>
        <v>-662</v>
      </c>
      <c r="D973" s="112" t="s">
        <v>1320</v>
      </c>
      <c r="E973" s="255" t="s">
        <v>1319</v>
      </c>
      <c r="F973" s="98" t="str">
        <f t="shared" si="316"/>
        <v>B</v>
      </c>
      <c r="G973" s="110">
        <f ca="1">SUMIF($A:E,$A973,K:K)</f>
        <v>5654</v>
      </c>
      <c r="H973" s="112" t="s">
        <v>1405</v>
      </c>
      <c r="I973" s="175">
        <v>2</v>
      </c>
      <c r="J973" s="115">
        <v>2</v>
      </c>
      <c r="K973" s="143">
        <f t="shared" si="314"/>
        <v>2</v>
      </c>
      <c r="L973" s="144">
        <f t="shared" si="305"/>
        <v>0</v>
      </c>
      <c r="M973" s="275">
        <f t="shared" si="312"/>
        <v>2</v>
      </c>
      <c r="N973" s="98">
        <v>5</v>
      </c>
      <c r="O973" s="93">
        <f t="shared" si="302"/>
        <v>100</v>
      </c>
      <c r="GI973" s="100">
        <v>2</v>
      </c>
      <c r="ON973" s="100">
        <f t="shared" si="315"/>
        <v>0</v>
      </c>
    </row>
    <row r="974" spans="1:404" ht="23.25" customHeight="1">
      <c r="A974" s="97" t="s">
        <v>1788</v>
      </c>
      <c r="B974" s="206">
        <v>44490</v>
      </c>
      <c r="C974" s="138">
        <f t="shared" ca="1" si="310"/>
        <v>-574</v>
      </c>
      <c r="D974" s="112" t="s">
        <v>1978</v>
      </c>
      <c r="E974" s="284" t="s">
        <v>1319</v>
      </c>
      <c r="F974" s="133" t="s">
        <v>561</v>
      </c>
      <c r="G974" s="140">
        <v>158</v>
      </c>
      <c r="H974" s="138" t="s">
        <v>616</v>
      </c>
      <c r="I974" s="236">
        <v>776</v>
      </c>
      <c r="J974" s="240">
        <f>776-158</f>
        <v>618</v>
      </c>
      <c r="K974" s="143">
        <f t="shared" si="314"/>
        <v>618</v>
      </c>
      <c r="L974" s="144">
        <f t="shared" si="305"/>
        <v>0</v>
      </c>
      <c r="M974" s="275">
        <f t="shared" si="312"/>
        <v>776</v>
      </c>
      <c r="N974" s="133" t="s">
        <v>1776</v>
      </c>
      <c r="O974" s="93">
        <f t="shared" si="302"/>
        <v>100</v>
      </c>
      <c r="IF974" s="100">
        <v>18</v>
      </c>
      <c r="IG974" s="100">
        <v>18</v>
      </c>
      <c r="IH974" s="100">
        <v>15</v>
      </c>
      <c r="IK974" s="100">
        <v>33</v>
      </c>
      <c r="IL974" s="100">
        <v>11</v>
      </c>
      <c r="IN974" s="100">
        <v>44</v>
      </c>
      <c r="IP974" s="100">
        <v>10</v>
      </c>
      <c r="IR974" s="100">
        <v>23</v>
      </c>
      <c r="IS974" s="100">
        <v>14</v>
      </c>
      <c r="IT974" s="100">
        <v>27</v>
      </c>
      <c r="IU974" s="100">
        <v>20</v>
      </c>
      <c r="IV974" s="100">
        <v>13</v>
      </c>
      <c r="IW974" s="100">
        <v>15</v>
      </c>
      <c r="IY974" s="100">
        <v>22</v>
      </c>
      <c r="IZ974" s="100">
        <v>13</v>
      </c>
      <c r="JA974" s="100">
        <v>23</v>
      </c>
      <c r="JB974" s="100">
        <v>24</v>
      </c>
      <c r="JC974" s="100">
        <v>17</v>
      </c>
      <c r="JF974" s="100">
        <v>22</v>
      </c>
      <c r="JG974" s="100">
        <v>33</v>
      </c>
      <c r="JH974" s="100">
        <v>22</v>
      </c>
      <c r="JI974" s="100">
        <v>18</v>
      </c>
      <c r="JJ974" s="100">
        <v>14</v>
      </c>
      <c r="JK974" s="100">
        <v>22</v>
      </c>
      <c r="JM974" s="100">
        <v>11</v>
      </c>
      <c r="JN974" s="100">
        <v>21</v>
      </c>
      <c r="JO974" s="100">
        <v>22</v>
      </c>
      <c r="JP974" s="100">
        <v>11</v>
      </c>
      <c r="JQ974" s="100">
        <v>8</v>
      </c>
      <c r="JR974" s="100">
        <v>22</v>
      </c>
      <c r="JT974" s="100">
        <v>14</v>
      </c>
      <c r="JU974" s="100">
        <v>9</v>
      </c>
      <c r="JV974" s="100">
        <v>9</v>
      </c>
      <c r="ON974" s="100">
        <f t="shared" si="315"/>
        <v>0</v>
      </c>
    </row>
    <row r="975" spans="1:404" ht="23.25" customHeight="1">
      <c r="A975" s="97" t="str">
        <f>D975&amp;E975</f>
        <v>027T/WESTELM-21( đợt 1)66-86439-03-B</v>
      </c>
      <c r="B975" s="206">
        <v>44490</v>
      </c>
      <c r="C975" s="97">
        <f t="shared" ca="1" si="310"/>
        <v>-574</v>
      </c>
      <c r="D975" s="112" t="s">
        <v>1978</v>
      </c>
      <c r="E975" s="279" t="s">
        <v>1319</v>
      </c>
      <c r="F975" s="98" t="str">
        <f t="shared" ref="F975:F998" si="318">MID(E975,13,2)</f>
        <v>B</v>
      </c>
      <c r="G975" s="110">
        <f ca="1">SUMIF($A:E,$A975,K:K)</f>
        <v>158</v>
      </c>
      <c r="H975" s="97" t="s">
        <v>616</v>
      </c>
      <c r="I975" s="175">
        <v>776</v>
      </c>
      <c r="J975" s="115">
        <v>158</v>
      </c>
      <c r="K975" s="143">
        <f t="shared" si="314"/>
        <v>158</v>
      </c>
      <c r="L975" s="144">
        <f t="shared" si="305"/>
        <v>0</v>
      </c>
      <c r="M975" s="275">
        <f t="shared" si="312"/>
        <v>776</v>
      </c>
      <c r="N975" s="98" t="s">
        <v>1768</v>
      </c>
      <c r="O975" s="93">
        <f t="shared" si="302"/>
        <v>100</v>
      </c>
      <c r="HN975" s="100">
        <v>5</v>
      </c>
      <c r="HQ975" s="100">
        <v>12</v>
      </c>
      <c r="HR975" s="100">
        <v>9</v>
      </c>
      <c r="HS975" s="100">
        <v>12</v>
      </c>
      <c r="HT975" s="100">
        <v>25</v>
      </c>
      <c r="HU975" s="100">
        <v>18</v>
      </c>
      <c r="HW975" s="100">
        <v>25</v>
      </c>
      <c r="HX975" s="100">
        <v>8</v>
      </c>
      <c r="HY975" s="100">
        <v>10</v>
      </c>
      <c r="ID975" s="100">
        <v>12</v>
      </c>
      <c r="IE975" s="100">
        <v>22</v>
      </c>
      <c r="ON975" s="100">
        <f t="shared" si="315"/>
        <v>0</v>
      </c>
    </row>
    <row r="976" spans="1:404" ht="23.25" customHeight="1">
      <c r="A976" s="97" t="str">
        <f>D976&amp;E976</f>
        <v>043/VG_SR-21( WESTELM)66-86439-02-B</v>
      </c>
      <c r="B976" s="206">
        <v>44395</v>
      </c>
      <c r="C976" s="97">
        <f t="shared" ca="1" si="310"/>
        <v>-669</v>
      </c>
      <c r="D976" s="234" t="s">
        <v>1317</v>
      </c>
      <c r="E976" s="123" t="s">
        <v>1318</v>
      </c>
      <c r="F976" s="98" t="str">
        <f t="shared" si="318"/>
        <v>B</v>
      </c>
      <c r="G976" s="110">
        <f ca="1">SUMIF($A:E,$A976,K:K)</f>
        <v>5</v>
      </c>
      <c r="H976" s="97" t="s">
        <v>508</v>
      </c>
      <c r="I976" s="98">
        <v>5</v>
      </c>
      <c r="J976" s="99">
        <v>5</v>
      </c>
      <c r="K976" s="143">
        <f t="shared" si="314"/>
        <v>5</v>
      </c>
      <c r="L976" s="144">
        <f t="shared" si="305"/>
        <v>0</v>
      </c>
      <c r="M976" s="275">
        <f t="shared" si="312"/>
        <v>5</v>
      </c>
      <c r="N976" s="98">
        <v>5</v>
      </c>
      <c r="O976" s="93">
        <f t="shared" si="302"/>
        <v>100</v>
      </c>
      <c r="GD976" s="100">
        <v>1</v>
      </c>
      <c r="GE976" s="100">
        <v>1</v>
      </c>
      <c r="GG976" s="100">
        <v>2</v>
      </c>
      <c r="GH976" s="100">
        <v>1</v>
      </c>
      <c r="ON976" s="100">
        <f t="shared" si="315"/>
        <v>0</v>
      </c>
    </row>
    <row r="977" spans="1:404" ht="23.25" customHeight="1">
      <c r="A977" s="97" t="s">
        <v>1370</v>
      </c>
      <c r="B977" s="206">
        <v>44402</v>
      </c>
      <c r="C977" s="97">
        <f t="shared" ca="1" si="310"/>
        <v>-662</v>
      </c>
      <c r="D977" s="112" t="s">
        <v>1320</v>
      </c>
      <c r="E977" s="255" t="s">
        <v>1318</v>
      </c>
      <c r="F977" s="98" t="str">
        <f t="shared" si="318"/>
        <v>B</v>
      </c>
      <c r="G977" s="110">
        <f ca="1">SUMIF($A:E,$A977,K:K)</f>
        <v>5654</v>
      </c>
      <c r="H977" s="112" t="s">
        <v>1405</v>
      </c>
      <c r="I977" s="175">
        <v>2</v>
      </c>
      <c r="J977" s="115">
        <v>2</v>
      </c>
      <c r="K977" s="143">
        <f t="shared" si="314"/>
        <v>2</v>
      </c>
      <c r="L977" s="144">
        <f t="shared" si="305"/>
        <v>0</v>
      </c>
      <c r="M977" s="275">
        <f t="shared" si="312"/>
        <v>2</v>
      </c>
      <c r="N977" s="98">
        <v>5</v>
      </c>
      <c r="O977" s="93">
        <f t="shared" si="302"/>
        <v>100</v>
      </c>
      <c r="GI977" s="100">
        <v>2</v>
      </c>
      <c r="ON977" s="100">
        <f t="shared" si="315"/>
        <v>0</v>
      </c>
    </row>
    <row r="978" spans="1:404" ht="23.25" customHeight="1">
      <c r="A978" s="97" t="str">
        <f>D978&amp;E978</f>
        <v>027T/WESTELM-21( đợt 1)66-86439-02-B</v>
      </c>
      <c r="B978" s="206">
        <v>44490</v>
      </c>
      <c r="C978" s="97">
        <f t="shared" ca="1" si="310"/>
        <v>-574</v>
      </c>
      <c r="D978" s="112" t="s">
        <v>1978</v>
      </c>
      <c r="E978" s="123" t="s">
        <v>1318</v>
      </c>
      <c r="F978" s="98" t="str">
        <f t="shared" si="318"/>
        <v>B</v>
      </c>
      <c r="G978" s="110">
        <f ca="1">SUMIF($A:E,$A978,K:K)</f>
        <v>580</v>
      </c>
      <c r="H978" s="97" t="s">
        <v>616</v>
      </c>
      <c r="I978" s="175">
        <v>576</v>
      </c>
      <c r="J978" s="115">
        <v>576</v>
      </c>
      <c r="K978" s="143">
        <f t="shared" si="314"/>
        <v>576</v>
      </c>
      <c r="L978" s="144">
        <f t="shared" ref="L978:L1039" si="319">J978-K978</f>
        <v>0</v>
      </c>
      <c r="M978" s="275">
        <f t="shared" si="312"/>
        <v>576</v>
      </c>
      <c r="N978" s="98">
        <v>3</v>
      </c>
      <c r="O978" s="93">
        <f t="shared" si="302"/>
        <v>100</v>
      </c>
      <c r="HS978" s="100">
        <v>11</v>
      </c>
      <c r="HT978" s="100">
        <v>22</v>
      </c>
      <c r="HU978" s="100">
        <v>17</v>
      </c>
      <c r="HW978" s="100">
        <v>32</v>
      </c>
      <c r="HX978" s="100">
        <v>3</v>
      </c>
      <c r="HY978" s="100">
        <v>17</v>
      </c>
      <c r="ID978" s="100">
        <v>20</v>
      </c>
      <c r="IF978" s="100">
        <v>21</v>
      </c>
      <c r="IG978" s="100">
        <v>43</v>
      </c>
      <c r="II978" s="100">
        <v>22</v>
      </c>
      <c r="IL978" s="100">
        <v>36</v>
      </c>
      <c r="IM978" s="100">
        <v>25</v>
      </c>
      <c r="IN978" s="100">
        <v>22</v>
      </c>
      <c r="IP978" s="100">
        <v>27</v>
      </c>
      <c r="IT978" s="100">
        <v>50</v>
      </c>
      <c r="IU978" s="100">
        <v>22</v>
      </c>
      <c r="IV978" s="100">
        <v>13</v>
      </c>
      <c r="IY978" s="100">
        <v>16</v>
      </c>
      <c r="IZ978" s="100">
        <v>1</v>
      </c>
      <c r="JA978" s="100">
        <v>22</v>
      </c>
      <c r="JB978" s="100">
        <v>34</v>
      </c>
      <c r="JC978" s="100">
        <v>20</v>
      </c>
      <c r="JD978" s="100">
        <v>17</v>
      </c>
      <c r="JF978" s="100">
        <v>25</v>
      </c>
      <c r="JG978" s="100">
        <v>25</v>
      </c>
      <c r="JH978" s="100">
        <v>7</v>
      </c>
      <c r="JM978" s="100">
        <v>6</v>
      </c>
      <c r="ON978" s="100">
        <f t="shared" si="315"/>
        <v>0</v>
      </c>
    </row>
    <row r="979" spans="1:404" ht="23.25" customHeight="1">
      <c r="A979" s="97" t="str">
        <f>D979&amp;E979</f>
        <v>027T/WESTELM-21( đợt 1)66-86439-02-B</v>
      </c>
      <c r="B979" s="206">
        <v>44490</v>
      </c>
      <c r="C979" s="97">
        <f t="shared" ca="1" si="310"/>
        <v>-574</v>
      </c>
      <c r="D979" s="112" t="s">
        <v>1978</v>
      </c>
      <c r="E979" s="279" t="s">
        <v>1318</v>
      </c>
      <c r="F979" s="98" t="str">
        <f t="shared" si="318"/>
        <v>B</v>
      </c>
      <c r="G979" s="110">
        <f ca="1">SUMIF($A:E,$A979,K:K)</f>
        <v>580</v>
      </c>
      <c r="H979" s="97" t="s">
        <v>616</v>
      </c>
      <c r="I979" s="175">
        <v>576</v>
      </c>
      <c r="J979" s="115">
        <v>4</v>
      </c>
      <c r="K979" s="143">
        <f t="shared" si="314"/>
        <v>4</v>
      </c>
      <c r="L979" s="144">
        <f t="shared" si="319"/>
        <v>0</v>
      </c>
      <c r="M979" s="275">
        <f t="shared" si="312"/>
        <v>576</v>
      </c>
      <c r="N979" s="98" t="s">
        <v>1768</v>
      </c>
      <c r="O979" s="93">
        <f t="shared" si="302"/>
        <v>100</v>
      </c>
      <c r="HN979" s="100">
        <v>3</v>
      </c>
      <c r="HQ979" s="100">
        <v>1</v>
      </c>
      <c r="ON979" s="100">
        <f t="shared" si="315"/>
        <v>0</v>
      </c>
    </row>
    <row r="980" spans="1:404" ht="23.25" customHeight="1">
      <c r="A980" s="97" t="str">
        <f>D980&amp;E981</f>
        <v>003/HOMESENSE-2166-86100-S1-B</v>
      </c>
      <c r="B980" s="206" t="s">
        <v>1221</v>
      </c>
      <c r="C980" s="97">
        <f t="shared" ca="1" si="310"/>
        <v>-512</v>
      </c>
      <c r="D980" s="96" t="s">
        <v>1220</v>
      </c>
      <c r="E980" s="94" t="s">
        <v>1223</v>
      </c>
      <c r="F980" s="98" t="str">
        <f t="shared" si="318"/>
        <v>B</v>
      </c>
      <c r="G980" s="110">
        <f ca="1">SUMIF($A:E,$A980,K:K)</f>
        <v>120</v>
      </c>
      <c r="H980" s="97" t="s">
        <v>508</v>
      </c>
      <c r="I980" s="98">
        <v>120</v>
      </c>
      <c r="J980" s="99">
        <v>120</v>
      </c>
      <c r="K980" s="143">
        <f t="shared" si="314"/>
        <v>120</v>
      </c>
      <c r="L980" s="144">
        <f t="shared" si="319"/>
        <v>0</v>
      </c>
      <c r="M980" s="275">
        <f t="shared" si="312"/>
        <v>120</v>
      </c>
      <c r="N980" s="98">
        <v>3</v>
      </c>
      <c r="O980" s="93">
        <f t="shared" si="302"/>
        <v>100</v>
      </c>
      <c r="KD980" s="100">
        <v>6</v>
      </c>
      <c r="KE980" s="100">
        <v>4</v>
      </c>
      <c r="KF980" s="100">
        <v>6</v>
      </c>
      <c r="KG980" s="100">
        <v>8</v>
      </c>
      <c r="KI980" s="100">
        <v>7</v>
      </c>
      <c r="KJ980" s="100">
        <v>4</v>
      </c>
      <c r="KN980" s="100">
        <v>4</v>
      </c>
      <c r="KP980" s="100">
        <v>2</v>
      </c>
      <c r="KQ980" s="100">
        <v>4</v>
      </c>
      <c r="KS980" s="100">
        <v>4</v>
      </c>
      <c r="KU980" s="100">
        <v>2</v>
      </c>
      <c r="KV980" s="100">
        <v>2</v>
      </c>
      <c r="KW980" s="100">
        <v>5</v>
      </c>
      <c r="KY980" s="100">
        <v>4</v>
      </c>
      <c r="KZ980" s="100">
        <v>2</v>
      </c>
      <c r="LB980" s="100">
        <v>10</v>
      </c>
      <c r="LC980" s="100">
        <v>2</v>
      </c>
      <c r="LD980" s="100">
        <v>3</v>
      </c>
      <c r="LE980" s="100">
        <v>1</v>
      </c>
      <c r="LF980" s="100">
        <v>3</v>
      </c>
      <c r="LI980" s="100">
        <v>5</v>
      </c>
      <c r="LJ980" s="100">
        <v>2</v>
      </c>
      <c r="LK980" s="100">
        <v>2</v>
      </c>
      <c r="LL980" s="100">
        <v>2</v>
      </c>
      <c r="LN980" s="100">
        <v>2</v>
      </c>
      <c r="LP980" s="100">
        <v>2</v>
      </c>
      <c r="LQ980" s="100">
        <v>2</v>
      </c>
      <c r="LR980" s="100">
        <v>4</v>
      </c>
      <c r="LT980" s="100">
        <v>2</v>
      </c>
      <c r="LW980" s="100">
        <v>6</v>
      </c>
      <c r="LX980" s="100">
        <v>2</v>
      </c>
      <c r="LY980" s="100">
        <v>4</v>
      </c>
      <c r="MA980" s="100">
        <v>2</v>
      </c>
      <c r="ON980" s="100">
        <f t="shared" si="315"/>
        <v>0</v>
      </c>
    </row>
    <row r="981" spans="1:404" ht="23.25" customHeight="1">
      <c r="A981" s="97" t="str">
        <f>D981&amp;E981</f>
        <v>038/VG_SR-21( TJX)66-86100-S1-B</v>
      </c>
      <c r="B981" s="206">
        <v>44390</v>
      </c>
      <c r="C981" s="97">
        <f t="shared" ca="1" si="310"/>
        <v>-674</v>
      </c>
      <c r="D981" s="112" t="s">
        <v>1297</v>
      </c>
      <c r="E981" s="123" t="s">
        <v>1223</v>
      </c>
      <c r="F981" s="98" t="str">
        <f t="shared" si="318"/>
        <v>B</v>
      </c>
      <c r="G981" s="110">
        <f ca="1">SUMIF($A:E,$A981,K:K)</f>
        <v>2</v>
      </c>
      <c r="H981" s="97" t="s">
        <v>508</v>
      </c>
      <c r="I981" s="98">
        <v>2</v>
      </c>
      <c r="J981" s="99">
        <v>2</v>
      </c>
      <c r="K981" s="143">
        <f t="shared" si="314"/>
        <v>2</v>
      </c>
      <c r="L981" s="144">
        <f t="shared" si="319"/>
        <v>0</v>
      </c>
      <c r="M981" s="275">
        <f t="shared" si="312"/>
        <v>2</v>
      </c>
      <c r="N981" s="211">
        <v>1</v>
      </c>
      <c r="O981" s="93">
        <f t="shared" ref="O981:O1044" si="320">K981/J981*100</f>
        <v>100</v>
      </c>
      <c r="GB981" s="100">
        <v>2</v>
      </c>
      <c r="ON981" s="100">
        <f t="shared" si="315"/>
        <v>0</v>
      </c>
    </row>
    <row r="982" spans="1:404" ht="23.25" customHeight="1">
      <c r="A982" s="97" t="str">
        <f>D982&amp;E983</f>
        <v>005/MARSSHALLS-2166-85629-S3-B</v>
      </c>
      <c r="B982" s="206" t="s">
        <v>1227</v>
      </c>
      <c r="C982" s="97">
        <f t="shared" ref="C982:C1013" ca="1" si="321">B982-TODAY()</f>
        <v>-513</v>
      </c>
      <c r="D982" s="96" t="s">
        <v>1228</v>
      </c>
      <c r="E982" s="94" t="s">
        <v>1230</v>
      </c>
      <c r="F982" s="98" t="str">
        <f t="shared" si="318"/>
        <v>B</v>
      </c>
      <c r="G982" s="110">
        <f ca="1">SUMIF($A:E,$A982,K:K)</f>
        <v>248</v>
      </c>
      <c r="H982" s="97" t="s">
        <v>508</v>
      </c>
      <c r="I982" s="98">
        <v>248</v>
      </c>
      <c r="J982" s="97">
        <v>248</v>
      </c>
      <c r="K982" s="143">
        <f t="shared" si="314"/>
        <v>248</v>
      </c>
      <c r="L982" s="144">
        <f t="shared" si="319"/>
        <v>0</v>
      </c>
      <c r="M982" s="275">
        <f t="shared" si="312"/>
        <v>744</v>
      </c>
      <c r="N982" s="98">
        <v>3</v>
      </c>
      <c r="O982" s="93">
        <f t="shared" si="320"/>
        <v>100</v>
      </c>
      <c r="JN982" s="100">
        <v>9</v>
      </c>
      <c r="JP982" s="100">
        <v>18</v>
      </c>
      <c r="JR982" s="100">
        <v>2</v>
      </c>
      <c r="JT982" s="100">
        <v>5</v>
      </c>
      <c r="JU982" s="100">
        <v>11</v>
      </c>
      <c r="JV982" s="100">
        <v>11</v>
      </c>
      <c r="JW982" s="100">
        <v>11</v>
      </c>
      <c r="JX982" s="100">
        <v>25</v>
      </c>
      <c r="KA982" s="100">
        <v>5</v>
      </c>
      <c r="KB982" s="100">
        <v>16</v>
      </c>
      <c r="KC982" s="100">
        <v>2</v>
      </c>
      <c r="KD982" s="100">
        <v>12</v>
      </c>
      <c r="KE982" s="100">
        <v>12</v>
      </c>
      <c r="KF982" s="100">
        <v>24</v>
      </c>
      <c r="KH982" s="100">
        <v>5</v>
      </c>
      <c r="KI982" s="100">
        <v>12</v>
      </c>
      <c r="KJ982" s="100">
        <v>13</v>
      </c>
      <c r="KN982" s="100">
        <v>12</v>
      </c>
      <c r="KO982" s="100">
        <v>10</v>
      </c>
      <c r="KP982" s="100">
        <v>7</v>
      </c>
      <c r="KR982" s="100">
        <v>17</v>
      </c>
      <c r="KU982" s="100">
        <v>9</v>
      </c>
      <c r="ON982" s="100">
        <f t="shared" si="315"/>
        <v>0</v>
      </c>
    </row>
    <row r="983" spans="1:404" ht="23.25" customHeight="1">
      <c r="A983" s="97" t="str">
        <f>D983&amp;E984</f>
        <v>005/TJ MAXX-2166-85629-S3-B</v>
      </c>
      <c r="B983" s="206" t="s">
        <v>1227</v>
      </c>
      <c r="C983" s="97">
        <f t="shared" ca="1" si="321"/>
        <v>-513</v>
      </c>
      <c r="D983" s="96" t="s">
        <v>1231</v>
      </c>
      <c r="E983" s="94" t="s">
        <v>1230</v>
      </c>
      <c r="F983" s="98" t="str">
        <f t="shared" si="318"/>
        <v>B</v>
      </c>
      <c r="G983" s="110">
        <f ca="1">SUMIF($A:E,$A983,K:K)</f>
        <v>360</v>
      </c>
      <c r="H983" s="97" t="s">
        <v>508</v>
      </c>
      <c r="I983" s="98">
        <v>360</v>
      </c>
      <c r="J983" s="97">
        <v>360</v>
      </c>
      <c r="K983" s="143">
        <f t="shared" si="314"/>
        <v>360</v>
      </c>
      <c r="L983" s="144">
        <f t="shared" si="319"/>
        <v>0</v>
      </c>
      <c r="M983" s="275">
        <f t="shared" si="312"/>
        <v>1080</v>
      </c>
      <c r="N983" s="98">
        <v>3</v>
      </c>
      <c r="O983" s="93">
        <f t="shared" si="320"/>
        <v>100</v>
      </c>
      <c r="HU983" s="100">
        <v>5</v>
      </c>
      <c r="HW983" s="100">
        <v>5</v>
      </c>
      <c r="HX983" s="100">
        <v>5</v>
      </c>
      <c r="HY983" s="100">
        <v>10</v>
      </c>
      <c r="IB983" s="100">
        <v>12</v>
      </c>
      <c r="ID983" s="100">
        <v>12</v>
      </c>
      <c r="IE983" s="100">
        <v>2</v>
      </c>
      <c r="IF983" s="100">
        <v>12</v>
      </c>
      <c r="IG983" s="100">
        <v>12</v>
      </c>
      <c r="IH983" s="100">
        <v>24</v>
      </c>
      <c r="IK983" s="100">
        <v>13</v>
      </c>
      <c r="IL983" s="100">
        <v>12</v>
      </c>
      <c r="IM983" s="100">
        <v>12</v>
      </c>
      <c r="IN983" s="100">
        <v>12</v>
      </c>
      <c r="IP983" s="100">
        <v>11</v>
      </c>
      <c r="IS983" s="100">
        <v>13</v>
      </c>
      <c r="IT983" s="100">
        <v>16</v>
      </c>
      <c r="IU983" s="100">
        <v>10</v>
      </c>
      <c r="IW983" s="100">
        <v>7</v>
      </c>
      <c r="IY983" s="100">
        <v>14</v>
      </c>
      <c r="IZ983" s="100">
        <v>1</v>
      </c>
      <c r="JA983" s="100">
        <v>12</v>
      </c>
      <c r="JB983" s="100">
        <v>18</v>
      </c>
      <c r="JC983" s="100">
        <v>11</v>
      </c>
      <c r="JD983" s="100">
        <v>20</v>
      </c>
      <c r="JF983" s="100">
        <v>10</v>
      </c>
      <c r="JG983" s="100">
        <v>12</v>
      </c>
      <c r="JH983" s="100">
        <v>18</v>
      </c>
      <c r="JI983" s="100">
        <v>2</v>
      </c>
      <c r="JJ983" s="100">
        <v>16</v>
      </c>
      <c r="JK983" s="100">
        <v>12</v>
      </c>
      <c r="JM983" s="100">
        <v>7</v>
      </c>
      <c r="JN983" s="100">
        <v>2</v>
      </c>
      <c r="ON983" s="100">
        <f t="shared" si="315"/>
        <v>0</v>
      </c>
    </row>
    <row r="984" spans="1:404" ht="23.25" customHeight="1">
      <c r="A984" s="97" t="str">
        <f>D984&amp;E984</f>
        <v>005/TK MAXX-2166-85629-S3-B</v>
      </c>
      <c r="B984" s="206" t="s">
        <v>1282</v>
      </c>
      <c r="C984" s="97">
        <f t="shared" ca="1" si="321"/>
        <v>-508</v>
      </c>
      <c r="D984" s="96" t="s">
        <v>1283</v>
      </c>
      <c r="E984" s="94" t="s">
        <v>1230</v>
      </c>
      <c r="F984" s="98" t="str">
        <f t="shared" si="318"/>
        <v>B</v>
      </c>
      <c r="G984" s="110">
        <f ca="1">SUMIF($A:E,$A984,K:K)</f>
        <v>352</v>
      </c>
      <c r="H984" s="97" t="s">
        <v>933</v>
      </c>
      <c r="I984" s="98">
        <v>352</v>
      </c>
      <c r="J984" s="97">
        <v>352</v>
      </c>
      <c r="K984" s="143">
        <f t="shared" si="314"/>
        <v>352</v>
      </c>
      <c r="L984" s="144">
        <f t="shared" ref="L984:L985" si="322">J984-K984</f>
        <v>0</v>
      </c>
      <c r="M984" s="275">
        <f t="shared" si="312"/>
        <v>1056</v>
      </c>
      <c r="N984" s="98">
        <v>3</v>
      </c>
      <c r="O984" s="93">
        <f t="shared" si="320"/>
        <v>100</v>
      </c>
      <c r="KU984" s="100">
        <v>3</v>
      </c>
      <c r="KV984" s="100">
        <v>11</v>
      </c>
      <c r="KW984" s="100">
        <v>4</v>
      </c>
      <c r="KX984" s="100">
        <v>15</v>
      </c>
      <c r="KY984" s="100">
        <v>12</v>
      </c>
      <c r="KZ984" s="100">
        <v>12</v>
      </c>
      <c r="LB984" s="100">
        <v>12</v>
      </c>
      <c r="LC984" s="100">
        <v>12</v>
      </c>
      <c r="LD984" s="100">
        <v>24</v>
      </c>
      <c r="LE984" s="100">
        <v>11</v>
      </c>
      <c r="LF984" s="100">
        <v>13</v>
      </c>
      <c r="LG984" s="100">
        <v>12</v>
      </c>
      <c r="LI984" s="100">
        <v>12</v>
      </c>
      <c r="LK984" s="100">
        <v>16</v>
      </c>
      <c r="LL984" s="100">
        <v>11</v>
      </c>
      <c r="LM984" s="100">
        <v>11</v>
      </c>
      <c r="LN984" s="100">
        <v>12</v>
      </c>
      <c r="LP984" s="100">
        <v>25</v>
      </c>
      <c r="LQ984" s="100">
        <v>13</v>
      </c>
      <c r="LR984" s="100">
        <v>13</v>
      </c>
      <c r="LS984" s="100">
        <v>11</v>
      </c>
      <c r="LT984" s="100">
        <v>11</v>
      </c>
      <c r="LU984" s="100">
        <v>13</v>
      </c>
      <c r="LW984" s="100">
        <v>11</v>
      </c>
      <c r="LX984" s="100">
        <v>12</v>
      </c>
      <c r="LZ984" s="100">
        <v>13</v>
      </c>
      <c r="MA984" s="100">
        <v>12</v>
      </c>
      <c r="MB984" s="100">
        <v>12</v>
      </c>
      <c r="MD984" s="100">
        <v>3</v>
      </c>
      <c r="ON984" s="100">
        <f t="shared" si="315"/>
        <v>0</v>
      </c>
    </row>
    <row r="985" spans="1:404" ht="23.25" customHeight="1">
      <c r="A985" s="97" t="str">
        <f>D985&amp;E985</f>
        <v>006/TK MAXX-2166-85629-S3-B</v>
      </c>
      <c r="B985" s="206">
        <v>44563</v>
      </c>
      <c r="C985" s="97">
        <f t="shared" ca="1" si="321"/>
        <v>-501</v>
      </c>
      <c r="D985" s="96" t="s">
        <v>1293</v>
      </c>
      <c r="E985" s="94" t="s">
        <v>1230</v>
      </c>
      <c r="F985" s="98" t="str">
        <f t="shared" si="318"/>
        <v>B</v>
      </c>
      <c r="G985" s="110">
        <f ca="1">SUMIF($A:E,$A985,K:K)</f>
        <v>208</v>
      </c>
      <c r="H985" s="97" t="s">
        <v>933</v>
      </c>
      <c r="I985" s="98">
        <v>208</v>
      </c>
      <c r="J985" s="98">
        <v>208</v>
      </c>
      <c r="K985" s="143">
        <f t="shared" si="314"/>
        <v>208</v>
      </c>
      <c r="L985" s="144">
        <f t="shared" si="322"/>
        <v>0</v>
      </c>
      <c r="M985" s="275">
        <f t="shared" si="312"/>
        <v>624</v>
      </c>
      <c r="N985" s="98">
        <v>3</v>
      </c>
      <c r="O985" s="93">
        <f t="shared" si="320"/>
        <v>100</v>
      </c>
      <c r="MD985" s="100">
        <v>8</v>
      </c>
      <c r="ME985" s="100">
        <v>13</v>
      </c>
      <c r="MF985" s="100">
        <v>12</v>
      </c>
      <c r="MG985" s="100">
        <v>12</v>
      </c>
      <c r="MH985" s="100">
        <v>12</v>
      </c>
      <c r="MK985" s="100">
        <v>12</v>
      </c>
      <c r="ML985" s="100">
        <v>12</v>
      </c>
      <c r="MM985" s="100">
        <v>12</v>
      </c>
      <c r="MN985" s="100">
        <v>12</v>
      </c>
      <c r="MO985" s="100">
        <v>12</v>
      </c>
      <c r="MP985" s="100">
        <v>12</v>
      </c>
      <c r="MR985" s="100">
        <v>24</v>
      </c>
      <c r="MS985" s="100">
        <v>12</v>
      </c>
      <c r="MT985" s="100">
        <v>12</v>
      </c>
      <c r="MW985" s="100">
        <v>4</v>
      </c>
      <c r="NA985" s="100">
        <v>12</v>
      </c>
      <c r="NF985" s="100">
        <v>15</v>
      </c>
      <c r="ON985" s="100">
        <f t="shared" si="315"/>
        <v>0</v>
      </c>
    </row>
    <row r="986" spans="1:404" ht="23.25" customHeight="1">
      <c r="A986" s="97" t="s">
        <v>1370</v>
      </c>
      <c r="B986" s="206">
        <v>44523</v>
      </c>
      <c r="C986" s="97">
        <f t="shared" ca="1" si="321"/>
        <v>-541</v>
      </c>
      <c r="D986" s="112" t="s">
        <v>1369</v>
      </c>
      <c r="E986" s="123" t="s">
        <v>1230</v>
      </c>
      <c r="F986" s="98" t="str">
        <f t="shared" si="318"/>
        <v>B</v>
      </c>
      <c r="G986" s="110">
        <f ca="1">SUMIF($A:E,$A986,K:K)</f>
        <v>5654</v>
      </c>
      <c r="H986" s="97" t="s">
        <v>508</v>
      </c>
      <c r="I986" s="175">
        <v>80</v>
      </c>
      <c r="J986" s="115">
        <v>80</v>
      </c>
      <c r="K986" s="143">
        <f t="shared" si="314"/>
        <v>80</v>
      </c>
      <c r="L986" s="144">
        <f t="shared" si="319"/>
        <v>0</v>
      </c>
      <c r="M986" s="275">
        <f t="shared" si="312"/>
        <v>240</v>
      </c>
      <c r="N986" s="98">
        <v>3</v>
      </c>
      <c r="O986" s="93">
        <f t="shared" si="320"/>
        <v>100</v>
      </c>
      <c r="HM986" s="100">
        <v>13</v>
      </c>
      <c r="HP986" s="100">
        <v>22</v>
      </c>
      <c r="HQ986" s="100">
        <v>5</v>
      </c>
      <c r="HR986" s="100">
        <v>10</v>
      </c>
      <c r="HS986" s="100">
        <v>11</v>
      </c>
      <c r="HT986" s="100">
        <v>13</v>
      </c>
      <c r="HU986" s="100">
        <v>6</v>
      </c>
      <c r="ON986" s="100">
        <f t="shared" si="315"/>
        <v>0</v>
      </c>
    </row>
    <row r="987" spans="1:404" ht="23.25" customHeight="1">
      <c r="A987" s="97" t="s">
        <v>1370</v>
      </c>
      <c r="B987" s="206">
        <v>44602</v>
      </c>
      <c r="C987" s="97">
        <f t="shared" ca="1" si="321"/>
        <v>-462</v>
      </c>
      <c r="D987" s="112" t="s">
        <v>2200</v>
      </c>
      <c r="E987" s="123" t="s">
        <v>1230</v>
      </c>
      <c r="F987" s="98" t="str">
        <f t="shared" si="318"/>
        <v>B</v>
      </c>
      <c r="G987" s="110">
        <f ca="1">SUMIF($A:E,$A987,K:K)</f>
        <v>5654</v>
      </c>
      <c r="H987" s="97" t="s">
        <v>508</v>
      </c>
      <c r="I987" s="175">
        <v>56</v>
      </c>
      <c r="J987" s="115">
        <v>56</v>
      </c>
      <c r="K987" s="143">
        <f t="shared" si="314"/>
        <v>56</v>
      </c>
      <c r="L987" s="144">
        <f t="shared" si="319"/>
        <v>0</v>
      </c>
      <c r="M987" s="275">
        <f t="shared" si="312"/>
        <v>168</v>
      </c>
      <c r="N987" s="98">
        <v>3</v>
      </c>
      <c r="O987" s="93">
        <f t="shared" si="320"/>
        <v>100</v>
      </c>
      <c r="MW987" s="100">
        <v>8</v>
      </c>
      <c r="MX987" s="100">
        <v>24</v>
      </c>
      <c r="MZ987" s="100">
        <v>10</v>
      </c>
      <c r="NF987" s="100">
        <v>2</v>
      </c>
      <c r="NK987" s="100">
        <v>12</v>
      </c>
      <c r="ON987" s="100">
        <f t="shared" si="315"/>
        <v>0</v>
      </c>
    </row>
    <row r="988" spans="1:404" ht="23.25" customHeight="1">
      <c r="A988" s="97" t="str">
        <f>D988&amp;E988</f>
        <v>041/VG_SR-21( TJX)66-85629-L2-B</v>
      </c>
      <c r="B988" s="206">
        <v>44392</v>
      </c>
      <c r="C988" s="97">
        <f t="shared" ca="1" si="321"/>
        <v>-672</v>
      </c>
      <c r="D988" s="112" t="s">
        <v>1301</v>
      </c>
      <c r="E988" s="123" t="s">
        <v>1305</v>
      </c>
      <c r="F988" s="98" t="str">
        <f t="shared" si="318"/>
        <v>B</v>
      </c>
      <c r="G988" s="110">
        <f ca="1">SUMIF($A:E,$A988,K:K)</f>
        <v>2</v>
      </c>
      <c r="H988" s="97" t="s">
        <v>508</v>
      </c>
      <c r="I988" s="98">
        <v>2</v>
      </c>
      <c r="J988" s="99">
        <v>2</v>
      </c>
      <c r="K988" s="143">
        <f t="shared" si="314"/>
        <v>2</v>
      </c>
      <c r="L988" s="144">
        <f t="shared" si="319"/>
        <v>0</v>
      </c>
      <c r="M988" s="275">
        <f t="shared" si="312"/>
        <v>4</v>
      </c>
      <c r="N988" s="98">
        <v>1</v>
      </c>
      <c r="O988" s="93">
        <f t="shared" si="320"/>
        <v>100</v>
      </c>
      <c r="GB988" s="100">
        <v>2</v>
      </c>
      <c r="ON988" s="100">
        <f t="shared" si="315"/>
        <v>0</v>
      </c>
    </row>
    <row r="989" spans="1:404" ht="23.25" customHeight="1">
      <c r="A989" s="97" t="str">
        <f>D989&amp;E990</f>
        <v>037/VG_SR-21(TJX)66-85629-02-B</v>
      </c>
      <c r="B989" s="95">
        <v>44384</v>
      </c>
      <c r="C989" s="97">
        <f t="shared" ca="1" si="321"/>
        <v>-680</v>
      </c>
      <c r="D989" s="96" t="s">
        <v>1206</v>
      </c>
      <c r="E989" s="94" t="s">
        <v>1217</v>
      </c>
      <c r="F989" s="98" t="str">
        <f t="shared" si="318"/>
        <v>B</v>
      </c>
      <c r="G989" s="110">
        <f ca="1">SUMIF($A:E,$A989,K:K)</f>
        <v>2</v>
      </c>
      <c r="H989" s="97" t="s">
        <v>616</v>
      </c>
      <c r="I989" s="98">
        <v>2</v>
      </c>
      <c r="J989" s="97">
        <v>2</v>
      </c>
      <c r="K989" s="143">
        <f t="shared" si="314"/>
        <v>2</v>
      </c>
      <c r="L989" s="144">
        <f t="shared" si="319"/>
        <v>0</v>
      </c>
      <c r="M989" s="275">
        <f t="shared" si="312"/>
        <v>2</v>
      </c>
      <c r="N989" s="98">
        <v>1</v>
      </c>
      <c r="O989" s="93">
        <f t="shared" si="320"/>
        <v>100</v>
      </c>
      <c r="FS989" s="100">
        <v>2</v>
      </c>
      <c r="ON989" s="100">
        <f t="shared" si="315"/>
        <v>0</v>
      </c>
    </row>
    <row r="990" spans="1:404" ht="23.25" customHeight="1">
      <c r="A990" s="97" t="str">
        <f t="shared" ref="A990:A998" si="323">D990&amp;E990</f>
        <v>001/TK MAXX-VG_SR-2166-85629-02-B</v>
      </c>
      <c r="B990" s="95">
        <v>44438</v>
      </c>
      <c r="C990" s="97">
        <f t="shared" ca="1" si="321"/>
        <v>-626</v>
      </c>
      <c r="D990" s="112" t="s">
        <v>1764</v>
      </c>
      <c r="E990" s="123" t="s">
        <v>1765</v>
      </c>
      <c r="F990" s="98" t="str">
        <f t="shared" si="318"/>
        <v>B</v>
      </c>
      <c r="G990" s="110">
        <f ca="1">SUMIF($A:E,$A990,K:K)</f>
        <v>1</v>
      </c>
      <c r="H990" s="112" t="s">
        <v>1766</v>
      </c>
      <c r="I990" s="98">
        <v>1</v>
      </c>
      <c r="J990" s="99">
        <v>1</v>
      </c>
      <c r="K990" s="143">
        <f t="shared" si="314"/>
        <v>1</v>
      </c>
      <c r="L990" s="144">
        <f t="shared" si="319"/>
        <v>0</v>
      </c>
      <c r="M990" s="275">
        <f t="shared" si="312"/>
        <v>1</v>
      </c>
      <c r="N990" s="98">
        <v>3</v>
      </c>
      <c r="O990" s="93">
        <f t="shared" si="320"/>
        <v>100</v>
      </c>
      <c r="HW990" s="100">
        <v>1</v>
      </c>
      <c r="ON990" s="100">
        <f t="shared" si="315"/>
        <v>0</v>
      </c>
    </row>
    <row r="991" spans="1:404" ht="23.25" customHeight="1">
      <c r="A991" s="97" t="str">
        <f t="shared" si="323"/>
        <v>002/VANDER-2166-85037-S2-B4</v>
      </c>
      <c r="B991" s="95">
        <v>44525</v>
      </c>
      <c r="C991" s="97">
        <f t="shared" ca="1" si="321"/>
        <v>-539</v>
      </c>
      <c r="D991" s="112" t="s">
        <v>1100</v>
      </c>
      <c r="E991" s="285" t="s">
        <v>1104</v>
      </c>
      <c r="F991" s="98" t="str">
        <f t="shared" si="318"/>
        <v>B4</v>
      </c>
      <c r="G991" s="110">
        <f ca="1">SUMIF($A:E,$A991,K:K)</f>
        <v>96</v>
      </c>
      <c r="H991" s="97" t="s">
        <v>616</v>
      </c>
      <c r="I991" s="98">
        <v>96</v>
      </c>
      <c r="J991" s="97">
        <v>96</v>
      </c>
      <c r="K991" s="143">
        <f t="shared" si="314"/>
        <v>96</v>
      </c>
      <c r="L991" s="144">
        <f t="shared" si="319"/>
        <v>0</v>
      </c>
      <c r="M991" s="275">
        <f t="shared" si="312"/>
        <v>192</v>
      </c>
      <c r="N991" s="98" t="s">
        <v>1768</v>
      </c>
      <c r="O991" s="93">
        <f t="shared" si="320"/>
        <v>100</v>
      </c>
      <c r="IY991" s="100">
        <v>1</v>
      </c>
      <c r="IZ991" s="100">
        <v>1</v>
      </c>
      <c r="JA991" s="100">
        <v>2</v>
      </c>
      <c r="JB991" s="100">
        <v>3</v>
      </c>
      <c r="JC991" s="100">
        <v>1</v>
      </c>
      <c r="JD991" s="100">
        <v>2</v>
      </c>
      <c r="JF991" s="100">
        <v>1</v>
      </c>
      <c r="JG991" s="100">
        <v>2</v>
      </c>
      <c r="JH991" s="100">
        <v>1</v>
      </c>
      <c r="JI991" s="100">
        <v>1</v>
      </c>
      <c r="JJ991" s="100">
        <v>2</v>
      </c>
      <c r="JK991" s="100">
        <v>2</v>
      </c>
      <c r="JM991" s="100">
        <v>2</v>
      </c>
      <c r="JN991" s="100">
        <v>3</v>
      </c>
      <c r="JO991" s="100">
        <v>2</v>
      </c>
      <c r="JP991" s="100">
        <v>2</v>
      </c>
      <c r="JQ991" s="100">
        <v>2</v>
      </c>
      <c r="JR991" s="100">
        <v>2</v>
      </c>
      <c r="JT991" s="100">
        <v>2</v>
      </c>
      <c r="JU991" s="100">
        <v>2</v>
      </c>
      <c r="JV991" s="100">
        <v>2</v>
      </c>
      <c r="JW991" s="100">
        <v>2</v>
      </c>
      <c r="JX991" s="100">
        <v>1</v>
      </c>
      <c r="KA991" s="100">
        <v>2</v>
      </c>
      <c r="KB991" s="100">
        <v>2</v>
      </c>
      <c r="KC991" s="100">
        <v>3</v>
      </c>
      <c r="KD991" s="100">
        <v>2</v>
      </c>
      <c r="KE991" s="100">
        <v>2</v>
      </c>
      <c r="KF991" s="100">
        <v>2</v>
      </c>
      <c r="KG991" s="100">
        <v>2</v>
      </c>
      <c r="KH991" s="100">
        <v>2</v>
      </c>
      <c r="KI991" s="100">
        <v>2</v>
      </c>
      <c r="KJ991" s="100">
        <v>1</v>
      </c>
      <c r="KN991" s="100">
        <v>1</v>
      </c>
      <c r="KO991" s="100">
        <v>3</v>
      </c>
      <c r="KP991" s="100">
        <v>3</v>
      </c>
      <c r="KQ991" s="100">
        <v>2</v>
      </c>
      <c r="KR991" s="100">
        <v>2</v>
      </c>
      <c r="KU991" s="100">
        <v>2</v>
      </c>
      <c r="KV991" s="100">
        <v>2</v>
      </c>
      <c r="KW991" s="100">
        <v>3</v>
      </c>
      <c r="KX991" s="100">
        <v>2</v>
      </c>
      <c r="KY991" s="100">
        <v>2</v>
      </c>
      <c r="KZ991" s="100">
        <v>2</v>
      </c>
      <c r="LB991" s="100">
        <v>2</v>
      </c>
      <c r="LC991" s="100">
        <v>2</v>
      </c>
      <c r="LD991" s="100">
        <v>2</v>
      </c>
      <c r="LE991" s="100">
        <v>2</v>
      </c>
      <c r="LF991" s="100">
        <v>1</v>
      </c>
      <c r="LG991" s="100">
        <v>2</v>
      </c>
      <c r="ON991" s="100">
        <f t="shared" si="315"/>
        <v>0</v>
      </c>
    </row>
    <row r="992" spans="1:404" ht="23.25" customHeight="1">
      <c r="A992" s="97" t="str">
        <f t="shared" si="323"/>
        <v>002/VANDER-2166-84837-S3-B4</v>
      </c>
      <c r="B992" s="95">
        <v>44525</v>
      </c>
      <c r="C992" s="97">
        <f t="shared" ca="1" si="321"/>
        <v>-539</v>
      </c>
      <c r="D992" s="112" t="s">
        <v>1100</v>
      </c>
      <c r="E992" s="285" t="s">
        <v>1103</v>
      </c>
      <c r="F992" s="98" t="str">
        <f t="shared" si="318"/>
        <v>B4</v>
      </c>
      <c r="G992" s="110">
        <f ca="1">SUMIF($A:E,$A992,K:K)</f>
        <v>96</v>
      </c>
      <c r="H992" s="97" t="s">
        <v>616</v>
      </c>
      <c r="I992" s="98">
        <v>96</v>
      </c>
      <c r="J992" s="97">
        <v>96</v>
      </c>
      <c r="K992" s="143">
        <f t="shared" si="314"/>
        <v>96</v>
      </c>
      <c r="L992" s="144">
        <f t="shared" si="319"/>
        <v>0</v>
      </c>
      <c r="M992" s="275">
        <f t="shared" si="312"/>
        <v>288</v>
      </c>
      <c r="N992" s="98" t="s">
        <v>1768</v>
      </c>
      <c r="O992" s="93">
        <f t="shared" si="320"/>
        <v>100</v>
      </c>
      <c r="IY992" s="100">
        <v>1</v>
      </c>
      <c r="IZ992" s="100">
        <v>2</v>
      </c>
      <c r="JA992" s="100">
        <v>2</v>
      </c>
      <c r="JB992" s="100">
        <v>2</v>
      </c>
      <c r="JD992" s="100">
        <v>3</v>
      </c>
      <c r="JF992" s="100">
        <v>1</v>
      </c>
      <c r="JG992" s="100">
        <v>2</v>
      </c>
      <c r="JH992" s="100">
        <v>2</v>
      </c>
      <c r="JI992" s="100">
        <v>2</v>
      </c>
      <c r="JJ992" s="100">
        <v>2</v>
      </c>
      <c r="JK992" s="100">
        <v>2</v>
      </c>
      <c r="JM992" s="100">
        <v>1</v>
      </c>
      <c r="JN992" s="100">
        <v>2</v>
      </c>
      <c r="JO992" s="100">
        <v>2</v>
      </c>
      <c r="JP992" s="100">
        <v>3</v>
      </c>
      <c r="JQ992" s="100">
        <v>2</v>
      </c>
      <c r="JR992" s="100">
        <v>2</v>
      </c>
      <c r="JT992" s="100">
        <v>1</v>
      </c>
      <c r="JU992" s="100">
        <v>1</v>
      </c>
      <c r="JV992" s="100">
        <v>2</v>
      </c>
      <c r="JW992" s="100">
        <v>3</v>
      </c>
      <c r="JX992" s="100">
        <v>1</v>
      </c>
      <c r="JY992" s="100">
        <v>1</v>
      </c>
      <c r="KA992" s="100">
        <v>2</v>
      </c>
      <c r="KB992" s="100">
        <v>2</v>
      </c>
      <c r="KC992" s="100">
        <v>2</v>
      </c>
      <c r="KD992" s="100">
        <v>2</v>
      </c>
      <c r="KE992" s="100">
        <v>2</v>
      </c>
      <c r="KF992" s="100">
        <v>2</v>
      </c>
      <c r="KG992" s="100">
        <v>1</v>
      </c>
      <c r="KH992" s="100">
        <v>2</v>
      </c>
      <c r="KI992" s="100">
        <v>2</v>
      </c>
      <c r="KJ992" s="100">
        <v>2</v>
      </c>
      <c r="KN992" s="100">
        <v>1</v>
      </c>
      <c r="KO992" s="100">
        <v>3</v>
      </c>
      <c r="KP992" s="100">
        <v>1</v>
      </c>
      <c r="KQ992" s="100">
        <v>2</v>
      </c>
      <c r="KR992" s="100">
        <v>2</v>
      </c>
      <c r="KU992" s="100">
        <v>2</v>
      </c>
      <c r="KV992" s="100">
        <v>2</v>
      </c>
      <c r="KW992" s="100">
        <v>3</v>
      </c>
      <c r="KX992" s="100">
        <v>2</v>
      </c>
      <c r="KY992" s="100">
        <v>2</v>
      </c>
      <c r="KZ992" s="100">
        <v>2</v>
      </c>
      <c r="LB992" s="100">
        <v>2</v>
      </c>
      <c r="LC992" s="100">
        <v>2</v>
      </c>
      <c r="LD992" s="100">
        <v>2</v>
      </c>
      <c r="LE992" s="100">
        <v>2</v>
      </c>
      <c r="LF992" s="100">
        <v>2</v>
      </c>
      <c r="LG992" s="100">
        <v>3</v>
      </c>
      <c r="ON992" s="100">
        <f t="shared" si="315"/>
        <v>0</v>
      </c>
    </row>
    <row r="993" spans="1:404" ht="23.25" customHeight="1">
      <c r="A993" s="97" t="str">
        <f t="shared" si="323"/>
        <v>002/VANDER-2166-84737-S2-B4</v>
      </c>
      <c r="B993" s="95">
        <v>44524</v>
      </c>
      <c r="C993" s="97">
        <f t="shared" ca="1" si="321"/>
        <v>-540</v>
      </c>
      <c r="D993" s="112" t="s">
        <v>1100</v>
      </c>
      <c r="E993" s="285" t="s">
        <v>1102</v>
      </c>
      <c r="F993" s="98" t="str">
        <f t="shared" si="318"/>
        <v>B4</v>
      </c>
      <c r="G993" s="110">
        <f ca="1">SUMIF($A:E,$A993,K:K)</f>
        <v>48</v>
      </c>
      <c r="H993" s="97" t="s">
        <v>616</v>
      </c>
      <c r="I993" s="98">
        <v>48</v>
      </c>
      <c r="J993" s="97">
        <v>48</v>
      </c>
      <c r="K993" s="143">
        <f t="shared" si="314"/>
        <v>48</v>
      </c>
      <c r="L993" s="144">
        <f t="shared" si="319"/>
        <v>0</v>
      </c>
      <c r="M993" s="275">
        <f t="shared" si="312"/>
        <v>96</v>
      </c>
      <c r="N993" s="98" t="s">
        <v>1768</v>
      </c>
      <c r="O993" s="93">
        <f t="shared" si="320"/>
        <v>100</v>
      </c>
      <c r="IY993" s="100">
        <v>1</v>
      </c>
      <c r="IZ993" s="100">
        <v>2</v>
      </c>
      <c r="JA993" s="100">
        <v>2</v>
      </c>
      <c r="JB993" s="100">
        <v>2</v>
      </c>
      <c r="JC993" s="100">
        <v>1</v>
      </c>
      <c r="JD993" s="100">
        <v>1</v>
      </c>
      <c r="JF993" s="100">
        <v>2</v>
      </c>
      <c r="JG993" s="100">
        <v>2</v>
      </c>
      <c r="JH993" s="100">
        <v>1</v>
      </c>
      <c r="JI993" s="100">
        <v>2</v>
      </c>
      <c r="JJ993" s="100">
        <v>2</v>
      </c>
      <c r="JK993" s="100">
        <v>2</v>
      </c>
      <c r="JM993" s="100">
        <v>1</v>
      </c>
      <c r="JN993" s="100">
        <v>3</v>
      </c>
      <c r="JO993" s="100">
        <v>2</v>
      </c>
      <c r="JP993" s="100">
        <v>2</v>
      </c>
      <c r="JQ993" s="100">
        <v>2</v>
      </c>
      <c r="JR993" s="100">
        <v>2</v>
      </c>
      <c r="JT993" s="100">
        <v>2</v>
      </c>
      <c r="JU993" s="100">
        <v>2</v>
      </c>
      <c r="JV993" s="100">
        <v>2</v>
      </c>
      <c r="JW993" s="100">
        <v>2</v>
      </c>
      <c r="JX993" s="100">
        <v>1</v>
      </c>
      <c r="KA993" s="100">
        <v>2</v>
      </c>
      <c r="KB993" s="100">
        <v>1</v>
      </c>
      <c r="KC993" s="100">
        <v>3</v>
      </c>
      <c r="KD993" s="100">
        <v>1</v>
      </c>
      <c r="ON993" s="100">
        <f t="shared" si="315"/>
        <v>0</v>
      </c>
    </row>
    <row r="994" spans="1:404" ht="23.25" customHeight="1">
      <c r="A994" s="97" t="str">
        <f t="shared" si="323"/>
        <v>001B/POTTERYBARN-2166-84100-02-B</v>
      </c>
      <c r="B994" s="95">
        <v>44306</v>
      </c>
      <c r="C994" s="97">
        <f t="shared" ca="1" si="321"/>
        <v>-758</v>
      </c>
      <c r="D994" s="96" t="s">
        <v>666</v>
      </c>
      <c r="E994" s="94" t="s">
        <v>668</v>
      </c>
      <c r="F994" s="98" t="str">
        <f t="shared" si="318"/>
        <v>B</v>
      </c>
      <c r="G994" s="110">
        <f ca="1">SUMIF($A:E,$A994,K:K)</f>
        <v>25</v>
      </c>
      <c r="H994" s="97" t="s">
        <v>508</v>
      </c>
      <c r="I994" s="98">
        <v>25</v>
      </c>
      <c r="J994" s="99">
        <v>25</v>
      </c>
      <c r="K994" s="143">
        <f t="shared" si="314"/>
        <v>25</v>
      </c>
      <c r="L994" s="144">
        <f t="shared" si="319"/>
        <v>0</v>
      </c>
      <c r="M994" s="275">
        <f t="shared" si="312"/>
        <v>25</v>
      </c>
      <c r="N994" s="98">
        <v>3</v>
      </c>
      <c r="O994" s="93">
        <f t="shared" si="320"/>
        <v>100</v>
      </c>
      <c r="BK994" s="101">
        <v>4</v>
      </c>
      <c r="BL994" s="121">
        <v>11</v>
      </c>
      <c r="BM994" s="101">
        <v>5</v>
      </c>
      <c r="BN994" s="101">
        <v>5</v>
      </c>
      <c r="FX994" s="210"/>
      <c r="ON994" s="100">
        <f t="shared" si="315"/>
        <v>0</v>
      </c>
    </row>
    <row r="995" spans="1:404" ht="23.25" customHeight="1">
      <c r="A995" s="97" t="str">
        <f t="shared" si="323"/>
        <v>002B/POTTERYBARN-2166-84100-02-B</v>
      </c>
      <c r="B995" s="95">
        <v>44306</v>
      </c>
      <c r="C995" s="97">
        <f t="shared" ca="1" si="321"/>
        <v>-758</v>
      </c>
      <c r="D995" s="96" t="s">
        <v>672</v>
      </c>
      <c r="E995" s="94" t="s">
        <v>668</v>
      </c>
      <c r="F995" s="98" t="str">
        <f t="shared" si="318"/>
        <v>B</v>
      </c>
      <c r="G995" s="110">
        <f ca="1">SUMIF($A:E,$A995,K:K)</f>
        <v>25</v>
      </c>
      <c r="H995" s="97" t="s">
        <v>508</v>
      </c>
      <c r="I995" s="98">
        <v>25</v>
      </c>
      <c r="J995" s="99">
        <v>25</v>
      </c>
      <c r="K995" s="143">
        <f t="shared" si="314"/>
        <v>25</v>
      </c>
      <c r="L995" s="144">
        <f t="shared" si="319"/>
        <v>0</v>
      </c>
      <c r="M995" s="275">
        <f t="shared" si="312"/>
        <v>25</v>
      </c>
      <c r="N995" s="98">
        <v>3</v>
      </c>
      <c r="O995" s="93">
        <f t="shared" si="320"/>
        <v>100</v>
      </c>
      <c r="BO995" s="101">
        <v>5</v>
      </c>
      <c r="BP995" s="101">
        <v>5</v>
      </c>
      <c r="BQ995" s="101">
        <v>5</v>
      </c>
      <c r="BR995" s="101">
        <v>5</v>
      </c>
      <c r="BS995" s="101">
        <v>5</v>
      </c>
      <c r="ON995" s="100">
        <f t="shared" si="315"/>
        <v>0</v>
      </c>
    </row>
    <row r="996" spans="1:404" ht="23.25" customHeight="1">
      <c r="A996" s="97" t="str">
        <f t="shared" si="323"/>
        <v>002C/POTTERYBARN-2166-84100-02-B</v>
      </c>
      <c r="B996" s="95">
        <v>44306</v>
      </c>
      <c r="C996" s="97">
        <f t="shared" ca="1" si="321"/>
        <v>-758</v>
      </c>
      <c r="D996" s="96" t="s">
        <v>673</v>
      </c>
      <c r="E996" s="94" t="s">
        <v>668</v>
      </c>
      <c r="F996" s="98" t="str">
        <f t="shared" si="318"/>
        <v>B</v>
      </c>
      <c r="G996" s="110">
        <f ca="1">SUMIF($A:E,$A996,K:K)</f>
        <v>25</v>
      </c>
      <c r="H996" s="97" t="s">
        <v>508</v>
      </c>
      <c r="I996" s="98">
        <v>25</v>
      </c>
      <c r="J996" s="99">
        <v>25</v>
      </c>
      <c r="K996" s="143">
        <f t="shared" si="314"/>
        <v>25</v>
      </c>
      <c r="L996" s="144">
        <f t="shared" si="319"/>
        <v>0</v>
      </c>
      <c r="M996" s="275">
        <f t="shared" si="312"/>
        <v>25</v>
      </c>
      <c r="N996" s="98">
        <v>3</v>
      </c>
      <c r="O996" s="93">
        <f t="shared" si="320"/>
        <v>100</v>
      </c>
      <c r="BU996" s="101">
        <v>9</v>
      </c>
      <c r="BX996" s="101">
        <v>10</v>
      </c>
      <c r="BY996" s="101">
        <v>5</v>
      </c>
      <c r="BZ996" s="101">
        <v>1</v>
      </c>
      <c r="ON996" s="100">
        <f t="shared" si="315"/>
        <v>0</v>
      </c>
    </row>
    <row r="997" spans="1:404" ht="23.25" customHeight="1">
      <c r="A997" s="97" t="str">
        <f t="shared" si="323"/>
        <v>004A/POTTERYBARN-2166-84100-02-B</v>
      </c>
      <c r="B997" s="95">
        <v>44306</v>
      </c>
      <c r="C997" s="97">
        <f t="shared" ca="1" si="321"/>
        <v>-758</v>
      </c>
      <c r="D997" s="96" t="s">
        <v>675</v>
      </c>
      <c r="E997" s="94" t="s">
        <v>668</v>
      </c>
      <c r="F997" s="98" t="str">
        <f t="shared" si="318"/>
        <v>B</v>
      </c>
      <c r="G997" s="110">
        <f ca="1">SUMIF($A:E,$A997,K:K)</f>
        <v>25</v>
      </c>
      <c r="H997" s="97" t="s">
        <v>508</v>
      </c>
      <c r="I997" s="98">
        <v>25</v>
      </c>
      <c r="J997" s="99">
        <v>25</v>
      </c>
      <c r="K997" s="143">
        <f t="shared" si="314"/>
        <v>25</v>
      </c>
      <c r="L997" s="144">
        <f t="shared" si="319"/>
        <v>0</v>
      </c>
      <c r="M997" s="275">
        <f t="shared" si="312"/>
        <v>25</v>
      </c>
      <c r="N997" s="98">
        <v>3</v>
      </c>
      <c r="O997" s="93">
        <f t="shared" si="320"/>
        <v>100</v>
      </c>
      <c r="BZ997" s="101">
        <v>10</v>
      </c>
      <c r="CA997" s="101">
        <v>3</v>
      </c>
      <c r="CB997" s="101">
        <v>4</v>
      </c>
      <c r="CC997" s="101">
        <v>4</v>
      </c>
      <c r="CD997" s="101">
        <v>3</v>
      </c>
      <c r="CP997" s="121">
        <v>1</v>
      </c>
      <c r="ON997" s="100">
        <f t="shared" si="315"/>
        <v>0</v>
      </c>
    </row>
    <row r="998" spans="1:404" ht="23.25" customHeight="1">
      <c r="A998" s="97" t="str">
        <f t="shared" si="323"/>
        <v>120/KHBS-2166-84100-02-B</v>
      </c>
      <c r="B998" s="95">
        <v>44282</v>
      </c>
      <c r="C998" s="97">
        <f t="shared" ca="1" si="321"/>
        <v>-782</v>
      </c>
      <c r="D998" s="96" t="s">
        <v>821</v>
      </c>
      <c r="E998" s="94" t="s">
        <v>668</v>
      </c>
      <c r="F998" s="98" t="str">
        <f t="shared" si="318"/>
        <v>B</v>
      </c>
      <c r="G998" s="110">
        <f ca="1">SUMIF($A:E,$A998,K:K)</f>
        <v>1</v>
      </c>
      <c r="H998" s="97" t="s">
        <v>820</v>
      </c>
      <c r="I998" s="98">
        <v>1</v>
      </c>
      <c r="J998" s="99">
        <v>1</v>
      </c>
      <c r="K998" s="143">
        <f t="shared" si="314"/>
        <v>1</v>
      </c>
      <c r="L998" s="144">
        <f t="shared" si="319"/>
        <v>0</v>
      </c>
      <c r="M998" s="275">
        <f t="shared" si="312"/>
        <v>1</v>
      </c>
      <c r="N998" s="98">
        <v>3</v>
      </c>
      <c r="O998" s="93">
        <f t="shared" si="320"/>
        <v>100</v>
      </c>
      <c r="CC998" s="101">
        <v>1</v>
      </c>
      <c r="ON998" s="100">
        <f t="shared" si="315"/>
        <v>0</v>
      </c>
    </row>
    <row r="999" spans="1:404" ht="23.25" customHeight="1">
      <c r="A999" s="97" t="s">
        <v>1785</v>
      </c>
      <c r="B999" s="95">
        <v>44454</v>
      </c>
      <c r="C999" s="97">
        <f t="shared" ca="1" si="321"/>
        <v>-610</v>
      </c>
      <c r="D999" s="96" t="s">
        <v>1163</v>
      </c>
      <c r="E999" s="280" t="s">
        <v>668</v>
      </c>
      <c r="F999" s="98" t="s">
        <v>561</v>
      </c>
      <c r="G999" s="110">
        <v>303</v>
      </c>
      <c r="H999" s="97" t="s">
        <v>933</v>
      </c>
      <c r="I999" s="98">
        <v>320</v>
      </c>
      <c r="J999" s="97">
        <v>17</v>
      </c>
      <c r="K999" s="143">
        <f t="shared" si="314"/>
        <v>17</v>
      </c>
      <c r="L999" s="144">
        <f t="shared" si="319"/>
        <v>0</v>
      </c>
      <c r="M999" s="275">
        <f t="shared" si="312"/>
        <v>320</v>
      </c>
      <c r="N999" s="98" t="s">
        <v>1776</v>
      </c>
      <c r="O999" s="93">
        <f t="shared" si="320"/>
        <v>100</v>
      </c>
      <c r="IF999" s="100">
        <v>17</v>
      </c>
      <c r="ON999" s="100">
        <f t="shared" si="315"/>
        <v>0</v>
      </c>
    </row>
    <row r="1000" spans="1:404" ht="23.25" customHeight="1">
      <c r="A1000" s="97" t="str">
        <f>D1000&amp;E1000</f>
        <v>002T/POTTERYBARN-2166-84100-02-B</v>
      </c>
      <c r="B1000" s="95">
        <v>44454</v>
      </c>
      <c r="C1000" s="97">
        <f t="shared" ca="1" si="321"/>
        <v>-610</v>
      </c>
      <c r="D1000" s="96" t="s">
        <v>1163</v>
      </c>
      <c r="E1000" s="94" t="s">
        <v>668</v>
      </c>
      <c r="F1000" s="98" t="str">
        <f t="shared" ref="F1000:F1040" si="324">MID(E1000,13,2)</f>
        <v>B</v>
      </c>
      <c r="G1000" s="110">
        <f ca="1">SUMIF($A:E,$A1000,K:K)</f>
        <v>320</v>
      </c>
      <c r="H1000" s="97" t="s">
        <v>933</v>
      </c>
      <c r="I1000" s="98">
        <v>320</v>
      </c>
      <c r="J1000" s="97">
        <f>320-J999</f>
        <v>303</v>
      </c>
      <c r="K1000" s="143">
        <f t="shared" si="314"/>
        <v>303</v>
      </c>
      <c r="L1000" s="144">
        <f t="shared" si="319"/>
        <v>0</v>
      </c>
      <c r="M1000" s="275">
        <f t="shared" si="312"/>
        <v>320</v>
      </c>
      <c r="N1000" s="98">
        <v>5</v>
      </c>
      <c r="O1000" s="93">
        <f t="shared" si="320"/>
        <v>100</v>
      </c>
      <c r="GR1000" s="100">
        <v>12</v>
      </c>
      <c r="GV1000" s="100">
        <v>6</v>
      </c>
      <c r="GW1000" s="100">
        <v>6</v>
      </c>
      <c r="GX1000" s="100">
        <v>7</v>
      </c>
      <c r="GY1000" s="100">
        <v>12</v>
      </c>
      <c r="GZ1000" s="100">
        <v>6</v>
      </c>
      <c r="HC1000" s="100">
        <v>12</v>
      </c>
      <c r="HD1000" s="100">
        <v>6</v>
      </c>
      <c r="HE1000" s="100">
        <v>11</v>
      </c>
      <c r="HF1000" s="100">
        <v>12</v>
      </c>
      <c r="HG1000" s="100">
        <v>11</v>
      </c>
      <c r="HI1000" s="100">
        <v>1</v>
      </c>
      <c r="HJ1000" s="100">
        <v>18</v>
      </c>
      <c r="HK1000" s="100">
        <v>5</v>
      </c>
      <c r="HL1000" s="100">
        <v>13</v>
      </c>
      <c r="HM1000" s="100">
        <v>12</v>
      </c>
      <c r="HN1000" s="100">
        <v>12</v>
      </c>
      <c r="HP1000" s="100">
        <v>12</v>
      </c>
      <c r="HQ1000" s="100">
        <v>6</v>
      </c>
      <c r="HR1000" s="100">
        <v>12</v>
      </c>
      <c r="HS1000" s="100">
        <v>12</v>
      </c>
      <c r="HT1000" s="100">
        <v>12</v>
      </c>
      <c r="HU1000" s="100">
        <v>12</v>
      </c>
      <c r="HW1000" s="100">
        <v>5</v>
      </c>
      <c r="HX1000" s="100">
        <v>7</v>
      </c>
      <c r="HY1000" s="100">
        <v>5</v>
      </c>
      <c r="IB1000" s="100">
        <v>11</v>
      </c>
      <c r="ID1000" s="100">
        <v>19</v>
      </c>
      <c r="IE1000" s="100">
        <v>28</v>
      </c>
      <c r="ON1000" s="100">
        <f t="shared" si="315"/>
        <v>0</v>
      </c>
    </row>
    <row r="1001" spans="1:404" ht="23.25" customHeight="1">
      <c r="A1001" s="97" t="str">
        <f>D1001&amp;E1001</f>
        <v>027/POTTERYBARN-2166-84100-02-B</v>
      </c>
      <c r="B1001" s="95">
        <v>44489</v>
      </c>
      <c r="C1001" s="97">
        <f t="shared" ca="1" si="321"/>
        <v>-575</v>
      </c>
      <c r="D1001" s="112" t="s">
        <v>1321</v>
      </c>
      <c r="E1001" s="279" t="s">
        <v>668</v>
      </c>
      <c r="F1001" s="98" t="str">
        <f t="shared" si="324"/>
        <v>B</v>
      </c>
      <c r="G1001" s="110">
        <f ca="1">SUMIF($A:E,$A1001,K:K)</f>
        <v>50</v>
      </c>
      <c r="H1001" s="97" t="s">
        <v>508</v>
      </c>
      <c r="I1001" s="175">
        <v>50</v>
      </c>
      <c r="J1001" s="115">
        <v>50</v>
      </c>
      <c r="K1001" s="143">
        <f t="shared" si="314"/>
        <v>50</v>
      </c>
      <c r="L1001" s="144">
        <f t="shared" si="319"/>
        <v>0</v>
      </c>
      <c r="M1001" s="275">
        <f t="shared" si="312"/>
        <v>50</v>
      </c>
      <c r="N1001" s="98" t="s">
        <v>1776</v>
      </c>
      <c r="O1001" s="93">
        <f t="shared" si="320"/>
        <v>100</v>
      </c>
      <c r="IS1001" s="100">
        <v>12</v>
      </c>
      <c r="IT1001" s="100">
        <v>16</v>
      </c>
      <c r="IV1001" s="100">
        <v>20</v>
      </c>
      <c r="IW1001" s="100">
        <v>2</v>
      </c>
      <c r="ON1001" s="100">
        <f t="shared" si="315"/>
        <v>0</v>
      </c>
    </row>
    <row r="1002" spans="1:404" ht="23.25" customHeight="1">
      <c r="A1002" s="97" t="str">
        <f>D1002&amp;E1002</f>
        <v>035/POTTERYBARN-2166-84100-02-B</v>
      </c>
      <c r="B1002" s="95">
        <v>44489</v>
      </c>
      <c r="C1002" s="97">
        <f t="shared" ca="1" si="321"/>
        <v>-575</v>
      </c>
      <c r="D1002" s="112" t="s">
        <v>1329</v>
      </c>
      <c r="E1002" s="279" t="s">
        <v>668</v>
      </c>
      <c r="F1002" s="98" t="str">
        <f t="shared" si="324"/>
        <v>B</v>
      </c>
      <c r="G1002" s="110">
        <f ca="1">SUMIF($A:E,$A1002,K:K)</f>
        <v>68</v>
      </c>
      <c r="H1002" s="97" t="s">
        <v>508</v>
      </c>
      <c r="I1002" s="175">
        <v>68</v>
      </c>
      <c r="J1002" s="115">
        <v>68</v>
      </c>
      <c r="K1002" s="143">
        <f t="shared" si="314"/>
        <v>68</v>
      </c>
      <c r="L1002" s="144">
        <f t="shared" si="319"/>
        <v>0</v>
      </c>
      <c r="M1002" s="275">
        <f t="shared" si="312"/>
        <v>68</v>
      </c>
      <c r="N1002" s="98" t="s">
        <v>1776</v>
      </c>
      <c r="O1002" s="93">
        <f t="shared" si="320"/>
        <v>100</v>
      </c>
      <c r="IW1002" s="100">
        <v>22</v>
      </c>
      <c r="IY1002" s="100">
        <v>22</v>
      </c>
      <c r="IZ1002" s="100">
        <v>10</v>
      </c>
      <c r="JA1002" s="100">
        <v>14</v>
      </c>
      <c r="ON1002" s="100">
        <f t="shared" si="315"/>
        <v>0</v>
      </c>
    </row>
    <row r="1003" spans="1:404" ht="23.25" customHeight="1">
      <c r="A1003" s="97" t="str">
        <f>D1003&amp;E1003</f>
        <v>026A/POTTERYBARN-2166-84100-02-B</v>
      </c>
      <c r="B1003" s="95">
        <v>44459</v>
      </c>
      <c r="C1003" s="97">
        <f t="shared" ca="1" si="321"/>
        <v>-605</v>
      </c>
      <c r="D1003" s="112" t="s">
        <v>1361</v>
      </c>
      <c r="E1003" s="279" t="s">
        <v>668</v>
      </c>
      <c r="F1003" s="98" t="str">
        <f t="shared" si="324"/>
        <v>B</v>
      </c>
      <c r="G1003" s="110">
        <f ca="1">SUMIF($A:E,$A1003,K:K)</f>
        <v>32</v>
      </c>
      <c r="H1003" s="97" t="s">
        <v>508</v>
      </c>
      <c r="I1003" s="175">
        <v>32</v>
      </c>
      <c r="J1003" s="115">
        <v>32</v>
      </c>
      <c r="K1003" s="143">
        <f t="shared" si="314"/>
        <v>32</v>
      </c>
      <c r="L1003" s="144">
        <f t="shared" si="319"/>
        <v>0</v>
      </c>
      <c r="M1003" s="275">
        <f t="shared" si="312"/>
        <v>32</v>
      </c>
      <c r="N1003" s="98" t="s">
        <v>1776</v>
      </c>
      <c r="O1003" s="93">
        <f t="shared" si="320"/>
        <v>100</v>
      </c>
      <c r="IF1003" s="100">
        <v>1</v>
      </c>
      <c r="IG1003" s="100">
        <v>22</v>
      </c>
      <c r="IH1003" s="100">
        <v>9</v>
      </c>
      <c r="ON1003" s="100">
        <f t="shared" si="315"/>
        <v>0</v>
      </c>
    </row>
    <row r="1004" spans="1:404" ht="23.25" customHeight="1">
      <c r="A1004" s="97" t="str">
        <f>N1004&amp;E1004</f>
        <v>5-XM166-84100-02-B</v>
      </c>
      <c r="B1004" s="95">
        <v>44459</v>
      </c>
      <c r="C1004" s="97">
        <f t="shared" ca="1" si="321"/>
        <v>-605</v>
      </c>
      <c r="D1004" s="112" t="s">
        <v>1362</v>
      </c>
      <c r="E1004" s="279" t="s">
        <v>668</v>
      </c>
      <c r="F1004" s="98" t="str">
        <f t="shared" si="324"/>
        <v>B</v>
      </c>
      <c r="G1004" s="110">
        <f ca="1">SUMIF($A:E,$A1004,K:K)</f>
        <v>26</v>
      </c>
      <c r="H1004" s="97" t="s">
        <v>508</v>
      </c>
      <c r="I1004" s="175">
        <v>26</v>
      </c>
      <c r="J1004" s="115">
        <v>26</v>
      </c>
      <c r="K1004" s="143">
        <f t="shared" si="314"/>
        <v>26</v>
      </c>
      <c r="L1004" s="144">
        <f t="shared" si="319"/>
        <v>0</v>
      </c>
      <c r="M1004" s="275">
        <f t="shared" si="312"/>
        <v>26</v>
      </c>
      <c r="N1004" s="98" t="s">
        <v>1776</v>
      </c>
      <c r="O1004" s="93">
        <f t="shared" si="320"/>
        <v>100</v>
      </c>
      <c r="II1004" s="100">
        <v>1</v>
      </c>
      <c r="IK1004" s="100">
        <v>19</v>
      </c>
      <c r="IL1004" s="100">
        <v>6</v>
      </c>
      <c r="ON1004" s="100">
        <f t="shared" si="315"/>
        <v>0</v>
      </c>
    </row>
    <row r="1005" spans="1:404" ht="23.25" customHeight="1">
      <c r="A1005" s="97" t="str">
        <f t="shared" ref="A1005:A1040" si="325">D1005&amp;E1005</f>
        <v>014/POTTERYBARN-VG-2166-84100-02-B</v>
      </c>
      <c r="B1005" s="95">
        <v>44490</v>
      </c>
      <c r="C1005" s="97">
        <f t="shared" ca="1" si="321"/>
        <v>-574</v>
      </c>
      <c r="D1005" s="112" t="s">
        <v>1453</v>
      </c>
      <c r="E1005" s="279" t="s">
        <v>668</v>
      </c>
      <c r="F1005" s="98" t="str">
        <f t="shared" si="324"/>
        <v>B</v>
      </c>
      <c r="G1005" s="110">
        <f ca="1">SUMIF($A:E,$A1005,K:K)</f>
        <v>50</v>
      </c>
      <c r="H1005" s="97" t="s">
        <v>616</v>
      </c>
      <c r="I1005" s="175">
        <v>50</v>
      </c>
      <c r="J1005" s="115">
        <v>50</v>
      </c>
      <c r="K1005" s="143">
        <f t="shared" si="314"/>
        <v>50</v>
      </c>
      <c r="L1005" s="144">
        <f t="shared" si="319"/>
        <v>0</v>
      </c>
      <c r="M1005" s="275">
        <f t="shared" si="312"/>
        <v>50</v>
      </c>
      <c r="N1005" s="98" t="s">
        <v>1776</v>
      </c>
      <c r="O1005" s="93">
        <f t="shared" si="320"/>
        <v>100</v>
      </c>
      <c r="IL1005" s="100">
        <v>16</v>
      </c>
      <c r="IM1005" s="100">
        <v>23</v>
      </c>
      <c r="IN1005" s="100">
        <v>11</v>
      </c>
      <c r="ON1005" s="100">
        <f t="shared" si="315"/>
        <v>0</v>
      </c>
    </row>
    <row r="1006" spans="1:404" ht="23.25" customHeight="1">
      <c r="A1006" s="97" t="str">
        <f t="shared" si="325"/>
        <v>015/POTTERYBARN-VG-2166-84100-02-B</v>
      </c>
      <c r="B1006" s="95">
        <v>44490</v>
      </c>
      <c r="C1006" s="97">
        <f t="shared" ca="1" si="321"/>
        <v>-574</v>
      </c>
      <c r="D1006" s="112" t="s">
        <v>1454</v>
      </c>
      <c r="E1006" s="279" t="s">
        <v>668</v>
      </c>
      <c r="F1006" s="98" t="str">
        <f t="shared" si="324"/>
        <v>B</v>
      </c>
      <c r="G1006" s="110">
        <f ca="1">SUMIF($A:E,$A1006,K:K)</f>
        <v>50</v>
      </c>
      <c r="H1006" s="97" t="s">
        <v>616</v>
      </c>
      <c r="I1006" s="175">
        <v>50</v>
      </c>
      <c r="J1006" s="115">
        <v>50</v>
      </c>
      <c r="K1006" s="143">
        <f t="shared" si="314"/>
        <v>50</v>
      </c>
      <c r="L1006" s="144">
        <f t="shared" si="319"/>
        <v>0</v>
      </c>
      <c r="M1006" s="275">
        <f t="shared" si="312"/>
        <v>50</v>
      </c>
      <c r="N1006" s="98" t="s">
        <v>1776</v>
      </c>
      <c r="O1006" s="93">
        <f t="shared" si="320"/>
        <v>100</v>
      </c>
      <c r="IN1006" s="100">
        <v>11</v>
      </c>
      <c r="IO1006" s="100">
        <v>11</v>
      </c>
      <c r="IR1006" s="100">
        <v>22</v>
      </c>
      <c r="IS1006" s="100">
        <v>6</v>
      </c>
      <c r="ON1006" s="100">
        <f t="shared" si="315"/>
        <v>0</v>
      </c>
    </row>
    <row r="1007" spans="1:404" ht="23.25" customHeight="1">
      <c r="A1007" s="97" t="str">
        <f t="shared" si="325"/>
        <v>012/POTTERYBARN-VG-2166-84100-02-B</v>
      </c>
      <c r="B1007" s="95">
        <v>44490</v>
      </c>
      <c r="C1007" s="97">
        <f t="shared" ca="1" si="321"/>
        <v>-574</v>
      </c>
      <c r="D1007" s="112" t="s">
        <v>1455</v>
      </c>
      <c r="E1007" s="279" t="s">
        <v>668</v>
      </c>
      <c r="F1007" s="98" t="str">
        <f t="shared" si="324"/>
        <v>B</v>
      </c>
      <c r="G1007" s="110">
        <f ca="1">SUMIF($A:E,$A1007,K:K)</f>
        <v>50</v>
      </c>
      <c r="H1007" s="97" t="s">
        <v>616</v>
      </c>
      <c r="I1007" s="175">
        <v>50</v>
      </c>
      <c r="J1007" s="115">
        <v>50</v>
      </c>
      <c r="K1007" s="143">
        <f t="shared" si="314"/>
        <v>50</v>
      </c>
      <c r="L1007" s="144">
        <f t="shared" si="319"/>
        <v>0</v>
      </c>
      <c r="M1007" s="275">
        <f t="shared" si="312"/>
        <v>50</v>
      </c>
      <c r="N1007" s="98" t="s">
        <v>1776</v>
      </c>
      <c r="O1007" s="93">
        <f t="shared" si="320"/>
        <v>100</v>
      </c>
      <c r="JA1007" s="100">
        <v>8</v>
      </c>
      <c r="JB1007" s="100">
        <v>22</v>
      </c>
      <c r="JC1007" s="100">
        <v>10</v>
      </c>
      <c r="JD1007" s="100">
        <v>10</v>
      </c>
      <c r="ON1007" s="100">
        <f t="shared" si="315"/>
        <v>0</v>
      </c>
    </row>
    <row r="1008" spans="1:404" ht="23.25" customHeight="1">
      <c r="A1008" s="97" t="str">
        <f t="shared" si="325"/>
        <v>016/POTTERYBARN-VG-2166-84100-02-B</v>
      </c>
      <c r="B1008" s="95">
        <v>44490</v>
      </c>
      <c r="C1008" s="97">
        <f t="shared" ca="1" si="321"/>
        <v>-574</v>
      </c>
      <c r="D1008" s="112" t="s">
        <v>1456</v>
      </c>
      <c r="E1008" s="279" t="s">
        <v>668</v>
      </c>
      <c r="F1008" s="98" t="str">
        <f t="shared" si="324"/>
        <v>B</v>
      </c>
      <c r="G1008" s="110">
        <f ca="1">SUMIF($A:E,$A1008,K:K)</f>
        <v>50</v>
      </c>
      <c r="H1008" s="97" t="s">
        <v>616</v>
      </c>
      <c r="I1008" s="175">
        <v>50</v>
      </c>
      <c r="J1008" s="115">
        <v>50</v>
      </c>
      <c r="K1008" s="143">
        <f t="shared" si="314"/>
        <v>50</v>
      </c>
      <c r="L1008" s="144">
        <f t="shared" si="319"/>
        <v>0</v>
      </c>
      <c r="M1008" s="275">
        <f t="shared" si="312"/>
        <v>50</v>
      </c>
      <c r="N1008" s="98" t="s">
        <v>1776</v>
      </c>
      <c r="O1008" s="93">
        <f t="shared" si="320"/>
        <v>100</v>
      </c>
      <c r="JD1008" s="100">
        <v>12</v>
      </c>
      <c r="JG1008" s="100">
        <v>33</v>
      </c>
      <c r="JH1008" s="100">
        <v>5</v>
      </c>
      <c r="ON1008" s="100">
        <f t="shared" si="315"/>
        <v>0</v>
      </c>
    </row>
    <row r="1009" spans="1:404" ht="48" customHeight="1">
      <c r="A1009" s="97" t="str">
        <f t="shared" si="325"/>
        <v>011/POTTERYBARN-VG-2166-84100-02-B</v>
      </c>
      <c r="B1009" s="95">
        <v>44490</v>
      </c>
      <c r="C1009" s="97">
        <f t="shared" ca="1" si="321"/>
        <v>-574</v>
      </c>
      <c r="D1009" s="112" t="s">
        <v>1457</v>
      </c>
      <c r="E1009" s="279" t="s">
        <v>668</v>
      </c>
      <c r="F1009" s="98" t="str">
        <f t="shared" si="324"/>
        <v>B</v>
      </c>
      <c r="G1009" s="110">
        <f ca="1">SUMIF($A:E,$A1009,K:K)</f>
        <v>50</v>
      </c>
      <c r="H1009" s="97" t="s">
        <v>616</v>
      </c>
      <c r="I1009" s="175">
        <v>50</v>
      </c>
      <c r="J1009" s="115">
        <v>50</v>
      </c>
      <c r="K1009" s="143">
        <f t="shared" si="314"/>
        <v>50</v>
      </c>
      <c r="L1009" s="144">
        <f t="shared" si="319"/>
        <v>0</v>
      </c>
      <c r="M1009" s="275">
        <f t="shared" si="312"/>
        <v>50</v>
      </c>
      <c r="N1009" s="98" t="s">
        <v>1776</v>
      </c>
      <c r="O1009" s="93">
        <f t="shared" si="320"/>
        <v>100</v>
      </c>
      <c r="JH1009" s="100">
        <v>17</v>
      </c>
      <c r="JI1009" s="100">
        <v>21</v>
      </c>
      <c r="JJ1009" s="100">
        <v>12</v>
      </c>
      <c r="ON1009" s="100">
        <f t="shared" si="315"/>
        <v>0</v>
      </c>
    </row>
    <row r="1010" spans="1:404" ht="38.25" customHeight="1">
      <c r="A1010" s="97" t="str">
        <f t="shared" si="325"/>
        <v>010/POTTERYBARN-VG-2166-84100-02-B</v>
      </c>
      <c r="B1010" s="95">
        <v>44490</v>
      </c>
      <c r="C1010" s="97">
        <f t="shared" ca="1" si="321"/>
        <v>-574</v>
      </c>
      <c r="D1010" s="112" t="s">
        <v>1458</v>
      </c>
      <c r="E1010" s="279" t="s">
        <v>668</v>
      </c>
      <c r="F1010" s="98" t="str">
        <f t="shared" si="324"/>
        <v>B</v>
      </c>
      <c r="G1010" s="110">
        <f ca="1">SUMIF($A:E,$A1010,K:K)</f>
        <v>50</v>
      </c>
      <c r="H1010" s="97" t="s">
        <v>616</v>
      </c>
      <c r="I1010" s="175">
        <v>50</v>
      </c>
      <c r="J1010" s="115">
        <v>50</v>
      </c>
      <c r="K1010" s="143">
        <f t="shared" si="314"/>
        <v>50</v>
      </c>
      <c r="L1010" s="144">
        <f t="shared" si="319"/>
        <v>0</v>
      </c>
      <c r="M1010" s="275">
        <f t="shared" si="312"/>
        <v>50</v>
      </c>
      <c r="N1010" s="98" t="s">
        <v>1776</v>
      </c>
      <c r="O1010" s="93">
        <f t="shared" si="320"/>
        <v>100</v>
      </c>
      <c r="JK1010" s="100">
        <v>11</v>
      </c>
      <c r="JM1010" s="100">
        <v>21</v>
      </c>
      <c r="JN1010" s="100">
        <v>12</v>
      </c>
      <c r="JO1010" s="100">
        <v>6</v>
      </c>
      <c r="ON1010" s="100">
        <f t="shared" si="315"/>
        <v>0</v>
      </c>
    </row>
    <row r="1011" spans="1:404" ht="23.25" customHeight="1">
      <c r="A1011" s="97" t="str">
        <f t="shared" si="325"/>
        <v>008/POTTERYBARN-VG-2166-84100-02-B</v>
      </c>
      <c r="B1011" s="95">
        <v>44490</v>
      </c>
      <c r="C1011" s="97">
        <f t="shared" ca="1" si="321"/>
        <v>-574</v>
      </c>
      <c r="D1011" s="112" t="s">
        <v>1459</v>
      </c>
      <c r="E1011" s="279" t="s">
        <v>668</v>
      </c>
      <c r="F1011" s="98" t="str">
        <f t="shared" si="324"/>
        <v>B</v>
      </c>
      <c r="G1011" s="110">
        <f ca="1">SUMIF($A:E,$A1011,K:K)</f>
        <v>50</v>
      </c>
      <c r="H1011" s="97" t="s">
        <v>616</v>
      </c>
      <c r="I1011" s="175">
        <v>50</v>
      </c>
      <c r="J1011" s="115">
        <v>50</v>
      </c>
      <c r="K1011" s="143">
        <f t="shared" si="314"/>
        <v>50</v>
      </c>
      <c r="L1011" s="144">
        <f t="shared" si="319"/>
        <v>0</v>
      </c>
      <c r="M1011" s="275">
        <f t="shared" si="312"/>
        <v>50</v>
      </c>
      <c r="N1011" s="98" t="s">
        <v>1776</v>
      </c>
      <c r="O1011" s="93">
        <f t="shared" si="320"/>
        <v>100</v>
      </c>
      <c r="JO1011" s="100">
        <v>16</v>
      </c>
      <c r="JP1011" s="100">
        <v>22</v>
      </c>
      <c r="JQ1011" s="100">
        <v>10</v>
      </c>
      <c r="JR1011" s="100">
        <v>2</v>
      </c>
      <c r="ON1011" s="100">
        <f t="shared" si="315"/>
        <v>0</v>
      </c>
    </row>
    <row r="1012" spans="1:404" ht="23.25" customHeight="1">
      <c r="A1012" s="97" t="str">
        <f t="shared" si="325"/>
        <v>007/POTTERYBARN-VG-2166-84100-02-B</v>
      </c>
      <c r="B1012" s="95">
        <v>44490</v>
      </c>
      <c r="C1012" s="97">
        <f t="shared" ca="1" si="321"/>
        <v>-574</v>
      </c>
      <c r="D1012" s="112" t="s">
        <v>1460</v>
      </c>
      <c r="E1012" s="279" t="s">
        <v>668</v>
      </c>
      <c r="F1012" s="98" t="str">
        <f t="shared" si="324"/>
        <v>B</v>
      </c>
      <c r="G1012" s="110">
        <f ca="1">SUMIF($A:E,$A1012,K:K)</f>
        <v>50</v>
      </c>
      <c r="H1012" s="97" t="s">
        <v>616</v>
      </c>
      <c r="I1012" s="175">
        <v>50</v>
      </c>
      <c r="J1012" s="115">
        <v>50</v>
      </c>
      <c r="K1012" s="143">
        <f t="shared" si="314"/>
        <v>50</v>
      </c>
      <c r="L1012" s="144">
        <f t="shared" si="319"/>
        <v>0</v>
      </c>
      <c r="M1012" s="275">
        <f t="shared" si="312"/>
        <v>50</v>
      </c>
      <c r="N1012" s="98" t="s">
        <v>1776</v>
      </c>
      <c r="O1012" s="93">
        <f t="shared" si="320"/>
        <v>100</v>
      </c>
      <c r="JR1012" s="100">
        <v>18</v>
      </c>
      <c r="JT1012" s="100">
        <v>11</v>
      </c>
      <c r="JU1012" s="100">
        <v>10</v>
      </c>
      <c r="JV1012" s="100">
        <v>10</v>
      </c>
      <c r="JW1012" s="100">
        <v>1</v>
      </c>
      <c r="ON1012" s="100">
        <f t="shared" si="315"/>
        <v>0</v>
      </c>
    </row>
    <row r="1013" spans="1:404" ht="23.25" customHeight="1">
      <c r="A1013" s="97" t="str">
        <f t="shared" si="325"/>
        <v>006/POTTERYBARN-VG-2166-84100-02-B</v>
      </c>
      <c r="B1013" s="95">
        <v>44501</v>
      </c>
      <c r="C1013" s="97">
        <f t="shared" ca="1" si="321"/>
        <v>-563</v>
      </c>
      <c r="D1013" s="112" t="s">
        <v>1461</v>
      </c>
      <c r="E1013" s="279" t="s">
        <v>668</v>
      </c>
      <c r="F1013" s="98" t="str">
        <f t="shared" si="324"/>
        <v>B</v>
      </c>
      <c r="G1013" s="110">
        <f ca="1">SUMIF($A:E,$A1013,K:K)</f>
        <v>50</v>
      </c>
      <c r="H1013" s="97" t="s">
        <v>616</v>
      </c>
      <c r="I1013" s="175">
        <v>50</v>
      </c>
      <c r="J1013" s="115">
        <v>50</v>
      </c>
      <c r="K1013" s="143">
        <f t="shared" si="314"/>
        <v>50</v>
      </c>
      <c r="L1013" s="144">
        <f t="shared" si="319"/>
        <v>0</v>
      </c>
      <c r="M1013" s="275">
        <f t="shared" si="312"/>
        <v>50</v>
      </c>
      <c r="N1013" s="98" t="s">
        <v>1776</v>
      </c>
      <c r="O1013" s="93">
        <f t="shared" si="320"/>
        <v>100</v>
      </c>
      <c r="JW1013" s="100">
        <v>22</v>
      </c>
      <c r="JX1013" s="100">
        <v>10</v>
      </c>
      <c r="JY1013" s="100">
        <v>11</v>
      </c>
      <c r="KA1013" s="100">
        <v>7</v>
      </c>
      <c r="ON1013" s="100">
        <f t="shared" si="315"/>
        <v>0</v>
      </c>
    </row>
    <row r="1014" spans="1:404" ht="30" customHeight="1">
      <c r="A1014" s="97" t="str">
        <f t="shared" si="325"/>
        <v>004/POTTERYBARN-VG-2166-84100-02-B</v>
      </c>
      <c r="B1014" s="95">
        <v>44501</v>
      </c>
      <c r="C1014" s="97">
        <f t="shared" ref="C1014:C1045" ca="1" si="326">B1014-TODAY()</f>
        <v>-563</v>
      </c>
      <c r="D1014" s="112" t="s">
        <v>1462</v>
      </c>
      <c r="E1014" s="123" t="s">
        <v>668</v>
      </c>
      <c r="F1014" s="98" t="str">
        <f t="shared" si="324"/>
        <v>B</v>
      </c>
      <c r="G1014" s="110">
        <f ca="1">SUMIF($A:E,$A1014,K:K)</f>
        <v>50</v>
      </c>
      <c r="H1014" s="97" t="s">
        <v>616</v>
      </c>
      <c r="I1014" s="175">
        <v>50</v>
      </c>
      <c r="J1014" s="115">
        <v>50</v>
      </c>
      <c r="K1014" s="143">
        <f t="shared" si="314"/>
        <v>50</v>
      </c>
      <c r="L1014" s="144">
        <f t="shared" si="319"/>
        <v>0</v>
      </c>
      <c r="M1014" s="275">
        <f t="shared" si="312"/>
        <v>50</v>
      </c>
      <c r="N1014" s="98" t="s">
        <v>1776</v>
      </c>
      <c r="O1014" s="93">
        <f t="shared" si="320"/>
        <v>100</v>
      </c>
      <c r="KA1014" s="100">
        <v>7</v>
      </c>
      <c r="KB1014" s="100">
        <v>18</v>
      </c>
      <c r="KC1014" s="100">
        <v>22</v>
      </c>
      <c r="KD1014" s="100">
        <v>3</v>
      </c>
      <c r="ON1014" s="100">
        <f t="shared" si="315"/>
        <v>0</v>
      </c>
    </row>
    <row r="1015" spans="1:404" ht="27.75" customHeight="1">
      <c r="A1015" s="97" t="str">
        <f t="shared" si="325"/>
        <v>003/POTTERYBARN-VG-2166-84100-02-B</v>
      </c>
      <c r="B1015" s="95">
        <v>44501</v>
      </c>
      <c r="C1015" s="97">
        <f t="shared" ca="1" si="326"/>
        <v>-563</v>
      </c>
      <c r="D1015" s="112" t="s">
        <v>1463</v>
      </c>
      <c r="E1015" s="279" t="s">
        <v>668</v>
      </c>
      <c r="F1015" s="98" t="str">
        <f t="shared" si="324"/>
        <v>B</v>
      </c>
      <c r="G1015" s="110">
        <f ca="1">SUMIF($A:E,$A1015,K:K)</f>
        <v>50</v>
      </c>
      <c r="H1015" s="97" t="s">
        <v>616</v>
      </c>
      <c r="I1015" s="175">
        <v>50</v>
      </c>
      <c r="J1015" s="115">
        <v>50</v>
      </c>
      <c r="K1015" s="143">
        <f t="shared" si="314"/>
        <v>50</v>
      </c>
      <c r="L1015" s="144">
        <f t="shared" si="319"/>
        <v>0</v>
      </c>
      <c r="M1015" s="275">
        <f t="shared" si="312"/>
        <v>50</v>
      </c>
      <c r="N1015" s="98" t="s">
        <v>1776</v>
      </c>
      <c r="O1015" s="93">
        <f t="shared" si="320"/>
        <v>100</v>
      </c>
      <c r="KD1015" s="100">
        <v>19</v>
      </c>
      <c r="KE1015" s="100">
        <v>11</v>
      </c>
      <c r="KF1015" s="100">
        <v>20</v>
      </c>
      <c r="ON1015" s="100">
        <f t="shared" si="315"/>
        <v>0</v>
      </c>
    </row>
    <row r="1016" spans="1:404" ht="36.75" customHeight="1">
      <c r="A1016" s="97" t="str">
        <f t="shared" si="325"/>
        <v>002/POTTERYBARN-VG-2166-84100-02-B</v>
      </c>
      <c r="B1016" s="95">
        <v>44501</v>
      </c>
      <c r="C1016" s="97">
        <f t="shared" ca="1" si="326"/>
        <v>-563</v>
      </c>
      <c r="D1016" s="112" t="s">
        <v>1464</v>
      </c>
      <c r="E1016" s="279" t="s">
        <v>668</v>
      </c>
      <c r="F1016" s="98" t="str">
        <f t="shared" si="324"/>
        <v>B</v>
      </c>
      <c r="G1016" s="110">
        <f ca="1">SUMIF($A:E,$A1016,K:K)</f>
        <v>50</v>
      </c>
      <c r="H1016" s="97" t="s">
        <v>616</v>
      </c>
      <c r="I1016" s="175">
        <v>50</v>
      </c>
      <c r="J1016" s="115">
        <v>50</v>
      </c>
      <c r="K1016" s="143">
        <f t="shared" si="314"/>
        <v>50</v>
      </c>
      <c r="L1016" s="144">
        <f t="shared" si="319"/>
        <v>0</v>
      </c>
      <c r="M1016" s="275">
        <f t="shared" si="312"/>
        <v>50</v>
      </c>
      <c r="N1016" s="98" t="s">
        <v>1776</v>
      </c>
      <c r="O1016" s="93">
        <f t="shared" si="320"/>
        <v>100</v>
      </c>
      <c r="KF1016" s="100">
        <v>2</v>
      </c>
      <c r="KG1016" s="100">
        <v>22</v>
      </c>
      <c r="KH1016" s="100">
        <v>11</v>
      </c>
      <c r="KI1016" s="100">
        <v>15</v>
      </c>
      <c r="ON1016" s="100">
        <f t="shared" si="315"/>
        <v>0</v>
      </c>
    </row>
    <row r="1017" spans="1:404" ht="36.75" customHeight="1">
      <c r="A1017" s="97" t="str">
        <f t="shared" si="325"/>
        <v>019A/POTTERYBARN-VG-2166-84100-02-B</v>
      </c>
      <c r="B1017" s="95">
        <v>44893</v>
      </c>
      <c r="C1017" s="97">
        <f t="shared" ca="1" si="326"/>
        <v>-171</v>
      </c>
      <c r="D1017" s="112" t="s">
        <v>1567</v>
      </c>
      <c r="E1017" s="279" t="s">
        <v>668</v>
      </c>
      <c r="F1017" s="98" t="str">
        <f t="shared" si="324"/>
        <v>B</v>
      </c>
      <c r="G1017" s="110">
        <f ca="1">SUMIF($A:E,$A1017,K:K)</f>
        <v>15</v>
      </c>
      <c r="H1017" s="97" t="s">
        <v>616</v>
      </c>
      <c r="I1017" s="98">
        <v>15</v>
      </c>
      <c r="J1017" s="97">
        <v>15</v>
      </c>
      <c r="K1017" s="143">
        <f t="shared" si="314"/>
        <v>15</v>
      </c>
      <c r="L1017" s="144">
        <f t="shared" si="319"/>
        <v>0</v>
      </c>
      <c r="M1017" s="275">
        <f t="shared" si="312"/>
        <v>15</v>
      </c>
      <c r="N1017" s="98" t="s">
        <v>1776</v>
      </c>
      <c r="O1017" s="93">
        <f t="shared" si="320"/>
        <v>100</v>
      </c>
      <c r="KI1017" s="100">
        <v>7</v>
      </c>
      <c r="KJ1017" s="100">
        <v>8</v>
      </c>
      <c r="ON1017" s="100">
        <f t="shared" si="315"/>
        <v>0</v>
      </c>
    </row>
    <row r="1018" spans="1:404" ht="23.25" customHeight="1">
      <c r="A1018" s="97" t="str">
        <f t="shared" si="325"/>
        <v>020A/POTTERYBARN-VG-2166-84100-02-B</v>
      </c>
      <c r="B1018" s="95">
        <v>44893</v>
      </c>
      <c r="C1018" s="97">
        <f t="shared" ca="1" si="326"/>
        <v>-171</v>
      </c>
      <c r="D1018" s="112" t="s">
        <v>1568</v>
      </c>
      <c r="E1018" s="279" t="s">
        <v>668</v>
      </c>
      <c r="F1018" s="98" t="str">
        <f t="shared" si="324"/>
        <v>B</v>
      </c>
      <c r="G1018" s="110">
        <f ca="1">SUMIF($A:E,$A1018,K:K)</f>
        <v>22</v>
      </c>
      <c r="H1018" s="97" t="s">
        <v>616</v>
      </c>
      <c r="I1018" s="98">
        <v>22</v>
      </c>
      <c r="J1018" s="97">
        <v>22</v>
      </c>
      <c r="K1018" s="143">
        <f t="shared" si="314"/>
        <v>22</v>
      </c>
      <c r="L1018" s="144">
        <f t="shared" si="319"/>
        <v>0</v>
      </c>
      <c r="M1018" s="275">
        <f t="shared" si="312"/>
        <v>22</v>
      </c>
      <c r="N1018" s="98" t="s">
        <v>1776</v>
      </c>
      <c r="O1018" s="93">
        <f t="shared" si="320"/>
        <v>100</v>
      </c>
      <c r="KJ1018" s="100">
        <v>13</v>
      </c>
      <c r="KN1018" s="100">
        <v>9</v>
      </c>
      <c r="ON1018" s="100">
        <f t="shared" si="315"/>
        <v>0</v>
      </c>
    </row>
    <row r="1019" spans="1:404" ht="23.25" customHeight="1">
      <c r="A1019" s="97" t="str">
        <f t="shared" si="325"/>
        <v>026/POTTERYBARN-VG-2166-84100-02-B</v>
      </c>
      <c r="B1019" s="95">
        <v>44549</v>
      </c>
      <c r="C1019" s="97">
        <f t="shared" ca="1" si="326"/>
        <v>-515</v>
      </c>
      <c r="D1019" s="112" t="s">
        <v>1620</v>
      </c>
      <c r="E1019" s="279" t="s">
        <v>668</v>
      </c>
      <c r="F1019" s="98" t="str">
        <f t="shared" si="324"/>
        <v>B</v>
      </c>
      <c r="G1019" s="110">
        <f ca="1">SUMIF($A:E,$A1019,K:K)</f>
        <v>26</v>
      </c>
      <c r="H1019" s="97" t="s">
        <v>616</v>
      </c>
      <c r="I1019" s="98">
        <v>26</v>
      </c>
      <c r="J1019" s="99">
        <v>26</v>
      </c>
      <c r="K1019" s="143">
        <f t="shared" si="314"/>
        <v>26</v>
      </c>
      <c r="L1019" s="144">
        <f t="shared" si="319"/>
        <v>0</v>
      </c>
      <c r="M1019" s="275">
        <f t="shared" si="312"/>
        <v>26</v>
      </c>
      <c r="N1019" s="98" t="s">
        <v>1776</v>
      </c>
      <c r="O1019" s="93">
        <f t="shared" si="320"/>
        <v>100</v>
      </c>
      <c r="LF1019" s="100">
        <v>12</v>
      </c>
      <c r="LG1019" s="100">
        <v>14</v>
      </c>
      <c r="ON1019" s="100">
        <f t="shared" si="315"/>
        <v>0</v>
      </c>
    </row>
    <row r="1020" spans="1:404" ht="33" customHeight="1">
      <c r="A1020" s="97" t="str">
        <f t="shared" si="325"/>
        <v>025/POTTERYBARN-VG-2166-84100-02-B</v>
      </c>
      <c r="B1020" s="95">
        <v>44549</v>
      </c>
      <c r="C1020" s="97">
        <f t="shared" ca="1" si="326"/>
        <v>-515</v>
      </c>
      <c r="D1020" s="112" t="s">
        <v>1682</v>
      </c>
      <c r="E1020" s="279" t="s">
        <v>668</v>
      </c>
      <c r="F1020" s="98" t="str">
        <f t="shared" si="324"/>
        <v>B</v>
      </c>
      <c r="G1020" s="110">
        <f ca="1">SUMIF($A:E,$A1020,K:K)</f>
        <v>28</v>
      </c>
      <c r="H1020" s="112" t="s">
        <v>616</v>
      </c>
      <c r="I1020" s="175">
        <v>28</v>
      </c>
      <c r="J1020" s="115">
        <v>28</v>
      </c>
      <c r="K1020" s="143">
        <f t="shared" si="314"/>
        <v>28</v>
      </c>
      <c r="L1020" s="144">
        <f t="shared" si="319"/>
        <v>0</v>
      </c>
      <c r="M1020" s="275">
        <f t="shared" ref="M1020:M1083" si="327">IF(OR(MID(E1020,10,1)="0",MID(E1020,10,1)="F"),I1020,IF(OR(,MID(E1020,10,1)="S",MID(E1020,10,1)="L",MID(E1020,10,1)="B",MID(E1020,10,1)="X"),MID(E1020,11,1)*I1020,0))</f>
        <v>28</v>
      </c>
      <c r="N1020" s="98" t="s">
        <v>1776</v>
      </c>
      <c r="O1020" s="93">
        <f t="shared" si="320"/>
        <v>100</v>
      </c>
      <c r="LG1020" s="100">
        <v>6</v>
      </c>
      <c r="LI1020" s="100">
        <v>22</v>
      </c>
      <c r="ON1020" s="100">
        <f t="shared" si="315"/>
        <v>0</v>
      </c>
    </row>
    <row r="1021" spans="1:404" ht="34.5" customHeight="1">
      <c r="A1021" s="97" t="str">
        <f t="shared" si="325"/>
        <v>020/POTTERYBARN-VG-2166-84100-02-B</v>
      </c>
      <c r="B1021" s="95">
        <v>44528</v>
      </c>
      <c r="C1021" s="97">
        <f t="shared" ca="1" si="326"/>
        <v>-536</v>
      </c>
      <c r="D1021" s="112" t="s">
        <v>1683</v>
      </c>
      <c r="E1021" s="279" t="s">
        <v>668</v>
      </c>
      <c r="F1021" s="132" t="str">
        <f t="shared" si="324"/>
        <v>B</v>
      </c>
      <c r="G1021" s="130">
        <f ca="1">SUMIF($A:E,$A1021,K:K)</f>
        <v>98</v>
      </c>
      <c r="H1021" s="112" t="s">
        <v>616</v>
      </c>
      <c r="I1021" s="203">
        <v>98</v>
      </c>
      <c r="J1021" s="134">
        <v>98</v>
      </c>
      <c r="K1021" s="160">
        <f t="shared" si="314"/>
        <v>98</v>
      </c>
      <c r="L1021" s="151">
        <f t="shared" si="319"/>
        <v>0</v>
      </c>
      <c r="M1021" s="275">
        <f t="shared" si="327"/>
        <v>98</v>
      </c>
      <c r="N1021" s="98" t="s">
        <v>1776</v>
      </c>
      <c r="O1021" s="93">
        <f t="shared" si="320"/>
        <v>100</v>
      </c>
      <c r="KU1021" s="100">
        <v>4</v>
      </c>
      <c r="KV1021" s="100">
        <v>33</v>
      </c>
      <c r="KW1021" s="100">
        <v>22</v>
      </c>
      <c r="KX1021" s="100">
        <v>22</v>
      </c>
      <c r="KY1021" s="100">
        <v>17</v>
      </c>
      <c r="ON1021" s="100">
        <f t="shared" si="315"/>
        <v>0</v>
      </c>
    </row>
    <row r="1022" spans="1:404" ht="23.25" customHeight="1">
      <c r="A1022" s="97" t="str">
        <f t="shared" si="325"/>
        <v>024/POTTERYBARN-VG-2166-84100-02-B</v>
      </c>
      <c r="B1022" s="95">
        <v>44549</v>
      </c>
      <c r="C1022" s="97">
        <f t="shared" ca="1" si="326"/>
        <v>-515</v>
      </c>
      <c r="D1022" s="112" t="s">
        <v>1684</v>
      </c>
      <c r="E1022" s="279" t="s">
        <v>668</v>
      </c>
      <c r="F1022" s="98" t="str">
        <f t="shared" si="324"/>
        <v>B</v>
      </c>
      <c r="G1022" s="110">
        <f ca="1">SUMIF($A:E,$A1022,K:K)</f>
        <v>43</v>
      </c>
      <c r="H1022" s="112" t="s">
        <v>616</v>
      </c>
      <c r="I1022" s="175">
        <v>43</v>
      </c>
      <c r="J1022" s="115">
        <v>43</v>
      </c>
      <c r="K1022" s="143">
        <f t="shared" si="314"/>
        <v>43</v>
      </c>
      <c r="L1022" s="144">
        <f t="shared" si="319"/>
        <v>0</v>
      </c>
      <c r="M1022" s="275">
        <f t="shared" si="327"/>
        <v>43</v>
      </c>
      <c r="N1022" s="132" t="s">
        <v>1776</v>
      </c>
      <c r="O1022" s="93">
        <f t="shared" si="320"/>
        <v>100</v>
      </c>
      <c r="LI1022" s="100">
        <v>2</v>
      </c>
      <c r="LJ1022" s="100">
        <v>8</v>
      </c>
      <c r="LK1022" s="100">
        <v>22</v>
      </c>
      <c r="LL1022" s="100">
        <v>11</v>
      </c>
      <c r="ON1022" s="100">
        <f t="shared" si="315"/>
        <v>0</v>
      </c>
    </row>
    <row r="1023" spans="1:404" ht="23.25" customHeight="1">
      <c r="A1023" s="97" t="str">
        <f t="shared" si="325"/>
        <v>023/POTTERYBARN-VG-2166-84100-02-B</v>
      </c>
      <c r="B1023" s="95">
        <v>44549</v>
      </c>
      <c r="C1023" s="97">
        <f t="shared" ca="1" si="326"/>
        <v>-515</v>
      </c>
      <c r="D1023" s="112" t="s">
        <v>1685</v>
      </c>
      <c r="E1023" s="279" t="s">
        <v>668</v>
      </c>
      <c r="F1023" s="98" t="str">
        <f t="shared" si="324"/>
        <v>B</v>
      </c>
      <c r="G1023" s="110">
        <f ca="1">SUMIF($A:E,$A1023,K:K)</f>
        <v>45</v>
      </c>
      <c r="H1023" s="112" t="s">
        <v>616</v>
      </c>
      <c r="I1023" s="175">
        <v>45</v>
      </c>
      <c r="J1023" s="115">
        <v>45</v>
      </c>
      <c r="K1023" s="143">
        <f t="shared" si="314"/>
        <v>45</v>
      </c>
      <c r="L1023" s="144">
        <f t="shared" si="319"/>
        <v>0</v>
      </c>
      <c r="M1023" s="275">
        <f t="shared" si="327"/>
        <v>45</v>
      </c>
      <c r="N1023" s="132" t="s">
        <v>1776</v>
      </c>
      <c r="O1023" s="93">
        <f t="shared" si="320"/>
        <v>100</v>
      </c>
      <c r="LL1023" s="100">
        <v>11</v>
      </c>
      <c r="LM1023" s="100">
        <v>22</v>
      </c>
      <c r="LN1023" s="100">
        <v>12</v>
      </c>
      <c r="ON1023" s="100">
        <f t="shared" si="315"/>
        <v>0</v>
      </c>
    </row>
    <row r="1024" spans="1:404" ht="23.25" customHeight="1">
      <c r="A1024" s="97" t="str">
        <f t="shared" si="325"/>
        <v>022/POTTERYBARN-VG-2166-84100-02-B</v>
      </c>
      <c r="B1024" s="95">
        <v>44528</v>
      </c>
      <c r="C1024" s="97">
        <f t="shared" ca="1" si="326"/>
        <v>-536</v>
      </c>
      <c r="D1024" s="112" t="s">
        <v>1686</v>
      </c>
      <c r="E1024" s="279" t="s">
        <v>668</v>
      </c>
      <c r="F1024" s="98" t="str">
        <f t="shared" si="324"/>
        <v>B</v>
      </c>
      <c r="G1024" s="110">
        <f ca="1">SUMIF($A:E,$A1024,K:K)</f>
        <v>59</v>
      </c>
      <c r="H1024" s="112" t="s">
        <v>616</v>
      </c>
      <c r="I1024" s="175">
        <v>59</v>
      </c>
      <c r="J1024" s="115">
        <v>59</v>
      </c>
      <c r="K1024" s="143">
        <f t="shared" si="314"/>
        <v>59</v>
      </c>
      <c r="L1024" s="144">
        <f t="shared" si="319"/>
        <v>0</v>
      </c>
      <c r="M1024" s="275">
        <f t="shared" si="327"/>
        <v>59</v>
      </c>
      <c r="N1024" s="308" t="s">
        <v>1776</v>
      </c>
      <c r="O1024" s="93">
        <f t="shared" si="320"/>
        <v>100</v>
      </c>
      <c r="LC1024" s="100">
        <v>5</v>
      </c>
      <c r="LD1024" s="100">
        <v>22</v>
      </c>
      <c r="LE1024" s="100">
        <v>22</v>
      </c>
      <c r="LF1024" s="100">
        <v>10</v>
      </c>
      <c r="ON1024" s="100">
        <f t="shared" si="315"/>
        <v>0</v>
      </c>
    </row>
    <row r="1025" spans="1:404" ht="23.25" customHeight="1">
      <c r="A1025" s="97" t="str">
        <f t="shared" si="325"/>
        <v>021/POTTERYBARN-VG-2166-84100-02-B</v>
      </c>
      <c r="B1025" s="95">
        <v>44528</v>
      </c>
      <c r="C1025" s="97">
        <f t="shared" ca="1" si="326"/>
        <v>-536</v>
      </c>
      <c r="D1025" s="112" t="s">
        <v>1687</v>
      </c>
      <c r="E1025" s="279" t="s">
        <v>668</v>
      </c>
      <c r="F1025" s="98" t="str">
        <f t="shared" si="324"/>
        <v>B</v>
      </c>
      <c r="G1025" s="110">
        <f ca="1">SUMIF($A:E,$A1025,K:K)</f>
        <v>66</v>
      </c>
      <c r="H1025" s="112" t="s">
        <v>616</v>
      </c>
      <c r="I1025" s="175">
        <v>66</v>
      </c>
      <c r="J1025" s="115">
        <v>66</v>
      </c>
      <c r="K1025" s="143">
        <f t="shared" si="314"/>
        <v>66</v>
      </c>
      <c r="L1025" s="144">
        <f t="shared" si="319"/>
        <v>0</v>
      </c>
      <c r="M1025" s="275">
        <f t="shared" si="327"/>
        <v>66</v>
      </c>
      <c r="N1025" s="132" t="s">
        <v>1776</v>
      </c>
      <c r="O1025" s="93">
        <f t="shared" si="320"/>
        <v>100</v>
      </c>
      <c r="KY1025" s="100">
        <v>5</v>
      </c>
      <c r="KZ1025" s="100">
        <v>22</v>
      </c>
      <c r="LB1025" s="100">
        <v>22</v>
      </c>
      <c r="LC1025" s="100">
        <v>17</v>
      </c>
      <c r="ON1025" s="100">
        <f t="shared" si="315"/>
        <v>0</v>
      </c>
    </row>
    <row r="1026" spans="1:404" ht="23.25" customHeight="1">
      <c r="A1026" s="97" t="str">
        <f t="shared" si="325"/>
        <v>019/POTTERYBARN-VG-2166-84100-02-B</v>
      </c>
      <c r="B1026" s="95">
        <v>44893</v>
      </c>
      <c r="C1026" s="97">
        <f t="shared" ca="1" si="326"/>
        <v>-171</v>
      </c>
      <c r="D1026" s="112" t="s">
        <v>1834</v>
      </c>
      <c r="E1026" s="279" t="s">
        <v>668</v>
      </c>
      <c r="F1026" s="98" t="str">
        <f t="shared" si="324"/>
        <v>B</v>
      </c>
      <c r="G1026" s="110">
        <f ca="1">SUMIF($A:E,$A1026,K:K)</f>
        <v>105</v>
      </c>
      <c r="H1026" s="97" t="s">
        <v>616</v>
      </c>
      <c r="I1026" s="175">
        <v>105</v>
      </c>
      <c r="J1026" s="115">
        <v>105</v>
      </c>
      <c r="K1026" s="143">
        <f t="shared" si="314"/>
        <v>105</v>
      </c>
      <c r="L1026" s="144">
        <f t="shared" si="319"/>
        <v>0</v>
      </c>
      <c r="M1026" s="275">
        <f t="shared" si="327"/>
        <v>105</v>
      </c>
      <c r="N1026" s="98" t="s">
        <v>1768</v>
      </c>
      <c r="O1026" s="93">
        <f t="shared" si="320"/>
        <v>100</v>
      </c>
      <c r="KN1026" s="100">
        <v>2</v>
      </c>
      <c r="KO1026" s="100">
        <v>20</v>
      </c>
      <c r="KP1026" s="100">
        <v>22</v>
      </c>
      <c r="KQ1026" s="100">
        <v>22</v>
      </c>
      <c r="KR1026" s="100">
        <v>22</v>
      </c>
      <c r="KU1026" s="100">
        <v>17</v>
      </c>
      <c r="ON1026" s="100">
        <f t="shared" si="315"/>
        <v>0</v>
      </c>
    </row>
    <row r="1027" spans="1:404" ht="23.25" customHeight="1">
      <c r="A1027" s="97" t="str">
        <f t="shared" si="325"/>
        <v>002T/POTTERYBARN-2166-84016-03-B</v>
      </c>
      <c r="B1027" s="95">
        <v>44454</v>
      </c>
      <c r="C1027" s="97">
        <f t="shared" ca="1" si="326"/>
        <v>-610</v>
      </c>
      <c r="D1027" s="96" t="s">
        <v>1163</v>
      </c>
      <c r="E1027" s="94" t="s">
        <v>1166</v>
      </c>
      <c r="F1027" s="98" t="str">
        <f t="shared" si="324"/>
        <v>B</v>
      </c>
      <c r="G1027" s="110">
        <f ca="1">SUMIF($A:E,$A1027,K:K)</f>
        <v>217</v>
      </c>
      <c r="H1027" s="97" t="s">
        <v>933</v>
      </c>
      <c r="I1027" s="98">
        <v>217</v>
      </c>
      <c r="J1027" s="97">
        <v>217</v>
      </c>
      <c r="K1027" s="143">
        <f t="shared" si="314"/>
        <v>217</v>
      </c>
      <c r="L1027" s="144">
        <f t="shared" si="319"/>
        <v>0</v>
      </c>
      <c r="M1027" s="275">
        <f t="shared" si="327"/>
        <v>217</v>
      </c>
      <c r="N1027" s="98">
        <v>5</v>
      </c>
      <c r="O1027" s="93">
        <f t="shared" si="320"/>
        <v>100</v>
      </c>
      <c r="GV1027" s="100">
        <v>9</v>
      </c>
      <c r="GW1027" s="100">
        <v>3</v>
      </c>
      <c r="GX1027" s="100">
        <v>3</v>
      </c>
      <c r="GZ1027" s="100">
        <v>3</v>
      </c>
      <c r="HB1027" s="100">
        <v>6</v>
      </c>
      <c r="HC1027" s="100">
        <v>9</v>
      </c>
      <c r="HD1027" s="100">
        <v>3</v>
      </c>
      <c r="HE1027" s="100">
        <v>3</v>
      </c>
      <c r="HF1027" s="100">
        <v>6</v>
      </c>
      <c r="HG1027" s="100">
        <v>7</v>
      </c>
      <c r="HI1027" s="100">
        <v>6</v>
      </c>
      <c r="HJ1027" s="100">
        <v>5</v>
      </c>
      <c r="HK1027" s="100">
        <v>4</v>
      </c>
      <c r="HL1027" s="100">
        <v>11</v>
      </c>
      <c r="HM1027" s="100">
        <v>9</v>
      </c>
      <c r="HN1027" s="100">
        <v>8</v>
      </c>
      <c r="HP1027" s="100">
        <v>18</v>
      </c>
      <c r="HQ1027" s="100">
        <v>7</v>
      </c>
      <c r="HR1027" s="100">
        <v>12</v>
      </c>
      <c r="HS1027" s="100">
        <v>5</v>
      </c>
      <c r="HT1027" s="100">
        <v>19</v>
      </c>
      <c r="HU1027" s="100">
        <v>12</v>
      </c>
      <c r="HW1027" s="100">
        <v>9</v>
      </c>
      <c r="HX1027" s="100">
        <v>7</v>
      </c>
      <c r="HY1027" s="100">
        <v>8</v>
      </c>
      <c r="IB1027" s="100">
        <v>9</v>
      </c>
      <c r="ID1027" s="100">
        <v>16</v>
      </c>
      <c r="ON1027" s="100">
        <f t="shared" si="315"/>
        <v>0</v>
      </c>
    </row>
    <row r="1028" spans="1:404" ht="23.25" customHeight="1">
      <c r="A1028" s="97" t="str">
        <f t="shared" si="325"/>
        <v>028/POTTERYBARN-2166-84016-03-B</v>
      </c>
      <c r="B1028" s="95">
        <v>44489</v>
      </c>
      <c r="C1028" s="97">
        <f t="shared" ca="1" si="326"/>
        <v>-575</v>
      </c>
      <c r="D1028" s="112" t="s">
        <v>1322</v>
      </c>
      <c r="E1028" s="279" t="s">
        <v>1166</v>
      </c>
      <c r="F1028" s="98" t="str">
        <f t="shared" si="324"/>
        <v>B</v>
      </c>
      <c r="G1028" s="110">
        <f ca="1">SUMIF($A:E,$A1028,K:K)</f>
        <v>29</v>
      </c>
      <c r="H1028" s="97" t="s">
        <v>508</v>
      </c>
      <c r="I1028" s="175">
        <v>29</v>
      </c>
      <c r="J1028" s="115">
        <v>29</v>
      </c>
      <c r="K1028" s="143">
        <f t="shared" ref="K1028:K1091" si="328">SUM(P1028:BBC1028)</f>
        <v>29</v>
      </c>
      <c r="L1028" s="144">
        <f t="shared" si="319"/>
        <v>0</v>
      </c>
      <c r="M1028" s="275">
        <f t="shared" si="327"/>
        <v>29</v>
      </c>
      <c r="N1028" s="98" t="s">
        <v>1776</v>
      </c>
      <c r="O1028" s="93">
        <f t="shared" si="320"/>
        <v>100</v>
      </c>
      <c r="IU1028" s="100">
        <v>4</v>
      </c>
      <c r="IW1028" s="100">
        <v>18</v>
      </c>
      <c r="IY1028" s="100">
        <v>6</v>
      </c>
      <c r="IZ1028" s="100">
        <v>1</v>
      </c>
      <c r="ON1028" s="100">
        <f t="shared" ref="ON1028:ON1091" si="329">SUM(NS1028:OM1028)</f>
        <v>0</v>
      </c>
    </row>
    <row r="1029" spans="1:404" ht="23.25" customHeight="1">
      <c r="A1029" s="97" t="str">
        <f t="shared" si="325"/>
        <v>029/POTTERYBARN-2166-84016-03-B</v>
      </c>
      <c r="B1029" s="95">
        <v>44489</v>
      </c>
      <c r="C1029" s="207">
        <f t="shared" ca="1" si="326"/>
        <v>-575</v>
      </c>
      <c r="D1029" s="112" t="s">
        <v>1323</v>
      </c>
      <c r="E1029" s="279" t="s">
        <v>1166</v>
      </c>
      <c r="F1029" s="98" t="str">
        <f t="shared" si="324"/>
        <v>B</v>
      </c>
      <c r="G1029" s="110">
        <f ca="1">SUMIF($A:E,$A1029,K:K)</f>
        <v>27</v>
      </c>
      <c r="H1029" s="97" t="s">
        <v>508</v>
      </c>
      <c r="I1029" s="175">
        <v>27</v>
      </c>
      <c r="J1029" s="115">
        <v>27</v>
      </c>
      <c r="K1029" s="143">
        <f t="shared" si="328"/>
        <v>27</v>
      </c>
      <c r="L1029" s="144">
        <f t="shared" si="319"/>
        <v>0</v>
      </c>
      <c r="M1029" s="275">
        <f t="shared" si="327"/>
        <v>27</v>
      </c>
      <c r="N1029" s="98" t="s">
        <v>1776</v>
      </c>
      <c r="O1029" s="93">
        <f t="shared" si="320"/>
        <v>100</v>
      </c>
      <c r="IZ1029" s="100">
        <v>8</v>
      </c>
      <c r="JA1029" s="100">
        <v>6</v>
      </c>
      <c r="JB1029" s="100">
        <v>6</v>
      </c>
      <c r="JC1029" s="100">
        <v>6</v>
      </c>
      <c r="JG1029" s="100">
        <v>1</v>
      </c>
      <c r="ON1029" s="100">
        <f t="shared" si="329"/>
        <v>0</v>
      </c>
    </row>
    <row r="1030" spans="1:404" ht="23.25" customHeight="1">
      <c r="A1030" s="97" t="str">
        <f t="shared" si="325"/>
        <v>030/POTTERYBARN-2166-84016-03-B</v>
      </c>
      <c r="B1030" s="95">
        <v>44489</v>
      </c>
      <c r="C1030" s="97">
        <f t="shared" ca="1" si="326"/>
        <v>-575</v>
      </c>
      <c r="D1030" s="112" t="s">
        <v>1324</v>
      </c>
      <c r="E1030" s="279" t="s">
        <v>1166</v>
      </c>
      <c r="F1030" s="98" t="str">
        <f t="shared" si="324"/>
        <v>B</v>
      </c>
      <c r="G1030" s="110">
        <f ca="1">SUMIF($A:E,$A1030,K:K)</f>
        <v>17</v>
      </c>
      <c r="H1030" s="97" t="s">
        <v>508</v>
      </c>
      <c r="I1030" s="175">
        <v>17</v>
      </c>
      <c r="J1030" s="115">
        <v>17</v>
      </c>
      <c r="K1030" s="143">
        <f t="shared" si="328"/>
        <v>17</v>
      </c>
      <c r="L1030" s="144">
        <f t="shared" si="319"/>
        <v>0</v>
      </c>
      <c r="M1030" s="275">
        <f t="shared" si="327"/>
        <v>17</v>
      </c>
      <c r="N1030" s="98" t="s">
        <v>1776</v>
      </c>
      <c r="O1030" s="93">
        <f t="shared" si="320"/>
        <v>100</v>
      </c>
      <c r="JG1030" s="100">
        <v>17</v>
      </c>
      <c r="ON1030" s="100">
        <f t="shared" si="329"/>
        <v>0</v>
      </c>
    </row>
    <row r="1031" spans="1:404" ht="23.25" customHeight="1">
      <c r="A1031" s="97" t="str">
        <f t="shared" si="325"/>
        <v>031/POTTERYBARN-2166-84016-03-B</v>
      </c>
      <c r="B1031" s="126">
        <v>44489</v>
      </c>
      <c r="C1031" s="97">
        <f t="shared" ca="1" si="326"/>
        <v>-575</v>
      </c>
      <c r="D1031" s="208" t="s">
        <v>1325</v>
      </c>
      <c r="E1031" s="282" t="s">
        <v>1166</v>
      </c>
      <c r="F1031" s="132" t="str">
        <f t="shared" si="324"/>
        <v>B</v>
      </c>
      <c r="G1031" s="130">
        <f ca="1">SUMIF($A:E,$A1031,K:K)</f>
        <v>20</v>
      </c>
      <c r="H1031" s="127" t="s">
        <v>508</v>
      </c>
      <c r="I1031" s="203">
        <v>20</v>
      </c>
      <c r="J1031" s="134">
        <v>20</v>
      </c>
      <c r="K1031" s="143">
        <f t="shared" si="328"/>
        <v>20</v>
      </c>
      <c r="L1031" s="144">
        <f t="shared" si="319"/>
        <v>0</v>
      </c>
      <c r="M1031" s="275">
        <f t="shared" si="327"/>
        <v>20</v>
      </c>
      <c r="N1031" s="132" t="s">
        <v>1776</v>
      </c>
      <c r="O1031" s="93">
        <f t="shared" si="320"/>
        <v>100</v>
      </c>
      <c r="JH1031" s="100">
        <v>12</v>
      </c>
      <c r="JJ1031" s="100">
        <v>6</v>
      </c>
      <c r="JO1031" s="100">
        <v>1</v>
      </c>
      <c r="JP1031" s="100">
        <v>1</v>
      </c>
      <c r="ON1031" s="100">
        <f t="shared" si="329"/>
        <v>0</v>
      </c>
    </row>
    <row r="1032" spans="1:404" ht="23.25" customHeight="1">
      <c r="A1032" s="97" t="str">
        <f t="shared" si="325"/>
        <v>032/POTTERYBARN-2166-84016-03-B</v>
      </c>
      <c r="B1032" s="126">
        <v>44460</v>
      </c>
      <c r="C1032" s="97">
        <f t="shared" ca="1" si="326"/>
        <v>-604</v>
      </c>
      <c r="D1032" s="208" t="s">
        <v>1326</v>
      </c>
      <c r="E1032" s="226" t="s">
        <v>1166</v>
      </c>
      <c r="F1032" s="132" t="str">
        <f t="shared" si="324"/>
        <v>B</v>
      </c>
      <c r="G1032" s="130">
        <f ca="1">SUMIF($A:E,$A1032,K:K)</f>
        <v>40</v>
      </c>
      <c r="H1032" s="127" t="s">
        <v>508</v>
      </c>
      <c r="I1032" s="203">
        <v>40</v>
      </c>
      <c r="J1032" s="134">
        <v>11</v>
      </c>
      <c r="K1032" s="160">
        <f t="shared" si="328"/>
        <v>11</v>
      </c>
      <c r="L1032" s="151">
        <f t="shared" si="319"/>
        <v>0</v>
      </c>
      <c r="M1032" s="275">
        <f t="shared" si="327"/>
        <v>40</v>
      </c>
      <c r="N1032" s="132">
        <v>5</v>
      </c>
      <c r="O1032" s="93">
        <f t="shared" si="320"/>
        <v>100</v>
      </c>
      <c r="IE1032" s="176">
        <v>11</v>
      </c>
      <c r="ON1032" s="100">
        <f t="shared" si="329"/>
        <v>0</v>
      </c>
    </row>
    <row r="1033" spans="1:404" ht="23.25" customHeight="1">
      <c r="A1033" s="97" t="str">
        <f t="shared" si="325"/>
        <v>032/POTTERYBARN-2166-84016-03-B</v>
      </c>
      <c r="B1033" s="95">
        <v>44460</v>
      </c>
      <c r="C1033" s="97">
        <f t="shared" ca="1" si="326"/>
        <v>-604</v>
      </c>
      <c r="D1033" s="112" t="s">
        <v>1326</v>
      </c>
      <c r="E1033" s="279" t="s">
        <v>1166</v>
      </c>
      <c r="F1033" s="98" t="str">
        <f t="shared" si="324"/>
        <v>B</v>
      </c>
      <c r="G1033" s="110">
        <f ca="1">SUMIF($A:E,$A1033,K:K)</f>
        <v>40</v>
      </c>
      <c r="H1033" s="97" t="s">
        <v>508</v>
      </c>
      <c r="I1033" s="175">
        <v>40</v>
      </c>
      <c r="J1033" s="115">
        <v>29</v>
      </c>
      <c r="K1033" s="143">
        <f t="shared" si="328"/>
        <v>29</v>
      </c>
      <c r="L1033" s="144">
        <f t="shared" si="319"/>
        <v>0</v>
      </c>
      <c r="M1033" s="275">
        <f t="shared" si="327"/>
        <v>40</v>
      </c>
      <c r="N1033" s="98" t="s">
        <v>1776</v>
      </c>
      <c r="O1033" s="93">
        <f t="shared" si="320"/>
        <v>100</v>
      </c>
      <c r="IE1033" s="176"/>
      <c r="IF1033" s="100">
        <v>7</v>
      </c>
      <c r="IG1033" s="100">
        <v>17</v>
      </c>
      <c r="IH1033" s="100">
        <v>5</v>
      </c>
      <c r="ON1033" s="100">
        <f t="shared" si="329"/>
        <v>0</v>
      </c>
    </row>
    <row r="1034" spans="1:404" ht="23.25" customHeight="1">
      <c r="A1034" s="97" t="str">
        <f t="shared" si="325"/>
        <v>033/POTTERYBARN-2166-84016-03-B</v>
      </c>
      <c r="B1034" s="95">
        <v>44489</v>
      </c>
      <c r="C1034" s="97">
        <f t="shared" ca="1" si="326"/>
        <v>-575</v>
      </c>
      <c r="D1034" s="112" t="s">
        <v>1327</v>
      </c>
      <c r="E1034" s="279" t="s">
        <v>1166</v>
      </c>
      <c r="F1034" s="98" t="str">
        <f t="shared" si="324"/>
        <v>B</v>
      </c>
      <c r="G1034" s="110">
        <f ca="1">SUMIF($A:E,$A1034,K:K)</f>
        <v>68</v>
      </c>
      <c r="H1034" s="97" t="s">
        <v>508</v>
      </c>
      <c r="I1034" s="175">
        <v>68</v>
      </c>
      <c r="J1034" s="115">
        <v>68</v>
      </c>
      <c r="K1034" s="143">
        <f t="shared" si="328"/>
        <v>68</v>
      </c>
      <c r="L1034" s="144">
        <f t="shared" si="319"/>
        <v>0</v>
      </c>
      <c r="M1034" s="275">
        <f t="shared" si="327"/>
        <v>68</v>
      </c>
      <c r="N1034" s="98" t="s">
        <v>1776</v>
      </c>
      <c r="O1034" s="93">
        <f t="shared" si="320"/>
        <v>100</v>
      </c>
      <c r="IK1034" s="100">
        <v>3</v>
      </c>
      <c r="IL1034" s="100">
        <v>6</v>
      </c>
      <c r="IM1034" s="100">
        <v>14</v>
      </c>
      <c r="IN1034" s="100">
        <v>12</v>
      </c>
      <c r="IP1034" s="100">
        <v>6</v>
      </c>
      <c r="IR1034" s="100">
        <v>13</v>
      </c>
      <c r="IS1034" s="100">
        <v>12</v>
      </c>
      <c r="IU1034" s="100">
        <v>2</v>
      </c>
      <c r="ON1034" s="100">
        <f t="shared" si="329"/>
        <v>0</v>
      </c>
    </row>
    <row r="1035" spans="1:404" ht="23.25" customHeight="1">
      <c r="A1035" s="97" t="str">
        <f t="shared" si="325"/>
        <v>020A/POTTERYBARN-2166-84016-03-B</v>
      </c>
      <c r="B1035" s="95">
        <v>44459</v>
      </c>
      <c r="C1035" s="97">
        <f t="shared" ca="1" si="326"/>
        <v>-605</v>
      </c>
      <c r="D1035" s="112" t="s">
        <v>1335</v>
      </c>
      <c r="E1035" s="279" t="s">
        <v>1166</v>
      </c>
      <c r="F1035" s="98" t="str">
        <f t="shared" si="324"/>
        <v>B</v>
      </c>
      <c r="G1035" s="110">
        <f ca="1">SUMIF($A:E,$A1035,K:K)</f>
        <v>7</v>
      </c>
      <c r="H1035" s="97" t="s">
        <v>508</v>
      </c>
      <c r="I1035" s="98">
        <v>7</v>
      </c>
      <c r="J1035" s="97">
        <v>7</v>
      </c>
      <c r="K1035" s="143">
        <f t="shared" si="328"/>
        <v>7</v>
      </c>
      <c r="L1035" s="144">
        <f t="shared" si="319"/>
        <v>0</v>
      </c>
      <c r="M1035" s="275">
        <f t="shared" si="327"/>
        <v>7</v>
      </c>
      <c r="N1035" s="98" t="s">
        <v>1776</v>
      </c>
      <c r="O1035" s="93">
        <f t="shared" si="320"/>
        <v>100</v>
      </c>
      <c r="IK1035" s="100">
        <v>7</v>
      </c>
      <c r="ON1035" s="100">
        <f t="shared" si="329"/>
        <v>0</v>
      </c>
    </row>
    <row r="1036" spans="1:404" ht="23.25" customHeight="1">
      <c r="A1036" s="97" t="str">
        <f t="shared" si="325"/>
        <v>002T/POTTERYBARN-2166-84016-02-B</v>
      </c>
      <c r="B1036" s="95">
        <v>44454</v>
      </c>
      <c r="C1036" s="97">
        <f t="shared" ca="1" si="326"/>
        <v>-610</v>
      </c>
      <c r="D1036" s="96" t="s">
        <v>1163</v>
      </c>
      <c r="E1036" s="94" t="s">
        <v>1165</v>
      </c>
      <c r="F1036" s="98" t="str">
        <f t="shared" si="324"/>
        <v>B</v>
      </c>
      <c r="G1036" s="110">
        <f ca="1">SUMIF($A:E,$A1036,K:K)</f>
        <v>204</v>
      </c>
      <c r="H1036" s="97" t="s">
        <v>933</v>
      </c>
      <c r="I1036" s="98">
        <v>204</v>
      </c>
      <c r="J1036" s="97">
        <v>204</v>
      </c>
      <c r="K1036" s="143">
        <f t="shared" si="328"/>
        <v>204</v>
      </c>
      <c r="L1036" s="144">
        <f t="shared" si="319"/>
        <v>0</v>
      </c>
      <c r="M1036" s="275">
        <f t="shared" si="327"/>
        <v>204</v>
      </c>
      <c r="N1036" s="98">
        <v>5</v>
      </c>
      <c r="O1036" s="93">
        <f t="shared" si="320"/>
        <v>100</v>
      </c>
      <c r="GR1036" s="100">
        <v>7</v>
      </c>
      <c r="GU1036" s="100">
        <v>6</v>
      </c>
      <c r="GX1036" s="100">
        <v>4</v>
      </c>
      <c r="GZ1036" s="100">
        <v>3</v>
      </c>
      <c r="HB1036" s="100">
        <v>7</v>
      </c>
      <c r="HC1036" s="100">
        <v>7</v>
      </c>
      <c r="HD1036" s="100">
        <v>4</v>
      </c>
      <c r="HE1036" s="100">
        <v>3</v>
      </c>
      <c r="HF1036" s="100">
        <v>6</v>
      </c>
      <c r="HG1036" s="100">
        <v>5</v>
      </c>
      <c r="HI1036" s="100">
        <v>10</v>
      </c>
      <c r="HJ1036" s="100">
        <v>4</v>
      </c>
      <c r="HK1036" s="100">
        <v>4</v>
      </c>
      <c r="HL1036" s="100">
        <v>10</v>
      </c>
      <c r="HM1036" s="100">
        <v>9</v>
      </c>
      <c r="HN1036" s="100">
        <v>12</v>
      </c>
      <c r="HP1036" s="100">
        <v>15</v>
      </c>
      <c r="HQ1036" s="100">
        <v>6</v>
      </c>
      <c r="HR1036" s="100">
        <v>12</v>
      </c>
      <c r="HS1036" s="100">
        <v>7</v>
      </c>
      <c r="HT1036" s="100">
        <v>17</v>
      </c>
      <c r="HU1036" s="100">
        <v>12</v>
      </c>
      <c r="HW1036" s="100">
        <v>11</v>
      </c>
      <c r="HX1036" s="100">
        <v>5</v>
      </c>
      <c r="HY1036" s="100">
        <v>8</v>
      </c>
      <c r="IB1036" s="100">
        <v>7</v>
      </c>
      <c r="ID1036" s="100">
        <v>3</v>
      </c>
      <c r="ON1036" s="100">
        <f t="shared" si="329"/>
        <v>0</v>
      </c>
    </row>
    <row r="1037" spans="1:404" ht="23.25" customHeight="1">
      <c r="A1037" s="97" t="str">
        <f t="shared" si="325"/>
        <v>028/POTTERYBARN-2166-84016-02-B</v>
      </c>
      <c r="B1037" s="95">
        <v>44489</v>
      </c>
      <c r="C1037" s="97">
        <f t="shared" ca="1" si="326"/>
        <v>-575</v>
      </c>
      <c r="D1037" s="112" t="s">
        <v>1322</v>
      </c>
      <c r="E1037" s="279" t="s">
        <v>1165</v>
      </c>
      <c r="F1037" s="98" t="str">
        <f t="shared" si="324"/>
        <v>B</v>
      </c>
      <c r="G1037" s="110">
        <f ca="1">SUMIF($A:E,$A1037,K:K)</f>
        <v>27</v>
      </c>
      <c r="H1037" s="97" t="s">
        <v>508</v>
      </c>
      <c r="I1037" s="175">
        <v>27</v>
      </c>
      <c r="J1037" s="115">
        <v>27</v>
      </c>
      <c r="K1037" s="143">
        <f t="shared" si="328"/>
        <v>27</v>
      </c>
      <c r="L1037" s="144">
        <f t="shared" si="319"/>
        <v>0</v>
      </c>
      <c r="M1037" s="275">
        <f t="shared" si="327"/>
        <v>27</v>
      </c>
      <c r="N1037" s="98" t="s">
        <v>1776</v>
      </c>
      <c r="O1037" s="93">
        <f t="shared" si="320"/>
        <v>100</v>
      </c>
      <c r="IP1037" s="100">
        <v>6</v>
      </c>
      <c r="IR1037" s="100">
        <v>12</v>
      </c>
      <c r="IS1037" s="100">
        <v>9</v>
      </c>
      <c r="ON1037" s="100">
        <f t="shared" si="329"/>
        <v>0</v>
      </c>
    </row>
    <row r="1038" spans="1:404" ht="23.25" customHeight="1">
      <c r="A1038" s="97" t="str">
        <f t="shared" si="325"/>
        <v>029/POTTERYBARN-2166-84016-02-B</v>
      </c>
      <c r="B1038" s="95">
        <v>44489</v>
      </c>
      <c r="C1038" s="97">
        <f t="shared" ca="1" si="326"/>
        <v>-575</v>
      </c>
      <c r="D1038" s="112" t="s">
        <v>1323</v>
      </c>
      <c r="E1038" s="279" t="s">
        <v>1165</v>
      </c>
      <c r="F1038" s="98" t="str">
        <f t="shared" si="324"/>
        <v>B</v>
      </c>
      <c r="G1038" s="110">
        <f ca="1">SUMIF($A:E,$A1038,K:K)</f>
        <v>25</v>
      </c>
      <c r="H1038" s="97" t="s">
        <v>508</v>
      </c>
      <c r="I1038" s="175">
        <v>25</v>
      </c>
      <c r="J1038" s="115">
        <v>25</v>
      </c>
      <c r="K1038" s="143">
        <f t="shared" si="328"/>
        <v>25</v>
      </c>
      <c r="L1038" s="144">
        <f t="shared" si="319"/>
        <v>0</v>
      </c>
      <c r="M1038" s="275">
        <f t="shared" si="327"/>
        <v>25</v>
      </c>
      <c r="N1038" s="98" t="s">
        <v>1776</v>
      </c>
      <c r="O1038" s="93">
        <f t="shared" si="320"/>
        <v>100</v>
      </c>
      <c r="IS1038" s="100">
        <v>3</v>
      </c>
      <c r="IT1038" s="100">
        <v>5</v>
      </c>
      <c r="IU1038" s="100">
        <v>5</v>
      </c>
      <c r="IW1038" s="100">
        <v>12</v>
      </c>
      <c r="ON1038" s="100">
        <f t="shared" si="329"/>
        <v>0</v>
      </c>
    </row>
    <row r="1039" spans="1:404" ht="23.25" customHeight="1">
      <c r="A1039" s="97" t="str">
        <f t="shared" si="325"/>
        <v>030/POTTERYBARN-2166-84016-02-B</v>
      </c>
      <c r="B1039" s="95">
        <v>44489</v>
      </c>
      <c r="C1039" s="97">
        <f t="shared" ca="1" si="326"/>
        <v>-575</v>
      </c>
      <c r="D1039" s="112" t="s">
        <v>1324</v>
      </c>
      <c r="E1039" s="279" t="s">
        <v>1165</v>
      </c>
      <c r="F1039" s="98" t="str">
        <f t="shared" si="324"/>
        <v>B</v>
      </c>
      <c r="G1039" s="110">
        <f ca="1">SUMIF($A:E,$A1039,K:K)</f>
        <v>16</v>
      </c>
      <c r="H1039" s="97" t="s">
        <v>508</v>
      </c>
      <c r="I1039" s="175">
        <v>16</v>
      </c>
      <c r="J1039" s="115">
        <v>16</v>
      </c>
      <c r="K1039" s="143">
        <f t="shared" si="328"/>
        <v>16</v>
      </c>
      <c r="L1039" s="144">
        <f t="shared" si="319"/>
        <v>0</v>
      </c>
      <c r="M1039" s="275">
        <f t="shared" si="327"/>
        <v>16</v>
      </c>
      <c r="N1039" s="98" t="s">
        <v>1776</v>
      </c>
      <c r="O1039" s="93">
        <f t="shared" si="320"/>
        <v>100</v>
      </c>
      <c r="IY1039" s="100">
        <v>8</v>
      </c>
      <c r="IZ1039" s="100">
        <v>8</v>
      </c>
      <c r="ON1039" s="100">
        <f t="shared" si="329"/>
        <v>0</v>
      </c>
    </row>
    <row r="1040" spans="1:404" ht="23.25" customHeight="1">
      <c r="A1040" s="97" t="str">
        <f t="shared" si="325"/>
        <v>031/POTTERYBARN-2166-84016-02-B</v>
      </c>
      <c r="B1040" s="95">
        <v>44489</v>
      </c>
      <c r="C1040" s="97">
        <f t="shared" ca="1" si="326"/>
        <v>-575</v>
      </c>
      <c r="D1040" s="112" t="s">
        <v>1325</v>
      </c>
      <c r="E1040" s="279" t="s">
        <v>1165</v>
      </c>
      <c r="F1040" s="98" t="str">
        <f t="shared" si="324"/>
        <v>B</v>
      </c>
      <c r="G1040" s="110">
        <f ca="1">SUMIF($A:E,$A1040,K:K)</f>
        <v>19</v>
      </c>
      <c r="H1040" s="97" t="s">
        <v>508</v>
      </c>
      <c r="I1040" s="175">
        <v>19</v>
      </c>
      <c r="J1040" s="115">
        <v>19</v>
      </c>
      <c r="K1040" s="143">
        <f t="shared" si="328"/>
        <v>19</v>
      </c>
      <c r="L1040" s="144">
        <f t="shared" ref="L1040:L1099" si="330">J1040-K1040</f>
        <v>0</v>
      </c>
      <c r="M1040" s="275">
        <f t="shared" si="327"/>
        <v>19</v>
      </c>
      <c r="N1040" s="98" t="s">
        <v>1776</v>
      </c>
      <c r="O1040" s="93">
        <f t="shared" si="320"/>
        <v>100</v>
      </c>
      <c r="IZ1040" s="100">
        <v>2</v>
      </c>
      <c r="JA1040" s="100">
        <v>7</v>
      </c>
      <c r="JB1040" s="100">
        <v>6</v>
      </c>
      <c r="JD1040" s="100">
        <v>4</v>
      </c>
      <c r="ON1040" s="100">
        <f t="shared" si="329"/>
        <v>0</v>
      </c>
    </row>
    <row r="1041" spans="1:404" ht="23.25" customHeight="1">
      <c r="A1041" s="97" t="s">
        <v>1787</v>
      </c>
      <c r="B1041" s="95">
        <v>44460</v>
      </c>
      <c r="C1041" s="97">
        <f t="shared" ca="1" si="326"/>
        <v>-604</v>
      </c>
      <c r="D1041" s="112" t="s">
        <v>1326</v>
      </c>
      <c r="E1041" s="279" t="s">
        <v>1165</v>
      </c>
      <c r="F1041" s="98" t="s">
        <v>561</v>
      </c>
      <c r="G1041" s="110">
        <v>26</v>
      </c>
      <c r="H1041" s="97" t="s">
        <v>508</v>
      </c>
      <c r="I1041" s="175">
        <v>35</v>
      </c>
      <c r="J1041" s="115">
        <v>9</v>
      </c>
      <c r="K1041" s="143">
        <f t="shared" si="328"/>
        <v>9</v>
      </c>
      <c r="L1041" s="144">
        <f t="shared" si="330"/>
        <v>0</v>
      </c>
      <c r="M1041" s="275">
        <f t="shared" si="327"/>
        <v>35</v>
      </c>
      <c r="N1041" s="98" t="s">
        <v>1776</v>
      </c>
      <c r="O1041" s="93">
        <f t="shared" si="320"/>
        <v>100</v>
      </c>
      <c r="IF1041" s="100">
        <v>9</v>
      </c>
      <c r="ON1041" s="100">
        <f t="shared" si="329"/>
        <v>0</v>
      </c>
    </row>
    <row r="1042" spans="1:404" ht="23.25" customHeight="1">
      <c r="A1042" s="97" t="str">
        <f t="shared" ref="A1042:A1049" si="331">D1042&amp;E1042</f>
        <v>032/POTTERYBARN-2166-84016-02-B</v>
      </c>
      <c r="B1042" s="95">
        <v>44460</v>
      </c>
      <c r="C1042" s="97">
        <f t="shared" ca="1" si="326"/>
        <v>-604</v>
      </c>
      <c r="D1042" s="112" t="s">
        <v>1326</v>
      </c>
      <c r="E1042" s="123" t="s">
        <v>1165</v>
      </c>
      <c r="F1042" s="98" t="str">
        <f t="shared" ref="F1042:F1049" si="332">MID(E1042,13,2)</f>
        <v>B</v>
      </c>
      <c r="G1042" s="110">
        <f ca="1">SUMIF($A:E,$A1042,K:K)</f>
        <v>35</v>
      </c>
      <c r="H1042" s="97" t="s">
        <v>508</v>
      </c>
      <c r="I1042" s="175">
        <v>35</v>
      </c>
      <c r="J1042" s="115">
        <f>35-J1041</f>
        <v>26</v>
      </c>
      <c r="K1042" s="143">
        <f t="shared" si="328"/>
        <v>26</v>
      </c>
      <c r="L1042" s="144">
        <f t="shared" si="330"/>
        <v>0</v>
      </c>
      <c r="M1042" s="275">
        <f t="shared" si="327"/>
        <v>35</v>
      </c>
      <c r="N1042" s="98">
        <v>5</v>
      </c>
      <c r="O1042" s="93">
        <f t="shared" si="320"/>
        <v>100</v>
      </c>
      <c r="ID1042" s="100">
        <v>12</v>
      </c>
      <c r="IE1042" s="100">
        <v>14</v>
      </c>
      <c r="ON1042" s="100">
        <f t="shared" si="329"/>
        <v>0</v>
      </c>
    </row>
    <row r="1043" spans="1:404" ht="23.25" customHeight="1">
      <c r="A1043" s="97" t="str">
        <f t="shared" si="331"/>
        <v>033/POTTERYBARN-2166-84016-02-B</v>
      </c>
      <c r="B1043" s="95">
        <v>44489</v>
      </c>
      <c r="C1043" s="97">
        <f t="shared" ca="1" si="326"/>
        <v>-575</v>
      </c>
      <c r="D1043" s="112" t="s">
        <v>1327</v>
      </c>
      <c r="E1043" s="279" t="s">
        <v>1165</v>
      </c>
      <c r="F1043" s="98" t="str">
        <f t="shared" si="332"/>
        <v>B</v>
      </c>
      <c r="G1043" s="110">
        <f ca="1">SUMIF($A:E,$A1043,K:K)</f>
        <v>52</v>
      </c>
      <c r="H1043" s="97" t="s">
        <v>508</v>
      </c>
      <c r="I1043" s="175">
        <v>52</v>
      </c>
      <c r="J1043" s="115">
        <v>52</v>
      </c>
      <c r="K1043" s="143">
        <f t="shared" si="328"/>
        <v>52</v>
      </c>
      <c r="L1043" s="144">
        <f t="shared" si="330"/>
        <v>0</v>
      </c>
      <c r="M1043" s="275">
        <f t="shared" si="327"/>
        <v>52</v>
      </c>
      <c r="N1043" s="98" t="s">
        <v>1776</v>
      </c>
      <c r="O1043" s="93">
        <f t="shared" si="320"/>
        <v>100</v>
      </c>
      <c r="IG1043" s="100">
        <v>1</v>
      </c>
      <c r="IH1043" s="100">
        <v>6</v>
      </c>
      <c r="II1043" s="100">
        <v>2</v>
      </c>
      <c r="IK1043" s="100">
        <v>12</v>
      </c>
      <c r="IL1043" s="100">
        <v>6</v>
      </c>
      <c r="IM1043" s="100">
        <v>13</v>
      </c>
      <c r="IN1043" s="100">
        <v>12</v>
      </c>
      <c r="ON1043" s="100">
        <f t="shared" si="329"/>
        <v>0</v>
      </c>
    </row>
    <row r="1044" spans="1:404" ht="23.25" customHeight="1">
      <c r="A1044" s="97" t="str">
        <f t="shared" si="331"/>
        <v>020A/POTTERYBARN-2166-84016-02-B</v>
      </c>
      <c r="B1044" s="95">
        <v>44459</v>
      </c>
      <c r="C1044" s="97">
        <f t="shared" ca="1" si="326"/>
        <v>-605</v>
      </c>
      <c r="D1044" s="112" t="s">
        <v>1335</v>
      </c>
      <c r="E1044" s="279" t="s">
        <v>1165</v>
      </c>
      <c r="F1044" s="98" t="str">
        <f t="shared" si="332"/>
        <v>B</v>
      </c>
      <c r="G1044" s="110">
        <f ca="1">SUMIF($A:E,$A1044,K:K)</f>
        <v>11</v>
      </c>
      <c r="H1044" s="97" t="s">
        <v>508</v>
      </c>
      <c r="I1044" s="98">
        <v>11</v>
      </c>
      <c r="J1044" s="97">
        <v>11</v>
      </c>
      <c r="K1044" s="143">
        <f t="shared" si="328"/>
        <v>11</v>
      </c>
      <c r="L1044" s="144">
        <f t="shared" si="330"/>
        <v>0</v>
      </c>
      <c r="M1044" s="275">
        <f t="shared" si="327"/>
        <v>11</v>
      </c>
      <c r="N1044" s="98" t="s">
        <v>1776</v>
      </c>
      <c r="O1044" s="93">
        <f t="shared" si="320"/>
        <v>100</v>
      </c>
      <c r="IG1044" s="100">
        <v>11</v>
      </c>
      <c r="ON1044" s="100">
        <f t="shared" si="329"/>
        <v>0</v>
      </c>
    </row>
    <row r="1045" spans="1:404" ht="23.25" customHeight="1">
      <c r="A1045" s="97" t="str">
        <f t="shared" si="331"/>
        <v>001B/POTTERYBARN-2166-83902-02-B</v>
      </c>
      <c r="B1045" s="95">
        <v>44306</v>
      </c>
      <c r="C1045" s="97">
        <f t="shared" ca="1" si="326"/>
        <v>-758</v>
      </c>
      <c r="D1045" s="96" t="s">
        <v>666</v>
      </c>
      <c r="E1045" s="94" t="s">
        <v>667</v>
      </c>
      <c r="F1045" s="98" t="str">
        <f t="shared" si="332"/>
        <v>B</v>
      </c>
      <c r="G1045" s="110">
        <f ca="1">SUMIF($A:E,$A1045,K:K)</f>
        <v>12</v>
      </c>
      <c r="H1045" s="97" t="s">
        <v>508</v>
      </c>
      <c r="I1045" s="98">
        <v>12</v>
      </c>
      <c r="J1045" s="99">
        <v>12</v>
      </c>
      <c r="K1045" s="143">
        <f t="shared" si="328"/>
        <v>12</v>
      </c>
      <c r="L1045" s="144">
        <f t="shared" si="330"/>
        <v>0</v>
      </c>
      <c r="M1045" s="275">
        <f t="shared" si="327"/>
        <v>12</v>
      </c>
      <c r="N1045" s="98">
        <v>1</v>
      </c>
      <c r="O1045" s="93">
        <f t="shared" ref="O1045:O1076" si="333">K1045/J1045*100</f>
        <v>100</v>
      </c>
      <c r="BF1045" s="101">
        <v>11</v>
      </c>
      <c r="BG1045" s="101">
        <v>1</v>
      </c>
      <c r="ON1045" s="100">
        <f t="shared" si="329"/>
        <v>0</v>
      </c>
    </row>
    <row r="1046" spans="1:404" ht="23.25" customHeight="1">
      <c r="A1046" s="97" t="str">
        <f t="shared" si="331"/>
        <v>002A/POTTERYBARN-2166-83902-02-B</v>
      </c>
      <c r="B1046" s="95">
        <v>44306</v>
      </c>
      <c r="C1046" s="97">
        <f t="shared" ref="C1046:C1049" ca="1" si="334">B1046-TODAY()</f>
        <v>-758</v>
      </c>
      <c r="D1046" s="96" t="s">
        <v>671</v>
      </c>
      <c r="E1046" s="94" t="s">
        <v>667</v>
      </c>
      <c r="F1046" s="98" t="str">
        <f t="shared" si="332"/>
        <v>B</v>
      </c>
      <c r="G1046" s="110">
        <f ca="1">SUMIF($A:E,$A1046,K:K)</f>
        <v>21</v>
      </c>
      <c r="H1046" s="97" t="s">
        <v>508</v>
      </c>
      <c r="I1046" s="98">
        <v>21</v>
      </c>
      <c r="J1046" s="99">
        <v>21</v>
      </c>
      <c r="K1046" s="143">
        <f t="shared" si="328"/>
        <v>21</v>
      </c>
      <c r="L1046" s="144">
        <f t="shared" si="330"/>
        <v>0</v>
      </c>
      <c r="M1046" s="275">
        <f t="shared" si="327"/>
        <v>21</v>
      </c>
      <c r="N1046" s="98">
        <v>1</v>
      </c>
      <c r="O1046" s="93">
        <f t="shared" si="333"/>
        <v>100</v>
      </c>
      <c r="BG1046" s="101">
        <v>2</v>
      </c>
      <c r="BH1046" s="101">
        <v>6</v>
      </c>
      <c r="BI1046" s="101">
        <v>3</v>
      </c>
      <c r="BK1046" s="101">
        <v>3</v>
      </c>
      <c r="BM1046" s="101">
        <v>7</v>
      </c>
      <c r="ON1046" s="100">
        <f t="shared" si="329"/>
        <v>0</v>
      </c>
    </row>
    <row r="1047" spans="1:404" ht="23.25" customHeight="1">
      <c r="A1047" s="97" t="str">
        <f t="shared" si="331"/>
        <v>003B/POTTERYBARN-2166-83902-02-B</v>
      </c>
      <c r="B1047" s="95">
        <v>44306</v>
      </c>
      <c r="C1047" s="97">
        <f t="shared" ca="1" si="334"/>
        <v>-758</v>
      </c>
      <c r="D1047" s="96" t="s">
        <v>674</v>
      </c>
      <c r="E1047" s="94" t="s">
        <v>667</v>
      </c>
      <c r="F1047" s="98" t="str">
        <f t="shared" si="332"/>
        <v>B</v>
      </c>
      <c r="G1047" s="110">
        <f ca="1">SUMIF($A:E,$A1047,K:K)</f>
        <v>38</v>
      </c>
      <c r="H1047" s="97" t="s">
        <v>508</v>
      </c>
      <c r="I1047" s="98">
        <v>38</v>
      </c>
      <c r="J1047" s="99">
        <v>38</v>
      </c>
      <c r="K1047" s="143">
        <f t="shared" si="328"/>
        <v>38</v>
      </c>
      <c r="L1047" s="144">
        <f t="shared" si="330"/>
        <v>0</v>
      </c>
      <c r="M1047" s="275">
        <f t="shared" si="327"/>
        <v>38</v>
      </c>
      <c r="N1047" s="98">
        <v>1</v>
      </c>
      <c r="O1047" s="93">
        <f t="shared" si="333"/>
        <v>100</v>
      </c>
      <c r="BM1047" s="101">
        <v>4</v>
      </c>
      <c r="BN1047" s="101">
        <v>2</v>
      </c>
      <c r="BP1047" s="101">
        <v>4</v>
      </c>
      <c r="BR1047" s="101">
        <v>19</v>
      </c>
      <c r="BT1047" s="101">
        <v>7</v>
      </c>
      <c r="BU1047" s="101">
        <v>2</v>
      </c>
      <c r="ON1047" s="100">
        <f t="shared" si="329"/>
        <v>0</v>
      </c>
    </row>
    <row r="1048" spans="1:404" ht="23.25" customHeight="1">
      <c r="A1048" s="97" t="str">
        <f t="shared" si="331"/>
        <v>004D/POTTERYBARN-2166-83902-02-B</v>
      </c>
      <c r="B1048" s="95">
        <v>44306</v>
      </c>
      <c r="C1048" s="97">
        <f t="shared" ca="1" si="334"/>
        <v>-758</v>
      </c>
      <c r="D1048" s="96" t="s">
        <v>677</v>
      </c>
      <c r="E1048" s="94" t="s">
        <v>667</v>
      </c>
      <c r="F1048" s="98" t="str">
        <f t="shared" si="332"/>
        <v>B</v>
      </c>
      <c r="G1048" s="110">
        <f ca="1">SUMIF($A:E,$A1048,K:K)</f>
        <v>31</v>
      </c>
      <c r="H1048" s="97" t="s">
        <v>508</v>
      </c>
      <c r="I1048" s="98">
        <v>33</v>
      </c>
      <c r="J1048" s="99">
        <v>31</v>
      </c>
      <c r="K1048" s="143">
        <f t="shared" si="328"/>
        <v>31</v>
      </c>
      <c r="L1048" s="144">
        <f t="shared" si="330"/>
        <v>0</v>
      </c>
      <c r="M1048" s="275">
        <f t="shared" si="327"/>
        <v>33</v>
      </c>
      <c r="N1048" s="98">
        <v>1</v>
      </c>
      <c r="O1048" s="93">
        <f t="shared" si="333"/>
        <v>100</v>
      </c>
      <c r="BU1048" s="101">
        <v>6</v>
      </c>
      <c r="BW1048" s="101">
        <v>1</v>
      </c>
      <c r="BX1048" s="101">
        <v>12</v>
      </c>
      <c r="BY1048" s="101">
        <v>2</v>
      </c>
      <c r="BZ1048" s="101">
        <v>3</v>
      </c>
      <c r="CC1048" s="101">
        <v>3</v>
      </c>
      <c r="CG1048" s="101">
        <v>2</v>
      </c>
      <c r="CJ1048" s="121">
        <v>2</v>
      </c>
      <c r="ON1048" s="100">
        <f t="shared" si="329"/>
        <v>0</v>
      </c>
    </row>
    <row r="1049" spans="1:404" ht="23.25" customHeight="1">
      <c r="A1049" s="97" t="str">
        <f t="shared" si="331"/>
        <v>002T/POTTERYBARN-2166-83902-02-B</v>
      </c>
      <c r="B1049" s="95">
        <v>44454</v>
      </c>
      <c r="C1049" s="97">
        <f t="shared" ca="1" si="334"/>
        <v>-610</v>
      </c>
      <c r="D1049" s="96" t="s">
        <v>1163</v>
      </c>
      <c r="E1049" s="94" t="s">
        <v>667</v>
      </c>
      <c r="F1049" s="98" t="str">
        <f t="shared" si="332"/>
        <v>B</v>
      </c>
      <c r="G1049" s="110">
        <f ca="1">SUMIF($A:E,$A1049,K:K)</f>
        <v>178</v>
      </c>
      <c r="H1049" s="97" t="s">
        <v>933</v>
      </c>
      <c r="I1049" s="98">
        <v>178</v>
      </c>
      <c r="J1049" s="97">
        <v>178</v>
      </c>
      <c r="K1049" s="143">
        <f t="shared" si="328"/>
        <v>178</v>
      </c>
      <c r="L1049" s="144">
        <f t="shared" si="330"/>
        <v>0</v>
      </c>
      <c r="M1049" s="275">
        <f t="shared" si="327"/>
        <v>178</v>
      </c>
      <c r="N1049" s="98">
        <v>5</v>
      </c>
      <c r="O1049" s="93">
        <f t="shared" si="333"/>
        <v>100</v>
      </c>
      <c r="GS1049" s="100">
        <v>22</v>
      </c>
      <c r="GU1049" s="100">
        <v>6</v>
      </c>
      <c r="GV1049" s="100">
        <v>7</v>
      </c>
      <c r="GW1049" s="100">
        <v>6</v>
      </c>
      <c r="GX1049" s="100">
        <v>8</v>
      </c>
      <c r="GY1049" s="100">
        <v>10</v>
      </c>
      <c r="HB1049" s="100">
        <v>16</v>
      </c>
      <c r="HC1049" s="100">
        <v>4</v>
      </c>
      <c r="HE1049" s="100">
        <v>15</v>
      </c>
      <c r="HF1049" s="100">
        <v>9</v>
      </c>
      <c r="HG1049" s="100">
        <v>7</v>
      </c>
      <c r="HI1049" s="100">
        <v>1</v>
      </c>
      <c r="HJ1049" s="100">
        <v>11</v>
      </c>
      <c r="HL1049" s="100">
        <v>12</v>
      </c>
      <c r="HM1049" s="100">
        <v>8</v>
      </c>
      <c r="HP1049" s="100">
        <v>16</v>
      </c>
      <c r="HQ1049" s="100">
        <v>4</v>
      </c>
      <c r="HR1049" s="100">
        <v>8</v>
      </c>
      <c r="HS1049" s="100">
        <v>8</v>
      </c>
      <c r="ON1049" s="100">
        <f t="shared" si="329"/>
        <v>0</v>
      </c>
    </row>
    <row r="1050" spans="1:404" ht="23.25" customHeight="1">
      <c r="A1050" s="97" t="s">
        <v>1799</v>
      </c>
      <c r="B1050" s="95">
        <v>44489</v>
      </c>
      <c r="C1050" s="97">
        <v>41</v>
      </c>
      <c r="D1050" s="112" t="s">
        <v>1321</v>
      </c>
      <c r="E1050" s="279" t="s">
        <v>667</v>
      </c>
      <c r="F1050" s="98" t="s">
        <v>561</v>
      </c>
      <c r="G1050" s="110">
        <v>28</v>
      </c>
      <c r="H1050" s="97" t="s">
        <v>508</v>
      </c>
      <c r="I1050" s="175">
        <v>50</v>
      </c>
      <c r="J1050" s="115">
        <v>22</v>
      </c>
      <c r="K1050" s="143">
        <f t="shared" si="328"/>
        <v>22</v>
      </c>
      <c r="L1050" s="144">
        <f t="shared" si="330"/>
        <v>0</v>
      </c>
      <c r="M1050" s="275">
        <f t="shared" si="327"/>
        <v>50</v>
      </c>
      <c r="N1050" s="98" t="s">
        <v>1776</v>
      </c>
      <c r="O1050" s="93">
        <f t="shared" si="333"/>
        <v>100</v>
      </c>
      <c r="IG1050" s="100">
        <v>6</v>
      </c>
      <c r="IH1050" s="100">
        <v>4</v>
      </c>
      <c r="IN1050" s="100">
        <v>2</v>
      </c>
      <c r="IS1050" s="100">
        <v>9</v>
      </c>
      <c r="IT1050" s="100">
        <v>1</v>
      </c>
      <c r="ON1050" s="100">
        <f t="shared" si="329"/>
        <v>0</v>
      </c>
    </row>
    <row r="1051" spans="1:404" ht="23.25" customHeight="1">
      <c r="A1051" s="97" t="str">
        <f>D1051&amp;E1051</f>
        <v>027/POTTERYBARN-2166-83902-02-B</v>
      </c>
      <c r="B1051" s="95">
        <v>44489</v>
      </c>
      <c r="C1051" s="97">
        <f ca="1">B1051-TODAY()</f>
        <v>-575</v>
      </c>
      <c r="D1051" s="112" t="s">
        <v>1321</v>
      </c>
      <c r="E1051" s="123" t="s">
        <v>667</v>
      </c>
      <c r="F1051" s="98" t="str">
        <f>MID(E1051,13,2)</f>
        <v>B</v>
      </c>
      <c r="G1051" s="110">
        <f ca="1">SUMIF($A:E,$A1051,K:K)</f>
        <v>50</v>
      </c>
      <c r="H1051" s="97" t="s">
        <v>508</v>
      </c>
      <c r="I1051" s="175">
        <v>50</v>
      </c>
      <c r="J1051" s="115">
        <v>28</v>
      </c>
      <c r="K1051" s="143">
        <f t="shared" si="328"/>
        <v>28</v>
      </c>
      <c r="L1051" s="144">
        <f t="shared" si="330"/>
        <v>0</v>
      </c>
      <c r="M1051" s="275">
        <f t="shared" si="327"/>
        <v>50</v>
      </c>
      <c r="N1051" s="98">
        <v>5</v>
      </c>
      <c r="O1051" s="93">
        <f t="shared" si="333"/>
        <v>100</v>
      </c>
      <c r="HX1051" s="100">
        <v>4</v>
      </c>
      <c r="HY1051" s="100">
        <v>8</v>
      </c>
      <c r="ID1051" s="100">
        <v>8</v>
      </c>
      <c r="IE1051" s="100">
        <v>8</v>
      </c>
      <c r="ON1051" s="100">
        <f t="shared" si="329"/>
        <v>0</v>
      </c>
    </row>
    <row r="1052" spans="1:404" ht="23.25" customHeight="1">
      <c r="A1052" s="97" t="str">
        <f>D1052&amp;E1052</f>
        <v>034/POTTERYBARN-2166-83902-02-B</v>
      </c>
      <c r="B1052" s="126">
        <v>44489</v>
      </c>
      <c r="C1052" s="97">
        <v>41</v>
      </c>
      <c r="D1052" s="112" t="s">
        <v>1328</v>
      </c>
      <c r="E1052" s="282" t="s">
        <v>667</v>
      </c>
      <c r="F1052" s="132" t="str">
        <f>MID(E1052,13,2)</f>
        <v>B</v>
      </c>
      <c r="G1052" s="130">
        <f ca="1">SUMIF($A:E,$A1052,K:K)</f>
        <v>47</v>
      </c>
      <c r="H1052" s="127" t="s">
        <v>508</v>
      </c>
      <c r="I1052" s="203">
        <v>47</v>
      </c>
      <c r="J1052" s="134">
        <v>47</v>
      </c>
      <c r="K1052" s="160">
        <f t="shared" si="328"/>
        <v>47</v>
      </c>
      <c r="L1052" s="151">
        <f t="shared" si="330"/>
        <v>0</v>
      </c>
      <c r="M1052" s="275">
        <f t="shared" si="327"/>
        <v>47</v>
      </c>
      <c r="N1052" s="132" t="s">
        <v>1776</v>
      </c>
      <c r="O1052" s="93">
        <f t="shared" si="333"/>
        <v>100</v>
      </c>
      <c r="IP1052" s="100">
        <v>4</v>
      </c>
      <c r="IR1052" s="100">
        <v>3</v>
      </c>
      <c r="IT1052" s="100">
        <v>7</v>
      </c>
      <c r="IU1052" s="100">
        <v>6</v>
      </c>
      <c r="IV1052" s="100">
        <v>4</v>
      </c>
      <c r="IW1052" s="100">
        <v>7</v>
      </c>
      <c r="IY1052" s="100">
        <v>8</v>
      </c>
      <c r="IZ1052" s="100">
        <v>3</v>
      </c>
      <c r="JA1052" s="100">
        <v>5</v>
      </c>
      <c r="ON1052" s="100">
        <f t="shared" si="329"/>
        <v>0</v>
      </c>
    </row>
    <row r="1053" spans="1:404" ht="23.25" customHeight="1">
      <c r="A1053" s="97" t="s">
        <v>1800</v>
      </c>
      <c r="B1053" s="95">
        <v>44459</v>
      </c>
      <c r="C1053" s="97">
        <v>11</v>
      </c>
      <c r="D1053" s="112" t="s">
        <v>1361</v>
      </c>
      <c r="E1053" s="279" t="s">
        <v>667</v>
      </c>
      <c r="F1053" s="98" t="s">
        <v>561</v>
      </c>
      <c r="G1053" s="110">
        <v>24</v>
      </c>
      <c r="H1053" s="97" t="s">
        <v>508</v>
      </c>
      <c r="I1053" s="175">
        <v>34</v>
      </c>
      <c r="J1053" s="115">
        <v>10</v>
      </c>
      <c r="K1053" s="160">
        <f t="shared" si="328"/>
        <v>10</v>
      </c>
      <c r="L1053" s="151">
        <f t="shared" si="330"/>
        <v>0</v>
      </c>
      <c r="M1053" s="275">
        <f t="shared" si="327"/>
        <v>34</v>
      </c>
      <c r="N1053" s="98" t="s">
        <v>1776</v>
      </c>
      <c r="O1053" s="93">
        <f t="shared" si="333"/>
        <v>100</v>
      </c>
      <c r="EN1053" s="210"/>
      <c r="IG1053" s="100">
        <v>10</v>
      </c>
      <c r="ON1053" s="100">
        <f t="shared" si="329"/>
        <v>0</v>
      </c>
    </row>
    <row r="1054" spans="1:404" ht="23.25" customHeight="1">
      <c r="A1054" s="97" t="str">
        <f t="shared" ref="A1054:A1085" si="335">D1054&amp;E1054</f>
        <v>026A/POTTERYBARN-2166-83902-02-B</v>
      </c>
      <c r="B1054" s="114">
        <v>44459</v>
      </c>
      <c r="C1054" s="97">
        <f t="shared" ref="C1054:C1112" ca="1" si="336">B1054-TODAY()</f>
        <v>-605</v>
      </c>
      <c r="D1054" s="234" t="s">
        <v>1361</v>
      </c>
      <c r="E1054" s="259" t="s">
        <v>667</v>
      </c>
      <c r="F1054" s="133" t="str">
        <f t="shared" ref="F1054:F1085" si="337">MID(E1054,13,2)</f>
        <v>B</v>
      </c>
      <c r="G1054" s="140">
        <f ca="1">SUMIF($A:E,$A1054,K:K)</f>
        <v>34</v>
      </c>
      <c r="H1054" s="138" t="s">
        <v>508</v>
      </c>
      <c r="I1054" s="236">
        <v>34</v>
      </c>
      <c r="J1054" s="240">
        <v>24</v>
      </c>
      <c r="K1054" s="143">
        <f t="shared" si="328"/>
        <v>24</v>
      </c>
      <c r="L1054" s="144">
        <f t="shared" si="330"/>
        <v>0</v>
      </c>
      <c r="M1054" s="275">
        <f t="shared" si="327"/>
        <v>34</v>
      </c>
      <c r="N1054" s="133">
        <v>5</v>
      </c>
      <c r="O1054" s="93">
        <f t="shared" si="333"/>
        <v>100</v>
      </c>
      <c r="HT1054" s="100">
        <v>4</v>
      </c>
      <c r="HU1054" s="100">
        <v>8</v>
      </c>
      <c r="HW1054" s="100">
        <v>12</v>
      </c>
      <c r="ON1054" s="100">
        <f t="shared" si="329"/>
        <v>0</v>
      </c>
    </row>
    <row r="1055" spans="1:404" ht="37.5" customHeight="1">
      <c r="A1055" s="97" t="str">
        <f t="shared" si="335"/>
        <v>025B/POTTERYBARN-2166-83902-02-B</v>
      </c>
      <c r="B1055" s="126">
        <v>44459</v>
      </c>
      <c r="C1055" s="97">
        <f t="shared" ca="1" si="336"/>
        <v>-605</v>
      </c>
      <c r="D1055" s="208" t="s">
        <v>1362</v>
      </c>
      <c r="E1055" s="282" t="s">
        <v>667</v>
      </c>
      <c r="F1055" s="132" t="str">
        <f t="shared" si="337"/>
        <v>B</v>
      </c>
      <c r="G1055" s="130">
        <f ca="1">SUMIF($A:E,$A1055,K:K)</f>
        <v>30</v>
      </c>
      <c r="H1055" s="127" t="s">
        <v>508</v>
      </c>
      <c r="I1055" s="203">
        <v>30</v>
      </c>
      <c r="J1055" s="134">
        <v>30</v>
      </c>
      <c r="K1055" s="160">
        <f t="shared" si="328"/>
        <v>30</v>
      </c>
      <c r="L1055" s="151">
        <f t="shared" si="330"/>
        <v>0</v>
      </c>
      <c r="M1055" s="275">
        <f t="shared" si="327"/>
        <v>30</v>
      </c>
      <c r="N1055" s="132" t="s">
        <v>1768</v>
      </c>
      <c r="O1055" s="93">
        <f t="shared" si="333"/>
        <v>100</v>
      </c>
      <c r="IK1055" s="100">
        <v>8</v>
      </c>
      <c r="IL1055" s="100">
        <v>8</v>
      </c>
      <c r="IM1055" s="100">
        <v>8</v>
      </c>
      <c r="IN1055" s="100">
        <v>6</v>
      </c>
      <c r="ON1055" s="100">
        <f t="shared" si="329"/>
        <v>0</v>
      </c>
    </row>
    <row r="1056" spans="1:404" ht="23.25" customHeight="1">
      <c r="A1056" s="97" t="str">
        <f t="shared" si="335"/>
        <v>019A/POTTERYBARN-VG-2166-83902-02-B</v>
      </c>
      <c r="B1056" s="95">
        <v>44893</v>
      </c>
      <c r="C1056" s="97">
        <f t="shared" ca="1" si="336"/>
        <v>-171</v>
      </c>
      <c r="D1056" s="112" t="s">
        <v>1567</v>
      </c>
      <c r="E1056" s="279" t="s">
        <v>667</v>
      </c>
      <c r="F1056" s="98" t="str">
        <f t="shared" si="337"/>
        <v>B</v>
      </c>
      <c r="G1056" s="110">
        <f ca="1">SUMIF($A:E,$A1056,K:K)</f>
        <v>13</v>
      </c>
      <c r="H1056" s="97" t="s">
        <v>616</v>
      </c>
      <c r="I1056" s="98">
        <v>13</v>
      </c>
      <c r="J1056" s="97">
        <v>13</v>
      </c>
      <c r="K1056" s="143">
        <f t="shared" si="328"/>
        <v>13</v>
      </c>
      <c r="L1056" s="144">
        <f t="shared" si="330"/>
        <v>0</v>
      </c>
      <c r="M1056" s="275">
        <f t="shared" si="327"/>
        <v>13</v>
      </c>
      <c r="N1056" s="98" t="s">
        <v>1768</v>
      </c>
      <c r="O1056" s="93">
        <f t="shared" si="333"/>
        <v>100</v>
      </c>
      <c r="KG1056" s="100">
        <v>4</v>
      </c>
      <c r="KH1056" s="100">
        <v>4</v>
      </c>
      <c r="KI1056" s="100">
        <v>5</v>
      </c>
      <c r="ON1056" s="100">
        <f t="shared" si="329"/>
        <v>0</v>
      </c>
    </row>
    <row r="1057" spans="1:404" ht="23.25" customHeight="1">
      <c r="A1057" s="97" t="str">
        <f t="shared" si="335"/>
        <v>020A/POTTERYBARN-VG-2166-83902-02-B</v>
      </c>
      <c r="B1057" s="95">
        <v>44893</v>
      </c>
      <c r="C1057" s="97">
        <f t="shared" ca="1" si="336"/>
        <v>-171</v>
      </c>
      <c r="D1057" s="112" t="s">
        <v>1568</v>
      </c>
      <c r="E1057" s="279" t="s">
        <v>667</v>
      </c>
      <c r="F1057" s="98" t="str">
        <f t="shared" si="337"/>
        <v>B</v>
      </c>
      <c r="G1057" s="110">
        <f ca="1">SUMIF($A:E,$A1057,K:K)</f>
        <v>17</v>
      </c>
      <c r="H1057" s="97" t="s">
        <v>616</v>
      </c>
      <c r="I1057" s="98">
        <v>17</v>
      </c>
      <c r="J1057" s="97">
        <v>17</v>
      </c>
      <c r="K1057" s="143">
        <f t="shared" si="328"/>
        <v>17</v>
      </c>
      <c r="L1057" s="144">
        <f t="shared" si="330"/>
        <v>0</v>
      </c>
      <c r="M1057" s="275">
        <f t="shared" si="327"/>
        <v>17</v>
      </c>
      <c r="N1057" s="98" t="s">
        <v>1768</v>
      </c>
      <c r="O1057" s="93">
        <f t="shared" si="333"/>
        <v>100</v>
      </c>
      <c r="KI1057" s="100">
        <v>3</v>
      </c>
      <c r="KJ1057" s="100">
        <v>8</v>
      </c>
      <c r="KN1057" s="100">
        <v>4</v>
      </c>
      <c r="KO1057" s="100">
        <v>2</v>
      </c>
      <c r="ON1057" s="100">
        <f t="shared" si="329"/>
        <v>0</v>
      </c>
    </row>
    <row r="1058" spans="1:404" ht="23.25" customHeight="1">
      <c r="A1058" s="97" t="str">
        <f t="shared" si="335"/>
        <v>026/POTTERYBARN-VG-2166-83902-02-B</v>
      </c>
      <c r="B1058" s="95">
        <v>44549</v>
      </c>
      <c r="C1058" s="97">
        <f t="shared" ca="1" si="336"/>
        <v>-515</v>
      </c>
      <c r="D1058" s="112" t="s">
        <v>1620</v>
      </c>
      <c r="E1058" s="279" t="s">
        <v>667</v>
      </c>
      <c r="F1058" s="98" t="str">
        <f t="shared" si="337"/>
        <v>B</v>
      </c>
      <c r="G1058" s="110">
        <f ca="1">SUMIF($A:E,$A1058,K:K)</f>
        <v>47</v>
      </c>
      <c r="H1058" s="97" t="s">
        <v>616</v>
      </c>
      <c r="I1058" s="98">
        <v>47</v>
      </c>
      <c r="J1058" s="99">
        <v>47</v>
      </c>
      <c r="K1058" s="143">
        <f t="shared" si="328"/>
        <v>47</v>
      </c>
      <c r="L1058" s="144">
        <f t="shared" si="330"/>
        <v>0</v>
      </c>
      <c r="M1058" s="275">
        <f t="shared" si="327"/>
        <v>47</v>
      </c>
      <c r="N1058" s="98" t="s">
        <v>1768</v>
      </c>
      <c r="O1058" s="93">
        <f t="shared" si="333"/>
        <v>100</v>
      </c>
      <c r="KO1058" s="100">
        <v>6</v>
      </c>
      <c r="KP1058" s="100">
        <v>7</v>
      </c>
      <c r="KQ1058" s="100">
        <v>8</v>
      </c>
      <c r="KR1058" s="100">
        <v>8</v>
      </c>
      <c r="KU1058" s="100">
        <v>8</v>
      </c>
      <c r="KV1058" s="100">
        <v>8</v>
      </c>
      <c r="KW1058" s="100">
        <v>2</v>
      </c>
      <c r="ON1058" s="100">
        <f t="shared" si="329"/>
        <v>0</v>
      </c>
    </row>
    <row r="1059" spans="1:404" ht="23.25" customHeight="1">
      <c r="A1059" s="97" t="str">
        <f t="shared" si="335"/>
        <v>025/POTTERYBARN-VG-2166-83902-02-B</v>
      </c>
      <c r="B1059" s="95">
        <v>44549</v>
      </c>
      <c r="C1059" s="97">
        <f t="shared" ca="1" si="336"/>
        <v>-515</v>
      </c>
      <c r="D1059" s="112" t="s">
        <v>1682</v>
      </c>
      <c r="E1059" s="279" t="s">
        <v>667</v>
      </c>
      <c r="F1059" s="98" t="str">
        <f t="shared" si="337"/>
        <v>B</v>
      </c>
      <c r="G1059" s="110">
        <f ca="1">SUMIF($A:E,$A1059,K:K)</f>
        <v>52</v>
      </c>
      <c r="H1059" s="112" t="s">
        <v>616</v>
      </c>
      <c r="I1059" s="175">
        <v>52</v>
      </c>
      <c r="J1059" s="115">
        <v>52</v>
      </c>
      <c r="K1059" s="143">
        <f t="shared" si="328"/>
        <v>52</v>
      </c>
      <c r="L1059" s="144">
        <f t="shared" si="330"/>
        <v>0</v>
      </c>
      <c r="M1059" s="275">
        <f t="shared" si="327"/>
        <v>52</v>
      </c>
      <c r="N1059" s="98" t="s">
        <v>1768</v>
      </c>
      <c r="O1059" s="93">
        <f t="shared" si="333"/>
        <v>100</v>
      </c>
      <c r="KW1059" s="100">
        <v>9</v>
      </c>
      <c r="KX1059" s="100">
        <v>7</v>
      </c>
      <c r="KY1059" s="100">
        <v>8</v>
      </c>
      <c r="KZ1059" s="100">
        <v>7</v>
      </c>
      <c r="LB1059" s="100">
        <v>8</v>
      </c>
      <c r="LC1059" s="100">
        <v>4</v>
      </c>
      <c r="LE1059" s="100">
        <v>8</v>
      </c>
      <c r="LF1059" s="100">
        <v>1</v>
      </c>
      <c r="ON1059" s="100">
        <f t="shared" si="329"/>
        <v>0</v>
      </c>
    </row>
    <row r="1060" spans="1:404" ht="23.25" customHeight="1">
      <c r="A1060" s="97" t="str">
        <f t="shared" si="335"/>
        <v>020/POTTERYBARN-VG-2166-83902-02-B</v>
      </c>
      <c r="B1060" s="95">
        <v>44528</v>
      </c>
      <c r="C1060" s="97">
        <f t="shared" ca="1" si="336"/>
        <v>-536</v>
      </c>
      <c r="D1060" s="112" t="s">
        <v>1683</v>
      </c>
      <c r="E1060" s="279" t="s">
        <v>667</v>
      </c>
      <c r="F1060" s="98" t="str">
        <f t="shared" si="337"/>
        <v>B</v>
      </c>
      <c r="G1060" s="110">
        <f ca="1">SUMIF($A:E,$A1060,K:K)</f>
        <v>53</v>
      </c>
      <c r="H1060" s="112" t="s">
        <v>616</v>
      </c>
      <c r="I1060" s="175">
        <v>53</v>
      </c>
      <c r="J1060" s="115">
        <v>53</v>
      </c>
      <c r="K1060" s="143">
        <f t="shared" si="328"/>
        <v>53</v>
      </c>
      <c r="L1060" s="144">
        <f t="shared" si="330"/>
        <v>0</v>
      </c>
      <c r="M1060" s="275">
        <f t="shared" si="327"/>
        <v>53</v>
      </c>
      <c r="N1060" s="98" t="s">
        <v>1768</v>
      </c>
      <c r="O1060" s="93">
        <f t="shared" si="333"/>
        <v>100</v>
      </c>
      <c r="JA1060" s="100">
        <v>3</v>
      </c>
      <c r="JB1060" s="100">
        <v>9</v>
      </c>
      <c r="JC1060" s="100">
        <v>4</v>
      </c>
      <c r="JF1060" s="100">
        <v>8</v>
      </c>
      <c r="JG1060" s="100">
        <v>12</v>
      </c>
      <c r="JH1060" s="100">
        <v>7</v>
      </c>
      <c r="JI1060" s="100">
        <v>4</v>
      </c>
      <c r="JJ1060" s="100">
        <v>6</v>
      </c>
      <c r="ON1060" s="100">
        <f t="shared" si="329"/>
        <v>0</v>
      </c>
    </row>
    <row r="1061" spans="1:404" ht="23.25" customHeight="1">
      <c r="A1061" s="97" t="str">
        <f t="shared" si="335"/>
        <v>024/POTTERYBARN-VG-2166-83902-02-B</v>
      </c>
      <c r="B1061" s="95">
        <v>44549</v>
      </c>
      <c r="C1061" s="97">
        <f t="shared" ca="1" si="336"/>
        <v>-515</v>
      </c>
      <c r="D1061" s="112" t="s">
        <v>1684</v>
      </c>
      <c r="E1061" s="279" t="s">
        <v>667</v>
      </c>
      <c r="F1061" s="98" t="str">
        <f t="shared" si="337"/>
        <v>B</v>
      </c>
      <c r="G1061" s="110">
        <f ca="1">SUMIF($A:E,$A1061,K:K)</f>
        <v>78</v>
      </c>
      <c r="H1061" s="112" t="s">
        <v>616</v>
      </c>
      <c r="I1061" s="175">
        <v>78</v>
      </c>
      <c r="J1061" s="115">
        <v>78</v>
      </c>
      <c r="K1061" s="143">
        <f t="shared" si="328"/>
        <v>78</v>
      </c>
      <c r="L1061" s="144">
        <f t="shared" si="330"/>
        <v>0</v>
      </c>
      <c r="M1061" s="275">
        <f t="shared" si="327"/>
        <v>78</v>
      </c>
      <c r="N1061" s="98" t="s">
        <v>1768</v>
      </c>
      <c r="O1061" s="93">
        <f t="shared" si="333"/>
        <v>100</v>
      </c>
      <c r="LF1061" s="100">
        <v>15</v>
      </c>
      <c r="LI1061" s="100">
        <v>16</v>
      </c>
      <c r="LJ1061" s="100">
        <v>8</v>
      </c>
      <c r="LK1061" s="100">
        <v>8</v>
      </c>
      <c r="LL1061" s="100">
        <v>8</v>
      </c>
      <c r="LM1061" s="100">
        <v>8</v>
      </c>
      <c r="LN1061" s="100">
        <v>8</v>
      </c>
      <c r="LP1061" s="100">
        <v>7</v>
      </c>
      <c r="ON1061" s="100">
        <f t="shared" si="329"/>
        <v>0</v>
      </c>
    </row>
    <row r="1062" spans="1:404" ht="23.25" customHeight="1">
      <c r="A1062" s="97" t="str">
        <f t="shared" si="335"/>
        <v>023/POTTERYBARN-VG-2166-83902-02-B</v>
      </c>
      <c r="B1062" s="95">
        <v>44549</v>
      </c>
      <c r="C1062" s="97">
        <f t="shared" ca="1" si="336"/>
        <v>-515</v>
      </c>
      <c r="D1062" s="112" t="s">
        <v>1685</v>
      </c>
      <c r="E1062" s="279" t="s">
        <v>667</v>
      </c>
      <c r="F1062" s="98" t="str">
        <f t="shared" si="337"/>
        <v>B</v>
      </c>
      <c r="G1062" s="110">
        <f ca="1">SUMIF($A:E,$A1062,K:K)</f>
        <v>83</v>
      </c>
      <c r="H1062" s="112" t="s">
        <v>616</v>
      </c>
      <c r="I1062" s="175">
        <v>83</v>
      </c>
      <c r="J1062" s="115">
        <v>83</v>
      </c>
      <c r="K1062" s="143">
        <f t="shared" si="328"/>
        <v>83</v>
      </c>
      <c r="L1062" s="144">
        <f t="shared" si="330"/>
        <v>0</v>
      </c>
      <c r="M1062" s="275">
        <f t="shared" si="327"/>
        <v>83</v>
      </c>
      <c r="N1062" s="98" t="s">
        <v>1768</v>
      </c>
      <c r="O1062" s="93">
        <f t="shared" si="333"/>
        <v>100</v>
      </c>
      <c r="LP1062" s="100">
        <v>1</v>
      </c>
      <c r="LQ1062" s="100">
        <v>8</v>
      </c>
      <c r="LR1062" s="100">
        <v>8</v>
      </c>
      <c r="LS1062" s="100">
        <v>8</v>
      </c>
      <c r="LT1062" s="100">
        <v>8</v>
      </c>
      <c r="LU1062" s="100">
        <v>8</v>
      </c>
      <c r="LW1062" s="100">
        <v>8</v>
      </c>
      <c r="LX1062" s="100">
        <v>4</v>
      </c>
      <c r="LY1062" s="100">
        <v>8</v>
      </c>
      <c r="LZ1062" s="100">
        <v>8</v>
      </c>
      <c r="MA1062" s="100">
        <v>8</v>
      </c>
      <c r="MB1062" s="100">
        <v>6</v>
      </c>
      <c r="ON1062" s="100">
        <f t="shared" si="329"/>
        <v>0</v>
      </c>
    </row>
    <row r="1063" spans="1:404" ht="23.25" customHeight="1">
      <c r="A1063" s="97" t="str">
        <f t="shared" si="335"/>
        <v>022/POTTERYBARN-VG-2166-83902-02-B</v>
      </c>
      <c r="B1063" s="95">
        <v>44528</v>
      </c>
      <c r="C1063" s="97">
        <f t="shared" ca="1" si="336"/>
        <v>-536</v>
      </c>
      <c r="D1063" s="112" t="s">
        <v>1686</v>
      </c>
      <c r="E1063" s="279" t="s">
        <v>667</v>
      </c>
      <c r="F1063" s="98" t="str">
        <f t="shared" si="337"/>
        <v>B</v>
      </c>
      <c r="G1063" s="110">
        <f ca="1">SUMIF($A:E,$A1063,K:K)</f>
        <v>32</v>
      </c>
      <c r="H1063" s="112" t="s">
        <v>616</v>
      </c>
      <c r="I1063" s="175">
        <v>32</v>
      </c>
      <c r="J1063" s="115">
        <v>32</v>
      </c>
      <c r="K1063" s="143">
        <f t="shared" si="328"/>
        <v>32</v>
      </c>
      <c r="L1063" s="144">
        <f t="shared" si="330"/>
        <v>0</v>
      </c>
      <c r="M1063" s="275">
        <f t="shared" si="327"/>
        <v>32</v>
      </c>
      <c r="N1063" s="98" t="s">
        <v>1768</v>
      </c>
      <c r="O1063" s="93">
        <f t="shared" si="333"/>
        <v>100</v>
      </c>
      <c r="JJ1063" s="100">
        <v>5</v>
      </c>
      <c r="JK1063" s="100">
        <v>8</v>
      </c>
      <c r="JM1063" s="100">
        <v>2</v>
      </c>
      <c r="JN1063" s="100">
        <v>8</v>
      </c>
      <c r="JO1063" s="100">
        <v>7</v>
      </c>
      <c r="JP1063" s="100">
        <v>2</v>
      </c>
      <c r="ON1063" s="100">
        <f t="shared" si="329"/>
        <v>0</v>
      </c>
    </row>
    <row r="1064" spans="1:404" ht="23.25" customHeight="1">
      <c r="A1064" s="97" t="str">
        <f t="shared" si="335"/>
        <v>021/POTTERYBARN-VG-2166-83902-02-B</v>
      </c>
      <c r="B1064" s="95">
        <v>44528</v>
      </c>
      <c r="C1064" s="97">
        <f t="shared" ca="1" si="336"/>
        <v>-536</v>
      </c>
      <c r="D1064" s="112" t="s">
        <v>1687</v>
      </c>
      <c r="E1064" s="279" t="s">
        <v>667</v>
      </c>
      <c r="F1064" s="98" t="str">
        <f t="shared" si="337"/>
        <v>B</v>
      </c>
      <c r="G1064" s="110">
        <f ca="1">SUMIF($A:E,$A1064,K:K)</f>
        <v>36</v>
      </c>
      <c r="H1064" s="112" t="s">
        <v>616</v>
      </c>
      <c r="I1064" s="175">
        <v>36</v>
      </c>
      <c r="J1064" s="115">
        <v>36</v>
      </c>
      <c r="K1064" s="143">
        <f t="shared" si="328"/>
        <v>36</v>
      </c>
      <c r="L1064" s="144">
        <f t="shared" si="330"/>
        <v>0</v>
      </c>
      <c r="M1064" s="275">
        <f t="shared" si="327"/>
        <v>36</v>
      </c>
      <c r="N1064" s="98" t="s">
        <v>1768</v>
      </c>
      <c r="O1064" s="93">
        <f t="shared" si="333"/>
        <v>100</v>
      </c>
      <c r="JP1064" s="100">
        <v>5</v>
      </c>
      <c r="JQ1064" s="100">
        <v>5</v>
      </c>
      <c r="JR1064" s="100">
        <v>9</v>
      </c>
      <c r="JT1064" s="100">
        <v>8</v>
      </c>
      <c r="JU1064" s="100">
        <v>4</v>
      </c>
      <c r="JV1064" s="100">
        <v>5</v>
      </c>
      <c r="ON1064" s="100">
        <f t="shared" si="329"/>
        <v>0</v>
      </c>
    </row>
    <row r="1065" spans="1:404" ht="23.25" customHeight="1">
      <c r="A1065" s="97" t="str">
        <f t="shared" si="335"/>
        <v>019/POTTERYBARN-VG-2166-83902-02-B</v>
      </c>
      <c r="B1065" s="95">
        <v>44528</v>
      </c>
      <c r="C1065" s="97">
        <f t="shared" ca="1" si="336"/>
        <v>-536</v>
      </c>
      <c r="D1065" s="112" t="s">
        <v>1834</v>
      </c>
      <c r="E1065" s="279" t="s">
        <v>667</v>
      </c>
      <c r="F1065" s="98" t="str">
        <f t="shared" si="337"/>
        <v>B</v>
      </c>
      <c r="G1065" s="110">
        <f ca="1">SUMIF($A:E,$A1065,K:K)</f>
        <v>57</v>
      </c>
      <c r="H1065" s="97" t="s">
        <v>616</v>
      </c>
      <c r="I1065" s="175">
        <v>57</v>
      </c>
      <c r="J1065" s="115">
        <v>57</v>
      </c>
      <c r="K1065" s="143">
        <f t="shared" si="328"/>
        <v>57</v>
      </c>
      <c r="L1065" s="144">
        <f t="shared" si="330"/>
        <v>0</v>
      </c>
      <c r="M1065" s="275">
        <f t="shared" si="327"/>
        <v>57</v>
      </c>
      <c r="N1065" s="98" t="s">
        <v>1768</v>
      </c>
      <c r="O1065" s="93">
        <f t="shared" si="333"/>
        <v>100</v>
      </c>
      <c r="JV1065" s="100">
        <v>1</v>
      </c>
      <c r="JW1065" s="100">
        <v>8</v>
      </c>
      <c r="JX1065" s="100">
        <v>4</v>
      </c>
      <c r="JY1065" s="100">
        <v>4</v>
      </c>
      <c r="KA1065" s="100">
        <v>8</v>
      </c>
      <c r="KB1065" s="100">
        <v>4</v>
      </c>
      <c r="KC1065" s="100">
        <v>8</v>
      </c>
      <c r="KD1065" s="100">
        <v>4</v>
      </c>
      <c r="KE1065" s="100">
        <v>4</v>
      </c>
      <c r="KF1065" s="100">
        <v>8</v>
      </c>
      <c r="KG1065" s="100">
        <v>4</v>
      </c>
      <c r="ON1065" s="100">
        <f t="shared" si="329"/>
        <v>0</v>
      </c>
    </row>
    <row r="1066" spans="1:404" ht="23.25" customHeight="1">
      <c r="A1066" s="97" t="str">
        <f t="shared" si="335"/>
        <v>001C/POTTERYBARN-2166-83800-02-B</v>
      </c>
      <c r="B1066" s="95">
        <v>44306</v>
      </c>
      <c r="C1066" s="97">
        <f t="shared" ca="1" si="336"/>
        <v>-758</v>
      </c>
      <c r="D1066" s="96" t="s">
        <v>669</v>
      </c>
      <c r="E1066" s="94" t="s">
        <v>670</v>
      </c>
      <c r="F1066" s="98" t="str">
        <f t="shared" si="337"/>
        <v>B</v>
      </c>
      <c r="G1066" s="110">
        <f ca="1">SUMIF($A:E,$A1066,K:K)</f>
        <v>70</v>
      </c>
      <c r="H1066" s="97" t="s">
        <v>508</v>
      </c>
      <c r="I1066" s="98">
        <v>70</v>
      </c>
      <c r="J1066" s="99">
        <v>70</v>
      </c>
      <c r="K1066" s="143">
        <f t="shared" si="328"/>
        <v>70</v>
      </c>
      <c r="L1066" s="144">
        <f t="shared" si="330"/>
        <v>0</v>
      </c>
      <c r="M1066" s="275">
        <f t="shared" si="327"/>
        <v>70</v>
      </c>
      <c r="N1066" s="98">
        <v>3</v>
      </c>
      <c r="O1066" s="93">
        <f t="shared" si="333"/>
        <v>100</v>
      </c>
      <c r="BN1066" s="101">
        <v>6</v>
      </c>
      <c r="BO1066" s="101">
        <v>2</v>
      </c>
      <c r="BP1066" s="101">
        <v>5</v>
      </c>
      <c r="BQ1066" s="101">
        <v>3</v>
      </c>
      <c r="BR1066" s="101">
        <v>3</v>
      </c>
      <c r="BS1066" s="101">
        <v>3</v>
      </c>
      <c r="BT1066" s="101">
        <v>1</v>
      </c>
      <c r="BU1066" s="101">
        <v>4</v>
      </c>
      <c r="BX1066" s="101">
        <v>7</v>
      </c>
      <c r="BY1066" s="101">
        <v>4</v>
      </c>
      <c r="BZ1066" s="101">
        <v>7</v>
      </c>
      <c r="CA1066" s="101">
        <v>5</v>
      </c>
      <c r="CC1066" s="101">
        <v>7</v>
      </c>
      <c r="CD1066" s="101">
        <v>4</v>
      </c>
      <c r="CE1066" s="101">
        <v>4</v>
      </c>
      <c r="CF1066" s="101">
        <v>2</v>
      </c>
      <c r="CG1066" s="142">
        <v>3</v>
      </c>
      <c r="ON1066" s="100">
        <f t="shared" si="329"/>
        <v>0</v>
      </c>
    </row>
    <row r="1067" spans="1:404" ht="23.25" customHeight="1">
      <c r="A1067" s="97" t="str">
        <f t="shared" si="335"/>
        <v>002A/POTTERYBARN-2166-83800-02-B</v>
      </c>
      <c r="B1067" s="114">
        <v>44306</v>
      </c>
      <c r="C1067" s="97">
        <f t="shared" ca="1" si="336"/>
        <v>-758</v>
      </c>
      <c r="D1067" s="262" t="s">
        <v>671</v>
      </c>
      <c r="E1067" s="94" t="s">
        <v>670</v>
      </c>
      <c r="F1067" s="98" t="str">
        <f t="shared" si="337"/>
        <v>B</v>
      </c>
      <c r="G1067" s="110">
        <f ca="1">SUMIF($A:E,$A1067,K:K)</f>
        <v>39</v>
      </c>
      <c r="H1067" s="97" t="s">
        <v>508</v>
      </c>
      <c r="I1067" s="98">
        <v>39</v>
      </c>
      <c r="J1067" s="99">
        <v>39</v>
      </c>
      <c r="K1067" s="143">
        <f t="shared" si="328"/>
        <v>39</v>
      </c>
      <c r="L1067" s="144">
        <f t="shared" si="330"/>
        <v>0</v>
      </c>
      <c r="M1067" s="275">
        <f t="shared" si="327"/>
        <v>39</v>
      </c>
      <c r="N1067" s="98">
        <v>3</v>
      </c>
      <c r="O1067" s="93">
        <f t="shared" si="333"/>
        <v>100</v>
      </c>
      <c r="CL1067" s="101">
        <v>7</v>
      </c>
      <c r="CM1067" s="101">
        <v>6</v>
      </c>
      <c r="CN1067" s="101">
        <v>9</v>
      </c>
      <c r="CP1067" s="101">
        <v>8</v>
      </c>
      <c r="CQ1067" s="101">
        <v>4</v>
      </c>
      <c r="CR1067" s="101">
        <v>4</v>
      </c>
      <c r="CT1067" s="101">
        <v>1</v>
      </c>
      <c r="ON1067" s="100">
        <f t="shared" si="329"/>
        <v>0</v>
      </c>
    </row>
    <row r="1068" spans="1:404" ht="23.25" customHeight="1">
      <c r="A1068" s="97" t="str">
        <f t="shared" si="335"/>
        <v>003B/POTTERYBARN-2166-83800-02-B</v>
      </c>
      <c r="B1068" s="114">
        <v>44306</v>
      </c>
      <c r="C1068" s="97">
        <f t="shared" ca="1" si="336"/>
        <v>-758</v>
      </c>
      <c r="D1068" s="262" t="s">
        <v>674</v>
      </c>
      <c r="E1068" s="94" t="s">
        <v>670</v>
      </c>
      <c r="F1068" s="98" t="str">
        <f t="shared" si="337"/>
        <v>B</v>
      </c>
      <c r="G1068" s="110">
        <f ca="1">SUMIF($A:E,$A1068,K:K)</f>
        <v>28</v>
      </c>
      <c r="H1068" s="97" t="s">
        <v>508</v>
      </c>
      <c r="I1068" s="98">
        <v>28</v>
      </c>
      <c r="J1068" s="99">
        <v>28</v>
      </c>
      <c r="K1068" s="143">
        <f t="shared" si="328"/>
        <v>28</v>
      </c>
      <c r="L1068" s="144">
        <f t="shared" si="330"/>
        <v>0</v>
      </c>
      <c r="M1068" s="275">
        <f t="shared" si="327"/>
        <v>28</v>
      </c>
      <c r="N1068" s="98">
        <v>3</v>
      </c>
      <c r="O1068" s="93">
        <f t="shared" si="333"/>
        <v>100</v>
      </c>
      <c r="CG1068" s="121">
        <v>10</v>
      </c>
      <c r="CI1068" s="101">
        <v>14</v>
      </c>
      <c r="CJ1068" s="101">
        <v>2</v>
      </c>
      <c r="CK1068" s="101">
        <v>2</v>
      </c>
      <c r="ON1068" s="100">
        <f t="shared" si="329"/>
        <v>0</v>
      </c>
    </row>
    <row r="1069" spans="1:404" ht="23.25" customHeight="1">
      <c r="A1069" s="97" t="str">
        <f t="shared" si="335"/>
        <v>004B/POTTERYBARN-2166-83800-02-B</v>
      </c>
      <c r="B1069" s="114">
        <v>44306</v>
      </c>
      <c r="C1069" s="97">
        <f t="shared" ca="1" si="336"/>
        <v>-758</v>
      </c>
      <c r="D1069" s="262" t="s">
        <v>676</v>
      </c>
      <c r="E1069" s="94" t="s">
        <v>670</v>
      </c>
      <c r="F1069" s="98" t="str">
        <f t="shared" si="337"/>
        <v>B</v>
      </c>
      <c r="G1069" s="110">
        <f ca="1">SUMIF($A:E,$A1069,K:K)</f>
        <v>9</v>
      </c>
      <c r="H1069" s="97" t="s">
        <v>508</v>
      </c>
      <c r="I1069" s="98">
        <v>13</v>
      </c>
      <c r="J1069" s="99">
        <v>9</v>
      </c>
      <c r="K1069" s="143">
        <f t="shared" si="328"/>
        <v>9</v>
      </c>
      <c r="L1069" s="144">
        <f t="shared" si="330"/>
        <v>0</v>
      </c>
      <c r="M1069" s="275">
        <f t="shared" si="327"/>
        <v>13</v>
      </c>
      <c r="N1069" s="98">
        <v>3</v>
      </c>
      <c r="O1069" s="93">
        <f t="shared" si="333"/>
        <v>100</v>
      </c>
      <c r="CK1069" s="101">
        <v>8</v>
      </c>
      <c r="CL1069" s="101">
        <v>1</v>
      </c>
      <c r="ON1069" s="100">
        <f t="shared" si="329"/>
        <v>0</v>
      </c>
    </row>
    <row r="1070" spans="1:404" ht="23.25" customHeight="1">
      <c r="A1070" s="97" t="str">
        <f t="shared" si="335"/>
        <v>038/POTTERYBARN-2166-83800-02-B</v>
      </c>
      <c r="B1070" s="114">
        <v>44489</v>
      </c>
      <c r="C1070" s="97">
        <f t="shared" ca="1" si="336"/>
        <v>-575</v>
      </c>
      <c r="D1070" s="234" t="s">
        <v>1334</v>
      </c>
      <c r="E1070" s="279" t="s">
        <v>670</v>
      </c>
      <c r="F1070" s="98" t="str">
        <f t="shared" si="337"/>
        <v>B</v>
      </c>
      <c r="G1070" s="110">
        <f ca="1">SUMIF($A:E,$A1070,K:K)</f>
        <v>69</v>
      </c>
      <c r="H1070" s="97" t="s">
        <v>508</v>
      </c>
      <c r="I1070" s="175">
        <v>69</v>
      </c>
      <c r="J1070" s="115">
        <v>69</v>
      </c>
      <c r="K1070" s="143">
        <f t="shared" si="328"/>
        <v>69</v>
      </c>
      <c r="L1070" s="144">
        <f t="shared" si="330"/>
        <v>0</v>
      </c>
      <c r="M1070" s="275">
        <f t="shared" si="327"/>
        <v>69</v>
      </c>
      <c r="N1070" s="98" t="s">
        <v>1776</v>
      </c>
      <c r="O1070" s="93">
        <f t="shared" si="333"/>
        <v>100</v>
      </c>
      <c r="JB1070" s="100">
        <v>4</v>
      </c>
      <c r="JC1070" s="100">
        <v>4</v>
      </c>
      <c r="JF1070" s="100">
        <v>9</v>
      </c>
      <c r="JG1070" s="100">
        <v>5</v>
      </c>
      <c r="JH1070" s="100">
        <v>5</v>
      </c>
      <c r="JI1070" s="100">
        <v>7</v>
      </c>
      <c r="JJ1070" s="100">
        <v>10</v>
      </c>
      <c r="JK1070" s="100">
        <v>7</v>
      </c>
      <c r="JM1070" s="100">
        <v>4</v>
      </c>
      <c r="JN1070" s="100">
        <v>8</v>
      </c>
      <c r="JO1070" s="100">
        <v>6</v>
      </c>
      <c r="ON1070" s="100">
        <f t="shared" si="329"/>
        <v>0</v>
      </c>
    </row>
    <row r="1071" spans="1:404" ht="23.25" customHeight="1">
      <c r="A1071" s="97" t="str">
        <f t="shared" si="335"/>
        <v>018/POTTERYBARN-VG-2166-83800-02-B</v>
      </c>
      <c r="B1071" s="114">
        <v>44496</v>
      </c>
      <c r="C1071" s="97">
        <f t="shared" ca="1" si="336"/>
        <v>-568</v>
      </c>
      <c r="D1071" s="234" t="s">
        <v>1470</v>
      </c>
      <c r="E1071" s="279" t="s">
        <v>670</v>
      </c>
      <c r="F1071" s="98" t="str">
        <f t="shared" si="337"/>
        <v>B</v>
      </c>
      <c r="G1071" s="110">
        <f ca="1">SUMIF($A:E,$A1071,K:K)</f>
        <v>30</v>
      </c>
      <c r="H1071" s="97" t="s">
        <v>616</v>
      </c>
      <c r="I1071" s="175">
        <v>30</v>
      </c>
      <c r="J1071" s="115">
        <v>30</v>
      </c>
      <c r="K1071" s="143">
        <f t="shared" si="328"/>
        <v>30</v>
      </c>
      <c r="L1071" s="144">
        <f t="shared" si="330"/>
        <v>0</v>
      </c>
      <c r="M1071" s="275">
        <f t="shared" si="327"/>
        <v>30</v>
      </c>
      <c r="N1071" s="98" t="s">
        <v>1776</v>
      </c>
      <c r="O1071" s="93">
        <f t="shared" si="333"/>
        <v>100</v>
      </c>
      <c r="JO1071" s="100">
        <v>1</v>
      </c>
      <c r="JP1071" s="100">
        <v>8</v>
      </c>
      <c r="JQ1071" s="100">
        <v>4</v>
      </c>
      <c r="JR1071" s="100">
        <v>6</v>
      </c>
      <c r="JT1071" s="100">
        <v>5</v>
      </c>
      <c r="JU1071" s="100">
        <v>3</v>
      </c>
      <c r="JV1071" s="100">
        <v>1</v>
      </c>
      <c r="JW1071" s="100">
        <v>2</v>
      </c>
      <c r="ON1071" s="100">
        <f t="shared" si="329"/>
        <v>0</v>
      </c>
    </row>
    <row r="1072" spans="1:404" ht="23.25" customHeight="1">
      <c r="A1072" s="97" t="str">
        <f t="shared" si="335"/>
        <v>009T/WESTELM-2166-83400-03-B</v>
      </c>
      <c r="B1072" s="95">
        <v>44392</v>
      </c>
      <c r="C1072" s="97">
        <f t="shared" ca="1" si="336"/>
        <v>-672</v>
      </c>
      <c r="D1072" s="96" t="s">
        <v>851</v>
      </c>
      <c r="E1072" s="94" t="s">
        <v>853</v>
      </c>
      <c r="F1072" s="98" t="str">
        <f t="shared" si="337"/>
        <v>B</v>
      </c>
      <c r="G1072" s="110">
        <f ca="1">SUMIF($A:E,$A1072,K:K)</f>
        <v>375</v>
      </c>
      <c r="H1072" s="97" t="s">
        <v>616</v>
      </c>
      <c r="I1072" s="98">
        <v>375</v>
      </c>
      <c r="J1072" s="99">
        <v>175</v>
      </c>
      <c r="K1072" s="143">
        <f t="shared" si="328"/>
        <v>175</v>
      </c>
      <c r="L1072" s="144">
        <f t="shared" si="330"/>
        <v>0</v>
      </c>
      <c r="M1072" s="275">
        <f t="shared" si="327"/>
        <v>375</v>
      </c>
      <c r="N1072" s="98">
        <v>2</v>
      </c>
      <c r="O1072" s="93">
        <f t="shared" si="333"/>
        <v>100</v>
      </c>
      <c r="EY1072" s="100">
        <v>33</v>
      </c>
      <c r="FA1072" s="100">
        <v>10</v>
      </c>
      <c r="FB1072" s="100">
        <v>1</v>
      </c>
      <c r="FD1072" s="100">
        <v>10</v>
      </c>
      <c r="FE1072" s="100">
        <v>12</v>
      </c>
      <c r="FH1072" s="100">
        <v>4</v>
      </c>
      <c r="FJ1072" s="100">
        <v>9</v>
      </c>
      <c r="FL1072" s="100">
        <v>12</v>
      </c>
      <c r="FO1072" s="100">
        <v>11</v>
      </c>
      <c r="FP1072" s="100">
        <v>10</v>
      </c>
      <c r="FV1072" s="100">
        <v>6</v>
      </c>
      <c r="GD1072" s="100">
        <v>44</v>
      </c>
      <c r="HC1072" s="100">
        <v>13</v>
      </c>
      <c r="ON1072" s="100">
        <f t="shared" si="329"/>
        <v>0</v>
      </c>
    </row>
    <row r="1073" spans="1:404" ht="23.25" customHeight="1">
      <c r="A1073" s="97" t="str">
        <f t="shared" si="335"/>
        <v>009T/WESTELM-2166-83400-03-B</v>
      </c>
      <c r="B1073" s="95">
        <v>44392</v>
      </c>
      <c r="C1073" s="97">
        <f t="shared" ca="1" si="336"/>
        <v>-672</v>
      </c>
      <c r="D1073" s="96" t="s">
        <v>851</v>
      </c>
      <c r="E1073" s="94" t="s">
        <v>853</v>
      </c>
      <c r="F1073" s="98" t="str">
        <f t="shared" si="337"/>
        <v>B</v>
      </c>
      <c r="G1073" s="110">
        <f ca="1">SUMIF($A:E,$A1073,K:K)</f>
        <v>375</v>
      </c>
      <c r="H1073" s="97" t="s">
        <v>820</v>
      </c>
      <c r="I1073" s="98">
        <v>375</v>
      </c>
      <c r="J1073" s="99">
        <f>375-J1072</f>
        <v>200</v>
      </c>
      <c r="K1073" s="143">
        <f t="shared" si="328"/>
        <v>200</v>
      </c>
      <c r="L1073" s="144">
        <f t="shared" si="330"/>
        <v>0</v>
      </c>
      <c r="M1073" s="275">
        <f t="shared" si="327"/>
        <v>375</v>
      </c>
      <c r="N1073" s="98">
        <v>1</v>
      </c>
      <c r="O1073" s="93">
        <f t="shared" si="333"/>
        <v>100</v>
      </c>
      <c r="DE1073" s="101">
        <v>5</v>
      </c>
      <c r="DF1073" s="101">
        <v>6</v>
      </c>
      <c r="DL1073" s="101">
        <v>10</v>
      </c>
      <c r="DM1073" s="101">
        <v>8</v>
      </c>
      <c r="DN1073" s="101">
        <v>11</v>
      </c>
      <c r="DR1073" s="101">
        <v>7</v>
      </c>
      <c r="DS1073" s="100">
        <v>10</v>
      </c>
      <c r="DV1073" s="100">
        <v>9</v>
      </c>
      <c r="DW1073" s="100">
        <v>18</v>
      </c>
      <c r="DY1073" s="100">
        <v>1</v>
      </c>
      <c r="DZ1073" s="100">
        <f>15+4</f>
        <v>19</v>
      </c>
      <c r="EC1073" s="100">
        <v>3</v>
      </c>
      <c r="ED1073" s="100">
        <v>9</v>
      </c>
      <c r="EG1073" s="100">
        <v>9</v>
      </c>
      <c r="EH1073" s="100">
        <v>5</v>
      </c>
      <c r="EI1073" s="100">
        <v>12</v>
      </c>
      <c r="EJ1073" s="100">
        <v>6</v>
      </c>
      <c r="EM1073" s="100">
        <v>16</v>
      </c>
      <c r="EN1073" s="100">
        <v>8</v>
      </c>
      <c r="EO1073" s="100">
        <v>6</v>
      </c>
      <c r="EQ1073" s="100">
        <v>5</v>
      </c>
      <c r="ER1073" s="100">
        <v>10</v>
      </c>
      <c r="EU1073" s="100">
        <v>5</v>
      </c>
      <c r="EV1073" s="100">
        <v>2</v>
      </c>
      <c r="ON1073" s="100">
        <f t="shared" si="329"/>
        <v>0</v>
      </c>
    </row>
    <row r="1074" spans="1:404" ht="23.25" customHeight="1">
      <c r="A1074" s="97" t="str">
        <f t="shared" si="335"/>
        <v>058/WESTELM-2166-83400-03-B</v>
      </c>
      <c r="B1074" s="95">
        <v>44422</v>
      </c>
      <c r="C1074" s="97">
        <f t="shared" ca="1" si="336"/>
        <v>-642</v>
      </c>
      <c r="D1074" s="96" t="s">
        <v>892</v>
      </c>
      <c r="E1074" s="94" t="s">
        <v>853</v>
      </c>
      <c r="F1074" s="98" t="str">
        <f t="shared" si="337"/>
        <v>B</v>
      </c>
      <c r="G1074" s="110">
        <f ca="1">SUMIF($A:E,$A1074,K:K)</f>
        <v>234</v>
      </c>
      <c r="H1074" s="97" t="s">
        <v>616</v>
      </c>
      <c r="I1074" s="98">
        <v>234</v>
      </c>
      <c r="J1074" s="99">
        <v>234</v>
      </c>
      <c r="K1074" s="143">
        <f t="shared" si="328"/>
        <v>234</v>
      </c>
      <c r="L1074" s="144">
        <f t="shared" si="330"/>
        <v>0</v>
      </c>
      <c r="M1074" s="275">
        <f t="shared" si="327"/>
        <v>234</v>
      </c>
      <c r="N1074" s="98">
        <v>2</v>
      </c>
      <c r="O1074" s="93">
        <f t="shared" si="333"/>
        <v>100</v>
      </c>
      <c r="DE1074" s="101">
        <v>6</v>
      </c>
      <c r="DF1074" s="101">
        <v>17</v>
      </c>
      <c r="DG1074" s="101">
        <v>4</v>
      </c>
      <c r="DL1074" s="101">
        <v>5</v>
      </c>
      <c r="DM1074" s="101">
        <v>16</v>
      </c>
      <c r="DO1074" s="101">
        <v>21</v>
      </c>
      <c r="DP1074" s="101">
        <v>5</v>
      </c>
      <c r="DS1074" s="100">
        <v>22</v>
      </c>
      <c r="DU1074" s="100">
        <v>8</v>
      </c>
      <c r="DV1074" s="100">
        <v>11</v>
      </c>
      <c r="DY1074" s="100">
        <v>4</v>
      </c>
      <c r="DZ1074" s="100">
        <v>12</v>
      </c>
      <c r="ED1074" s="100">
        <v>18</v>
      </c>
      <c r="EF1074" s="100">
        <v>6</v>
      </c>
      <c r="EI1074" s="100">
        <v>14</v>
      </c>
      <c r="EJ1074" s="100">
        <v>6</v>
      </c>
      <c r="EK1074" s="100">
        <v>6</v>
      </c>
      <c r="EM1074" s="100">
        <v>12</v>
      </c>
      <c r="EO1074" s="100">
        <v>4</v>
      </c>
      <c r="EQ1074" s="100">
        <v>8</v>
      </c>
      <c r="ER1074" s="100">
        <v>3</v>
      </c>
      <c r="ET1074" s="100">
        <v>6</v>
      </c>
      <c r="EU1074" s="100">
        <v>11</v>
      </c>
      <c r="EY1074" s="100">
        <v>9</v>
      </c>
      <c r="ON1074" s="100">
        <f t="shared" si="329"/>
        <v>0</v>
      </c>
    </row>
    <row r="1075" spans="1:404" ht="23.25" customHeight="1">
      <c r="A1075" s="97" t="str">
        <f t="shared" si="335"/>
        <v>067/WESTELM-2166-83400-03-B</v>
      </c>
      <c r="B1075" s="95">
        <v>44476</v>
      </c>
      <c r="C1075" s="97">
        <f t="shared" ca="1" si="336"/>
        <v>-588</v>
      </c>
      <c r="D1075" s="96" t="s">
        <v>902</v>
      </c>
      <c r="E1075" s="94" t="s">
        <v>853</v>
      </c>
      <c r="F1075" s="98" t="str">
        <f t="shared" si="337"/>
        <v>B</v>
      </c>
      <c r="G1075" s="110">
        <f ca="1">SUMIF($A:E,$A1075,K:K)</f>
        <v>300</v>
      </c>
      <c r="H1075" s="97" t="s">
        <v>616</v>
      </c>
      <c r="I1075" s="98">
        <v>300</v>
      </c>
      <c r="J1075" s="99">
        <v>300</v>
      </c>
      <c r="K1075" s="143">
        <f t="shared" si="328"/>
        <v>300</v>
      </c>
      <c r="L1075" s="144">
        <f t="shared" si="330"/>
        <v>0</v>
      </c>
      <c r="M1075" s="275">
        <f t="shared" si="327"/>
        <v>300</v>
      </c>
      <c r="N1075" s="98">
        <v>1</v>
      </c>
      <c r="O1075" s="93">
        <f t="shared" si="333"/>
        <v>100</v>
      </c>
      <c r="EV1075" s="100">
        <v>4</v>
      </c>
      <c r="EW1075" s="100">
        <v>10</v>
      </c>
      <c r="EX1075" s="100">
        <v>6</v>
      </c>
      <c r="EY1075" s="100">
        <v>6</v>
      </c>
      <c r="FB1075" s="100">
        <v>12</v>
      </c>
      <c r="FD1075" s="100">
        <v>6</v>
      </c>
      <c r="FE1075" s="100">
        <v>6</v>
      </c>
      <c r="FF1075" s="100">
        <v>6</v>
      </c>
      <c r="FI1075" s="100">
        <v>9</v>
      </c>
      <c r="FJ1075" s="100">
        <v>5</v>
      </c>
      <c r="FK1075" s="100">
        <v>5</v>
      </c>
      <c r="FL1075" s="100">
        <v>6</v>
      </c>
      <c r="FM1075" s="100">
        <v>6</v>
      </c>
      <c r="FO1075" s="100">
        <v>12</v>
      </c>
      <c r="FQ1075" s="100">
        <v>6</v>
      </c>
      <c r="FT1075" s="100">
        <v>24</v>
      </c>
      <c r="FU1075" s="100">
        <v>6</v>
      </c>
      <c r="HB1075" s="100">
        <v>9</v>
      </c>
      <c r="HC1075" s="100">
        <v>3</v>
      </c>
      <c r="HD1075" s="100">
        <v>17</v>
      </c>
      <c r="HE1075" s="100">
        <v>10</v>
      </c>
      <c r="HG1075" s="100">
        <v>5</v>
      </c>
      <c r="HI1075" s="100">
        <v>4</v>
      </c>
      <c r="HK1075" s="100">
        <v>7</v>
      </c>
      <c r="HL1075" s="100">
        <v>15</v>
      </c>
      <c r="HM1075" s="100">
        <v>2</v>
      </c>
      <c r="HN1075" s="100">
        <v>17</v>
      </c>
      <c r="HP1075" s="100">
        <v>17</v>
      </c>
      <c r="HR1075" s="100">
        <v>9</v>
      </c>
      <c r="HS1075" s="100">
        <v>9</v>
      </c>
      <c r="HT1075" s="100">
        <v>9</v>
      </c>
      <c r="HW1075" s="100">
        <v>9</v>
      </c>
      <c r="IF1075" s="100">
        <v>23</v>
      </c>
      <c r="ON1075" s="100">
        <f t="shared" si="329"/>
        <v>0</v>
      </c>
    </row>
    <row r="1076" spans="1:404" ht="23.25" customHeight="1">
      <c r="A1076" s="97" t="str">
        <f t="shared" si="335"/>
        <v>223/KHBS-2166-83400-03-B</v>
      </c>
      <c r="B1076" s="95">
        <v>44402</v>
      </c>
      <c r="C1076" s="97">
        <f t="shared" ca="1" si="336"/>
        <v>-662</v>
      </c>
      <c r="D1076" s="96" t="s">
        <v>1416</v>
      </c>
      <c r="E1076" s="94" t="s">
        <v>853</v>
      </c>
      <c r="F1076" s="98" t="str">
        <f t="shared" si="337"/>
        <v>B</v>
      </c>
      <c r="G1076" s="110">
        <f ca="1">SUMIF($A:E,$A1076,K:K)</f>
        <v>1</v>
      </c>
      <c r="H1076" s="97" t="s">
        <v>616</v>
      </c>
      <c r="I1076" s="98">
        <v>1</v>
      </c>
      <c r="J1076" s="99">
        <v>1</v>
      </c>
      <c r="K1076" s="143">
        <f t="shared" si="328"/>
        <v>1</v>
      </c>
      <c r="L1076" s="144">
        <f t="shared" si="330"/>
        <v>0</v>
      </c>
      <c r="M1076" s="275">
        <f t="shared" si="327"/>
        <v>1</v>
      </c>
      <c r="N1076" s="98">
        <v>1</v>
      </c>
      <c r="O1076" s="93">
        <f t="shared" si="333"/>
        <v>100</v>
      </c>
      <c r="HC1076" s="100">
        <v>1</v>
      </c>
      <c r="ON1076" s="100">
        <f t="shared" si="329"/>
        <v>0</v>
      </c>
    </row>
    <row r="1077" spans="1:404" ht="23.25" customHeight="1">
      <c r="A1077" s="97" t="str">
        <f t="shared" si="335"/>
        <v>067/WESTELM-2166-83400-03-01</v>
      </c>
      <c r="B1077" s="95">
        <v>44484</v>
      </c>
      <c r="C1077" s="97">
        <f t="shared" ca="1" si="336"/>
        <v>-580</v>
      </c>
      <c r="D1077" s="96" t="s">
        <v>902</v>
      </c>
      <c r="E1077" s="94" t="s">
        <v>852</v>
      </c>
      <c r="F1077" s="98" t="str">
        <f t="shared" si="337"/>
        <v>01</v>
      </c>
      <c r="G1077" s="110">
        <f ca="1">SUMIF($A:E,$A1077,K:K)</f>
        <v>300</v>
      </c>
      <c r="H1077" s="97" t="s">
        <v>505</v>
      </c>
      <c r="I1077" s="98">
        <v>300</v>
      </c>
      <c r="J1077" s="99">
        <v>300</v>
      </c>
      <c r="K1077" s="143">
        <f t="shared" si="328"/>
        <v>300</v>
      </c>
      <c r="L1077" s="144">
        <f t="shared" si="330"/>
        <v>0</v>
      </c>
      <c r="M1077" s="275">
        <f t="shared" si="327"/>
        <v>300</v>
      </c>
      <c r="N1077" s="98">
        <v>4</v>
      </c>
      <c r="O1077" s="93">
        <f t="shared" ref="O1077:O1110" si="338">K1077/J1077*100</f>
        <v>100</v>
      </c>
      <c r="EH1077" s="100">
        <v>10</v>
      </c>
      <c r="EI1077" s="100">
        <v>10</v>
      </c>
      <c r="EJ1077" s="100">
        <v>8</v>
      </c>
      <c r="EM1077" s="100">
        <v>16</v>
      </c>
      <c r="EN1077" s="100">
        <v>10</v>
      </c>
      <c r="EP1077" s="100">
        <v>13</v>
      </c>
      <c r="EQ1077" s="100">
        <v>27</v>
      </c>
      <c r="ER1077" s="100">
        <v>10</v>
      </c>
      <c r="EU1077" s="100">
        <v>19</v>
      </c>
      <c r="EV1077" s="100">
        <v>9</v>
      </c>
      <c r="EW1077" s="100">
        <v>17</v>
      </c>
      <c r="EX1077" s="100">
        <v>6</v>
      </c>
      <c r="FB1077" s="100">
        <v>15</v>
      </c>
      <c r="FC1077" s="100">
        <v>9</v>
      </c>
      <c r="FD1077" s="100">
        <v>19</v>
      </c>
      <c r="FE1077" s="100">
        <v>10</v>
      </c>
      <c r="FJ1077" s="100">
        <v>5</v>
      </c>
      <c r="FK1077" s="100">
        <v>6</v>
      </c>
      <c r="FM1077" s="100">
        <v>17</v>
      </c>
      <c r="FP1077" s="100">
        <v>6</v>
      </c>
      <c r="FQ1077" s="100">
        <v>32</v>
      </c>
      <c r="FR1077" s="100">
        <v>9</v>
      </c>
      <c r="FS1077" s="100">
        <v>17</v>
      </c>
      <c r="ON1077" s="100">
        <f t="shared" si="329"/>
        <v>0</v>
      </c>
    </row>
    <row r="1078" spans="1:404" ht="23.25" customHeight="1">
      <c r="A1078" s="97" t="str">
        <f t="shared" si="335"/>
        <v>008T/WESTELM-2166-83300-03-01</v>
      </c>
      <c r="B1078" s="95">
        <v>44393</v>
      </c>
      <c r="C1078" s="97">
        <f t="shared" ca="1" si="336"/>
        <v>-671</v>
      </c>
      <c r="D1078" s="96" t="s">
        <v>885</v>
      </c>
      <c r="E1078" s="94" t="s">
        <v>1070</v>
      </c>
      <c r="F1078" s="98" t="str">
        <f t="shared" si="337"/>
        <v>01</v>
      </c>
      <c r="G1078" s="110">
        <f ca="1">SUMIF($A:E,$A1078,K:K)</f>
        <v>366</v>
      </c>
      <c r="H1078" s="97" t="s">
        <v>505</v>
      </c>
      <c r="I1078" s="98">
        <v>366</v>
      </c>
      <c r="J1078" s="99">
        <v>366</v>
      </c>
      <c r="K1078" s="143">
        <f t="shared" si="328"/>
        <v>366</v>
      </c>
      <c r="L1078" s="144">
        <f t="shared" si="330"/>
        <v>0</v>
      </c>
      <c r="M1078" s="275">
        <f t="shared" si="327"/>
        <v>366</v>
      </c>
      <c r="N1078" s="98">
        <v>2</v>
      </c>
      <c r="O1078" s="93">
        <f t="shared" si="338"/>
        <v>100</v>
      </c>
      <c r="EW1078" s="100">
        <v>21</v>
      </c>
      <c r="EX1078" s="100">
        <v>12</v>
      </c>
      <c r="EY1078" s="100">
        <v>12</v>
      </c>
      <c r="FA1078" s="100">
        <v>12</v>
      </c>
      <c r="FB1078" s="100">
        <v>6</v>
      </c>
      <c r="FC1078" s="100">
        <v>6</v>
      </c>
      <c r="FE1078" s="100">
        <v>19</v>
      </c>
      <c r="FF1078" s="100">
        <v>12</v>
      </c>
      <c r="FH1078" s="100">
        <v>1</v>
      </c>
      <c r="FI1078" s="100">
        <v>13</v>
      </c>
      <c r="FJ1078" s="100">
        <v>26</v>
      </c>
      <c r="FL1078" s="100">
        <v>14</v>
      </c>
      <c r="FM1078" s="100">
        <v>10</v>
      </c>
      <c r="FO1078" s="100">
        <v>27</v>
      </c>
      <c r="FP1078" s="100">
        <v>15</v>
      </c>
      <c r="FR1078" s="100">
        <v>11</v>
      </c>
      <c r="FT1078" s="100">
        <v>17</v>
      </c>
      <c r="FU1078" s="100">
        <v>11</v>
      </c>
      <c r="FV1078" s="100">
        <v>15</v>
      </c>
      <c r="FW1078" s="100">
        <v>18</v>
      </c>
      <c r="FX1078" s="100">
        <v>14</v>
      </c>
      <c r="GA1078" s="100">
        <v>7</v>
      </c>
      <c r="GB1078" s="100">
        <v>36</v>
      </c>
      <c r="GC1078" s="100">
        <v>11</v>
      </c>
      <c r="GD1078" s="100">
        <v>13</v>
      </c>
      <c r="GG1078" s="100">
        <v>7</v>
      </c>
      <c r="ON1078" s="100">
        <f t="shared" si="329"/>
        <v>0</v>
      </c>
    </row>
    <row r="1079" spans="1:404" ht="23.25" customHeight="1">
      <c r="A1079" s="97" t="str">
        <f t="shared" si="335"/>
        <v>021T/WESTELM-2166-83237-02-B4</v>
      </c>
      <c r="B1079" s="95">
        <v>44408</v>
      </c>
      <c r="C1079" s="97">
        <f t="shared" ca="1" si="336"/>
        <v>-656</v>
      </c>
      <c r="D1079" s="96" t="s">
        <v>1080</v>
      </c>
      <c r="E1079" s="94" t="s">
        <v>1082</v>
      </c>
      <c r="F1079" s="98" t="str">
        <f t="shared" si="337"/>
        <v>B4</v>
      </c>
      <c r="G1079" s="110">
        <f ca="1">SUMIF($A:E,$A1079,K:K)</f>
        <v>319</v>
      </c>
      <c r="H1079" s="97" t="s">
        <v>508</v>
      </c>
      <c r="I1079" s="98">
        <v>319</v>
      </c>
      <c r="J1079" s="97">
        <v>319</v>
      </c>
      <c r="K1079" s="143">
        <f t="shared" si="328"/>
        <v>319</v>
      </c>
      <c r="L1079" s="144">
        <f t="shared" si="330"/>
        <v>0</v>
      </c>
      <c r="M1079" s="275">
        <f t="shared" si="327"/>
        <v>319</v>
      </c>
      <c r="N1079" s="98">
        <v>3</v>
      </c>
      <c r="O1079" s="93">
        <f t="shared" si="338"/>
        <v>100</v>
      </c>
      <c r="FF1079" s="100">
        <v>6</v>
      </c>
      <c r="FH1079" s="100">
        <v>11</v>
      </c>
      <c r="FJ1079" s="100">
        <v>2</v>
      </c>
      <c r="FK1079" s="100">
        <v>16</v>
      </c>
      <c r="FL1079" s="100">
        <v>1</v>
      </c>
      <c r="FM1079" s="100">
        <v>2</v>
      </c>
      <c r="FO1079" s="100">
        <v>2</v>
      </c>
      <c r="FP1079" s="100">
        <v>5</v>
      </c>
      <c r="FQ1079" s="100">
        <v>10</v>
      </c>
      <c r="FR1079" s="100">
        <v>8</v>
      </c>
      <c r="FS1079" s="100">
        <v>7</v>
      </c>
      <c r="FT1079" s="100">
        <v>5</v>
      </c>
      <c r="FU1079" s="100">
        <v>9</v>
      </c>
      <c r="FV1079" s="100">
        <v>14</v>
      </c>
      <c r="FW1079" s="100">
        <v>9</v>
      </c>
      <c r="FX1079" s="100">
        <v>8</v>
      </c>
      <c r="FZ1079" s="100">
        <v>9</v>
      </c>
      <c r="GB1079" s="100">
        <v>14</v>
      </c>
      <c r="GC1079" s="100">
        <v>12</v>
      </c>
      <c r="GD1079" s="100">
        <v>10</v>
      </c>
      <c r="GE1079" s="100">
        <v>9</v>
      </c>
      <c r="GG1079" s="100">
        <v>12</v>
      </c>
      <c r="GH1079" s="100">
        <v>5</v>
      </c>
      <c r="GI1079" s="100">
        <v>13</v>
      </c>
      <c r="GJ1079" s="100">
        <v>13</v>
      </c>
      <c r="GK1079" s="100">
        <v>6</v>
      </c>
      <c r="GN1079" s="100">
        <v>10</v>
      </c>
      <c r="GO1079" s="100">
        <v>12</v>
      </c>
      <c r="GQ1079" s="100">
        <v>20</v>
      </c>
      <c r="GR1079" s="100">
        <v>9</v>
      </c>
      <c r="GS1079" s="100">
        <v>14</v>
      </c>
      <c r="GV1079" s="100">
        <v>22</v>
      </c>
      <c r="GW1079" s="100">
        <v>7</v>
      </c>
      <c r="GY1079" s="100">
        <v>7</v>
      </c>
      <c r="ON1079" s="100">
        <f t="shared" si="329"/>
        <v>0</v>
      </c>
    </row>
    <row r="1080" spans="1:404" ht="23.25" customHeight="1">
      <c r="A1080" s="97" t="str">
        <f t="shared" si="335"/>
        <v>004/OBI-2166-83237-02-B4</v>
      </c>
      <c r="B1080" s="95">
        <v>44456</v>
      </c>
      <c r="C1080" s="97">
        <f t="shared" ca="1" si="336"/>
        <v>-608</v>
      </c>
      <c r="D1080" s="96" t="s">
        <v>1137</v>
      </c>
      <c r="E1080" s="94" t="s">
        <v>1082</v>
      </c>
      <c r="F1080" s="98" t="str">
        <f t="shared" si="337"/>
        <v>B4</v>
      </c>
      <c r="G1080" s="110">
        <f ca="1">SUMIF($A:E,$A1080,K:K)</f>
        <v>88</v>
      </c>
      <c r="H1080" s="97" t="s">
        <v>616</v>
      </c>
      <c r="I1080" s="98">
        <v>88</v>
      </c>
      <c r="J1080" s="97">
        <v>88</v>
      </c>
      <c r="K1080" s="143">
        <f t="shared" si="328"/>
        <v>88</v>
      </c>
      <c r="L1080" s="144">
        <f t="shared" si="330"/>
        <v>0</v>
      </c>
      <c r="M1080" s="275">
        <f t="shared" si="327"/>
        <v>88</v>
      </c>
      <c r="N1080" s="98">
        <v>2</v>
      </c>
      <c r="O1080" s="93">
        <f t="shared" si="338"/>
        <v>100</v>
      </c>
      <c r="IG1080" s="100">
        <v>8</v>
      </c>
      <c r="II1080" s="100">
        <v>12</v>
      </c>
      <c r="IK1080" s="100">
        <v>10</v>
      </c>
      <c r="IL1080" s="100">
        <v>20</v>
      </c>
      <c r="IM1080" s="100">
        <v>9</v>
      </c>
      <c r="IN1080" s="100">
        <v>2</v>
      </c>
      <c r="IO1080" s="100">
        <v>23</v>
      </c>
      <c r="IS1080" s="100">
        <v>4</v>
      </c>
      <c r="ON1080" s="100">
        <f t="shared" si="329"/>
        <v>0</v>
      </c>
    </row>
    <row r="1081" spans="1:404" ht="23.25" customHeight="1">
      <c r="A1081" s="97" t="str">
        <f t="shared" si="335"/>
        <v>236/KHBS-2166-83237-02-B4</v>
      </c>
      <c r="B1081" s="95">
        <v>44422</v>
      </c>
      <c r="C1081" s="97">
        <f t="shared" ca="1" si="336"/>
        <v>-642</v>
      </c>
      <c r="D1081" s="96" t="s">
        <v>1617</v>
      </c>
      <c r="E1081" s="94" t="s">
        <v>1082</v>
      </c>
      <c r="F1081" s="98" t="str">
        <f t="shared" si="337"/>
        <v>B4</v>
      </c>
      <c r="G1081" s="110">
        <f ca="1">SUMIF($A:E,$A1081,K:K)</f>
        <v>3</v>
      </c>
      <c r="H1081" s="97" t="s">
        <v>616</v>
      </c>
      <c r="I1081" s="98">
        <v>3</v>
      </c>
      <c r="J1081" s="99">
        <v>3</v>
      </c>
      <c r="K1081" s="143">
        <f t="shared" si="328"/>
        <v>3</v>
      </c>
      <c r="L1081" s="144">
        <f t="shared" si="330"/>
        <v>0</v>
      </c>
      <c r="M1081" s="275">
        <f t="shared" si="327"/>
        <v>3</v>
      </c>
      <c r="N1081" s="98">
        <v>3</v>
      </c>
      <c r="O1081" s="93">
        <f t="shared" si="338"/>
        <v>100</v>
      </c>
      <c r="HI1081" s="100">
        <v>3</v>
      </c>
      <c r="ON1081" s="100">
        <f t="shared" si="329"/>
        <v>0</v>
      </c>
    </row>
    <row r="1082" spans="1:404" ht="23.25" customHeight="1">
      <c r="A1082" s="97" t="str">
        <f t="shared" si="335"/>
        <v>035T/WESTELM-2166-83237-02-B4</v>
      </c>
      <c r="B1082" s="95">
        <v>44546</v>
      </c>
      <c r="C1082" s="97">
        <f t="shared" ca="1" si="336"/>
        <v>-518</v>
      </c>
      <c r="D1082" s="112" t="s">
        <v>1773</v>
      </c>
      <c r="E1082" s="123" t="s">
        <v>1082</v>
      </c>
      <c r="F1082" s="98" t="str">
        <f t="shared" si="337"/>
        <v>B4</v>
      </c>
      <c r="G1082" s="224">
        <f ca="1">SUMIF($A:E,$A1082,K:K)</f>
        <v>307</v>
      </c>
      <c r="H1082" s="97" t="s">
        <v>616</v>
      </c>
      <c r="I1082" s="175">
        <v>307</v>
      </c>
      <c r="J1082" s="115">
        <v>307</v>
      </c>
      <c r="K1082" s="143">
        <f t="shared" si="328"/>
        <v>307</v>
      </c>
      <c r="L1082" s="144">
        <f t="shared" si="330"/>
        <v>0</v>
      </c>
      <c r="M1082" s="275">
        <f t="shared" si="327"/>
        <v>307</v>
      </c>
      <c r="N1082" s="98">
        <v>2</v>
      </c>
      <c r="O1082" s="93">
        <f t="shared" si="338"/>
        <v>100</v>
      </c>
      <c r="IT1082" s="100">
        <v>15</v>
      </c>
      <c r="IU1082" s="100">
        <v>6</v>
      </c>
      <c r="IV1082" s="100">
        <v>6</v>
      </c>
      <c r="IW1082" s="100">
        <v>6</v>
      </c>
      <c r="IZ1082" s="100">
        <v>12</v>
      </c>
      <c r="JA1082" s="100">
        <v>6</v>
      </c>
      <c r="JB1082" s="100">
        <v>4</v>
      </c>
      <c r="JD1082" s="100">
        <v>3</v>
      </c>
      <c r="JF1082" s="100">
        <v>5</v>
      </c>
      <c r="JG1082" s="100">
        <v>8</v>
      </c>
      <c r="JH1082" s="100">
        <v>6</v>
      </c>
      <c r="JI1082" s="100">
        <v>4</v>
      </c>
      <c r="JJ1082" s="100">
        <v>6</v>
      </c>
      <c r="JK1082" s="100">
        <v>4</v>
      </c>
      <c r="JM1082" s="100">
        <v>6</v>
      </c>
      <c r="JN1082" s="100">
        <v>5</v>
      </c>
      <c r="JO1082" s="100">
        <v>6</v>
      </c>
      <c r="JP1082" s="100">
        <v>11</v>
      </c>
      <c r="JR1082" s="100">
        <v>5</v>
      </c>
      <c r="JT1082" s="100">
        <v>6</v>
      </c>
      <c r="JU1082" s="100">
        <v>10</v>
      </c>
      <c r="JV1082" s="100">
        <v>6</v>
      </c>
      <c r="JY1082" s="100">
        <v>14</v>
      </c>
      <c r="KA1082" s="100">
        <v>8</v>
      </c>
      <c r="KB1082" s="100">
        <v>8</v>
      </c>
      <c r="KC1082" s="100">
        <v>12</v>
      </c>
      <c r="KE1082" s="100">
        <v>7</v>
      </c>
      <c r="LC1082" s="100">
        <v>10</v>
      </c>
      <c r="LG1082" s="100">
        <v>25</v>
      </c>
      <c r="LK1082" s="100">
        <v>15</v>
      </c>
      <c r="LL1082" s="100">
        <v>10</v>
      </c>
      <c r="LN1082" s="100">
        <v>23</v>
      </c>
      <c r="LP1082" s="100">
        <v>14</v>
      </c>
      <c r="LQ1082" s="100">
        <v>6</v>
      </c>
      <c r="LS1082" s="100">
        <v>9</v>
      </c>
      <c r="ON1082" s="100">
        <f t="shared" si="329"/>
        <v>0</v>
      </c>
    </row>
    <row r="1083" spans="1:404" ht="23.25" customHeight="1">
      <c r="A1083" s="97" t="str">
        <f t="shared" si="335"/>
        <v>021T/WESTELM-2166-83237-01-B4</v>
      </c>
      <c r="B1083" s="95">
        <v>44408</v>
      </c>
      <c r="C1083" s="97">
        <f t="shared" ca="1" si="336"/>
        <v>-656</v>
      </c>
      <c r="D1083" s="96" t="s">
        <v>1080</v>
      </c>
      <c r="E1083" s="94" t="s">
        <v>1105</v>
      </c>
      <c r="F1083" s="98" t="str">
        <f t="shared" si="337"/>
        <v>B4</v>
      </c>
      <c r="G1083" s="110">
        <f ca="1">SUMIF($A:E,$A1083,K:K)</f>
        <v>320</v>
      </c>
      <c r="H1083" s="97" t="s">
        <v>508</v>
      </c>
      <c r="I1083" s="98">
        <v>320</v>
      </c>
      <c r="J1083" s="97">
        <v>320</v>
      </c>
      <c r="K1083" s="143">
        <f t="shared" si="328"/>
        <v>320</v>
      </c>
      <c r="L1083" s="144">
        <f t="shared" si="330"/>
        <v>0</v>
      </c>
      <c r="M1083" s="275">
        <f t="shared" si="327"/>
        <v>320</v>
      </c>
      <c r="N1083" s="98">
        <v>3</v>
      </c>
      <c r="O1083" s="93">
        <f t="shared" si="338"/>
        <v>100</v>
      </c>
      <c r="FF1083" s="100">
        <v>3</v>
      </c>
      <c r="FH1083" s="100">
        <v>13</v>
      </c>
      <c r="FJ1083" s="100">
        <v>5</v>
      </c>
      <c r="FK1083" s="100">
        <v>12</v>
      </c>
      <c r="FL1083" s="100">
        <v>3</v>
      </c>
      <c r="FM1083" s="100">
        <v>6</v>
      </c>
      <c r="FO1083" s="100">
        <v>4</v>
      </c>
      <c r="FP1083" s="100">
        <v>6</v>
      </c>
      <c r="FQ1083" s="100">
        <v>10</v>
      </c>
      <c r="FR1083" s="100">
        <v>10</v>
      </c>
      <c r="FS1083" s="100">
        <v>12</v>
      </c>
      <c r="FT1083" s="100">
        <v>6</v>
      </c>
      <c r="FU1083" s="100">
        <v>12</v>
      </c>
      <c r="FV1083" s="100">
        <v>9</v>
      </c>
      <c r="FW1083" s="100">
        <v>12</v>
      </c>
      <c r="FX1083" s="100">
        <v>6</v>
      </c>
      <c r="FZ1083" s="100">
        <v>14</v>
      </c>
      <c r="GB1083" s="100">
        <v>16</v>
      </c>
      <c r="GC1083" s="100">
        <v>12</v>
      </c>
      <c r="GD1083" s="100">
        <v>12</v>
      </c>
      <c r="GE1083" s="100">
        <v>11</v>
      </c>
      <c r="GG1083" s="100">
        <v>11</v>
      </c>
      <c r="GH1083" s="100">
        <v>6</v>
      </c>
      <c r="GI1083" s="100">
        <v>12</v>
      </c>
      <c r="GJ1083" s="100">
        <v>11</v>
      </c>
      <c r="GK1083" s="100">
        <v>4</v>
      </c>
      <c r="GN1083" s="100">
        <v>11</v>
      </c>
      <c r="GO1083" s="100">
        <v>13</v>
      </c>
      <c r="GP1083" s="100">
        <v>8</v>
      </c>
      <c r="GQ1083" s="100">
        <v>16</v>
      </c>
      <c r="GR1083" s="100">
        <v>9</v>
      </c>
      <c r="GS1083" s="100">
        <v>11</v>
      </c>
      <c r="GU1083" s="100">
        <v>1</v>
      </c>
      <c r="GV1083" s="100">
        <v>6</v>
      </c>
      <c r="GX1083" s="100">
        <v>1</v>
      </c>
      <c r="GY1083" s="100">
        <v>6</v>
      </c>
      <c r="ON1083" s="100">
        <f t="shared" si="329"/>
        <v>0</v>
      </c>
    </row>
    <row r="1084" spans="1:404" ht="23.25" customHeight="1">
      <c r="A1084" s="97" t="str">
        <f t="shared" si="335"/>
        <v>004/OBI-2166-83237-01-B4</v>
      </c>
      <c r="B1084" s="95">
        <v>44456</v>
      </c>
      <c r="C1084" s="97">
        <f t="shared" ca="1" si="336"/>
        <v>-608</v>
      </c>
      <c r="D1084" s="96" t="s">
        <v>1137</v>
      </c>
      <c r="E1084" s="94" t="s">
        <v>1105</v>
      </c>
      <c r="F1084" s="98" t="str">
        <f t="shared" si="337"/>
        <v>B4</v>
      </c>
      <c r="G1084" s="110">
        <f ca="1">SUMIF($A:E,$A1084,K:K)</f>
        <v>88</v>
      </c>
      <c r="H1084" s="97" t="s">
        <v>616</v>
      </c>
      <c r="I1084" s="98">
        <v>88</v>
      </c>
      <c r="J1084" s="97">
        <v>88</v>
      </c>
      <c r="K1084" s="143">
        <f t="shared" si="328"/>
        <v>88</v>
      </c>
      <c r="L1084" s="144">
        <f t="shared" si="330"/>
        <v>0</v>
      </c>
      <c r="M1084" s="275">
        <f t="shared" ref="M1084:M1118" si="339">IF(OR(MID(E1084,10,1)="0",MID(E1084,10,1)="F"),I1084,IF(OR(,MID(E1084,10,1)="S",MID(E1084,10,1)="L",MID(E1084,10,1)="B",MID(E1084,10,1)="X"),MID(E1084,11,1)*I1084,0))</f>
        <v>88</v>
      </c>
      <c r="N1084" s="98">
        <v>2</v>
      </c>
      <c r="O1084" s="93">
        <f t="shared" si="338"/>
        <v>100</v>
      </c>
      <c r="IG1084" s="100">
        <v>8</v>
      </c>
      <c r="II1084" s="100">
        <v>12</v>
      </c>
      <c r="IK1084" s="100">
        <v>10</v>
      </c>
      <c r="IL1084" s="100">
        <v>20</v>
      </c>
      <c r="IM1084" s="100">
        <v>9</v>
      </c>
      <c r="IN1084" s="100">
        <v>2</v>
      </c>
      <c r="IO1084" s="100">
        <v>23</v>
      </c>
      <c r="IS1084" s="100">
        <v>4</v>
      </c>
      <c r="ON1084" s="100">
        <f t="shared" si="329"/>
        <v>0</v>
      </c>
    </row>
    <row r="1085" spans="1:404" ht="23.25" customHeight="1">
      <c r="A1085" s="97" t="str">
        <f t="shared" si="335"/>
        <v>025T/WESTELM-2166-83237-01-B4</v>
      </c>
      <c r="B1085" s="95">
        <v>44445</v>
      </c>
      <c r="C1085" s="97">
        <f t="shared" ca="1" si="336"/>
        <v>-619</v>
      </c>
      <c r="D1085" s="112" t="s">
        <v>1447</v>
      </c>
      <c r="E1085" s="123" t="s">
        <v>1105</v>
      </c>
      <c r="F1085" s="98" t="str">
        <f t="shared" si="337"/>
        <v>B4</v>
      </c>
      <c r="G1085" s="110">
        <f ca="1">SUMIF($A:E,$A1085,K:K)</f>
        <v>225</v>
      </c>
      <c r="H1085" s="97" t="s">
        <v>616</v>
      </c>
      <c r="I1085" s="175">
        <v>225</v>
      </c>
      <c r="J1085" s="115">
        <v>225</v>
      </c>
      <c r="K1085" s="143">
        <f t="shared" si="328"/>
        <v>225</v>
      </c>
      <c r="L1085" s="144">
        <f t="shared" si="330"/>
        <v>0</v>
      </c>
      <c r="M1085" s="275">
        <f t="shared" si="339"/>
        <v>225</v>
      </c>
      <c r="N1085" s="98">
        <v>2</v>
      </c>
      <c r="O1085" s="93">
        <f t="shared" si="338"/>
        <v>100</v>
      </c>
      <c r="HM1085" s="100">
        <v>6</v>
      </c>
      <c r="HP1085" s="100">
        <v>7</v>
      </c>
      <c r="HQ1085" s="100">
        <v>11</v>
      </c>
      <c r="HR1085" s="100">
        <v>12</v>
      </c>
      <c r="HS1085" s="100">
        <v>22</v>
      </c>
      <c r="HT1085" s="100">
        <v>10</v>
      </c>
      <c r="HU1085" s="100">
        <v>39</v>
      </c>
      <c r="HW1085" s="100">
        <v>18</v>
      </c>
      <c r="HX1085" s="100">
        <v>27</v>
      </c>
      <c r="HY1085" s="100">
        <v>24</v>
      </c>
      <c r="IB1085" s="100">
        <v>3</v>
      </c>
      <c r="ID1085" s="100">
        <v>17</v>
      </c>
      <c r="IE1085" s="100">
        <v>27</v>
      </c>
      <c r="IF1085" s="100">
        <v>2</v>
      </c>
      <c r="ON1085" s="100">
        <f t="shared" si="329"/>
        <v>0</v>
      </c>
    </row>
    <row r="1086" spans="1:404" ht="23.25" customHeight="1">
      <c r="A1086" s="97" t="str">
        <f t="shared" ref="A1086:A1112" si="340">D1086&amp;E1086</f>
        <v>026T/WESTELM-2166-83237-01-B4</v>
      </c>
      <c r="B1086" s="95">
        <v>44454</v>
      </c>
      <c r="C1086" s="97">
        <f t="shared" ca="1" si="336"/>
        <v>-610</v>
      </c>
      <c r="D1086" s="112" t="s">
        <v>1448</v>
      </c>
      <c r="E1086" s="123" t="s">
        <v>1105</v>
      </c>
      <c r="F1086" s="98" t="str">
        <f t="shared" ref="F1086:F1112" si="341">MID(E1086,13,2)</f>
        <v>B4</v>
      </c>
      <c r="G1086" s="110">
        <f ca="1">SUMIF($A:E,$A1086,K:K)</f>
        <v>75</v>
      </c>
      <c r="H1086" s="97" t="s">
        <v>616</v>
      </c>
      <c r="I1086" s="175">
        <v>75</v>
      </c>
      <c r="J1086" s="115">
        <v>75</v>
      </c>
      <c r="K1086" s="143">
        <f t="shared" si="328"/>
        <v>75</v>
      </c>
      <c r="L1086" s="144">
        <f t="shared" si="330"/>
        <v>0</v>
      </c>
      <c r="M1086" s="275">
        <f t="shared" si="339"/>
        <v>75</v>
      </c>
      <c r="N1086" s="98">
        <v>2</v>
      </c>
      <c r="O1086" s="93">
        <f t="shared" si="338"/>
        <v>100</v>
      </c>
      <c r="IF1086" s="100">
        <v>1</v>
      </c>
      <c r="IG1086" s="100">
        <v>38</v>
      </c>
      <c r="IH1086" s="100">
        <v>3</v>
      </c>
      <c r="II1086" s="100">
        <v>17</v>
      </c>
      <c r="IK1086" s="100">
        <v>1</v>
      </c>
      <c r="IL1086" s="100">
        <v>15</v>
      </c>
      <c r="ON1086" s="100">
        <f t="shared" si="329"/>
        <v>0</v>
      </c>
    </row>
    <row r="1087" spans="1:404" ht="23.25" customHeight="1">
      <c r="A1087" s="97" t="str">
        <f t="shared" si="340"/>
        <v>035T/WESTELM-2166-83237-01-B4</v>
      </c>
      <c r="B1087" s="95">
        <v>44546</v>
      </c>
      <c r="C1087" s="97">
        <f t="shared" ca="1" si="336"/>
        <v>-518</v>
      </c>
      <c r="D1087" s="112" t="s">
        <v>1773</v>
      </c>
      <c r="E1087" s="123" t="s">
        <v>1105</v>
      </c>
      <c r="F1087" s="98" t="str">
        <f t="shared" si="341"/>
        <v>B4</v>
      </c>
      <c r="G1087" s="110">
        <f ca="1">SUMIF($A:E,$A1087,K:K)</f>
        <v>219</v>
      </c>
      <c r="H1087" s="97" t="s">
        <v>616</v>
      </c>
      <c r="I1087" s="175">
        <v>219</v>
      </c>
      <c r="J1087" s="115">
        <v>219</v>
      </c>
      <c r="K1087" s="143">
        <f t="shared" si="328"/>
        <v>219</v>
      </c>
      <c r="L1087" s="144">
        <f t="shared" si="330"/>
        <v>0</v>
      </c>
      <c r="M1087" s="275">
        <f t="shared" si="339"/>
        <v>219</v>
      </c>
      <c r="N1087" s="98">
        <v>2</v>
      </c>
      <c r="O1087" s="93">
        <f t="shared" si="338"/>
        <v>100</v>
      </c>
      <c r="IM1087" s="100">
        <v>4</v>
      </c>
      <c r="IN1087" s="100">
        <v>5</v>
      </c>
      <c r="IR1087" s="100">
        <v>8</v>
      </c>
      <c r="IS1087" s="100">
        <v>3</v>
      </c>
      <c r="IT1087" s="100">
        <v>11</v>
      </c>
      <c r="IU1087" s="100">
        <v>1</v>
      </c>
      <c r="IV1087" s="100">
        <v>10</v>
      </c>
      <c r="IW1087" s="100">
        <v>10</v>
      </c>
      <c r="IY1087" s="100">
        <v>9</v>
      </c>
      <c r="IZ1087" s="100">
        <v>3</v>
      </c>
      <c r="JA1087" s="100">
        <v>10</v>
      </c>
      <c r="JB1087" s="100">
        <v>10</v>
      </c>
      <c r="JC1087" s="100">
        <v>5</v>
      </c>
      <c r="JF1087" s="100">
        <v>1</v>
      </c>
      <c r="JH1087" s="100">
        <v>3</v>
      </c>
      <c r="JI1087" s="100">
        <v>17</v>
      </c>
      <c r="JJ1087" s="100">
        <v>2</v>
      </c>
      <c r="JO1087" s="100">
        <v>8</v>
      </c>
      <c r="JR1087" s="100">
        <v>11</v>
      </c>
      <c r="JT1087" s="100">
        <v>9</v>
      </c>
      <c r="JU1087" s="100">
        <v>14</v>
      </c>
      <c r="JY1087" s="100">
        <v>9</v>
      </c>
      <c r="KA1087" s="100">
        <v>9</v>
      </c>
      <c r="KB1087" s="100">
        <v>13</v>
      </c>
      <c r="KC1087" s="100">
        <v>12</v>
      </c>
      <c r="KE1087" s="100">
        <v>15</v>
      </c>
      <c r="KG1087" s="100">
        <v>6</v>
      </c>
      <c r="LC1087" s="100">
        <v>1</v>
      </c>
      <c r="ON1087" s="100">
        <f t="shared" si="329"/>
        <v>0</v>
      </c>
    </row>
    <row r="1088" spans="1:404" ht="23.25" customHeight="1">
      <c r="A1088" s="97" t="str">
        <f t="shared" si="340"/>
        <v>003/WESTELM-2166-83237-01-B4</v>
      </c>
      <c r="B1088" s="95">
        <v>44455</v>
      </c>
      <c r="C1088" s="97">
        <f t="shared" ca="1" si="336"/>
        <v>-609</v>
      </c>
      <c r="D1088" s="112" t="s">
        <v>1824</v>
      </c>
      <c r="E1088" s="123" t="s">
        <v>1105</v>
      </c>
      <c r="F1088" s="98" t="str">
        <f t="shared" si="341"/>
        <v>B4</v>
      </c>
      <c r="G1088" s="110">
        <f ca="1">SUMIF($A:E,$A1088,K:K)</f>
        <v>11</v>
      </c>
      <c r="H1088" s="97" t="s">
        <v>616</v>
      </c>
      <c r="I1088" s="175">
        <v>11</v>
      </c>
      <c r="J1088" s="115">
        <v>11</v>
      </c>
      <c r="K1088" s="143">
        <f t="shared" si="328"/>
        <v>11</v>
      </c>
      <c r="L1088" s="144">
        <f t="shared" si="330"/>
        <v>0</v>
      </c>
      <c r="M1088" s="275">
        <f t="shared" si="339"/>
        <v>11</v>
      </c>
      <c r="N1088" s="98">
        <v>2</v>
      </c>
      <c r="O1088" s="93">
        <f t="shared" si="338"/>
        <v>100</v>
      </c>
      <c r="IL1088" s="100">
        <v>3</v>
      </c>
      <c r="IM1088" s="100">
        <v>8</v>
      </c>
      <c r="ON1088" s="100">
        <f t="shared" si="329"/>
        <v>0</v>
      </c>
    </row>
    <row r="1089" spans="1:404" ht="23.25" customHeight="1">
      <c r="A1089" s="97" t="str">
        <f t="shared" si="340"/>
        <v>059/WESTELM-2166-83200-02-B</v>
      </c>
      <c r="B1089" s="95">
        <v>44425</v>
      </c>
      <c r="C1089" s="97">
        <f t="shared" ca="1" si="336"/>
        <v>-639</v>
      </c>
      <c r="D1089" s="96" t="s">
        <v>893</v>
      </c>
      <c r="E1089" s="94" t="s">
        <v>850</v>
      </c>
      <c r="F1089" s="98" t="str">
        <f t="shared" si="341"/>
        <v>B</v>
      </c>
      <c r="G1089" s="110">
        <f ca="1">SUMIF($A:E,$A1089,K:K)</f>
        <v>30</v>
      </c>
      <c r="H1089" s="97" t="s">
        <v>616</v>
      </c>
      <c r="I1089" s="98">
        <v>30</v>
      </c>
      <c r="J1089" s="99">
        <v>30</v>
      </c>
      <c r="K1089" s="143">
        <f t="shared" si="328"/>
        <v>30</v>
      </c>
      <c r="L1089" s="144">
        <f t="shared" si="330"/>
        <v>0</v>
      </c>
      <c r="M1089" s="275">
        <f t="shared" si="339"/>
        <v>30</v>
      </c>
      <c r="N1089" s="98">
        <v>3</v>
      </c>
      <c r="O1089" s="93">
        <f t="shared" si="338"/>
        <v>100</v>
      </c>
      <c r="EM1089" s="100">
        <v>4</v>
      </c>
      <c r="EN1089" s="100">
        <v>6</v>
      </c>
      <c r="EO1089" s="100">
        <v>4</v>
      </c>
      <c r="EP1089" s="100">
        <v>5</v>
      </c>
      <c r="ER1089" s="100">
        <v>6</v>
      </c>
      <c r="EU1089" s="100">
        <v>5</v>
      </c>
      <c r="ON1089" s="100">
        <f t="shared" si="329"/>
        <v>0</v>
      </c>
    </row>
    <row r="1090" spans="1:404" ht="23.25" customHeight="1">
      <c r="A1090" s="97" t="str">
        <f t="shared" si="340"/>
        <v>061/WESTELM-2166-83200-02-B</v>
      </c>
      <c r="B1090" s="95">
        <v>44425</v>
      </c>
      <c r="C1090" s="97">
        <f t="shared" ca="1" si="336"/>
        <v>-639</v>
      </c>
      <c r="D1090" s="96" t="s">
        <v>896</v>
      </c>
      <c r="E1090" s="94" t="s">
        <v>850</v>
      </c>
      <c r="F1090" s="98" t="str">
        <f t="shared" si="341"/>
        <v>B</v>
      </c>
      <c r="G1090" s="110">
        <f ca="1">SUMIF($A:E,$A1090,K:K)</f>
        <v>42</v>
      </c>
      <c r="H1090" s="97" t="s">
        <v>616</v>
      </c>
      <c r="I1090" s="98">
        <v>42</v>
      </c>
      <c r="J1090" s="99">
        <v>42</v>
      </c>
      <c r="K1090" s="143">
        <f t="shared" si="328"/>
        <v>42</v>
      </c>
      <c r="L1090" s="144">
        <f t="shared" si="330"/>
        <v>0</v>
      </c>
      <c r="M1090" s="275">
        <f t="shared" si="339"/>
        <v>42</v>
      </c>
      <c r="N1090" s="98">
        <v>3</v>
      </c>
      <c r="O1090" s="93">
        <f t="shared" si="338"/>
        <v>100</v>
      </c>
      <c r="EU1090" s="100">
        <v>4</v>
      </c>
      <c r="EW1090" s="100">
        <v>15</v>
      </c>
      <c r="EX1090" s="100">
        <v>15</v>
      </c>
      <c r="FA1090" s="100">
        <v>8</v>
      </c>
      <c r="ON1090" s="100">
        <f t="shared" si="329"/>
        <v>0</v>
      </c>
    </row>
    <row r="1091" spans="1:404" ht="23.25" customHeight="1">
      <c r="A1091" s="97" t="str">
        <f t="shared" si="340"/>
        <v>062/WESTELM-2166-83200-02-B</v>
      </c>
      <c r="B1091" s="95">
        <v>44425</v>
      </c>
      <c r="C1091" s="97">
        <f t="shared" ca="1" si="336"/>
        <v>-639</v>
      </c>
      <c r="D1091" s="96" t="s">
        <v>897</v>
      </c>
      <c r="E1091" s="94" t="s">
        <v>850</v>
      </c>
      <c r="F1091" s="98" t="str">
        <f t="shared" si="341"/>
        <v>B</v>
      </c>
      <c r="G1091" s="110">
        <f ca="1">SUMIF($A:E,$A1091,K:K)</f>
        <v>18</v>
      </c>
      <c r="H1091" s="97" t="s">
        <v>616</v>
      </c>
      <c r="I1091" s="98">
        <v>18</v>
      </c>
      <c r="J1091" s="99">
        <v>18</v>
      </c>
      <c r="K1091" s="143">
        <f t="shared" si="328"/>
        <v>18</v>
      </c>
      <c r="L1091" s="144">
        <f t="shared" si="330"/>
        <v>0</v>
      </c>
      <c r="M1091" s="275">
        <f t="shared" si="339"/>
        <v>18</v>
      </c>
      <c r="N1091" s="98">
        <v>3</v>
      </c>
      <c r="O1091" s="93">
        <f t="shared" si="338"/>
        <v>100</v>
      </c>
      <c r="FA1091" s="100">
        <v>4</v>
      </c>
      <c r="FB1091" s="100">
        <v>6</v>
      </c>
      <c r="FC1091" s="100">
        <v>2</v>
      </c>
      <c r="FD1091" s="100">
        <v>2</v>
      </c>
      <c r="FH1091" s="100">
        <v>4</v>
      </c>
      <c r="ON1091" s="100">
        <f t="shared" si="329"/>
        <v>0</v>
      </c>
    </row>
    <row r="1092" spans="1:404" ht="23.25" customHeight="1">
      <c r="A1092" s="97" t="str">
        <f t="shared" si="340"/>
        <v>064/WESTELM-2166-83200-02-B</v>
      </c>
      <c r="B1092" s="95">
        <v>44452</v>
      </c>
      <c r="C1092" s="97">
        <f t="shared" ca="1" si="336"/>
        <v>-612</v>
      </c>
      <c r="D1092" s="96" t="s">
        <v>898</v>
      </c>
      <c r="E1092" s="94" t="s">
        <v>850</v>
      </c>
      <c r="F1092" s="98" t="str">
        <f t="shared" si="341"/>
        <v>B</v>
      </c>
      <c r="G1092" s="110">
        <f ca="1">SUMIF($A:E,$A1092,K:K)</f>
        <v>40</v>
      </c>
      <c r="H1092" s="97" t="s">
        <v>616</v>
      </c>
      <c r="I1092" s="98">
        <v>40</v>
      </c>
      <c r="J1092" s="99">
        <v>40</v>
      </c>
      <c r="K1092" s="143">
        <f t="shared" ref="K1092:K1155" si="342">SUM(P1092:BBC1092)</f>
        <v>40</v>
      </c>
      <c r="L1092" s="144">
        <f t="shared" si="330"/>
        <v>0</v>
      </c>
      <c r="M1092" s="275">
        <f t="shared" si="339"/>
        <v>40</v>
      </c>
      <c r="N1092" s="98">
        <v>3</v>
      </c>
      <c r="O1092" s="93">
        <f t="shared" si="338"/>
        <v>100</v>
      </c>
      <c r="FI1092" s="100">
        <v>4</v>
      </c>
      <c r="FJ1092" s="100">
        <v>10</v>
      </c>
      <c r="FK1092" s="100">
        <v>9</v>
      </c>
      <c r="FL1092" s="100">
        <v>6</v>
      </c>
      <c r="FM1092" s="100">
        <v>10</v>
      </c>
      <c r="FO1092" s="100">
        <v>1</v>
      </c>
      <c r="ON1092" s="100">
        <f t="shared" ref="ON1092:ON1155" si="343">SUM(NS1092:OM1092)</f>
        <v>0</v>
      </c>
    </row>
    <row r="1093" spans="1:404" ht="23.25" customHeight="1">
      <c r="A1093" s="97" t="str">
        <f t="shared" si="340"/>
        <v>065/WESTELM-2166-83200-02-B</v>
      </c>
      <c r="B1093" s="95">
        <v>44452</v>
      </c>
      <c r="C1093" s="97">
        <f t="shared" ca="1" si="336"/>
        <v>-612</v>
      </c>
      <c r="D1093" s="118" t="s">
        <v>899</v>
      </c>
      <c r="E1093" s="94" t="s">
        <v>850</v>
      </c>
      <c r="F1093" s="98" t="str">
        <f t="shared" si="341"/>
        <v>B</v>
      </c>
      <c r="G1093" s="110">
        <f ca="1">SUMIF($A:E,$A1093,K:K)</f>
        <v>40</v>
      </c>
      <c r="H1093" s="97" t="s">
        <v>616</v>
      </c>
      <c r="I1093" s="98">
        <v>40</v>
      </c>
      <c r="J1093" s="99">
        <v>40</v>
      </c>
      <c r="K1093" s="143">
        <f t="shared" si="342"/>
        <v>40</v>
      </c>
      <c r="L1093" s="144">
        <f t="shared" si="330"/>
        <v>0</v>
      </c>
      <c r="M1093" s="275">
        <f t="shared" si="339"/>
        <v>40</v>
      </c>
      <c r="N1093" s="98">
        <v>3</v>
      </c>
      <c r="O1093" s="93">
        <f t="shared" si="338"/>
        <v>100</v>
      </c>
      <c r="FO1093" s="100">
        <v>11</v>
      </c>
      <c r="FP1093" s="100">
        <v>6</v>
      </c>
      <c r="FQ1093" s="100">
        <v>4</v>
      </c>
      <c r="FR1093" s="100">
        <v>2</v>
      </c>
      <c r="FS1093" s="100">
        <v>5</v>
      </c>
      <c r="FT1093" s="100">
        <v>3</v>
      </c>
      <c r="FU1093" s="100">
        <v>4</v>
      </c>
      <c r="FV1093" s="100">
        <v>4</v>
      </c>
      <c r="FW1093" s="100">
        <v>1</v>
      </c>
      <c r="ON1093" s="100">
        <f t="shared" si="343"/>
        <v>0</v>
      </c>
    </row>
    <row r="1094" spans="1:404" ht="23.25" customHeight="1">
      <c r="A1094" s="97" t="str">
        <f t="shared" si="340"/>
        <v>010T/WESTELM-2166-83200-02-B</v>
      </c>
      <c r="B1094" s="95">
        <v>44400</v>
      </c>
      <c r="C1094" s="97">
        <f t="shared" ca="1" si="336"/>
        <v>-664</v>
      </c>
      <c r="D1094" s="96" t="s">
        <v>849</v>
      </c>
      <c r="E1094" s="94" t="s">
        <v>850</v>
      </c>
      <c r="F1094" s="98" t="str">
        <f t="shared" si="341"/>
        <v>B</v>
      </c>
      <c r="G1094" s="110">
        <f ca="1">SUMIF($A:E,$A1094,K:K)</f>
        <v>229</v>
      </c>
      <c r="H1094" s="97" t="s">
        <v>820</v>
      </c>
      <c r="I1094" s="98">
        <v>229</v>
      </c>
      <c r="J1094" s="99">
        <v>229</v>
      </c>
      <c r="K1094" s="143">
        <f t="shared" si="342"/>
        <v>229</v>
      </c>
      <c r="L1094" s="144">
        <f t="shared" si="330"/>
        <v>0</v>
      </c>
      <c r="M1094" s="275">
        <f t="shared" si="339"/>
        <v>229</v>
      </c>
      <c r="N1094" s="98">
        <v>3</v>
      </c>
      <c r="O1094" s="93">
        <f t="shared" si="338"/>
        <v>100</v>
      </c>
      <c r="DE1094" s="101">
        <v>14</v>
      </c>
      <c r="DF1094" s="101">
        <v>7</v>
      </c>
      <c r="DG1094" s="101">
        <v>11</v>
      </c>
      <c r="DK1094" s="101">
        <v>9</v>
      </c>
      <c r="DL1094" s="101">
        <v>6</v>
      </c>
      <c r="DM1094" s="101">
        <v>7</v>
      </c>
      <c r="DN1094" s="101">
        <v>9</v>
      </c>
      <c r="DO1094" s="101">
        <v>12</v>
      </c>
      <c r="DP1094" s="101">
        <v>11</v>
      </c>
      <c r="DR1094" s="101">
        <v>12</v>
      </c>
      <c r="DS1094" s="100">
        <v>6</v>
      </c>
      <c r="DT1094" s="100">
        <v>12</v>
      </c>
      <c r="DU1094" s="100">
        <v>12</v>
      </c>
      <c r="DW1094" s="100">
        <v>24</v>
      </c>
      <c r="DY1094" s="100">
        <v>12</v>
      </c>
      <c r="EA1094" s="100">
        <v>8</v>
      </c>
      <c r="EC1094" s="100">
        <v>10</v>
      </c>
      <c r="ED1094" s="100">
        <v>14</v>
      </c>
      <c r="EF1094" s="100">
        <v>12</v>
      </c>
      <c r="EG1094" s="100">
        <v>6</v>
      </c>
      <c r="EH1094" s="100">
        <v>12</v>
      </c>
      <c r="EI1094" s="100">
        <v>3</v>
      </c>
      <c r="ON1094" s="100">
        <f t="shared" si="343"/>
        <v>0</v>
      </c>
    </row>
    <row r="1095" spans="1:404" ht="23.25" customHeight="1">
      <c r="A1095" s="97" t="str">
        <f t="shared" si="340"/>
        <v>060/WESTELM-2166-83200-02-B</v>
      </c>
      <c r="B1095" s="95">
        <v>44425</v>
      </c>
      <c r="C1095" s="97">
        <f t="shared" ca="1" si="336"/>
        <v>-639</v>
      </c>
      <c r="D1095" s="96" t="s">
        <v>895</v>
      </c>
      <c r="E1095" s="94" t="s">
        <v>850</v>
      </c>
      <c r="F1095" s="98" t="str">
        <f t="shared" si="341"/>
        <v>B</v>
      </c>
      <c r="G1095" s="110">
        <f ca="1">SUMIF($A:E,$A1095,K:K)</f>
        <v>23</v>
      </c>
      <c r="H1095" s="97" t="s">
        <v>616</v>
      </c>
      <c r="I1095" s="98">
        <v>23</v>
      </c>
      <c r="J1095" s="99">
        <v>23</v>
      </c>
      <c r="K1095" s="143">
        <f t="shared" si="342"/>
        <v>23</v>
      </c>
      <c r="L1095" s="144">
        <f t="shared" si="330"/>
        <v>0</v>
      </c>
      <c r="M1095" s="275">
        <f t="shared" si="339"/>
        <v>23</v>
      </c>
      <c r="N1095" s="98">
        <v>3</v>
      </c>
      <c r="O1095" s="93">
        <f t="shared" si="338"/>
        <v>100</v>
      </c>
      <c r="EI1095" s="100">
        <v>3</v>
      </c>
      <c r="EK1095" s="100">
        <v>12</v>
      </c>
      <c r="EL1095" s="100">
        <v>6</v>
      </c>
      <c r="EM1095" s="100">
        <v>2</v>
      </c>
      <c r="ON1095" s="100">
        <f t="shared" si="343"/>
        <v>0</v>
      </c>
    </row>
    <row r="1096" spans="1:404" ht="23.25" customHeight="1">
      <c r="A1096" s="97" t="str">
        <f t="shared" si="340"/>
        <v>063/WESTELM-2166-83200-02-B</v>
      </c>
      <c r="B1096" s="95">
        <v>44454</v>
      </c>
      <c r="C1096" s="97">
        <f t="shared" ca="1" si="336"/>
        <v>-610</v>
      </c>
      <c r="D1096" s="96" t="s">
        <v>903</v>
      </c>
      <c r="E1096" s="94" t="s">
        <v>850</v>
      </c>
      <c r="F1096" s="98" t="str">
        <f t="shared" si="341"/>
        <v>B</v>
      </c>
      <c r="G1096" s="110">
        <f ca="1">SUMIF($A:E,$A1096,K:K)</f>
        <v>17</v>
      </c>
      <c r="H1096" s="97" t="s">
        <v>616</v>
      </c>
      <c r="I1096" s="98">
        <v>17</v>
      </c>
      <c r="J1096" s="99">
        <v>17</v>
      </c>
      <c r="K1096" s="143">
        <f t="shared" si="342"/>
        <v>17</v>
      </c>
      <c r="L1096" s="144">
        <f t="shared" si="330"/>
        <v>0</v>
      </c>
      <c r="M1096" s="275">
        <f t="shared" si="339"/>
        <v>17</v>
      </c>
      <c r="N1096" s="98">
        <v>3</v>
      </c>
      <c r="O1096" s="93">
        <f t="shared" si="338"/>
        <v>100</v>
      </c>
      <c r="FH1096" s="100">
        <v>13</v>
      </c>
      <c r="FI1096" s="100">
        <v>4</v>
      </c>
      <c r="ON1096" s="100">
        <f t="shared" si="343"/>
        <v>0</v>
      </c>
    </row>
    <row r="1097" spans="1:404" ht="23.25" customHeight="1">
      <c r="A1097" s="97" t="str">
        <f t="shared" si="340"/>
        <v>066/WESTELM-2166-83200-02-B</v>
      </c>
      <c r="B1097" s="95">
        <v>44452</v>
      </c>
      <c r="C1097" s="97">
        <f t="shared" ca="1" si="336"/>
        <v>-612</v>
      </c>
      <c r="D1097" s="96" t="s">
        <v>900</v>
      </c>
      <c r="E1097" s="94" t="s">
        <v>850</v>
      </c>
      <c r="F1097" s="98" t="str">
        <f t="shared" si="341"/>
        <v>B</v>
      </c>
      <c r="G1097" s="110">
        <f ca="1">SUMIF($A:E,$A1097,K:K)</f>
        <v>23</v>
      </c>
      <c r="H1097" s="97" t="s">
        <v>616</v>
      </c>
      <c r="I1097" s="98">
        <v>23</v>
      </c>
      <c r="J1097" s="99">
        <v>23</v>
      </c>
      <c r="K1097" s="143">
        <f t="shared" si="342"/>
        <v>23</v>
      </c>
      <c r="L1097" s="144">
        <f t="shared" si="330"/>
        <v>0</v>
      </c>
      <c r="M1097" s="275">
        <f t="shared" si="339"/>
        <v>23</v>
      </c>
      <c r="N1097" s="98">
        <v>3</v>
      </c>
      <c r="O1097" s="93">
        <f t="shared" si="338"/>
        <v>100</v>
      </c>
      <c r="FW1097" s="100">
        <v>3</v>
      </c>
      <c r="FX1097" s="100">
        <v>4</v>
      </c>
      <c r="FZ1097" s="100">
        <v>3</v>
      </c>
      <c r="GA1097" s="100">
        <v>4</v>
      </c>
      <c r="GB1097" s="100">
        <v>4</v>
      </c>
      <c r="GC1097" s="100">
        <v>3</v>
      </c>
      <c r="GD1097" s="100">
        <v>2</v>
      </c>
      <c r="ON1097" s="100">
        <f t="shared" si="343"/>
        <v>0</v>
      </c>
    </row>
    <row r="1098" spans="1:404" ht="23.25" customHeight="1">
      <c r="A1098" s="97" t="str">
        <f t="shared" si="340"/>
        <v>022T/WESTELM-2166-83200-02-B</v>
      </c>
      <c r="B1098" s="95">
        <v>44457</v>
      </c>
      <c r="C1098" s="97">
        <f t="shared" ca="1" si="336"/>
        <v>-607</v>
      </c>
      <c r="D1098" s="96" t="s">
        <v>1079</v>
      </c>
      <c r="E1098" s="94" t="s">
        <v>850</v>
      </c>
      <c r="F1098" s="98" t="str">
        <f t="shared" si="341"/>
        <v>B</v>
      </c>
      <c r="G1098" s="110">
        <f ca="1">SUMIF($A:E,$A1098,K:K)</f>
        <v>102</v>
      </c>
      <c r="H1098" s="97" t="s">
        <v>508</v>
      </c>
      <c r="I1098" s="98">
        <v>102</v>
      </c>
      <c r="J1098" s="97">
        <v>102</v>
      </c>
      <c r="K1098" s="143">
        <f t="shared" si="342"/>
        <v>102</v>
      </c>
      <c r="L1098" s="144">
        <f t="shared" si="330"/>
        <v>0</v>
      </c>
      <c r="M1098" s="275">
        <f t="shared" si="339"/>
        <v>102</v>
      </c>
      <c r="N1098" s="98">
        <v>3</v>
      </c>
      <c r="O1098" s="93">
        <f t="shared" si="338"/>
        <v>100</v>
      </c>
      <c r="FD1098" s="100">
        <v>4</v>
      </c>
      <c r="FE1098" s="100">
        <v>6</v>
      </c>
      <c r="GD1098" s="100">
        <v>4</v>
      </c>
      <c r="GE1098" s="100">
        <v>4</v>
      </c>
      <c r="GG1098" s="100">
        <v>4</v>
      </c>
      <c r="GH1098" s="100">
        <v>2</v>
      </c>
      <c r="GI1098" s="100">
        <v>4</v>
      </c>
      <c r="GJ1098" s="100">
        <v>3</v>
      </c>
      <c r="GK1098" s="100">
        <v>2</v>
      </c>
      <c r="GN1098" s="100">
        <v>4</v>
      </c>
      <c r="GO1098" s="100">
        <v>4</v>
      </c>
      <c r="GQ1098" s="100">
        <v>7</v>
      </c>
      <c r="GR1098" s="100">
        <v>1</v>
      </c>
      <c r="GS1098" s="100">
        <v>5</v>
      </c>
      <c r="GV1098" s="100">
        <v>5</v>
      </c>
      <c r="GW1098" s="100">
        <v>5</v>
      </c>
      <c r="GX1098" s="100">
        <v>4</v>
      </c>
      <c r="GY1098" s="100">
        <v>3</v>
      </c>
      <c r="GZ1098" s="100">
        <v>4</v>
      </c>
      <c r="HC1098" s="100">
        <v>14</v>
      </c>
      <c r="HD1098" s="100">
        <v>7</v>
      </c>
      <c r="HE1098" s="100">
        <v>6</v>
      </c>
      <c r="ON1098" s="100">
        <f t="shared" si="343"/>
        <v>0</v>
      </c>
    </row>
    <row r="1099" spans="1:404" ht="23.25" customHeight="1">
      <c r="A1099" s="97" t="str">
        <f t="shared" si="340"/>
        <v>029T/WESTELM-2166-83200-02-B</v>
      </c>
      <c r="B1099" s="95">
        <v>44515</v>
      </c>
      <c r="C1099" s="97">
        <f t="shared" ca="1" si="336"/>
        <v>-549</v>
      </c>
      <c r="D1099" s="112" t="s">
        <v>1544</v>
      </c>
      <c r="E1099" s="123" t="s">
        <v>850</v>
      </c>
      <c r="F1099" s="98" t="str">
        <f t="shared" si="341"/>
        <v>B</v>
      </c>
      <c r="G1099" s="110">
        <f ca="1">SUMIF($A:E,$A1099,K:K)</f>
        <v>483</v>
      </c>
      <c r="H1099" s="112" t="s">
        <v>1545</v>
      </c>
      <c r="I1099" s="175">
        <v>483</v>
      </c>
      <c r="J1099" s="115">
        <v>483</v>
      </c>
      <c r="K1099" s="143">
        <f t="shared" si="342"/>
        <v>483</v>
      </c>
      <c r="L1099" s="144">
        <f t="shared" si="330"/>
        <v>0</v>
      </c>
      <c r="M1099" s="275">
        <f t="shared" si="339"/>
        <v>483</v>
      </c>
      <c r="N1099" s="98">
        <v>3</v>
      </c>
      <c r="O1099" s="93">
        <f t="shared" si="338"/>
        <v>100</v>
      </c>
      <c r="HE1099" s="100">
        <v>10</v>
      </c>
      <c r="HF1099" s="100">
        <v>14</v>
      </c>
      <c r="HI1099" s="100">
        <v>21</v>
      </c>
      <c r="HJ1099" s="100">
        <v>10</v>
      </c>
      <c r="HK1099" s="100">
        <v>10</v>
      </c>
      <c r="HL1099" s="100">
        <v>14</v>
      </c>
      <c r="HM1099" s="100">
        <v>13</v>
      </c>
      <c r="HP1099" s="100">
        <v>15</v>
      </c>
      <c r="HQ1099" s="100">
        <v>20</v>
      </c>
      <c r="HR1099" s="100">
        <v>1</v>
      </c>
      <c r="HS1099" s="100">
        <v>13</v>
      </c>
      <c r="HT1099" s="100">
        <v>7</v>
      </c>
      <c r="HU1099" s="100">
        <v>6</v>
      </c>
      <c r="HW1099" s="100">
        <v>12</v>
      </c>
      <c r="HX1099" s="100">
        <v>2</v>
      </c>
      <c r="HY1099" s="100">
        <v>7</v>
      </c>
      <c r="IE1099" s="100">
        <v>9</v>
      </c>
      <c r="IG1099" s="100">
        <v>5</v>
      </c>
      <c r="IH1099" s="100">
        <v>4</v>
      </c>
      <c r="II1099" s="100">
        <v>5</v>
      </c>
      <c r="IL1099" s="100">
        <v>5</v>
      </c>
      <c r="IM1099" s="100">
        <v>10</v>
      </c>
      <c r="IP1099" s="100">
        <v>3</v>
      </c>
      <c r="IR1099" s="100">
        <v>10</v>
      </c>
      <c r="IS1099" s="100">
        <v>1</v>
      </c>
      <c r="IT1099" s="100">
        <v>5</v>
      </c>
      <c r="IU1099" s="100">
        <v>5</v>
      </c>
      <c r="IV1099" s="100">
        <v>6</v>
      </c>
      <c r="IW1099" s="100">
        <v>5</v>
      </c>
      <c r="IY1099" s="100">
        <v>7</v>
      </c>
      <c r="JA1099" s="100">
        <v>5</v>
      </c>
      <c r="JB1099" s="100">
        <v>13</v>
      </c>
      <c r="JC1099" s="100">
        <v>2</v>
      </c>
      <c r="JD1099" s="100">
        <v>10</v>
      </c>
      <c r="JF1099" s="100">
        <v>7</v>
      </c>
      <c r="JG1099" s="100">
        <v>7</v>
      </c>
      <c r="JH1099" s="100">
        <v>13</v>
      </c>
      <c r="JI1099" s="100">
        <v>6</v>
      </c>
      <c r="JJ1099" s="100">
        <v>6</v>
      </c>
      <c r="JK1099" s="100">
        <v>9</v>
      </c>
      <c r="JM1099" s="100">
        <v>12</v>
      </c>
      <c r="JN1099" s="100">
        <v>5</v>
      </c>
      <c r="JO1099" s="100">
        <v>10</v>
      </c>
      <c r="JQ1099" s="100">
        <v>8</v>
      </c>
      <c r="JR1099" s="100">
        <v>3</v>
      </c>
      <c r="JT1099" s="100">
        <v>7</v>
      </c>
      <c r="JU1099" s="100">
        <v>4</v>
      </c>
      <c r="JV1099" s="100">
        <v>3</v>
      </c>
      <c r="JW1099" s="100">
        <v>5</v>
      </c>
      <c r="JX1099" s="100">
        <v>28</v>
      </c>
      <c r="KA1099" s="100">
        <v>27</v>
      </c>
      <c r="KB1099" s="100">
        <v>7</v>
      </c>
      <c r="KC1099" s="100">
        <v>15</v>
      </c>
      <c r="KD1099" s="100">
        <v>10</v>
      </c>
      <c r="KE1099" s="100">
        <v>6</v>
      </c>
      <c r="ON1099" s="100">
        <f t="shared" si="343"/>
        <v>0</v>
      </c>
    </row>
    <row r="1100" spans="1:404" ht="23.25" customHeight="1">
      <c r="A1100" s="97" t="str">
        <f t="shared" si="340"/>
        <v>030T/WESTELM-2166-83200-02-B</v>
      </c>
      <c r="B1100" s="95">
        <v>44524</v>
      </c>
      <c r="C1100" s="97">
        <f t="shared" ca="1" si="336"/>
        <v>-540</v>
      </c>
      <c r="D1100" s="112" t="s">
        <v>1592</v>
      </c>
      <c r="E1100" s="123" t="s">
        <v>850</v>
      </c>
      <c r="F1100" s="98" t="str">
        <f t="shared" si="341"/>
        <v>B</v>
      </c>
      <c r="G1100" s="110">
        <f ca="1">SUMIF($A:E,$A1100,K:K)</f>
        <v>117</v>
      </c>
      <c r="H1100" s="97" t="s">
        <v>1593</v>
      </c>
      <c r="I1100" s="175">
        <v>117</v>
      </c>
      <c r="J1100" s="115">
        <v>117</v>
      </c>
      <c r="K1100" s="143">
        <f t="shared" si="342"/>
        <v>117</v>
      </c>
      <c r="L1100" s="144">
        <f t="shared" ref="L1100:L1148" si="344">J1100-K1100</f>
        <v>0</v>
      </c>
      <c r="M1100" s="275">
        <f t="shared" si="339"/>
        <v>117</v>
      </c>
      <c r="N1100" s="98">
        <v>3</v>
      </c>
      <c r="O1100" s="93">
        <f t="shared" si="338"/>
        <v>100</v>
      </c>
      <c r="KE1100" s="100">
        <v>14</v>
      </c>
      <c r="KF1100" s="100">
        <v>23</v>
      </c>
      <c r="KG1100" s="100">
        <v>7</v>
      </c>
      <c r="KH1100" s="100">
        <v>13</v>
      </c>
      <c r="KI1100" s="100">
        <v>9</v>
      </c>
      <c r="KJ1100" s="100">
        <v>17</v>
      </c>
      <c r="KN1100" s="100">
        <v>14</v>
      </c>
      <c r="KP1100" s="100">
        <v>7</v>
      </c>
      <c r="KQ1100" s="100">
        <v>13</v>
      </c>
      <c r="ON1100" s="100">
        <f t="shared" si="343"/>
        <v>0</v>
      </c>
    </row>
    <row r="1101" spans="1:404" ht="23.25" customHeight="1">
      <c r="A1101" s="97" t="str">
        <f t="shared" si="340"/>
        <v>035T/WESTELM-2166-83200-02-B</v>
      </c>
      <c r="B1101" s="95">
        <v>44546</v>
      </c>
      <c r="C1101" s="97">
        <f t="shared" ca="1" si="336"/>
        <v>-518</v>
      </c>
      <c r="D1101" s="112" t="s">
        <v>1773</v>
      </c>
      <c r="E1101" s="123" t="s">
        <v>850</v>
      </c>
      <c r="F1101" s="98" t="str">
        <f t="shared" si="341"/>
        <v>B</v>
      </c>
      <c r="G1101" s="110">
        <f ca="1">SUMIF($A:E,$A1101,K:K)</f>
        <v>303</v>
      </c>
      <c r="H1101" s="97" t="s">
        <v>616</v>
      </c>
      <c r="I1101" s="175">
        <v>303</v>
      </c>
      <c r="J1101" s="115">
        <v>303</v>
      </c>
      <c r="K1101" s="143">
        <f t="shared" si="342"/>
        <v>303</v>
      </c>
      <c r="L1101" s="144">
        <f t="shared" si="344"/>
        <v>0</v>
      </c>
      <c r="M1101" s="275">
        <f t="shared" si="339"/>
        <v>303</v>
      </c>
      <c r="N1101" s="98">
        <v>3</v>
      </c>
      <c r="O1101" s="93">
        <f t="shared" si="338"/>
        <v>100</v>
      </c>
      <c r="KR1101" s="100">
        <v>8</v>
      </c>
      <c r="KU1101" s="100">
        <v>4</v>
      </c>
      <c r="KV1101" s="100">
        <v>17</v>
      </c>
      <c r="KW1101" s="100">
        <v>3</v>
      </c>
      <c r="KX1101" s="100">
        <v>4</v>
      </c>
      <c r="KY1101" s="100">
        <v>3</v>
      </c>
      <c r="KZ1101" s="100">
        <v>4</v>
      </c>
      <c r="LB1101" s="100">
        <v>12</v>
      </c>
      <c r="LC1101" s="100">
        <v>14</v>
      </c>
      <c r="LD1101" s="100">
        <v>1</v>
      </c>
      <c r="LE1101" s="100">
        <v>2</v>
      </c>
      <c r="LF1101" s="100">
        <v>22</v>
      </c>
      <c r="LG1101" s="100">
        <v>11</v>
      </c>
      <c r="LI1101" s="100">
        <v>1</v>
      </c>
      <c r="LJ1101" s="100">
        <v>14</v>
      </c>
      <c r="LK1101" s="100">
        <v>6</v>
      </c>
      <c r="LM1101" s="100">
        <v>25</v>
      </c>
      <c r="LN1101" s="100">
        <v>25</v>
      </c>
      <c r="LP1101" s="100">
        <v>18</v>
      </c>
      <c r="LQ1101" s="100">
        <v>9</v>
      </c>
      <c r="LR1101" s="100">
        <v>14</v>
      </c>
      <c r="LS1101" s="100">
        <v>14</v>
      </c>
      <c r="LT1101" s="100">
        <v>28</v>
      </c>
      <c r="LW1101" s="100">
        <v>14</v>
      </c>
      <c r="LX1101" s="100">
        <v>7</v>
      </c>
      <c r="LY1101" s="100">
        <v>14</v>
      </c>
      <c r="LZ1101" s="100">
        <v>9</v>
      </c>
      <c r="ON1101" s="100">
        <f t="shared" si="343"/>
        <v>0</v>
      </c>
    </row>
    <row r="1102" spans="1:404" ht="23.25" customHeight="1">
      <c r="A1102" s="97" t="str">
        <f t="shared" si="340"/>
        <v>037T/WESTEML-2166-83200-02-B</v>
      </c>
      <c r="B1102" s="95">
        <v>44462</v>
      </c>
      <c r="C1102" s="97">
        <f t="shared" ca="1" si="336"/>
        <v>-602</v>
      </c>
      <c r="D1102" s="96" t="s">
        <v>1859</v>
      </c>
      <c r="E1102" s="94" t="s">
        <v>850</v>
      </c>
      <c r="F1102" s="98" t="str">
        <f t="shared" si="341"/>
        <v>B</v>
      </c>
      <c r="G1102" s="110">
        <f ca="1">SUMIF($A:E,$A1102,K:K)</f>
        <v>1</v>
      </c>
      <c r="H1102" s="97" t="s">
        <v>616</v>
      </c>
      <c r="I1102" s="98">
        <v>1</v>
      </c>
      <c r="J1102" s="99">
        <v>1</v>
      </c>
      <c r="K1102" s="143">
        <f t="shared" si="342"/>
        <v>1</v>
      </c>
      <c r="L1102" s="144">
        <f t="shared" si="344"/>
        <v>0</v>
      </c>
      <c r="M1102" s="275">
        <f t="shared" si="339"/>
        <v>1</v>
      </c>
      <c r="N1102" s="98">
        <v>3</v>
      </c>
      <c r="O1102" s="93">
        <f t="shared" si="338"/>
        <v>100</v>
      </c>
      <c r="IP1102" s="100">
        <v>1</v>
      </c>
      <c r="ON1102" s="100">
        <f t="shared" si="343"/>
        <v>0</v>
      </c>
    </row>
    <row r="1103" spans="1:404" ht="23.25" customHeight="1">
      <c r="A1103" s="97" t="str">
        <f t="shared" si="340"/>
        <v>063/WESTELM-2166-83200-01-B</v>
      </c>
      <c r="B1103" s="95">
        <v>44454</v>
      </c>
      <c r="C1103" s="97">
        <f t="shared" ca="1" si="336"/>
        <v>-610</v>
      </c>
      <c r="D1103" s="96" t="s">
        <v>903</v>
      </c>
      <c r="E1103" s="94" t="s">
        <v>901</v>
      </c>
      <c r="F1103" s="98" t="str">
        <f t="shared" si="341"/>
        <v>B</v>
      </c>
      <c r="G1103" s="110">
        <f ca="1">SUMIF($A:E,$A1103,K:K)</f>
        <v>86</v>
      </c>
      <c r="H1103" s="97" t="s">
        <v>616</v>
      </c>
      <c r="I1103" s="98">
        <v>86</v>
      </c>
      <c r="J1103" s="99">
        <v>86</v>
      </c>
      <c r="K1103" s="143">
        <f t="shared" si="342"/>
        <v>86</v>
      </c>
      <c r="L1103" s="144">
        <f t="shared" si="344"/>
        <v>0</v>
      </c>
      <c r="M1103" s="275">
        <f t="shared" si="339"/>
        <v>86</v>
      </c>
      <c r="N1103" s="98">
        <v>3</v>
      </c>
      <c r="O1103" s="93">
        <f t="shared" si="338"/>
        <v>100</v>
      </c>
      <c r="GV1103" s="100">
        <v>7</v>
      </c>
      <c r="GW1103" s="100">
        <v>11</v>
      </c>
      <c r="GX1103" s="100">
        <v>9</v>
      </c>
      <c r="GY1103" s="100">
        <v>4</v>
      </c>
      <c r="GZ1103" s="100">
        <v>7</v>
      </c>
      <c r="HB1103" s="100">
        <v>2</v>
      </c>
      <c r="HC1103" s="100">
        <v>16</v>
      </c>
      <c r="HD1103" s="100">
        <v>9</v>
      </c>
      <c r="HE1103" s="100">
        <v>10</v>
      </c>
      <c r="HF1103" s="100">
        <v>11</v>
      </c>
      <c r="ON1103" s="100">
        <f t="shared" si="343"/>
        <v>0</v>
      </c>
    </row>
    <row r="1104" spans="1:404" ht="23.25" customHeight="1">
      <c r="A1104" s="97" t="str">
        <f t="shared" si="340"/>
        <v>066/WESTELM-2166-83200-01-B</v>
      </c>
      <c r="B1104" s="95">
        <v>44452</v>
      </c>
      <c r="C1104" s="97">
        <f t="shared" ca="1" si="336"/>
        <v>-612</v>
      </c>
      <c r="D1104" s="96" t="s">
        <v>900</v>
      </c>
      <c r="E1104" s="94" t="s">
        <v>901</v>
      </c>
      <c r="F1104" s="98" t="str">
        <f t="shared" si="341"/>
        <v>B</v>
      </c>
      <c r="G1104" s="110">
        <f ca="1">SUMIF($A:E,$A1104,K:K)</f>
        <v>91</v>
      </c>
      <c r="H1104" s="97" t="s">
        <v>616</v>
      </c>
      <c r="I1104" s="98">
        <v>91</v>
      </c>
      <c r="J1104" s="99">
        <v>91</v>
      </c>
      <c r="K1104" s="143">
        <f t="shared" si="342"/>
        <v>91</v>
      </c>
      <c r="L1104" s="144">
        <f t="shared" si="344"/>
        <v>0</v>
      </c>
      <c r="M1104" s="275">
        <f t="shared" si="339"/>
        <v>91</v>
      </c>
      <c r="N1104" s="98">
        <v>3</v>
      </c>
      <c r="O1104" s="93">
        <f t="shared" si="338"/>
        <v>100</v>
      </c>
      <c r="GH1104" s="100">
        <v>4</v>
      </c>
      <c r="GI1104" s="100">
        <v>10</v>
      </c>
      <c r="GJ1104" s="100">
        <v>9</v>
      </c>
      <c r="GK1104" s="100">
        <v>6</v>
      </c>
      <c r="GO1104" s="100">
        <v>19</v>
      </c>
      <c r="GP1104" s="100">
        <v>4</v>
      </c>
      <c r="GQ1104" s="100">
        <v>21</v>
      </c>
      <c r="GR1104" s="100">
        <v>4</v>
      </c>
      <c r="GS1104" s="100">
        <v>9</v>
      </c>
      <c r="GV1104" s="100">
        <v>5</v>
      </c>
      <c r="ON1104" s="100">
        <f t="shared" si="343"/>
        <v>0</v>
      </c>
    </row>
    <row r="1105" spans="1:404" ht="23.25" customHeight="1">
      <c r="A1105" s="97" t="str">
        <f t="shared" si="340"/>
        <v>022T/WESTELM-2166-83200-01-B</v>
      </c>
      <c r="B1105" s="95">
        <v>44457</v>
      </c>
      <c r="C1105" s="97">
        <f t="shared" ca="1" si="336"/>
        <v>-607</v>
      </c>
      <c r="D1105" s="96" t="s">
        <v>1079</v>
      </c>
      <c r="E1105" s="94" t="s">
        <v>901</v>
      </c>
      <c r="F1105" s="98" t="str">
        <f t="shared" si="341"/>
        <v>B</v>
      </c>
      <c r="G1105" s="110">
        <f ca="1">SUMIF($A:E,$A1105,K:K)</f>
        <v>301</v>
      </c>
      <c r="H1105" s="97" t="s">
        <v>616</v>
      </c>
      <c r="I1105" s="98">
        <v>301</v>
      </c>
      <c r="J1105" s="97">
        <v>301</v>
      </c>
      <c r="K1105" s="143">
        <f t="shared" si="342"/>
        <v>301</v>
      </c>
      <c r="L1105" s="144">
        <f t="shared" si="344"/>
        <v>0</v>
      </c>
      <c r="M1105" s="275">
        <f t="shared" si="339"/>
        <v>301</v>
      </c>
      <c r="N1105" s="98">
        <v>3</v>
      </c>
      <c r="O1105" s="93">
        <f t="shared" si="338"/>
        <v>100</v>
      </c>
      <c r="HI1105" s="100">
        <v>12</v>
      </c>
      <c r="HJ1105" s="100">
        <v>9</v>
      </c>
      <c r="HK1105" s="100">
        <v>7</v>
      </c>
      <c r="HL1105" s="100">
        <v>13</v>
      </c>
      <c r="HM1105" s="100">
        <v>10</v>
      </c>
      <c r="HN1105" s="100">
        <v>1</v>
      </c>
      <c r="HP1105" s="100">
        <v>12</v>
      </c>
      <c r="HQ1105" s="100">
        <v>15</v>
      </c>
      <c r="HR1105" s="100">
        <v>2</v>
      </c>
      <c r="HS1105" s="100">
        <v>24</v>
      </c>
      <c r="HT1105" s="100">
        <v>9</v>
      </c>
      <c r="HU1105" s="100">
        <v>6</v>
      </c>
      <c r="HW1105" s="100">
        <v>20</v>
      </c>
      <c r="HX1105" s="100">
        <v>2</v>
      </c>
      <c r="HY1105" s="100">
        <v>16</v>
      </c>
      <c r="IE1105" s="100">
        <v>31</v>
      </c>
      <c r="IG1105" s="100">
        <v>15</v>
      </c>
      <c r="IH1105" s="100">
        <v>15</v>
      </c>
      <c r="II1105" s="100">
        <v>16</v>
      </c>
      <c r="IL1105" s="100">
        <v>16</v>
      </c>
      <c r="IM1105" s="100">
        <v>21</v>
      </c>
      <c r="IN1105" s="100">
        <v>22</v>
      </c>
      <c r="IR1105" s="100">
        <v>7</v>
      </c>
      <c r="ON1105" s="100">
        <f t="shared" si="343"/>
        <v>0</v>
      </c>
    </row>
    <row r="1106" spans="1:404" ht="23.25" customHeight="1">
      <c r="A1106" s="97" t="str">
        <f t="shared" si="340"/>
        <v>144/WESTELM-2166-83200-01-B</v>
      </c>
      <c r="B1106" s="95">
        <v>44459</v>
      </c>
      <c r="C1106" s="97">
        <f t="shared" ca="1" si="336"/>
        <v>-605</v>
      </c>
      <c r="D1106" s="112" t="s">
        <v>1438</v>
      </c>
      <c r="E1106" s="123" t="s">
        <v>901</v>
      </c>
      <c r="F1106" s="98" t="str">
        <f t="shared" si="341"/>
        <v>B</v>
      </c>
      <c r="G1106" s="110">
        <f ca="1">SUMIF($A:E,$A1106,K:K)</f>
        <v>9</v>
      </c>
      <c r="H1106" s="97" t="s">
        <v>616</v>
      </c>
      <c r="I1106" s="98">
        <v>9</v>
      </c>
      <c r="J1106" s="99">
        <v>9</v>
      </c>
      <c r="K1106" s="143">
        <f t="shared" si="342"/>
        <v>9</v>
      </c>
      <c r="L1106" s="144">
        <f t="shared" si="344"/>
        <v>0</v>
      </c>
      <c r="M1106" s="275">
        <f t="shared" si="339"/>
        <v>9</v>
      </c>
      <c r="N1106" s="98">
        <v>3</v>
      </c>
      <c r="O1106" s="93">
        <f t="shared" si="338"/>
        <v>100</v>
      </c>
      <c r="GT1106" s="100">
        <v>1</v>
      </c>
      <c r="HI1106" s="100">
        <v>8</v>
      </c>
      <c r="ON1106" s="100">
        <f t="shared" si="343"/>
        <v>0</v>
      </c>
    </row>
    <row r="1107" spans="1:404" ht="23.25" customHeight="1">
      <c r="A1107" s="97" t="str">
        <f t="shared" si="340"/>
        <v>029T/WESTELM-2166-83200-01-B</v>
      </c>
      <c r="B1107" s="95">
        <v>44515</v>
      </c>
      <c r="C1107" s="97">
        <f t="shared" ca="1" si="336"/>
        <v>-549</v>
      </c>
      <c r="D1107" s="112" t="s">
        <v>1544</v>
      </c>
      <c r="E1107" s="123" t="s">
        <v>901</v>
      </c>
      <c r="F1107" s="98" t="str">
        <f t="shared" si="341"/>
        <v>B</v>
      </c>
      <c r="G1107" s="110">
        <f ca="1">SUMIF($A:E,$A1107,K:K)</f>
        <v>674</v>
      </c>
      <c r="H1107" s="112" t="s">
        <v>1545</v>
      </c>
      <c r="I1107" s="175">
        <v>674</v>
      </c>
      <c r="J1107" s="115">
        <v>674</v>
      </c>
      <c r="K1107" s="143">
        <f t="shared" si="342"/>
        <v>674</v>
      </c>
      <c r="L1107" s="144">
        <f t="shared" si="344"/>
        <v>0</v>
      </c>
      <c r="M1107" s="275">
        <f t="shared" si="339"/>
        <v>674</v>
      </c>
      <c r="N1107" s="98">
        <v>3</v>
      </c>
      <c r="O1107" s="93">
        <f t="shared" si="338"/>
        <v>100</v>
      </c>
      <c r="JA1107" s="100">
        <v>12</v>
      </c>
      <c r="JB1107" s="100">
        <v>27</v>
      </c>
      <c r="JC1107" s="100">
        <v>13</v>
      </c>
      <c r="JD1107" s="100">
        <v>18</v>
      </c>
      <c r="JF1107" s="100">
        <v>14</v>
      </c>
      <c r="JG1107" s="100">
        <v>9</v>
      </c>
      <c r="JH1107" s="100">
        <v>17</v>
      </c>
      <c r="JI1107" s="100">
        <v>15</v>
      </c>
      <c r="JJ1107" s="100">
        <v>13</v>
      </c>
      <c r="JK1107" s="100">
        <v>10</v>
      </c>
      <c r="JM1107" s="100">
        <v>8</v>
      </c>
      <c r="JN1107" s="100">
        <v>6</v>
      </c>
      <c r="JO1107" s="100">
        <v>18</v>
      </c>
      <c r="JQ1107" s="100">
        <v>15</v>
      </c>
      <c r="JR1107" s="100">
        <v>19</v>
      </c>
      <c r="JT1107" s="100">
        <v>5</v>
      </c>
      <c r="JU1107" s="100">
        <v>7</v>
      </c>
      <c r="JW1107" s="100">
        <v>22</v>
      </c>
      <c r="JX1107" s="100">
        <v>36</v>
      </c>
      <c r="KA1107" s="100">
        <v>23</v>
      </c>
      <c r="KB1107" s="100">
        <v>10</v>
      </c>
      <c r="KC1107" s="100">
        <v>40</v>
      </c>
      <c r="KD1107" s="100">
        <v>18</v>
      </c>
      <c r="KE1107" s="100">
        <v>25</v>
      </c>
      <c r="KF1107" s="100">
        <v>25</v>
      </c>
      <c r="KG1107" s="100">
        <v>12</v>
      </c>
      <c r="KH1107" s="100">
        <v>11</v>
      </c>
      <c r="KI1107" s="100">
        <v>19</v>
      </c>
      <c r="KJ1107" s="100">
        <v>13</v>
      </c>
      <c r="KN1107" s="100">
        <v>8</v>
      </c>
      <c r="KO1107" s="100">
        <v>10</v>
      </c>
      <c r="KQ1107" s="100">
        <v>16</v>
      </c>
      <c r="KR1107" s="100">
        <v>12</v>
      </c>
      <c r="KU1107" s="100">
        <v>10</v>
      </c>
      <c r="KV1107" s="100">
        <v>19</v>
      </c>
      <c r="KW1107" s="100">
        <v>53</v>
      </c>
      <c r="KX1107" s="100">
        <v>1</v>
      </c>
      <c r="KZ1107" s="100">
        <v>11</v>
      </c>
      <c r="LB1107" s="100">
        <v>20</v>
      </c>
      <c r="LC1107" s="100">
        <v>19</v>
      </c>
      <c r="LD1107" s="100">
        <v>2</v>
      </c>
      <c r="LE1107" s="100">
        <v>7</v>
      </c>
      <c r="LF1107" s="100">
        <v>6</v>
      </c>
      <c r="ON1107" s="100">
        <f t="shared" si="343"/>
        <v>0</v>
      </c>
    </row>
    <row r="1108" spans="1:404" ht="23.25" customHeight="1">
      <c r="A1108" s="97" t="str">
        <f t="shared" si="340"/>
        <v>030T/WESTELM-2166-83200-01-B</v>
      </c>
      <c r="B1108" s="95">
        <v>44524</v>
      </c>
      <c r="C1108" s="97">
        <f t="shared" ca="1" si="336"/>
        <v>-540</v>
      </c>
      <c r="D1108" s="112" t="s">
        <v>1592</v>
      </c>
      <c r="E1108" s="123" t="s">
        <v>901</v>
      </c>
      <c r="F1108" s="98" t="str">
        <f t="shared" si="341"/>
        <v>B</v>
      </c>
      <c r="G1108" s="110">
        <f ca="1">SUMIF($A:E,$A1108,K:K)</f>
        <v>69</v>
      </c>
      <c r="H1108" s="97" t="s">
        <v>1593</v>
      </c>
      <c r="I1108" s="175">
        <v>69</v>
      </c>
      <c r="J1108" s="115">
        <v>69</v>
      </c>
      <c r="K1108" s="143">
        <f t="shared" si="342"/>
        <v>69</v>
      </c>
      <c r="L1108" s="144">
        <f t="shared" si="344"/>
        <v>0</v>
      </c>
      <c r="M1108" s="275">
        <f t="shared" si="339"/>
        <v>69</v>
      </c>
      <c r="N1108" s="98">
        <v>3</v>
      </c>
      <c r="O1108" s="93">
        <f t="shared" si="338"/>
        <v>100</v>
      </c>
      <c r="IK1108" s="100">
        <v>1</v>
      </c>
      <c r="IS1108" s="100">
        <v>3</v>
      </c>
      <c r="IU1108" s="100">
        <v>21</v>
      </c>
      <c r="IV1108" s="100">
        <v>17</v>
      </c>
      <c r="IY1108" s="100">
        <v>24</v>
      </c>
      <c r="JA1108" s="100">
        <v>3</v>
      </c>
      <c r="ON1108" s="100">
        <f t="shared" si="343"/>
        <v>0</v>
      </c>
    </row>
    <row r="1109" spans="1:404" ht="23.25" customHeight="1">
      <c r="A1109" s="97" t="str">
        <f t="shared" si="340"/>
        <v>262/KHBS-2166-83200-01-B</v>
      </c>
      <c r="B1109" s="95">
        <v>44454</v>
      </c>
      <c r="C1109" s="97">
        <f t="shared" ca="1" si="336"/>
        <v>-610</v>
      </c>
      <c r="D1109" s="96" t="s">
        <v>1827</v>
      </c>
      <c r="E1109" s="94" t="s">
        <v>901</v>
      </c>
      <c r="F1109" s="98" t="str">
        <f t="shared" si="341"/>
        <v>B</v>
      </c>
      <c r="G1109" s="110">
        <f ca="1">SUMIF($A:E,$A1109,K:K)</f>
        <v>1</v>
      </c>
      <c r="H1109" s="97" t="s">
        <v>616</v>
      </c>
      <c r="I1109" s="98">
        <v>1</v>
      </c>
      <c r="J1109" s="99">
        <v>1</v>
      </c>
      <c r="K1109" s="143">
        <f t="shared" si="342"/>
        <v>1</v>
      </c>
      <c r="L1109" s="144">
        <f t="shared" si="344"/>
        <v>0</v>
      </c>
      <c r="M1109" s="275">
        <f t="shared" si="339"/>
        <v>1</v>
      </c>
      <c r="N1109" s="98">
        <v>3</v>
      </c>
      <c r="O1109" s="93">
        <f t="shared" si="338"/>
        <v>100</v>
      </c>
      <c r="IH1109" s="100">
        <v>1</v>
      </c>
      <c r="ON1109" s="100">
        <f t="shared" si="343"/>
        <v>0</v>
      </c>
    </row>
    <row r="1110" spans="1:404" ht="23.25" customHeight="1">
      <c r="A1110" s="97" t="str">
        <f t="shared" si="340"/>
        <v>037T/WESTEML-2166-83200-01-B</v>
      </c>
      <c r="B1110" s="95">
        <v>44462</v>
      </c>
      <c r="C1110" s="97">
        <f t="shared" ca="1" si="336"/>
        <v>-602</v>
      </c>
      <c r="D1110" s="96" t="s">
        <v>1859</v>
      </c>
      <c r="E1110" s="94" t="s">
        <v>901</v>
      </c>
      <c r="F1110" s="98" t="str">
        <f t="shared" si="341"/>
        <v>B</v>
      </c>
      <c r="G1110" s="110">
        <f ca="1">SUMIF($A:E,$A1110,K:K)</f>
        <v>39</v>
      </c>
      <c r="H1110" s="97" t="s">
        <v>616</v>
      </c>
      <c r="I1110" s="98">
        <v>39</v>
      </c>
      <c r="J1110" s="99">
        <v>39</v>
      </c>
      <c r="K1110" s="143">
        <f t="shared" si="342"/>
        <v>39</v>
      </c>
      <c r="L1110" s="144">
        <f t="shared" si="344"/>
        <v>0</v>
      </c>
      <c r="M1110" s="275">
        <f t="shared" si="339"/>
        <v>39</v>
      </c>
      <c r="N1110" s="98">
        <v>3</v>
      </c>
      <c r="O1110" s="93">
        <f t="shared" si="338"/>
        <v>100</v>
      </c>
      <c r="IP1110" s="100">
        <v>14</v>
      </c>
      <c r="IR1110" s="100">
        <v>25</v>
      </c>
      <c r="ON1110" s="100">
        <f t="shared" si="343"/>
        <v>0</v>
      </c>
    </row>
    <row r="1111" spans="1:404" ht="23.25" customHeight="1">
      <c r="A1111" s="97" t="str">
        <f t="shared" si="340"/>
        <v>001/CLARIUS-VG-2166-83000-S2-B</v>
      </c>
      <c r="B1111" s="95">
        <v>44767</v>
      </c>
      <c r="C1111" s="97">
        <f t="shared" ca="1" si="336"/>
        <v>-297</v>
      </c>
      <c r="D1111" s="112" t="s">
        <v>1471</v>
      </c>
      <c r="E1111" s="123" t="s">
        <v>1136</v>
      </c>
      <c r="F1111" s="98" t="str">
        <f t="shared" si="341"/>
        <v>B</v>
      </c>
      <c r="G1111" s="110">
        <f ca="1">SUMIF($A:E,$A1111,K:K)</f>
        <v>0</v>
      </c>
      <c r="H1111" s="112" t="s">
        <v>1494</v>
      </c>
      <c r="I1111" s="175">
        <v>36</v>
      </c>
      <c r="J1111" s="115">
        <v>100</v>
      </c>
      <c r="K1111" s="143">
        <f t="shared" si="342"/>
        <v>0</v>
      </c>
      <c r="L1111" s="144">
        <f t="shared" si="344"/>
        <v>100</v>
      </c>
      <c r="M1111" s="275">
        <f t="shared" si="339"/>
        <v>72</v>
      </c>
      <c r="N1111" s="98"/>
      <c r="O1111" s="93">
        <f t="shared" ref="O1111:O1148" si="345">K1111/J1111*100</f>
        <v>0</v>
      </c>
      <c r="ON1111" s="100">
        <f t="shared" si="343"/>
        <v>0</v>
      </c>
    </row>
    <row r="1112" spans="1:404" ht="23.25" customHeight="1">
      <c r="A1112" s="97" t="str">
        <f t="shared" si="340"/>
        <v>001/CLARIUS-VG-2166-83000-02-B</v>
      </c>
      <c r="B1112" s="95">
        <v>44767</v>
      </c>
      <c r="C1112" s="97">
        <f t="shared" ca="1" si="336"/>
        <v>-297</v>
      </c>
      <c r="D1112" s="112" t="s">
        <v>1471</v>
      </c>
      <c r="E1112" s="123" t="s">
        <v>1489</v>
      </c>
      <c r="F1112" s="98" t="str">
        <f t="shared" si="341"/>
        <v>B</v>
      </c>
      <c r="G1112" s="110">
        <f ca="1">SUMIF($A:E,$A1112,K:K)</f>
        <v>0</v>
      </c>
      <c r="H1112" s="112" t="s">
        <v>1494</v>
      </c>
      <c r="I1112" s="175">
        <v>36</v>
      </c>
      <c r="J1112" s="115">
        <v>54</v>
      </c>
      <c r="K1112" s="143">
        <f t="shared" si="342"/>
        <v>0</v>
      </c>
      <c r="L1112" s="144">
        <f t="shared" si="344"/>
        <v>54</v>
      </c>
      <c r="M1112" s="275">
        <f t="shared" si="339"/>
        <v>36</v>
      </c>
      <c r="N1112" s="98"/>
      <c r="O1112" s="93">
        <f t="shared" si="345"/>
        <v>0</v>
      </c>
      <c r="ON1112" s="100">
        <f t="shared" si="343"/>
        <v>0</v>
      </c>
    </row>
    <row r="1113" spans="1:404" ht="23.25" customHeight="1">
      <c r="A1113" s="97" t="str">
        <f t="shared" ref="A1113:A1139" si="346">D1113&amp;E1113</f>
        <v>001/CLARIUS-VG-2166-83000-02-A1(PHÊN)</v>
      </c>
      <c r="B1113" s="95">
        <v>44767</v>
      </c>
      <c r="C1113" s="97">
        <f t="shared" ref="C1113:C1167" ca="1" si="347">B1113-TODAY()</f>
        <v>-297</v>
      </c>
      <c r="D1113" s="112" t="s">
        <v>1471</v>
      </c>
      <c r="E1113" s="123" t="s">
        <v>1482</v>
      </c>
      <c r="F1113" s="98" t="str">
        <f t="shared" ref="F1113:F1141" si="348">MID(E1113,13,2)</f>
        <v>A1</v>
      </c>
      <c r="G1113" s="110">
        <f ca="1">SUMIF($A:E,$A1113,K:K)</f>
        <v>0</v>
      </c>
      <c r="H1113" s="112" t="s">
        <v>1492</v>
      </c>
      <c r="I1113" s="175">
        <v>36</v>
      </c>
      <c r="J1113" s="115">
        <v>154</v>
      </c>
      <c r="K1113" s="143">
        <f t="shared" si="342"/>
        <v>0</v>
      </c>
      <c r="L1113" s="144">
        <f t="shared" si="344"/>
        <v>154</v>
      </c>
      <c r="M1113" s="275">
        <f t="shared" si="339"/>
        <v>36</v>
      </c>
      <c r="N1113" s="98"/>
      <c r="O1113" s="93">
        <f t="shared" si="345"/>
        <v>0</v>
      </c>
      <c r="ON1113" s="100">
        <f t="shared" si="343"/>
        <v>0</v>
      </c>
    </row>
    <row r="1114" spans="1:404" ht="23.25" customHeight="1">
      <c r="A1114" s="97" t="str">
        <f t="shared" si="346"/>
        <v>001/CLARIUS-VG-2166-83000-01-A1(PHÊN)</v>
      </c>
      <c r="B1114" s="95">
        <v>44767</v>
      </c>
      <c r="C1114" s="97">
        <f t="shared" ca="1" si="347"/>
        <v>-297</v>
      </c>
      <c r="D1114" s="112" t="s">
        <v>1471</v>
      </c>
      <c r="E1114" s="123" t="s">
        <v>1481</v>
      </c>
      <c r="F1114" s="98" t="str">
        <f t="shared" si="348"/>
        <v>A1</v>
      </c>
      <c r="G1114" s="110">
        <f ca="1">SUMIF($A:E,$A1114,K:K)</f>
        <v>0</v>
      </c>
      <c r="H1114" s="112" t="s">
        <v>1492</v>
      </c>
      <c r="I1114" s="175">
        <v>36</v>
      </c>
      <c r="J1114" s="115">
        <v>100</v>
      </c>
      <c r="K1114" s="143">
        <f t="shared" si="342"/>
        <v>0</v>
      </c>
      <c r="L1114" s="144">
        <f t="shared" si="344"/>
        <v>100</v>
      </c>
      <c r="M1114" s="275">
        <f t="shared" si="339"/>
        <v>36</v>
      </c>
      <c r="N1114" s="98"/>
      <c r="O1114" s="93">
        <f t="shared" si="345"/>
        <v>0</v>
      </c>
      <c r="ON1114" s="100">
        <f t="shared" si="343"/>
        <v>0</v>
      </c>
    </row>
    <row r="1115" spans="1:404" ht="23.25" customHeight="1">
      <c r="A1115" s="97" t="str">
        <f t="shared" si="346"/>
        <v>001/CLARIUS-VG-2166-82900-S2-B2</v>
      </c>
      <c r="B1115" s="95">
        <v>44767</v>
      </c>
      <c r="C1115" s="97">
        <f t="shared" ca="1" si="347"/>
        <v>-297</v>
      </c>
      <c r="D1115" s="112" t="s">
        <v>1471</v>
      </c>
      <c r="E1115" s="279" t="s">
        <v>1488</v>
      </c>
      <c r="F1115" s="98" t="str">
        <f t="shared" si="348"/>
        <v>B2</v>
      </c>
      <c r="G1115" s="110">
        <f ca="1">SUMIF($A:E,$A1115,K:K)</f>
        <v>0</v>
      </c>
      <c r="H1115" s="112" t="s">
        <v>1494</v>
      </c>
      <c r="I1115" s="175">
        <v>40</v>
      </c>
      <c r="J1115" s="115">
        <v>40</v>
      </c>
      <c r="K1115" s="143">
        <f t="shared" si="342"/>
        <v>0</v>
      </c>
      <c r="L1115" s="144">
        <f t="shared" si="344"/>
        <v>40</v>
      </c>
      <c r="M1115" s="275">
        <f t="shared" si="339"/>
        <v>80</v>
      </c>
      <c r="N1115" s="98"/>
      <c r="O1115" s="93">
        <f t="shared" si="345"/>
        <v>0</v>
      </c>
      <c r="ON1115" s="100">
        <f t="shared" si="343"/>
        <v>0</v>
      </c>
    </row>
    <row r="1116" spans="1:404" ht="23.25" customHeight="1">
      <c r="A1116" s="97" t="str">
        <f t="shared" si="346"/>
        <v>001/CLARIUS-VG-2166-82900-02-A1(PHÊN)</v>
      </c>
      <c r="B1116" s="95">
        <v>44767</v>
      </c>
      <c r="C1116" s="97">
        <f t="shared" ca="1" si="347"/>
        <v>-297</v>
      </c>
      <c r="D1116" s="112" t="s">
        <v>1471</v>
      </c>
      <c r="E1116" s="279" t="s">
        <v>1479</v>
      </c>
      <c r="F1116" s="98" t="str">
        <f t="shared" si="348"/>
        <v>A1</v>
      </c>
      <c r="G1116" s="110">
        <f ca="1">SUMIF($A:E,$A1116,K:K)</f>
        <v>0</v>
      </c>
      <c r="H1116" s="112" t="s">
        <v>1492</v>
      </c>
      <c r="I1116" s="175">
        <v>40</v>
      </c>
      <c r="J1116" s="115">
        <v>40</v>
      </c>
      <c r="K1116" s="143">
        <f t="shared" si="342"/>
        <v>0</v>
      </c>
      <c r="L1116" s="144">
        <f t="shared" si="344"/>
        <v>40</v>
      </c>
      <c r="M1116" s="275">
        <f t="shared" si="339"/>
        <v>40</v>
      </c>
      <c r="N1116" s="98"/>
      <c r="O1116" s="93">
        <f t="shared" si="345"/>
        <v>0</v>
      </c>
      <c r="ON1116" s="100">
        <f t="shared" si="343"/>
        <v>0</v>
      </c>
    </row>
    <row r="1117" spans="1:404" ht="23.25" customHeight="1">
      <c r="A1117" s="97" t="str">
        <f t="shared" si="346"/>
        <v>001/CLARIUS-VG-2166-82900-01-A1(PHÊN)</v>
      </c>
      <c r="B1117" s="95">
        <v>44767</v>
      </c>
      <c r="C1117" s="97">
        <f t="shared" ca="1" si="347"/>
        <v>-297</v>
      </c>
      <c r="D1117" s="112" t="s">
        <v>1471</v>
      </c>
      <c r="E1117" s="279" t="s">
        <v>1478</v>
      </c>
      <c r="F1117" s="98" t="str">
        <f t="shared" si="348"/>
        <v>A1</v>
      </c>
      <c r="G1117" s="110">
        <f ca="1">SUMIF($A:E,$A1117,K:K)</f>
        <v>0</v>
      </c>
      <c r="H1117" s="112" t="s">
        <v>1492</v>
      </c>
      <c r="I1117" s="175">
        <v>40</v>
      </c>
      <c r="J1117" s="115">
        <v>40</v>
      </c>
      <c r="K1117" s="143">
        <f t="shared" si="342"/>
        <v>0</v>
      </c>
      <c r="L1117" s="144">
        <f t="shared" si="344"/>
        <v>40</v>
      </c>
      <c r="M1117" s="275">
        <f t="shared" si="339"/>
        <v>40</v>
      </c>
      <c r="N1117" s="98"/>
      <c r="O1117" s="93">
        <f t="shared" si="345"/>
        <v>0</v>
      </c>
      <c r="ON1117" s="100">
        <f t="shared" si="343"/>
        <v>0</v>
      </c>
    </row>
    <row r="1118" spans="1:404" ht="23.25" customHeight="1">
      <c r="A1118" s="97" t="str">
        <f t="shared" si="346"/>
        <v>009/CLARIUS-21(đợt 1)66-82800-S1-B</v>
      </c>
      <c r="B1118" s="95">
        <v>44528</v>
      </c>
      <c r="C1118" s="97">
        <f t="shared" ca="1" si="347"/>
        <v>-536</v>
      </c>
      <c r="D1118" s="112" t="s">
        <v>2120</v>
      </c>
      <c r="E1118" s="94" t="s">
        <v>1135</v>
      </c>
      <c r="F1118" s="98" t="str">
        <f t="shared" si="348"/>
        <v>B</v>
      </c>
      <c r="G1118" s="110">
        <f ca="1">SUMIF($A:E,$A1118,K:K)</f>
        <v>36</v>
      </c>
      <c r="H1118" s="97" t="s">
        <v>616</v>
      </c>
      <c r="I1118" s="98">
        <v>36</v>
      </c>
      <c r="J1118" s="97">
        <v>36</v>
      </c>
      <c r="K1118" s="143">
        <f t="shared" si="342"/>
        <v>36</v>
      </c>
      <c r="L1118" s="144">
        <f t="shared" si="344"/>
        <v>0</v>
      </c>
      <c r="M1118" s="275">
        <f t="shared" si="339"/>
        <v>36</v>
      </c>
      <c r="N1118" s="98">
        <v>1</v>
      </c>
      <c r="O1118" s="93">
        <f t="shared" si="345"/>
        <v>100</v>
      </c>
      <c r="KR1118" s="100">
        <v>6</v>
      </c>
      <c r="KV1118" s="100">
        <v>2</v>
      </c>
      <c r="KX1118" s="100">
        <v>6</v>
      </c>
      <c r="KY1118" s="100">
        <v>1</v>
      </c>
      <c r="KZ1118" s="100">
        <v>2</v>
      </c>
      <c r="LB1118" s="100">
        <v>2</v>
      </c>
      <c r="LC1118" s="100">
        <v>1</v>
      </c>
      <c r="LD1118" s="100">
        <v>1</v>
      </c>
      <c r="LE1118" s="100">
        <v>3</v>
      </c>
      <c r="LG1118" s="100">
        <v>3</v>
      </c>
      <c r="LI1118" s="100">
        <v>1</v>
      </c>
      <c r="LJ1118" s="100">
        <v>3</v>
      </c>
      <c r="LM1118" s="100">
        <v>5</v>
      </c>
      <c r="ON1118" s="100">
        <f t="shared" si="343"/>
        <v>0</v>
      </c>
    </row>
    <row r="1119" spans="1:404" ht="23.25" customHeight="1">
      <c r="A1119" s="97" t="str">
        <f t="shared" si="346"/>
        <v>009/CLARIUS-21(đợt 1)66-82800-S1-A1(PHÊN)</v>
      </c>
      <c r="B1119" s="95">
        <v>44528</v>
      </c>
      <c r="C1119" s="97">
        <f t="shared" ca="1" si="347"/>
        <v>-536</v>
      </c>
      <c r="D1119" s="112" t="s">
        <v>2120</v>
      </c>
      <c r="E1119" s="123" t="s">
        <v>1480</v>
      </c>
      <c r="F1119" s="98" t="str">
        <f t="shared" si="348"/>
        <v>A1</v>
      </c>
      <c r="G1119" s="110">
        <f ca="1">SUMIF($A:E,$A1119,K:K)</f>
        <v>36</v>
      </c>
      <c r="H1119" s="97" t="s">
        <v>616</v>
      </c>
      <c r="I1119" s="98">
        <v>36</v>
      </c>
      <c r="J1119" s="97">
        <v>36</v>
      </c>
      <c r="K1119" s="143">
        <f t="shared" si="342"/>
        <v>36</v>
      </c>
      <c r="L1119" s="144">
        <f t="shared" ref="L1119" si="349">J1119-K1119</f>
        <v>0</v>
      </c>
      <c r="M1119" s="275"/>
      <c r="N1119" s="98">
        <v>1</v>
      </c>
      <c r="O1119" s="93">
        <f t="shared" ref="O1119:O1128" si="350">K1119/J1119*100</f>
        <v>100</v>
      </c>
      <c r="KR1119" s="100">
        <v>6</v>
      </c>
      <c r="KV1119" s="100">
        <v>2</v>
      </c>
      <c r="KX1119" s="100">
        <v>6</v>
      </c>
      <c r="KY1119" s="100">
        <v>12</v>
      </c>
      <c r="LG1119" s="100">
        <v>1</v>
      </c>
      <c r="LI1119" s="100">
        <v>1</v>
      </c>
      <c r="LJ1119" s="100">
        <v>3</v>
      </c>
      <c r="LM1119" s="100">
        <v>5</v>
      </c>
      <c r="ON1119" s="100">
        <f t="shared" si="343"/>
        <v>0</v>
      </c>
    </row>
    <row r="1120" spans="1:404" ht="23.25" customHeight="1">
      <c r="A1120" s="97" t="str">
        <f t="shared" si="346"/>
        <v>001/CLARIUS-VG-2166-82800-S1-B</v>
      </c>
      <c r="B1120" s="95">
        <v>44767</v>
      </c>
      <c r="C1120" s="97">
        <f t="shared" ca="1" si="347"/>
        <v>-297</v>
      </c>
      <c r="D1120" s="112" t="s">
        <v>1471</v>
      </c>
      <c r="E1120" s="123" t="s">
        <v>1135</v>
      </c>
      <c r="F1120" s="98" t="str">
        <f t="shared" si="348"/>
        <v>B</v>
      </c>
      <c r="G1120" s="110">
        <f ca="1">SUMIF($A:E,$A1120,K:K)</f>
        <v>0</v>
      </c>
      <c r="H1120" s="112" t="s">
        <v>1494</v>
      </c>
      <c r="I1120" s="175">
        <v>36</v>
      </c>
      <c r="J1120" s="115">
        <v>60</v>
      </c>
      <c r="K1120" s="143">
        <f t="shared" si="342"/>
        <v>0</v>
      </c>
      <c r="L1120" s="144">
        <f t="shared" si="344"/>
        <v>60</v>
      </c>
      <c r="M1120" s="275">
        <f t="shared" ref="M1120:M1125" si="351">IF(OR(MID(E1120,10,1)="0",MID(E1120,10,1)="F"),I1120,IF(OR(,MID(E1120,10,1)="S",MID(E1120,10,1)="L",MID(E1120,10,1)="B",MID(E1120,10,1)="X"),MID(E1120,11,1)*I1120,0))</f>
        <v>36</v>
      </c>
      <c r="N1120" s="98"/>
      <c r="O1120" s="93">
        <f t="shared" si="350"/>
        <v>0</v>
      </c>
      <c r="ON1120" s="100">
        <f t="shared" si="343"/>
        <v>0</v>
      </c>
    </row>
    <row r="1121" spans="1:404" ht="23.25" customHeight="1">
      <c r="A1121" s="97" t="str">
        <f t="shared" si="346"/>
        <v>001/CLARIUS-VG-2166-82800-S1-A1(PHÊN)</v>
      </c>
      <c r="B1121" s="95">
        <v>44767</v>
      </c>
      <c r="C1121" s="97">
        <f t="shared" ca="1" si="347"/>
        <v>-297</v>
      </c>
      <c r="D1121" s="112" t="s">
        <v>1471</v>
      </c>
      <c r="E1121" s="123" t="s">
        <v>1480</v>
      </c>
      <c r="F1121" s="98" t="str">
        <f t="shared" si="348"/>
        <v>A1</v>
      </c>
      <c r="G1121" s="110">
        <f ca="1">SUMIF($A:E,$A1121,K:K)</f>
        <v>0</v>
      </c>
      <c r="H1121" s="112" t="s">
        <v>1492</v>
      </c>
      <c r="I1121" s="175">
        <v>36</v>
      </c>
      <c r="J1121" s="115">
        <v>60</v>
      </c>
      <c r="K1121" s="143">
        <f t="shared" si="342"/>
        <v>0</v>
      </c>
      <c r="L1121" s="144">
        <f t="shared" si="344"/>
        <v>60</v>
      </c>
      <c r="M1121" s="275">
        <f t="shared" si="351"/>
        <v>36</v>
      </c>
      <c r="N1121" s="98"/>
      <c r="O1121" s="93">
        <f t="shared" si="350"/>
        <v>0</v>
      </c>
      <c r="ON1121" s="100">
        <f t="shared" si="343"/>
        <v>0</v>
      </c>
    </row>
    <row r="1122" spans="1:404" ht="23.25" customHeight="1">
      <c r="A1122" s="97" t="str">
        <f t="shared" si="346"/>
        <v>009/CLARIUS-21(đợt 1)66-82700-S3-B</v>
      </c>
      <c r="B1122" s="95">
        <v>44528</v>
      </c>
      <c r="C1122" s="97">
        <f t="shared" ca="1" si="347"/>
        <v>-536</v>
      </c>
      <c r="D1122" s="112" t="s">
        <v>2120</v>
      </c>
      <c r="E1122" s="94" t="s">
        <v>1134</v>
      </c>
      <c r="F1122" s="98" t="str">
        <f t="shared" si="348"/>
        <v>B</v>
      </c>
      <c r="G1122" s="110">
        <f ca="1">SUMIF($A:E,$A1122,K:K)</f>
        <v>72</v>
      </c>
      <c r="H1122" s="97" t="s">
        <v>616</v>
      </c>
      <c r="I1122" s="98">
        <v>72</v>
      </c>
      <c r="J1122" s="97">
        <v>72</v>
      </c>
      <c r="K1122" s="143">
        <f t="shared" si="342"/>
        <v>72</v>
      </c>
      <c r="L1122" s="144">
        <f t="shared" si="344"/>
        <v>0</v>
      </c>
      <c r="M1122" s="275">
        <f t="shared" si="351"/>
        <v>216</v>
      </c>
      <c r="N1122" s="98">
        <v>1</v>
      </c>
      <c r="O1122" s="93">
        <f t="shared" si="350"/>
        <v>100</v>
      </c>
      <c r="KO1122" s="100">
        <v>4</v>
      </c>
      <c r="KP1122" s="100">
        <v>3</v>
      </c>
      <c r="KQ1122" s="100">
        <v>2</v>
      </c>
      <c r="KR1122" s="100">
        <v>5</v>
      </c>
      <c r="KV1122" s="100">
        <v>4</v>
      </c>
      <c r="KW1122" s="100">
        <v>8</v>
      </c>
      <c r="KX1122" s="100">
        <v>2</v>
      </c>
      <c r="KZ1122" s="100">
        <v>10</v>
      </c>
      <c r="LB1122" s="100">
        <v>4</v>
      </c>
      <c r="LE1122" s="100">
        <v>7</v>
      </c>
      <c r="LF1122" s="100">
        <v>3</v>
      </c>
      <c r="LG1122" s="100">
        <v>5</v>
      </c>
      <c r="LI1122" s="100">
        <v>8</v>
      </c>
      <c r="LJ1122" s="100">
        <v>6</v>
      </c>
      <c r="LK1122" s="100">
        <v>1</v>
      </c>
      <c r="ON1122" s="100">
        <f t="shared" si="343"/>
        <v>0</v>
      </c>
    </row>
    <row r="1123" spans="1:404" ht="23.25" customHeight="1">
      <c r="A1123" s="97" t="str">
        <f t="shared" si="346"/>
        <v>001/CLARIUS-VG-2166-82700-S3-B</v>
      </c>
      <c r="B1123" s="95">
        <v>44767</v>
      </c>
      <c r="C1123" s="97">
        <f t="shared" ca="1" si="347"/>
        <v>-297</v>
      </c>
      <c r="D1123" s="112" t="s">
        <v>1471</v>
      </c>
      <c r="E1123" s="123" t="s">
        <v>1134</v>
      </c>
      <c r="F1123" s="98" t="str">
        <f t="shared" si="348"/>
        <v>B</v>
      </c>
      <c r="G1123" s="110">
        <f ca="1">SUMIF($A:E,$A1123,K:K)</f>
        <v>0</v>
      </c>
      <c r="H1123" s="112" t="s">
        <v>1494</v>
      </c>
      <c r="I1123" s="175">
        <v>72</v>
      </c>
      <c r="J1123" s="115">
        <v>72</v>
      </c>
      <c r="K1123" s="143">
        <f t="shared" si="342"/>
        <v>0</v>
      </c>
      <c r="L1123" s="144">
        <f t="shared" si="344"/>
        <v>72</v>
      </c>
      <c r="M1123" s="275">
        <f t="shared" si="351"/>
        <v>216</v>
      </c>
      <c r="N1123" s="98"/>
      <c r="O1123" s="93">
        <f t="shared" si="350"/>
        <v>0</v>
      </c>
      <c r="ON1123" s="100">
        <f t="shared" si="343"/>
        <v>0</v>
      </c>
    </row>
    <row r="1124" spans="1:404" ht="23.25" customHeight="1">
      <c r="A1124" s="97" t="str">
        <f t="shared" si="346"/>
        <v>001/CLARIUS-VG-2166-82700-B2-B</v>
      </c>
      <c r="B1124" s="95">
        <v>44767</v>
      </c>
      <c r="C1124" s="97">
        <f t="shared" ca="1" si="347"/>
        <v>-297</v>
      </c>
      <c r="D1124" s="112" t="s">
        <v>1471</v>
      </c>
      <c r="E1124" s="123" t="s">
        <v>1487</v>
      </c>
      <c r="F1124" s="98" t="str">
        <f t="shared" si="348"/>
        <v>B</v>
      </c>
      <c r="G1124" s="110">
        <f ca="1">SUMIF($A:E,$A1124,K:K)</f>
        <v>0</v>
      </c>
      <c r="H1124" s="112" t="s">
        <v>1494</v>
      </c>
      <c r="I1124" s="175">
        <v>36</v>
      </c>
      <c r="J1124" s="115">
        <v>32</v>
      </c>
      <c r="K1124" s="143">
        <f t="shared" si="342"/>
        <v>0</v>
      </c>
      <c r="L1124" s="144">
        <f t="shared" si="344"/>
        <v>32</v>
      </c>
      <c r="M1124" s="275">
        <f t="shared" si="351"/>
        <v>72</v>
      </c>
      <c r="N1124" s="98"/>
      <c r="O1124" s="93">
        <f t="shared" si="350"/>
        <v>0</v>
      </c>
      <c r="ON1124" s="100">
        <f t="shared" si="343"/>
        <v>0</v>
      </c>
    </row>
    <row r="1125" spans="1:404" ht="23.25" customHeight="1">
      <c r="A1125" s="97" t="str">
        <f t="shared" si="346"/>
        <v>001/CLARIUS-VG-2166-82524-S3-B</v>
      </c>
      <c r="B1125" s="95">
        <v>44767</v>
      </c>
      <c r="C1125" s="97">
        <f t="shared" ca="1" si="347"/>
        <v>-297</v>
      </c>
      <c r="D1125" s="112" t="s">
        <v>1471</v>
      </c>
      <c r="E1125" s="123" t="s">
        <v>1486</v>
      </c>
      <c r="F1125" s="98" t="str">
        <f t="shared" si="348"/>
        <v>B</v>
      </c>
      <c r="G1125" s="110">
        <f ca="1">SUMIF($A:E,$A1125,K:K)</f>
        <v>0</v>
      </c>
      <c r="H1125" s="112" t="s">
        <v>1494</v>
      </c>
      <c r="I1125" s="175">
        <v>36</v>
      </c>
      <c r="J1125" s="115">
        <v>48</v>
      </c>
      <c r="K1125" s="143">
        <f t="shared" si="342"/>
        <v>0</v>
      </c>
      <c r="L1125" s="144">
        <f t="shared" si="344"/>
        <v>48</v>
      </c>
      <c r="M1125" s="275">
        <f t="shared" si="351"/>
        <v>108</v>
      </c>
      <c r="N1125" s="98"/>
      <c r="O1125" s="93">
        <f t="shared" si="350"/>
        <v>0</v>
      </c>
      <c r="ON1125" s="100">
        <f t="shared" si="343"/>
        <v>0</v>
      </c>
    </row>
    <row r="1126" spans="1:404" ht="23.25" customHeight="1">
      <c r="A1126" s="97" t="str">
        <f t="shared" si="346"/>
        <v>009/CLARIUS-21-Đ366-82524-B2-B</v>
      </c>
      <c r="B1126" s="95">
        <v>44598</v>
      </c>
      <c r="C1126" s="97">
        <f t="shared" ca="1" si="347"/>
        <v>-466</v>
      </c>
      <c r="D1126" s="96" t="s">
        <v>2198</v>
      </c>
      <c r="E1126" s="94" t="s">
        <v>1133</v>
      </c>
      <c r="F1126" s="98" t="str">
        <f t="shared" si="348"/>
        <v>B</v>
      </c>
      <c r="G1126" s="110">
        <f ca="1">SUMIF($A:E,$A1126,K:K)</f>
        <v>30</v>
      </c>
      <c r="H1126" s="97" t="s">
        <v>2372</v>
      </c>
      <c r="I1126" s="98">
        <v>30</v>
      </c>
      <c r="J1126" s="97">
        <v>30</v>
      </c>
      <c r="K1126" s="143">
        <f t="shared" si="342"/>
        <v>30</v>
      </c>
      <c r="L1126" s="144">
        <f t="shared" ref="L1126" si="352">J1126-K1126</f>
        <v>0</v>
      </c>
      <c r="M1126" s="275"/>
      <c r="N1126" s="98">
        <v>3</v>
      </c>
      <c r="O1126" s="93">
        <f t="shared" si="350"/>
        <v>100</v>
      </c>
      <c r="MO1126" s="100">
        <v>1</v>
      </c>
      <c r="MP1126" s="100">
        <v>9</v>
      </c>
      <c r="MR1126" s="100">
        <v>5</v>
      </c>
      <c r="MS1126" s="100">
        <v>2</v>
      </c>
      <c r="MT1126" s="100">
        <v>6</v>
      </c>
      <c r="MW1126" s="100">
        <v>4</v>
      </c>
      <c r="MX1126" s="100">
        <v>3</v>
      </c>
      <c r="ON1126" s="100">
        <f t="shared" si="343"/>
        <v>0</v>
      </c>
    </row>
    <row r="1127" spans="1:404" ht="23.25" customHeight="1">
      <c r="A1127" s="97" t="str">
        <f t="shared" si="346"/>
        <v>001/CLARIUS-VG-2166-82500-S3-B</v>
      </c>
      <c r="B1127" s="95">
        <v>44767</v>
      </c>
      <c r="C1127" s="97">
        <f t="shared" ca="1" si="347"/>
        <v>-297</v>
      </c>
      <c r="D1127" s="112" t="s">
        <v>1471</v>
      </c>
      <c r="E1127" s="123" t="s">
        <v>1131</v>
      </c>
      <c r="F1127" s="98" t="str">
        <f t="shared" si="348"/>
        <v>B</v>
      </c>
      <c r="G1127" s="110">
        <f ca="1">SUMIF($A:E,$A1127,K:K)</f>
        <v>0</v>
      </c>
      <c r="H1127" s="112" t="s">
        <v>1494</v>
      </c>
      <c r="I1127" s="175">
        <v>36</v>
      </c>
      <c r="J1127" s="115">
        <v>144</v>
      </c>
      <c r="K1127" s="143">
        <f t="shared" si="342"/>
        <v>0</v>
      </c>
      <c r="L1127" s="144">
        <f t="shared" ref="L1127" si="353">J1127-K1127</f>
        <v>144</v>
      </c>
      <c r="M1127" s="275">
        <f t="shared" ref="M1127:M1136" si="354">IF(OR(MID(E1127,10,1)="0",MID(E1127,10,1)="F"),I1127,IF(OR(,MID(E1127,10,1)="S",MID(E1127,10,1)="L",MID(E1127,10,1)="B",MID(E1127,10,1)="X"),MID(E1127,11,1)*I1127,0))</f>
        <v>108</v>
      </c>
      <c r="N1127" s="98"/>
      <c r="O1127" s="93">
        <f t="shared" si="350"/>
        <v>0</v>
      </c>
      <c r="ON1127" s="100">
        <f t="shared" si="343"/>
        <v>0</v>
      </c>
    </row>
    <row r="1128" spans="1:404" ht="23.25" customHeight="1">
      <c r="A1128" s="97" t="str">
        <f t="shared" si="346"/>
        <v>001/CLARIUS-VG-2166-82500-B2-B</v>
      </c>
      <c r="B1128" s="95">
        <v>44767</v>
      </c>
      <c r="C1128" s="97">
        <f t="shared" ca="1" si="347"/>
        <v>-297</v>
      </c>
      <c r="D1128" s="112" t="s">
        <v>1471</v>
      </c>
      <c r="E1128" s="123" t="s">
        <v>1132</v>
      </c>
      <c r="F1128" s="98" t="str">
        <f t="shared" si="348"/>
        <v>B</v>
      </c>
      <c r="G1128" s="110">
        <f ca="1">SUMIF($A:E,$A1128,K:K)</f>
        <v>0</v>
      </c>
      <c r="H1128" s="112" t="s">
        <v>1494</v>
      </c>
      <c r="I1128" s="175">
        <v>36</v>
      </c>
      <c r="J1128" s="115">
        <v>30</v>
      </c>
      <c r="K1128" s="143">
        <f t="shared" si="342"/>
        <v>0</v>
      </c>
      <c r="L1128" s="144">
        <f t="shared" si="344"/>
        <v>30</v>
      </c>
      <c r="M1128" s="275">
        <f t="shared" si="354"/>
        <v>72</v>
      </c>
      <c r="N1128" s="98"/>
      <c r="O1128" s="93">
        <f t="shared" si="350"/>
        <v>0</v>
      </c>
      <c r="ON1128" s="100">
        <f t="shared" si="343"/>
        <v>0</v>
      </c>
    </row>
    <row r="1129" spans="1:404" ht="23.25" customHeight="1">
      <c r="A1129" s="97" t="str">
        <f t="shared" si="346"/>
        <v>001/CLARIUS-VG-2166-82500-02-A1(PHÊN)</v>
      </c>
      <c r="B1129" s="95">
        <v>44767</v>
      </c>
      <c r="C1129" s="97">
        <f t="shared" ca="1" si="347"/>
        <v>-297</v>
      </c>
      <c r="D1129" s="112" t="s">
        <v>1471</v>
      </c>
      <c r="E1129" s="123" t="s">
        <v>1477</v>
      </c>
      <c r="F1129" s="98" t="str">
        <f t="shared" si="348"/>
        <v>A1</v>
      </c>
      <c r="G1129" s="110">
        <f ca="1">SUMIF($A:E,$A1129,K:K)</f>
        <v>0</v>
      </c>
      <c r="H1129" s="112" t="s">
        <v>1492</v>
      </c>
      <c r="I1129" s="175">
        <v>36</v>
      </c>
      <c r="J1129" s="115">
        <v>36</v>
      </c>
      <c r="K1129" s="143">
        <f t="shared" si="342"/>
        <v>0</v>
      </c>
      <c r="L1129" s="144">
        <f t="shared" si="344"/>
        <v>36</v>
      </c>
      <c r="M1129" s="275">
        <f t="shared" si="354"/>
        <v>36</v>
      </c>
      <c r="N1129" s="98"/>
      <c r="O1129" s="93">
        <f t="shared" ref="O1129:O1130" si="355">K1129/J1129*100</f>
        <v>0</v>
      </c>
      <c r="ON1129" s="100">
        <f t="shared" si="343"/>
        <v>0</v>
      </c>
    </row>
    <row r="1130" spans="1:404" ht="23.25" customHeight="1">
      <c r="A1130" s="97" t="str">
        <f t="shared" si="346"/>
        <v>001/CLARIUS-VG-2166-82500-01-A1(PHÊN)</v>
      </c>
      <c r="B1130" s="95">
        <v>44767</v>
      </c>
      <c r="C1130" s="97">
        <f t="shared" ca="1" si="347"/>
        <v>-297</v>
      </c>
      <c r="D1130" s="112" t="s">
        <v>1471</v>
      </c>
      <c r="E1130" s="123" t="s">
        <v>1476</v>
      </c>
      <c r="F1130" s="98" t="str">
        <f t="shared" si="348"/>
        <v>A1</v>
      </c>
      <c r="G1130" s="110">
        <f ca="1">SUMIF($A:E,$A1130,K:K)</f>
        <v>0</v>
      </c>
      <c r="H1130" s="112" t="s">
        <v>1492</v>
      </c>
      <c r="I1130" s="175">
        <v>36</v>
      </c>
      <c r="J1130" s="115">
        <v>192</v>
      </c>
      <c r="K1130" s="143">
        <f t="shared" si="342"/>
        <v>0</v>
      </c>
      <c r="L1130" s="144">
        <f t="shared" si="344"/>
        <v>192</v>
      </c>
      <c r="M1130" s="275">
        <f t="shared" si="354"/>
        <v>36</v>
      </c>
      <c r="N1130" s="98"/>
      <c r="O1130" s="93">
        <f t="shared" si="355"/>
        <v>0</v>
      </c>
      <c r="ON1130" s="100">
        <f t="shared" si="343"/>
        <v>0</v>
      </c>
    </row>
    <row r="1131" spans="1:404" ht="23.25" customHeight="1">
      <c r="A1131" s="97" t="str">
        <f t="shared" si="346"/>
        <v>148/KHBS-2166-81300-01-01</v>
      </c>
      <c r="B1131" s="95">
        <v>44263</v>
      </c>
      <c r="C1131" s="97">
        <f t="shared" ca="1" si="347"/>
        <v>-801</v>
      </c>
      <c r="D1131" s="96" t="s">
        <v>829</v>
      </c>
      <c r="E1131" s="94" t="s">
        <v>486</v>
      </c>
      <c r="F1131" s="98" t="str">
        <f t="shared" si="348"/>
        <v>01</v>
      </c>
      <c r="G1131" s="110">
        <f ca="1">SUMIF($A:E,$A1131,K:K)</f>
        <v>1</v>
      </c>
      <c r="H1131" s="97" t="s">
        <v>512</v>
      </c>
      <c r="I1131" s="98">
        <v>1</v>
      </c>
      <c r="J1131" s="99">
        <v>1</v>
      </c>
      <c r="K1131" s="143">
        <f t="shared" si="342"/>
        <v>1</v>
      </c>
      <c r="L1131" s="144">
        <f t="shared" si="344"/>
        <v>0</v>
      </c>
      <c r="M1131" s="275">
        <f t="shared" si="354"/>
        <v>1</v>
      </c>
      <c r="N1131" s="98">
        <v>5</v>
      </c>
      <c r="O1131" s="93">
        <f t="shared" si="345"/>
        <v>100</v>
      </c>
      <c r="BJ1131" s="101">
        <v>1</v>
      </c>
      <c r="ON1131" s="100">
        <f t="shared" si="343"/>
        <v>0</v>
      </c>
    </row>
    <row r="1132" spans="1:404" ht="23.25" customHeight="1">
      <c r="A1132" s="97" t="str">
        <f t="shared" si="346"/>
        <v>161/KHBS-2166-81300-01-01</v>
      </c>
      <c r="B1132" s="95">
        <v>44310</v>
      </c>
      <c r="C1132" s="97">
        <f t="shared" ca="1" si="347"/>
        <v>-754</v>
      </c>
      <c r="D1132" s="96" t="s">
        <v>919</v>
      </c>
      <c r="E1132" s="94" t="s">
        <v>486</v>
      </c>
      <c r="F1132" s="98" t="str">
        <f t="shared" si="348"/>
        <v>01</v>
      </c>
      <c r="G1132" s="110">
        <f ca="1">SUMIF($A:E,$A1132,K:K)</f>
        <v>1</v>
      </c>
      <c r="H1132" s="97" t="s">
        <v>512</v>
      </c>
      <c r="I1132" s="98">
        <v>1</v>
      </c>
      <c r="J1132" s="99">
        <v>1</v>
      </c>
      <c r="K1132" s="143">
        <f t="shared" si="342"/>
        <v>1</v>
      </c>
      <c r="L1132" s="144">
        <f t="shared" si="344"/>
        <v>0</v>
      </c>
      <c r="M1132" s="275">
        <f t="shared" si="354"/>
        <v>1</v>
      </c>
      <c r="N1132" s="98">
        <v>5</v>
      </c>
      <c r="O1132" s="93">
        <f t="shared" si="345"/>
        <v>100</v>
      </c>
      <c r="DB1132" s="101">
        <v>1</v>
      </c>
      <c r="ON1132" s="100">
        <f t="shared" si="343"/>
        <v>0</v>
      </c>
    </row>
    <row r="1133" spans="1:404" ht="23.25" customHeight="1">
      <c r="A1133" s="97" t="str">
        <f t="shared" si="346"/>
        <v>042/HACA-HK-2166-81000-B2-B</v>
      </c>
      <c r="B1133" s="95">
        <v>44557</v>
      </c>
      <c r="C1133" s="97">
        <f t="shared" ca="1" si="347"/>
        <v>-507</v>
      </c>
      <c r="D1133" s="96" t="s">
        <v>1144</v>
      </c>
      <c r="E1133" s="94" t="s">
        <v>1158</v>
      </c>
      <c r="F1133" s="98" t="str">
        <f t="shared" si="348"/>
        <v>B</v>
      </c>
      <c r="G1133" s="110">
        <f ca="1">SUMIF($A:E,$A1133,K:K)</f>
        <v>72</v>
      </c>
      <c r="H1133" s="97" t="s">
        <v>601</v>
      </c>
      <c r="I1133" s="98">
        <v>72</v>
      </c>
      <c r="J1133" s="97">
        <v>72</v>
      </c>
      <c r="K1133" s="143">
        <f t="shared" si="342"/>
        <v>72</v>
      </c>
      <c r="L1133" s="144">
        <f t="shared" si="344"/>
        <v>0</v>
      </c>
      <c r="M1133" s="275">
        <f t="shared" si="354"/>
        <v>144</v>
      </c>
      <c r="N1133" s="98">
        <v>6</v>
      </c>
      <c r="O1133" s="93">
        <f t="shared" si="345"/>
        <v>100</v>
      </c>
      <c r="MA1133" s="100">
        <v>10</v>
      </c>
      <c r="MD1133" s="100">
        <v>6</v>
      </c>
      <c r="MF1133" s="100">
        <v>15</v>
      </c>
      <c r="MG1133" s="100">
        <v>4</v>
      </c>
      <c r="MH1133" s="100">
        <v>14</v>
      </c>
      <c r="ML1133" s="100">
        <f>9+6</f>
        <v>15</v>
      </c>
      <c r="MM1133" s="100">
        <v>3</v>
      </c>
      <c r="MN1133" s="100">
        <v>5</v>
      </c>
      <c r="ON1133" s="100">
        <f t="shared" si="343"/>
        <v>0</v>
      </c>
    </row>
    <row r="1134" spans="1:404" ht="23.25" customHeight="1">
      <c r="A1134" s="97" t="str">
        <f t="shared" si="346"/>
        <v>042/HACA-HK-2166-81000-S3-B</v>
      </c>
      <c r="B1134" s="95">
        <v>44551</v>
      </c>
      <c r="C1134" s="97">
        <f t="shared" ca="1" si="347"/>
        <v>-513</v>
      </c>
      <c r="D1134" s="96" t="s">
        <v>1144</v>
      </c>
      <c r="E1134" s="94" t="s">
        <v>2235</v>
      </c>
      <c r="F1134" s="98" t="str">
        <f t="shared" si="348"/>
        <v>B</v>
      </c>
      <c r="G1134" s="110">
        <f ca="1">SUMIF($A:E,$A1134,K:K)</f>
        <v>42</v>
      </c>
      <c r="H1134" s="97" t="s">
        <v>601</v>
      </c>
      <c r="I1134" s="98">
        <v>42</v>
      </c>
      <c r="J1134" s="97">
        <v>42</v>
      </c>
      <c r="K1134" s="143">
        <f t="shared" si="342"/>
        <v>42</v>
      </c>
      <c r="L1134" s="144">
        <f t="shared" si="344"/>
        <v>0</v>
      </c>
      <c r="M1134" s="275">
        <f t="shared" si="354"/>
        <v>126</v>
      </c>
      <c r="N1134" s="98">
        <v>6</v>
      </c>
      <c r="O1134" s="93">
        <f t="shared" si="345"/>
        <v>100</v>
      </c>
      <c r="LN1134" s="100">
        <v>4</v>
      </c>
      <c r="LQ1134" s="100">
        <v>9</v>
      </c>
      <c r="LS1134" s="100">
        <v>12</v>
      </c>
      <c r="LU1134" s="100">
        <v>3</v>
      </c>
      <c r="LW1134" s="100">
        <v>6</v>
      </c>
      <c r="LX1134" s="100">
        <v>3</v>
      </c>
      <c r="LY1134" s="100">
        <v>3</v>
      </c>
      <c r="MA1134" s="100">
        <v>2</v>
      </c>
      <c r="ON1134" s="100">
        <f t="shared" si="343"/>
        <v>0</v>
      </c>
    </row>
    <row r="1135" spans="1:404" ht="23.25" customHeight="1">
      <c r="A1135" s="97" t="str">
        <f t="shared" si="346"/>
        <v>042/HACA-HK-2166-80900-S2-B</v>
      </c>
      <c r="B1135" s="95">
        <v>44551</v>
      </c>
      <c r="C1135" s="97">
        <f t="shared" ca="1" si="347"/>
        <v>-513</v>
      </c>
      <c r="D1135" s="96" t="s">
        <v>1144</v>
      </c>
      <c r="E1135" s="94" t="s">
        <v>1156</v>
      </c>
      <c r="F1135" s="98" t="str">
        <f t="shared" si="348"/>
        <v>B</v>
      </c>
      <c r="G1135" s="110">
        <f ca="1">SUMIF($A:E,$A1135,K:K)</f>
        <v>24</v>
      </c>
      <c r="H1135" s="97" t="s">
        <v>601</v>
      </c>
      <c r="I1135" s="98">
        <v>24</v>
      </c>
      <c r="J1135" s="97">
        <v>24</v>
      </c>
      <c r="K1135" s="143">
        <f t="shared" si="342"/>
        <v>24</v>
      </c>
      <c r="L1135" s="144">
        <f t="shared" si="344"/>
        <v>0</v>
      </c>
      <c r="M1135" s="275">
        <f t="shared" si="354"/>
        <v>48</v>
      </c>
      <c r="N1135" s="98">
        <v>6</v>
      </c>
      <c r="O1135" s="93">
        <f t="shared" si="345"/>
        <v>100</v>
      </c>
      <c r="LN1135" s="100">
        <v>1</v>
      </c>
      <c r="LQ1135" s="100">
        <v>1</v>
      </c>
      <c r="LU1135" s="100">
        <v>2</v>
      </c>
      <c r="LW1135" s="100">
        <v>4</v>
      </c>
      <c r="LX1135" s="100">
        <v>1</v>
      </c>
      <c r="MA1135" s="100">
        <v>2</v>
      </c>
      <c r="MD1135" s="100">
        <v>7</v>
      </c>
      <c r="MF1135" s="100">
        <v>2</v>
      </c>
      <c r="MG1135" s="100">
        <v>1</v>
      </c>
      <c r="MH1135" s="100">
        <v>3</v>
      </c>
      <c r="ON1135" s="100">
        <f t="shared" si="343"/>
        <v>0</v>
      </c>
    </row>
    <row r="1136" spans="1:404" ht="23.25" customHeight="1">
      <c r="A1136" s="97" t="str">
        <f t="shared" si="346"/>
        <v>042/HACA-HK-2166-80800-02-B</v>
      </c>
      <c r="B1136" s="95">
        <v>44551</v>
      </c>
      <c r="C1136" s="97">
        <f t="shared" ca="1" si="347"/>
        <v>-513</v>
      </c>
      <c r="D1136" s="96" t="s">
        <v>1144</v>
      </c>
      <c r="E1136" s="94" t="s">
        <v>1155</v>
      </c>
      <c r="F1136" s="98" t="str">
        <f t="shared" si="348"/>
        <v>B</v>
      </c>
      <c r="G1136" s="110">
        <f ca="1">SUMIF($A:E,$A1136,K:K)</f>
        <v>168</v>
      </c>
      <c r="H1136" s="97" t="s">
        <v>601</v>
      </c>
      <c r="I1136" s="98">
        <v>168</v>
      </c>
      <c r="J1136" s="97">
        <v>168</v>
      </c>
      <c r="K1136" s="143">
        <f t="shared" si="342"/>
        <v>168</v>
      </c>
      <c r="L1136" s="144">
        <f t="shared" si="344"/>
        <v>0</v>
      </c>
      <c r="M1136" s="275">
        <f t="shared" si="354"/>
        <v>168</v>
      </c>
      <c r="N1136" s="98">
        <v>4</v>
      </c>
      <c r="O1136" s="93">
        <f t="shared" si="345"/>
        <v>100</v>
      </c>
      <c r="KG1136" s="100">
        <v>7</v>
      </c>
      <c r="KH1136" s="100">
        <v>2</v>
      </c>
      <c r="KI1136" s="100">
        <v>6</v>
      </c>
      <c r="KN1136" s="100">
        <v>4</v>
      </c>
      <c r="KO1136" s="100">
        <v>2</v>
      </c>
      <c r="KQ1136" s="100">
        <v>7</v>
      </c>
      <c r="KR1136" s="100">
        <v>7</v>
      </c>
      <c r="KU1136" s="100">
        <v>4</v>
      </c>
      <c r="KX1136" s="100">
        <v>11</v>
      </c>
      <c r="KZ1136" s="100">
        <v>8</v>
      </c>
      <c r="LC1136" s="100">
        <v>8</v>
      </c>
      <c r="LD1136" s="100">
        <v>4</v>
      </c>
      <c r="LF1136" s="100">
        <v>4</v>
      </c>
      <c r="LG1136" s="100">
        <v>8</v>
      </c>
      <c r="LI1136" s="100">
        <v>4</v>
      </c>
      <c r="LJ1136" s="100">
        <v>10</v>
      </c>
      <c r="LM1136" s="100">
        <v>4</v>
      </c>
      <c r="LP1136" s="100">
        <v>12</v>
      </c>
      <c r="LR1136" s="100">
        <v>3</v>
      </c>
      <c r="LS1136" s="100">
        <v>8</v>
      </c>
      <c r="LT1136" s="100">
        <v>8</v>
      </c>
      <c r="LW1136" s="100">
        <v>8</v>
      </c>
      <c r="LX1136" s="100">
        <v>11</v>
      </c>
      <c r="LZ1136" s="100">
        <v>11</v>
      </c>
      <c r="MA1136" s="100">
        <v>2</v>
      </c>
      <c r="MB1136" s="100">
        <v>4</v>
      </c>
      <c r="MD1136" s="100">
        <v>1</v>
      </c>
      <c r="ON1136" s="100">
        <f t="shared" si="343"/>
        <v>0</v>
      </c>
    </row>
    <row r="1137" spans="1:404" ht="23.25" customHeight="1">
      <c r="A1137" s="97" t="str">
        <f t="shared" si="346"/>
        <v>042/HACA-HK-2166-81000-03-B</v>
      </c>
      <c r="B1137" s="95">
        <v>44551</v>
      </c>
      <c r="C1137" s="97">
        <f t="shared" ca="1" si="347"/>
        <v>-513</v>
      </c>
      <c r="D1137" s="96" t="s">
        <v>1144</v>
      </c>
      <c r="E1137" s="94" t="s">
        <v>1157</v>
      </c>
      <c r="F1137" s="98" t="str">
        <f t="shared" si="348"/>
        <v>B</v>
      </c>
      <c r="G1137" s="110">
        <f ca="1">SUMIF($A:E,$A1137,K:K)</f>
        <v>120</v>
      </c>
      <c r="H1137" s="97" t="s">
        <v>601</v>
      </c>
      <c r="I1137" s="98">
        <v>120</v>
      </c>
      <c r="J1137" s="97">
        <v>120</v>
      </c>
      <c r="K1137" s="143">
        <f t="shared" si="342"/>
        <v>120</v>
      </c>
      <c r="L1137" s="144">
        <f t="shared" ref="L1137" si="356">J1137-K1137</f>
        <v>0</v>
      </c>
      <c r="M1137" s="275"/>
      <c r="N1137" s="98">
        <v>4</v>
      </c>
      <c r="O1137" s="93">
        <f t="shared" si="345"/>
        <v>100</v>
      </c>
      <c r="KG1137" s="100">
        <v>18</v>
      </c>
      <c r="KH1137" s="100">
        <v>6</v>
      </c>
      <c r="KI1137" s="100">
        <v>5</v>
      </c>
      <c r="KN1137" s="100">
        <v>12</v>
      </c>
      <c r="KO1137" s="100">
        <v>13</v>
      </c>
      <c r="KP1137" s="100">
        <v>12</v>
      </c>
      <c r="KQ1137" s="100">
        <v>12</v>
      </c>
      <c r="KR1137" s="100">
        <v>6</v>
      </c>
      <c r="KU1137" s="100">
        <v>5</v>
      </c>
      <c r="KX1137" s="100">
        <v>16</v>
      </c>
      <c r="KZ1137" s="100">
        <v>6</v>
      </c>
      <c r="LC1137" s="100">
        <v>6</v>
      </c>
      <c r="LT1137" s="100">
        <v>1</v>
      </c>
      <c r="LU1137" s="100">
        <v>2</v>
      </c>
      <c r="ON1137" s="100">
        <f t="shared" si="343"/>
        <v>0</v>
      </c>
    </row>
    <row r="1138" spans="1:404" ht="23.25" customHeight="1">
      <c r="A1138" s="97" t="str">
        <f t="shared" si="346"/>
        <v>042/HACA-HK-2166-80800-01-B</v>
      </c>
      <c r="B1138" s="95">
        <v>44551</v>
      </c>
      <c r="C1138" s="97">
        <f t="shared" ca="1" si="347"/>
        <v>-513</v>
      </c>
      <c r="D1138" s="96" t="s">
        <v>1144</v>
      </c>
      <c r="E1138" s="94" t="s">
        <v>1154</v>
      </c>
      <c r="F1138" s="98" t="str">
        <f t="shared" si="348"/>
        <v>B</v>
      </c>
      <c r="G1138" s="110">
        <f ca="1">SUMIF($A:E,$A1138,K:K)</f>
        <v>72</v>
      </c>
      <c r="H1138" s="97" t="s">
        <v>601</v>
      </c>
      <c r="I1138" s="98">
        <v>72</v>
      </c>
      <c r="J1138" s="97">
        <v>72</v>
      </c>
      <c r="K1138" s="143">
        <f t="shared" si="342"/>
        <v>72</v>
      </c>
      <c r="L1138" s="144">
        <f t="shared" si="344"/>
        <v>0</v>
      </c>
      <c r="M1138" s="275">
        <f>IF(OR(MID(E1138,10,1)="0",MID(E1138,10,1)="F"),I1138,IF(OR(,MID(E1138,10,1)="S",MID(E1138,10,1)="L",MID(E1138,10,1)="B",MID(E1138,10,1)="X"),MID(E1138,11,1)*I1138,0))</f>
        <v>72</v>
      </c>
      <c r="N1138" s="98">
        <v>4</v>
      </c>
      <c r="O1138" s="93">
        <f t="shared" si="345"/>
        <v>100</v>
      </c>
      <c r="KG1138" s="100">
        <v>4</v>
      </c>
      <c r="KH1138" s="100">
        <v>6</v>
      </c>
      <c r="KI1138" s="100">
        <v>6</v>
      </c>
      <c r="KN1138" s="100">
        <v>7</v>
      </c>
      <c r="KQ1138" s="100">
        <v>7</v>
      </c>
      <c r="KR1138" s="100">
        <v>7</v>
      </c>
      <c r="KU1138" s="100">
        <v>5</v>
      </c>
      <c r="KX1138" s="100">
        <v>11</v>
      </c>
      <c r="KY1138" s="100">
        <v>1</v>
      </c>
      <c r="KZ1138" s="100">
        <v>8</v>
      </c>
      <c r="LC1138" s="100">
        <v>7</v>
      </c>
      <c r="LF1138" s="100">
        <v>2</v>
      </c>
      <c r="LJ1138" s="100">
        <v>1</v>
      </c>
      <c r="ON1138" s="100">
        <f t="shared" si="343"/>
        <v>0</v>
      </c>
    </row>
    <row r="1139" spans="1:404" ht="23.25" customHeight="1">
      <c r="A1139" s="97" t="str">
        <f t="shared" si="346"/>
        <v>001/CLARIUS-VG-2166-80400-S3-B2</v>
      </c>
      <c r="B1139" s="95">
        <v>44767</v>
      </c>
      <c r="C1139" s="97">
        <f t="shared" ca="1" si="347"/>
        <v>-297</v>
      </c>
      <c r="D1139" s="112" t="s">
        <v>1471</v>
      </c>
      <c r="E1139" s="279" t="s">
        <v>1485</v>
      </c>
      <c r="F1139" s="98" t="str">
        <f t="shared" si="348"/>
        <v>B2</v>
      </c>
      <c r="G1139" s="110">
        <f ca="1">SUMIF($A:E,$A1139,K:K)</f>
        <v>0</v>
      </c>
      <c r="H1139" s="112" t="s">
        <v>1494</v>
      </c>
      <c r="I1139" s="175">
        <v>48</v>
      </c>
      <c r="J1139" s="115">
        <v>48</v>
      </c>
      <c r="K1139" s="143">
        <f t="shared" si="342"/>
        <v>0</v>
      </c>
      <c r="L1139" s="144">
        <f t="shared" si="344"/>
        <v>48</v>
      </c>
      <c r="M1139" s="275">
        <f>IF(OR(MID(E1139,10,1)="0",MID(E1139,10,1)="F"),I1139,IF(OR(,MID(E1139,10,1)="S",MID(E1139,10,1)="L",MID(E1139,10,1)="B",MID(E1139,10,1)="X"),MID(E1139,11,1)*I1139,0))</f>
        <v>144</v>
      </c>
      <c r="N1139" s="98"/>
      <c r="O1139" s="93">
        <f>K1139/J1139*100</f>
        <v>0</v>
      </c>
      <c r="ON1139" s="100">
        <f t="shared" si="343"/>
        <v>0</v>
      </c>
    </row>
    <row r="1140" spans="1:404" ht="23.25" customHeight="1">
      <c r="A1140" s="97" t="s">
        <v>2073</v>
      </c>
      <c r="B1140" s="95">
        <v>44541</v>
      </c>
      <c r="C1140" s="97">
        <f t="shared" ca="1" si="347"/>
        <v>-523</v>
      </c>
      <c r="D1140" s="96" t="s">
        <v>2072</v>
      </c>
      <c r="E1140" s="279" t="s">
        <v>1479</v>
      </c>
      <c r="F1140" s="98" t="str">
        <f t="shared" si="348"/>
        <v>A1</v>
      </c>
      <c r="G1140" s="110">
        <f ca="1">SUMIF($A:E,$A1140,K:K)</f>
        <v>852</v>
      </c>
      <c r="H1140" s="112" t="s">
        <v>1492</v>
      </c>
      <c r="I1140" s="98">
        <v>20</v>
      </c>
      <c r="J1140" s="97">
        <v>20</v>
      </c>
      <c r="K1140" s="143">
        <f t="shared" si="342"/>
        <v>20</v>
      </c>
      <c r="L1140" s="144">
        <f t="shared" ref="L1140:L1143" si="357">J1140-K1140</f>
        <v>0</v>
      </c>
      <c r="M1140" s="98"/>
      <c r="N1140" s="98">
        <v>1</v>
      </c>
      <c r="O1140" s="93">
        <f t="shared" si="345"/>
        <v>100</v>
      </c>
      <c r="LK1140" s="100">
        <v>8</v>
      </c>
      <c r="LM1140" s="100">
        <v>2</v>
      </c>
      <c r="LP1140" s="100">
        <v>8</v>
      </c>
      <c r="LQ1140" s="100">
        <v>2</v>
      </c>
      <c r="ON1140" s="100">
        <f t="shared" si="343"/>
        <v>0</v>
      </c>
    </row>
    <row r="1141" spans="1:404" ht="23.25" customHeight="1">
      <c r="A1141" s="97" t="s">
        <v>2073</v>
      </c>
      <c r="B1141" s="95">
        <v>44541</v>
      </c>
      <c r="C1141" s="97">
        <f t="shared" ca="1" si="347"/>
        <v>-523</v>
      </c>
      <c r="D1141" s="96" t="s">
        <v>2072</v>
      </c>
      <c r="E1141" s="279" t="s">
        <v>1478</v>
      </c>
      <c r="F1141" s="98" t="str">
        <f t="shared" si="348"/>
        <v>A1</v>
      </c>
      <c r="G1141" s="110">
        <f ca="1">SUMIF($A:E,$A1141,K:K)</f>
        <v>852</v>
      </c>
      <c r="H1141" s="112" t="s">
        <v>1492</v>
      </c>
      <c r="I1141" s="98">
        <v>20</v>
      </c>
      <c r="J1141" s="97">
        <v>20</v>
      </c>
      <c r="K1141" s="143">
        <f t="shared" si="342"/>
        <v>20</v>
      </c>
      <c r="L1141" s="144">
        <f t="shared" si="357"/>
        <v>0</v>
      </c>
      <c r="M1141" s="98"/>
      <c r="N1141" s="98">
        <v>1</v>
      </c>
      <c r="O1141" s="93">
        <f t="shared" si="345"/>
        <v>100</v>
      </c>
      <c r="LK1141" s="100">
        <v>8</v>
      </c>
      <c r="LM1141" s="100">
        <v>2</v>
      </c>
      <c r="LP1141" s="100">
        <v>8</v>
      </c>
      <c r="LQ1141" s="100">
        <v>2</v>
      </c>
      <c r="ON1141" s="100">
        <f t="shared" si="343"/>
        <v>0</v>
      </c>
    </row>
    <row r="1142" spans="1:404" ht="23.25" customHeight="1">
      <c r="A1142" s="97" t="s">
        <v>2073</v>
      </c>
      <c r="B1142" s="95">
        <v>44541</v>
      </c>
      <c r="C1142" s="97">
        <f t="shared" ca="1" si="347"/>
        <v>-523</v>
      </c>
      <c r="D1142" s="96" t="s">
        <v>2072</v>
      </c>
      <c r="E1142" s="280" t="s">
        <v>1488</v>
      </c>
      <c r="F1142" s="98" t="s">
        <v>561</v>
      </c>
      <c r="G1142" s="110">
        <v>0</v>
      </c>
      <c r="H1142" s="97" t="s">
        <v>616</v>
      </c>
      <c r="I1142" s="98">
        <v>20</v>
      </c>
      <c r="J1142" s="97">
        <v>20</v>
      </c>
      <c r="K1142" s="143">
        <f t="shared" si="342"/>
        <v>20</v>
      </c>
      <c r="L1142" s="144">
        <f t="shared" si="357"/>
        <v>0</v>
      </c>
      <c r="M1142" s="98"/>
      <c r="N1142" s="98">
        <v>1</v>
      </c>
      <c r="O1142" s="93">
        <f t="shared" si="345"/>
        <v>100</v>
      </c>
      <c r="LK1142" s="100">
        <v>8</v>
      </c>
      <c r="LM1142" s="100">
        <v>2</v>
      </c>
      <c r="LP1142" s="100">
        <v>8</v>
      </c>
      <c r="LQ1142" s="100">
        <v>2</v>
      </c>
      <c r="ON1142" s="100">
        <f t="shared" si="343"/>
        <v>0</v>
      </c>
    </row>
    <row r="1143" spans="1:404" ht="23.25" customHeight="1">
      <c r="A1143" s="97" t="str">
        <f t="shared" ref="A1143:A1162" si="358">D1143&amp;E1143</f>
        <v>001/CLARIUS-VG-2166-80400-S3-B</v>
      </c>
      <c r="B1143" s="95">
        <v>44767</v>
      </c>
      <c r="C1143" s="97">
        <f t="shared" ca="1" si="347"/>
        <v>-297</v>
      </c>
      <c r="D1143" s="112" t="s">
        <v>1471</v>
      </c>
      <c r="E1143" s="215" t="s">
        <v>1130</v>
      </c>
      <c r="F1143" s="98" t="str">
        <f t="shared" ref="F1143:F1167" si="359">MID(E1143,13,2)</f>
        <v>B</v>
      </c>
      <c r="G1143" s="110">
        <f ca="1">SUMIF($A:E,$A1143,K:K)</f>
        <v>0</v>
      </c>
      <c r="H1143" s="112" t="s">
        <v>1494</v>
      </c>
      <c r="I1143" s="175">
        <v>36</v>
      </c>
      <c r="J1143" s="115">
        <v>36</v>
      </c>
      <c r="K1143" s="143">
        <f t="shared" si="342"/>
        <v>0</v>
      </c>
      <c r="L1143" s="144">
        <f t="shared" si="357"/>
        <v>36</v>
      </c>
      <c r="M1143" s="275">
        <f t="shared" ref="M1143:M1186" si="360">IF(OR(MID(E1143,10,1)="0",MID(E1143,10,1)="F"),I1143,IF(OR(,MID(E1143,10,1)="S",MID(E1143,10,1)="L",MID(E1143,10,1)="B",MID(E1143,10,1)="X"),MID(E1143,11,1)*I1143,0))</f>
        <v>108</v>
      </c>
      <c r="N1143" s="98"/>
      <c r="O1143" s="93">
        <f t="shared" si="345"/>
        <v>0</v>
      </c>
      <c r="ON1143" s="100">
        <f t="shared" si="343"/>
        <v>0</v>
      </c>
    </row>
    <row r="1144" spans="1:404" ht="23.25" customHeight="1">
      <c r="A1144" s="97" t="str">
        <f t="shared" si="358"/>
        <v>001/CLARIUS-VG-2166-80400-B2-B</v>
      </c>
      <c r="B1144" s="95">
        <v>44767</v>
      </c>
      <c r="C1144" s="97">
        <f t="shared" ca="1" si="347"/>
        <v>-297</v>
      </c>
      <c r="D1144" s="112" t="s">
        <v>1471</v>
      </c>
      <c r="E1144" s="123" t="s">
        <v>1128</v>
      </c>
      <c r="F1144" s="98" t="str">
        <f t="shared" si="359"/>
        <v>B</v>
      </c>
      <c r="G1144" s="110">
        <f ca="1">SUMIF($A:E,$A1144,K:K)</f>
        <v>0</v>
      </c>
      <c r="H1144" s="112" t="s">
        <v>1494</v>
      </c>
      <c r="I1144" s="175">
        <v>36</v>
      </c>
      <c r="J1144" s="115">
        <v>64</v>
      </c>
      <c r="K1144" s="143">
        <f t="shared" si="342"/>
        <v>0</v>
      </c>
      <c r="L1144" s="144">
        <f t="shared" si="344"/>
        <v>64</v>
      </c>
      <c r="M1144" s="275">
        <f t="shared" si="360"/>
        <v>72</v>
      </c>
      <c r="N1144" s="98"/>
      <c r="O1144" s="93">
        <f t="shared" si="345"/>
        <v>0</v>
      </c>
      <c r="ON1144" s="100">
        <f t="shared" si="343"/>
        <v>0</v>
      </c>
    </row>
    <row r="1145" spans="1:404" ht="23.25" customHeight="1">
      <c r="A1145" s="97" t="str">
        <f t="shared" si="358"/>
        <v>006/ITIMASIA-2166-80136-02-B</v>
      </c>
      <c r="B1145" s="95">
        <v>44572</v>
      </c>
      <c r="C1145" s="97">
        <f t="shared" ca="1" si="347"/>
        <v>-492</v>
      </c>
      <c r="D1145" s="96" t="s">
        <v>1162</v>
      </c>
      <c r="E1145" s="94" t="s">
        <v>639</v>
      </c>
      <c r="F1145" s="98" t="str">
        <f t="shared" si="359"/>
        <v>B</v>
      </c>
      <c r="G1145" s="110">
        <f ca="1">SUMIF($A:E,$A1145,K:K)</f>
        <v>224</v>
      </c>
      <c r="H1145" s="97" t="s">
        <v>933</v>
      </c>
      <c r="I1145" s="98">
        <v>224</v>
      </c>
      <c r="J1145" s="99">
        <v>224</v>
      </c>
      <c r="K1145" s="143">
        <f t="shared" si="342"/>
        <v>224</v>
      </c>
      <c r="L1145" s="144">
        <f t="shared" si="344"/>
        <v>0</v>
      </c>
      <c r="M1145" s="275">
        <f t="shared" si="360"/>
        <v>224</v>
      </c>
      <c r="N1145" s="98">
        <v>2</v>
      </c>
      <c r="O1145" s="93">
        <f t="shared" si="345"/>
        <v>100</v>
      </c>
      <c r="LU1145" s="100">
        <v>5</v>
      </c>
      <c r="LW1145" s="100">
        <v>11</v>
      </c>
      <c r="LX1145" s="100">
        <v>5</v>
      </c>
      <c r="LY1145" s="100">
        <v>5</v>
      </c>
      <c r="LZ1145" s="100">
        <v>7</v>
      </c>
      <c r="MA1145" s="100">
        <v>2</v>
      </c>
      <c r="MB1145" s="100">
        <v>5</v>
      </c>
      <c r="MD1145" s="100">
        <v>4</v>
      </c>
      <c r="ME1145" s="100">
        <v>4</v>
      </c>
      <c r="MF1145" s="100">
        <v>5</v>
      </c>
      <c r="MK1145" s="100">
        <f>12+18</f>
        <v>30</v>
      </c>
      <c r="ML1145" s="100">
        <v>7</v>
      </c>
      <c r="MM1145" s="100">
        <v>5</v>
      </c>
      <c r="MN1145" s="100">
        <v>11</v>
      </c>
      <c r="MO1145" s="100">
        <v>6</v>
      </c>
      <c r="MP1145" s="100">
        <v>16</v>
      </c>
      <c r="MS1145" s="100">
        <v>10</v>
      </c>
      <c r="MT1145" s="100">
        <v>7</v>
      </c>
      <c r="MW1145" s="100">
        <v>12</v>
      </c>
      <c r="MX1145" s="100">
        <v>12</v>
      </c>
      <c r="MY1145" s="100">
        <v>6</v>
      </c>
      <c r="MZ1145" s="100">
        <v>12</v>
      </c>
      <c r="NA1145" s="100">
        <v>10</v>
      </c>
      <c r="ND1145" s="100">
        <v>8</v>
      </c>
      <c r="NE1145" s="100">
        <v>3</v>
      </c>
      <c r="NF1145" s="100">
        <v>15</v>
      </c>
      <c r="NG1145" s="100">
        <v>1</v>
      </c>
      <c r="ON1145" s="100">
        <f t="shared" si="343"/>
        <v>0</v>
      </c>
    </row>
    <row r="1146" spans="1:404" ht="23.25" customHeight="1">
      <c r="A1146" s="97" t="str">
        <f t="shared" si="358"/>
        <v>006B/ITIMASIA-2166-80136-02-B</v>
      </c>
      <c r="B1146" s="95">
        <v>44626</v>
      </c>
      <c r="C1146" s="97">
        <f t="shared" ca="1" si="347"/>
        <v>-438</v>
      </c>
      <c r="D1146" s="96" t="s">
        <v>2199</v>
      </c>
      <c r="E1146" s="94" t="s">
        <v>639</v>
      </c>
      <c r="F1146" s="98" t="str">
        <f t="shared" si="359"/>
        <v>B</v>
      </c>
      <c r="G1146" s="110">
        <f ca="1">SUMIF($A:E,$A1146,K:K)</f>
        <v>42</v>
      </c>
      <c r="H1146" s="97" t="s">
        <v>933</v>
      </c>
      <c r="I1146" s="98">
        <v>76</v>
      </c>
      <c r="J1146" s="99">
        <v>76</v>
      </c>
      <c r="K1146" s="143">
        <f t="shared" si="342"/>
        <v>42</v>
      </c>
      <c r="L1146" s="144">
        <f t="shared" si="344"/>
        <v>34</v>
      </c>
      <c r="M1146" s="275">
        <f t="shared" si="360"/>
        <v>76</v>
      </c>
      <c r="N1146" s="98">
        <v>2</v>
      </c>
      <c r="O1146" s="93">
        <f t="shared" si="345"/>
        <v>55.26315789473685</v>
      </c>
      <c r="OK1146" s="100">
        <v>10</v>
      </c>
      <c r="OM1146" s="100">
        <v>11</v>
      </c>
      <c r="ON1146" s="100">
        <f t="shared" si="343"/>
        <v>21</v>
      </c>
    </row>
    <row r="1147" spans="1:404" ht="23.25" customHeight="1">
      <c r="A1147" s="97" t="str">
        <f t="shared" si="358"/>
        <v>037T/WESTELM-2166-80136-02-B</v>
      </c>
      <c r="B1147" s="95">
        <v>44462</v>
      </c>
      <c r="C1147" s="97">
        <f t="shared" ca="1" si="347"/>
        <v>-602</v>
      </c>
      <c r="D1147" s="112" t="s">
        <v>1860</v>
      </c>
      <c r="E1147" s="123" t="s">
        <v>639</v>
      </c>
      <c r="F1147" s="98" t="str">
        <f t="shared" si="359"/>
        <v>B</v>
      </c>
      <c r="G1147" s="110">
        <f ca="1">SUMIF($A:E,$A1147,K:K)</f>
        <v>3</v>
      </c>
      <c r="H1147" s="97" t="s">
        <v>616</v>
      </c>
      <c r="I1147" s="175">
        <v>3</v>
      </c>
      <c r="J1147" s="115">
        <v>3</v>
      </c>
      <c r="K1147" s="144">
        <f t="shared" si="342"/>
        <v>3</v>
      </c>
      <c r="L1147" s="144">
        <f t="shared" si="344"/>
        <v>0</v>
      </c>
      <c r="M1147" s="275">
        <f t="shared" si="360"/>
        <v>3</v>
      </c>
      <c r="N1147" s="98">
        <v>1</v>
      </c>
      <c r="O1147" s="93">
        <f t="shared" si="345"/>
        <v>100</v>
      </c>
      <c r="IU1147" s="100">
        <v>1</v>
      </c>
      <c r="IV1147" s="100">
        <v>2</v>
      </c>
      <c r="ON1147" s="100">
        <f t="shared" si="343"/>
        <v>0</v>
      </c>
    </row>
    <row r="1148" spans="1:404" ht="23.25" customHeight="1">
      <c r="A1148" s="97" t="str">
        <f t="shared" si="358"/>
        <v>024/SR-21(WESTELM)66-80136-02-B</v>
      </c>
      <c r="B1148" s="95">
        <v>44463</v>
      </c>
      <c r="C1148" s="97">
        <f t="shared" ca="1" si="347"/>
        <v>-601</v>
      </c>
      <c r="D1148" s="112" t="s">
        <v>1861</v>
      </c>
      <c r="E1148" s="123" t="s">
        <v>639</v>
      </c>
      <c r="F1148" s="98" t="str">
        <f t="shared" si="359"/>
        <v>B</v>
      </c>
      <c r="G1148" s="110">
        <f ca="1">SUMIF($A:E,$A1148,K:K)</f>
        <v>2</v>
      </c>
      <c r="H1148" s="97" t="s">
        <v>616</v>
      </c>
      <c r="I1148" s="175">
        <v>2</v>
      </c>
      <c r="J1148" s="115">
        <v>2</v>
      </c>
      <c r="K1148" s="144">
        <f t="shared" si="342"/>
        <v>2</v>
      </c>
      <c r="L1148" s="144">
        <f t="shared" si="344"/>
        <v>0</v>
      </c>
      <c r="M1148" s="275">
        <f t="shared" si="360"/>
        <v>2</v>
      </c>
      <c r="N1148" s="98">
        <v>1</v>
      </c>
      <c r="O1148" s="93">
        <f t="shared" si="345"/>
        <v>100</v>
      </c>
      <c r="IT1148" s="100">
        <v>2</v>
      </c>
      <c r="ON1148" s="100">
        <f t="shared" si="343"/>
        <v>0</v>
      </c>
    </row>
    <row r="1149" spans="1:404" ht="23.25" customHeight="1">
      <c r="A1149" s="97" t="str">
        <f t="shared" si="358"/>
        <v>006B/ITIMASIA-2166-80036-03-B</v>
      </c>
      <c r="B1149" s="95">
        <v>44715</v>
      </c>
      <c r="C1149" s="97">
        <f t="shared" ca="1" si="347"/>
        <v>-349</v>
      </c>
      <c r="D1149" s="96" t="s">
        <v>2199</v>
      </c>
      <c r="E1149" s="94" t="s">
        <v>638</v>
      </c>
      <c r="F1149" s="98" t="str">
        <f t="shared" si="359"/>
        <v>B</v>
      </c>
      <c r="G1149" s="110">
        <f ca="1">SUMIF($A:E,$A1149,K:K)</f>
        <v>43</v>
      </c>
      <c r="H1149" s="97" t="s">
        <v>933</v>
      </c>
      <c r="I1149" s="98">
        <v>76</v>
      </c>
      <c r="J1149" s="99">
        <v>76</v>
      </c>
      <c r="K1149" s="143">
        <f t="shared" si="342"/>
        <v>43</v>
      </c>
      <c r="L1149" s="144">
        <f t="shared" ref="L1149:L1192" si="361">J1149-K1149</f>
        <v>33</v>
      </c>
      <c r="M1149" s="275">
        <f t="shared" si="360"/>
        <v>76</v>
      </c>
      <c r="N1149" s="98">
        <v>3</v>
      </c>
      <c r="O1149" s="93">
        <f t="shared" ref="O1149:O1152" si="362">K1149/J1149*100</f>
        <v>56.578947368421048</v>
      </c>
      <c r="NG1149" s="100">
        <v>24</v>
      </c>
      <c r="NL1149" s="100">
        <v>7</v>
      </c>
      <c r="NM1149" s="100">
        <v>12</v>
      </c>
      <c r="ON1149" s="100">
        <f t="shared" si="343"/>
        <v>0</v>
      </c>
    </row>
    <row r="1150" spans="1:404" ht="23.25" customHeight="1">
      <c r="A1150" s="97" t="str">
        <f t="shared" si="358"/>
        <v>001/ITIMASIA-VG_SR-2166-80036-03-B</v>
      </c>
      <c r="B1150" s="95">
        <v>44450</v>
      </c>
      <c r="C1150" s="97">
        <f t="shared" ca="1" si="347"/>
        <v>-614</v>
      </c>
      <c r="D1150" s="112" t="s">
        <v>1804</v>
      </c>
      <c r="E1150" s="123" t="s">
        <v>638</v>
      </c>
      <c r="F1150" s="98" t="str">
        <f t="shared" si="359"/>
        <v>B</v>
      </c>
      <c r="G1150" s="110">
        <f ca="1">SUMIF($A:E,$A1150,K:K)</f>
        <v>1</v>
      </c>
      <c r="H1150" s="112" t="s">
        <v>1805</v>
      </c>
      <c r="I1150" s="98">
        <v>1</v>
      </c>
      <c r="J1150" s="99">
        <v>1</v>
      </c>
      <c r="K1150" s="143">
        <f t="shared" si="342"/>
        <v>1</v>
      </c>
      <c r="L1150" s="144">
        <f t="shared" si="361"/>
        <v>0</v>
      </c>
      <c r="M1150" s="275">
        <f t="shared" si="360"/>
        <v>1</v>
      </c>
      <c r="N1150" s="98">
        <v>1</v>
      </c>
      <c r="O1150" s="93">
        <f t="shared" si="362"/>
        <v>100</v>
      </c>
      <c r="IK1150" s="100">
        <v>1</v>
      </c>
      <c r="ON1150" s="100">
        <f t="shared" si="343"/>
        <v>0</v>
      </c>
    </row>
    <row r="1151" spans="1:404" ht="23.25" customHeight="1">
      <c r="A1151" s="97" t="str">
        <f t="shared" si="358"/>
        <v>037T/WESTELM-2166-80036-03-B</v>
      </c>
      <c r="B1151" s="95">
        <v>44462</v>
      </c>
      <c r="C1151" s="97">
        <f t="shared" ca="1" si="347"/>
        <v>-602</v>
      </c>
      <c r="D1151" s="112" t="s">
        <v>1860</v>
      </c>
      <c r="E1151" s="123" t="s">
        <v>638</v>
      </c>
      <c r="F1151" s="98" t="str">
        <f t="shared" si="359"/>
        <v>B</v>
      </c>
      <c r="G1151" s="110">
        <f ca="1">SUMIF($A:E,$A1151,K:K)</f>
        <v>19</v>
      </c>
      <c r="H1151" s="97" t="s">
        <v>616</v>
      </c>
      <c r="I1151" s="175">
        <v>19</v>
      </c>
      <c r="J1151" s="115">
        <v>19</v>
      </c>
      <c r="K1151" s="143">
        <f t="shared" si="342"/>
        <v>19</v>
      </c>
      <c r="L1151" s="144">
        <f t="shared" si="361"/>
        <v>0</v>
      </c>
      <c r="M1151" s="275">
        <f t="shared" si="360"/>
        <v>19</v>
      </c>
      <c r="N1151" s="98">
        <v>1</v>
      </c>
      <c r="O1151" s="93">
        <f t="shared" si="362"/>
        <v>100</v>
      </c>
      <c r="IU1151" s="100">
        <v>7</v>
      </c>
      <c r="IV1151" s="100">
        <v>6</v>
      </c>
      <c r="IY1151" s="100">
        <v>6</v>
      </c>
      <c r="ON1151" s="100">
        <f t="shared" si="343"/>
        <v>0</v>
      </c>
    </row>
    <row r="1152" spans="1:404" ht="23.25" customHeight="1">
      <c r="A1152" s="97" t="str">
        <f t="shared" si="358"/>
        <v>024/SR-21(WESTELM)66-80036-03-B</v>
      </c>
      <c r="B1152" s="95">
        <v>44463</v>
      </c>
      <c r="C1152" s="97">
        <f t="shared" ca="1" si="347"/>
        <v>-601</v>
      </c>
      <c r="D1152" s="112" t="s">
        <v>1861</v>
      </c>
      <c r="E1152" s="123" t="s">
        <v>638</v>
      </c>
      <c r="F1152" s="98" t="str">
        <f t="shared" si="359"/>
        <v>B</v>
      </c>
      <c r="G1152" s="110">
        <f ca="1">SUMIF($A:E,$A1152,K:K)</f>
        <v>2</v>
      </c>
      <c r="H1152" s="97" t="s">
        <v>616</v>
      </c>
      <c r="I1152" s="175">
        <v>2</v>
      </c>
      <c r="J1152" s="115">
        <v>2</v>
      </c>
      <c r="K1152" s="144">
        <f t="shared" si="342"/>
        <v>2</v>
      </c>
      <c r="L1152" s="144">
        <f t="shared" si="361"/>
        <v>0</v>
      </c>
      <c r="M1152" s="275">
        <f t="shared" si="360"/>
        <v>2</v>
      </c>
      <c r="N1152" s="98">
        <v>1</v>
      </c>
      <c r="O1152" s="93">
        <f t="shared" si="362"/>
        <v>100</v>
      </c>
      <c r="IT1152" s="100">
        <v>2</v>
      </c>
      <c r="ON1152" s="100">
        <f t="shared" si="343"/>
        <v>0</v>
      </c>
    </row>
    <row r="1153" spans="1:404" ht="23.25" customHeight="1">
      <c r="A1153" s="97" t="str">
        <f t="shared" si="358"/>
        <v>059/WESTELM-2166-80036-01-B</v>
      </c>
      <c r="B1153" s="95">
        <v>44425</v>
      </c>
      <c r="C1153" s="97">
        <f t="shared" ca="1" si="347"/>
        <v>-639</v>
      </c>
      <c r="D1153" s="96" t="s">
        <v>893</v>
      </c>
      <c r="E1153" s="94" t="s">
        <v>894</v>
      </c>
      <c r="F1153" s="98" t="str">
        <f t="shared" si="359"/>
        <v>B</v>
      </c>
      <c r="G1153" s="110">
        <f ca="1">SUMIF($A:E,$A1153,K:K)</f>
        <v>30</v>
      </c>
      <c r="H1153" s="97" t="s">
        <v>616</v>
      </c>
      <c r="I1153" s="98">
        <v>30</v>
      </c>
      <c r="J1153" s="99">
        <v>30</v>
      </c>
      <c r="K1153" s="143">
        <f t="shared" si="342"/>
        <v>30</v>
      </c>
      <c r="L1153" s="144">
        <f t="shared" si="361"/>
        <v>0</v>
      </c>
      <c r="M1153" s="275">
        <f t="shared" si="360"/>
        <v>30</v>
      </c>
      <c r="N1153" s="98">
        <v>2</v>
      </c>
      <c r="O1153" s="93">
        <f t="shared" ref="O1153:O1159" si="363">K1153/J1153*100</f>
        <v>100</v>
      </c>
      <c r="EQ1153" s="100">
        <v>1</v>
      </c>
      <c r="ET1153" s="100">
        <v>2</v>
      </c>
      <c r="EU1153" s="100">
        <v>3</v>
      </c>
      <c r="EV1153" s="100">
        <v>4</v>
      </c>
      <c r="EW1153" s="100">
        <v>2</v>
      </c>
      <c r="EX1153" s="100">
        <v>3</v>
      </c>
      <c r="EY1153" s="100">
        <v>4</v>
      </c>
      <c r="FA1153" s="100">
        <v>2</v>
      </c>
      <c r="FB1153" s="100">
        <v>3</v>
      </c>
      <c r="FC1153" s="100">
        <v>4</v>
      </c>
      <c r="FD1153" s="100">
        <v>2</v>
      </c>
      <c r="ON1153" s="100">
        <f t="shared" si="343"/>
        <v>0</v>
      </c>
    </row>
    <row r="1154" spans="1:404" ht="23.25" customHeight="1">
      <c r="A1154" s="97" t="str">
        <f t="shared" si="358"/>
        <v>061/WESTELM-2166-80036-01-B</v>
      </c>
      <c r="B1154" s="95">
        <v>44425</v>
      </c>
      <c r="C1154" s="97">
        <f t="shared" ca="1" si="347"/>
        <v>-639</v>
      </c>
      <c r="D1154" s="96" t="s">
        <v>896</v>
      </c>
      <c r="E1154" s="94" t="s">
        <v>894</v>
      </c>
      <c r="F1154" s="98" t="str">
        <f t="shared" si="359"/>
        <v>B</v>
      </c>
      <c r="G1154" s="110">
        <f ca="1">SUMIF($A:E,$A1154,K:K)</f>
        <v>98</v>
      </c>
      <c r="H1154" s="97" t="s">
        <v>616</v>
      </c>
      <c r="I1154" s="98">
        <v>98</v>
      </c>
      <c r="J1154" s="99">
        <v>98</v>
      </c>
      <c r="K1154" s="143">
        <f t="shared" si="342"/>
        <v>98</v>
      </c>
      <c r="L1154" s="144">
        <f t="shared" si="361"/>
        <v>0</v>
      </c>
      <c r="M1154" s="275">
        <f t="shared" si="360"/>
        <v>98</v>
      </c>
      <c r="N1154" s="98">
        <v>2</v>
      </c>
      <c r="O1154" s="93">
        <f t="shared" si="363"/>
        <v>100</v>
      </c>
      <c r="FD1154" s="100">
        <v>2</v>
      </c>
      <c r="FE1154" s="100">
        <v>4</v>
      </c>
      <c r="FF1154" s="100">
        <v>3</v>
      </c>
      <c r="FH1154" s="100">
        <v>2</v>
      </c>
      <c r="FI1154" s="100">
        <v>2</v>
      </c>
      <c r="FL1154" s="100">
        <v>11</v>
      </c>
      <c r="FM1154" s="100">
        <v>6</v>
      </c>
      <c r="FO1154" s="100">
        <v>10</v>
      </c>
      <c r="FP1154" s="100">
        <v>5</v>
      </c>
      <c r="FT1154" s="100">
        <v>26</v>
      </c>
      <c r="FV1154" s="100">
        <v>17</v>
      </c>
      <c r="FW1154" s="100">
        <v>10</v>
      </c>
      <c r="ON1154" s="100">
        <f t="shared" si="343"/>
        <v>0</v>
      </c>
    </row>
    <row r="1155" spans="1:404" ht="23.25" customHeight="1">
      <c r="A1155" s="97" t="str">
        <f t="shared" si="358"/>
        <v>060/WESTELM-2166-80036-01-B</v>
      </c>
      <c r="B1155" s="95">
        <v>44425</v>
      </c>
      <c r="C1155" s="97">
        <f t="shared" ca="1" si="347"/>
        <v>-639</v>
      </c>
      <c r="D1155" s="96" t="s">
        <v>895</v>
      </c>
      <c r="E1155" s="94" t="s">
        <v>894</v>
      </c>
      <c r="F1155" s="98" t="str">
        <f t="shared" si="359"/>
        <v>B</v>
      </c>
      <c r="G1155" s="110">
        <f ca="1">SUMIF($A:E,$A1155,K:K)</f>
        <v>94</v>
      </c>
      <c r="H1155" s="97" t="s">
        <v>616</v>
      </c>
      <c r="I1155" s="98">
        <v>94</v>
      </c>
      <c r="J1155" s="99">
        <v>94</v>
      </c>
      <c r="K1155" s="143">
        <f t="shared" si="342"/>
        <v>94</v>
      </c>
      <c r="L1155" s="144">
        <f t="shared" si="361"/>
        <v>0</v>
      </c>
      <c r="M1155" s="275">
        <f t="shared" si="360"/>
        <v>94</v>
      </c>
      <c r="N1155" s="98">
        <v>2</v>
      </c>
      <c r="O1155" s="93">
        <f t="shared" si="363"/>
        <v>100</v>
      </c>
      <c r="FW1155" s="100">
        <v>4</v>
      </c>
      <c r="FX1155" s="100">
        <v>14</v>
      </c>
      <c r="FZ1155" s="100">
        <v>15</v>
      </c>
      <c r="GA1155" s="100">
        <v>7</v>
      </c>
      <c r="GB1155" s="100">
        <v>14</v>
      </c>
      <c r="GC1155" s="100">
        <v>12</v>
      </c>
      <c r="GD1155" s="100">
        <v>15</v>
      </c>
      <c r="GG1155" s="100">
        <v>5</v>
      </c>
      <c r="GH1155" s="100">
        <v>8</v>
      </c>
      <c r="ON1155" s="100">
        <f t="shared" si="343"/>
        <v>0</v>
      </c>
    </row>
    <row r="1156" spans="1:404" ht="23.25" customHeight="1">
      <c r="A1156" s="97" t="str">
        <f t="shared" si="358"/>
        <v>062/WESTELM-2166-80036-01-B</v>
      </c>
      <c r="B1156" s="95">
        <v>44425</v>
      </c>
      <c r="C1156" s="97">
        <f t="shared" ca="1" si="347"/>
        <v>-639</v>
      </c>
      <c r="D1156" s="96" t="s">
        <v>897</v>
      </c>
      <c r="E1156" s="94" t="s">
        <v>894</v>
      </c>
      <c r="F1156" s="98" t="str">
        <f t="shared" si="359"/>
        <v>B</v>
      </c>
      <c r="G1156" s="110">
        <f ca="1">SUMIF($A:E,$A1156,K:K)</f>
        <v>34</v>
      </c>
      <c r="H1156" s="97" t="s">
        <v>616</v>
      </c>
      <c r="I1156" s="98">
        <v>34</v>
      </c>
      <c r="J1156" s="99">
        <v>34</v>
      </c>
      <c r="K1156" s="143">
        <f t="shared" ref="K1156:K1219" si="364">SUM(P1156:BBC1156)</f>
        <v>34</v>
      </c>
      <c r="L1156" s="144">
        <f t="shared" si="361"/>
        <v>0</v>
      </c>
      <c r="M1156" s="275">
        <f t="shared" si="360"/>
        <v>34</v>
      </c>
      <c r="N1156" s="98">
        <v>2</v>
      </c>
      <c r="O1156" s="93">
        <f t="shared" si="363"/>
        <v>100</v>
      </c>
      <c r="GJ1156" s="100">
        <v>14</v>
      </c>
      <c r="GK1156" s="100">
        <v>7</v>
      </c>
      <c r="GL1156" s="100">
        <v>4</v>
      </c>
      <c r="GN1156" s="100">
        <v>1</v>
      </c>
      <c r="GQ1156" s="100">
        <v>4</v>
      </c>
      <c r="GS1156" s="100">
        <v>2</v>
      </c>
      <c r="HD1156" s="100">
        <v>2</v>
      </c>
      <c r="ON1156" s="100">
        <f t="shared" ref="ON1156:ON1219" si="365">SUM(NS1156:OM1156)</f>
        <v>0</v>
      </c>
    </row>
    <row r="1157" spans="1:404" ht="23.25" customHeight="1">
      <c r="A1157" s="97" t="str">
        <f t="shared" si="358"/>
        <v>022T/WESTELM-2166-80036-01-B</v>
      </c>
      <c r="B1157" s="95">
        <v>44457</v>
      </c>
      <c r="C1157" s="97">
        <f t="shared" ca="1" si="347"/>
        <v>-607</v>
      </c>
      <c r="D1157" s="96" t="s">
        <v>1079</v>
      </c>
      <c r="E1157" s="94" t="s">
        <v>894</v>
      </c>
      <c r="F1157" s="98" t="str">
        <f t="shared" si="359"/>
        <v>B</v>
      </c>
      <c r="G1157" s="110">
        <f ca="1">SUMIF($A:E,$A1157,K:K)</f>
        <v>302</v>
      </c>
      <c r="H1157" s="97" t="s">
        <v>508</v>
      </c>
      <c r="I1157" s="98">
        <v>302</v>
      </c>
      <c r="J1157" s="97">
        <v>302</v>
      </c>
      <c r="K1157" s="143">
        <f t="shared" si="364"/>
        <v>302</v>
      </c>
      <c r="L1157" s="144">
        <f t="shared" si="361"/>
        <v>0</v>
      </c>
      <c r="M1157" s="275">
        <f t="shared" si="360"/>
        <v>302</v>
      </c>
      <c r="N1157" s="98">
        <v>2</v>
      </c>
      <c r="O1157" s="93">
        <f t="shared" si="363"/>
        <v>100</v>
      </c>
      <c r="HD1157" s="100">
        <v>1</v>
      </c>
      <c r="HE1157" s="100">
        <v>14</v>
      </c>
      <c r="HF1157" s="100">
        <v>12</v>
      </c>
      <c r="HG1157" s="100">
        <v>12</v>
      </c>
      <c r="HJ1157" s="100">
        <v>14</v>
      </c>
      <c r="HK1157" s="100">
        <v>2</v>
      </c>
      <c r="HL1157" s="100">
        <v>12</v>
      </c>
      <c r="HM1157" s="100">
        <v>11</v>
      </c>
      <c r="HQ1157" s="100">
        <v>16</v>
      </c>
      <c r="HR1157" s="100">
        <v>7</v>
      </c>
      <c r="HS1157" s="100">
        <v>11</v>
      </c>
      <c r="HT1157" s="100">
        <v>20</v>
      </c>
      <c r="HU1157" s="100">
        <v>12</v>
      </c>
      <c r="HW1157" s="100">
        <v>9</v>
      </c>
      <c r="HX1157" s="100">
        <v>15</v>
      </c>
      <c r="HY1157" s="100">
        <v>6</v>
      </c>
      <c r="ID1157" s="100">
        <v>10</v>
      </c>
      <c r="IE1157" s="100">
        <v>17</v>
      </c>
      <c r="IG1157" s="100">
        <v>24</v>
      </c>
      <c r="II1157" s="100">
        <v>11</v>
      </c>
      <c r="IK1157" s="100">
        <v>4</v>
      </c>
      <c r="IL1157" s="100">
        <v>20</v>
      </c>
      <c r="IM1157" s="100">
        <v>13</v>
      </c>
      <c r="IO1157" s="100">
        <v>12</v>
      </c>
      <c r="IP1157" s="100">
        <v>12</v>
      </c>
      <c r="IR1157" s="100">
        <v>5</v>
      </c>
      <c r="ON1157" s="100">
        <f t="shared" si="365"/>
        <v>0</v>
      </c>
    </row>
    <row r="1158" spans="1:404" ht="23.25" customHeight="1">
      <c r="A1158" s="97" t="str">
        <f t="shared" si="358"/>
        <v>144/WESTELM-2166-80036-01-B</v>
      </c>
      <c r="B1158" s="95">
        <v>44459</v>
      </c>
      <c r="C1158" s="97">
        <f t="shared" ca="1" si="347"/>
        <v>-605</v>
      </c>
      <c r="D1158" s="112" t="s">
        <v>1438</v>
      </c>
      <c r="E1158" s="123" t="s">
        <v>894</v>
      </c>
      <c r="F1158" s="98" t="str">
        <f t="shared" si="359"/>
        <v>B</v>
      </c>
      <c r="G1158" s="110">
        <f ca="1">SUMIF($A:E,$A1158,K:K)</f>
        <v>9</v>
      </c>
      <c r="H1158" s="97" t="s">
        <v>616</v>
      </c>
      <c r="I1158" s="98">
        <v>9</v>
      </c>
      <c r="J1158" s="99">
        <v>9</v>
      </c>
      <c r="K1158" s="143">
        <f t="shared" si="364"/>
        <v>9</v>
      </c>
      <c r="L1158" s="144">
        <f t="shared" si="361"/>
        <v>0</v>
      </c>
      <c r="M1158" s="275">
        <f t="shared" si="360"/>
        <v>9</v>
      </c>
      <c r="N1158" s="98">
        <v>2</v>
      </c>
      <c r="O1158" s="93">
        <f t="shared" si="363"/>
        <v>100</v>
      </c>
      <c r="IR1158" s="100">
        <v>6</v>
      </c>
      <c r="IS1158" s="100">
        <v>1</v>
      </c>
      <c r="IT1158" s="100">
        <v>2</v>
      </c>
      <c r="ON1158" s="100">
        <f t="shared" si="365"/>
        <v>0</v>
      </c>
    </row>
    <row r="1159" spans="1:404" ht="23.25" customHeight="1">
      <c r="A1159" s="97" t="str">
        <f t="shared" si="358"/>
        <v>024/SR-21(WESTELM)66-80036-01-B</v>
      </c>
      <c r="B1159" s="95">
        <v>44463</v>
      </c>
      <c r="C1159" s="97">
        <f t="shared" ca="1" si="347"/>
        <v>-601</v>
      </c>
      <c r="D1159" s="112" t="s">
        <v>1861</v>
      </c>
      <c r="E1159" s="123" t="s">
        <v>894</v>
      </c>
      <c r="F1159" s="98" t="str">
        <f t="shared" si="359"/>
        <v>B</v>
      </c>
      <c r="G1159" s="110">
        <f ca="1">SUMIF($A:E,$A1159,K:K)</f>
        <v>2</v>
      </c>
      <c r="H1159" s="97" t="s">
        <v>616</v>
      </c>
      <c r="I1159" s="175">
        <v>2</v>
      </c>
      <c r="J1159" s="115">
        <v>2</v>
      </c>
      <c r="K1159" s="144">
        <f t="shared" si="364"/>
        <v>2</v>
      </c>
      <c r="L1159" s="144">
        <f t="shared" si="361"/>
        <v>0</v>
      </c>
      <c r="M1159" s="275">
        <f t="shared" si="360"/>
        <v>2</v>
      </c>
      <c r="N1159" s="98">
        <v>2</v>
      </c>
      <c r="O1159" s="93">
        <f t="shared" si="363"/>
        <v>100</v>
      </c>
      <c r="IR1159" s="100">
        <v>2</v>
      </c>
      <c r="ON1159" s="100">
        <f t="shared" si="365"/>
        <v>0</v>
      </c>
    </row>
    <row r="1160" spans="1:404" ht="23.25" customHeight="1">
      <c r="A1160" s="97" t="str">
        <f t="shared" si="358"/>
        <v>066/WESTELM-2166-80036-01-17</v>
      </c>
      <c r="B1160" s="95">
        <v>44464</v>
      </c>
      <c r="C1160" s="97">
        <f t="shared" ca="1" si="347"/>
        <v>-600</v>
      </c>
      <c r="D1160" s="96" t="s">
        <v>900</v>
      </c>
      <c r="E1160" s="94" t="s">
        <v>904</v>
      </c>
      <c r="F1160" s="98" t="str">
        <f t="shared" si="359"/>
        <v>17</v>
      </c>
      <c r="G1160" s="110">
        <f ca="1">SUMIF($A:E,$A1160,K:K)</f>
        <v>130</v>
      </c>
      <c r="H1160" s="97" t="s">
        <v>505</v>
      </c>
      <c r="I1160" s="98">
        <v>130</v>
      </c>
      <c r="J1160" s="99">
        <v>130</v>
      </c>
      <c r="K1160" s="143">
        <f t="shared" si="364"/>
        <v>130</v>
      </c>
      <c r="L1160" s="144">
        <f t="shared" si="361"/>
        <v>0</v>
      </c>
      <c r="M1160" s="275">
        <f t="shared" si="360"/>
        <v>130</v>
      </c>
      <c r="N1160" s="98">
        <v>2</v>
      </c>
      <c r="O1160" s="93">
        <f>K1160/J1160*100</f>
        <v>100</v>
      </c>
      <c r="GL1160" s="100">
        <v>4</v>
      </c>
      <c r="GO1160" s="100">
        <v>19</v>
      </c>
      <c r="GP1160" s="100">
        <v>3</v>
      </c>
      <c r="GQ1160" s="100">
        <v>7</v>
      </c>
      <c r="GR1160" s="100">
        <v>10</v>
      </c>
      <c r="GS1160" s="100">
        <v>5</v>
      </c>
      <c r="GU1160" s="100">
        <v>8</v>
      </c>
      <c r="GV1160" s="100">
        <v>5</v>
      </c>
      <c r="GW1160" s="100">
        <v>8</v>
      </c>
      <c r="GX1160" s="100">
        <v>8</v>
      </c>
      <c r="GZ1160" s="100">
        <v>14</v>
      </c>
      <c r="HB1160" s="100">
        <v>13</v>
      </c>
      <c r="HC1160" s="100">
        <v>13</v>
      </c>
      <c r="HD1160" s="100">
        <v>10</v>
      </c>
      <c r="HX1160" s="100">
        <v>3</v>
      </c>
      <c r="ON1160" s="100">
        <f t="shared" si="365"/>
        <v>0</v>
      </c>
    </row>
    <row r="1161" spans="1:404" ht="23.25" customHeight="1">
      <c r="A1161" s="97" t="str">
        <f t="shared" si="358"/>
        <v>063/WESTELM-2166-80036-01-17</v>
      </c>
      <c r="B1161" s="95">
        <v>44473</v>
      </c>
      <c r="C1161" s="97">
        <f t="shared" ca="1" si="347"/>
        <v>-591</v>
      </c>
      <c r="D1161" s="235" t="s">
        <v>903</v>
      </c>
      <c r="E1161" s="123" t="s">
        <v>904</v>
      </c>
      <c r="F1161" s="98" t="str">
        <f t="shared" si="359"/>
        <v>17</v>
      </c>
      <c r="G1161" s="224">
        <f ca="1">SUMIF($A:E,$A1161,K:K)</f>
        <v>120</v>
      </c>
      <c r="H1161" s="97" t="s">
        <v>1837</v>
      </c>
      <c r="I1161" s="98">
        <v>120</v>
      </c>
      <c r="J1161" s="99">
        <v>120</v>
      </c>
      <c r="K1161" s="143">
        <f t="shared" si="364"/>
        <v>120</v>
      </c>
      <c r="L1161" s="144">
        <f t="shared" si="361"/>
        <v>0</v>
      </c>
      <c r="M1161" s="275">
        <f t="shared" si="360"/>
        <v>120</v>
      </c>
      <c r="N1161" s="98">
        <v>2</v>
      </c>
      <c r="O1161" s="93">
        <f>K1161/J1161*100</f>
        <v>100</v>
      </c>
      <c r="IS1161" s="100">
        <v>5</v>
      </c>
      <c r="IT1161" s="100">
        <v>6</v>
      </c>
      <c r="IW1161" s="100">
        <v>28</v>
      </c>
      <c r="IY1161" s="100">
        <v>6</v>
      </c>
      <c r="IZ1161" s="100">
        <v>16</v>
      </c>
      <c r="JA1161" s="100">
        <v>9</v>
      </c>
      <c r="JB1161" s="100">
        <v>10</v>
      </c>
      <c r="JC1161" s="100">
        <v>13</v>
      </c>
      <c r="JD1161" s="100">
        <v>5</v>
      </c>
      <c r="JF1161" s="100">
        <v>11</v>
      </c>
      <c r="JG1161" s="100">
        <v>11</v>
      </c>
      <c r="ON1161" s="100">
        <f t="shared" si="365"/>
        <v>0</v>
      </c>
    </row>
    <row r="1162" spans="1:404" ht="23.25" customHeight="1">
      <c r="A1162" s="97" t="str">
        <f t="shared" si="358"/>
        <v>001/TK MAXX-USA-2166-79810-01-B</v>
      </c>
      <c r="B1162" s="95">
        <v>44602</v>
      </c>
      <c r="C1162" s="97">
        <f t="shared" ca="1" si="347"/>
        <v>-462</v>
      </c>
      <c r="D1162" s="112" t="s">
        <v>1363</v>
      </c>
      <c r="E1162" s="123" t="s">
        <v>1367</v>
      </c>
      <c r="F1162" s="98" t="str">
        <f t="shared" si="359"/>
        <v>B</v>
      </c>
      <c r="G1162" s="110">
        <f ca="1">SUMIF($A:E,$A1162,K:K)</f>
        <v>60</v>
      </c>
      <c r="H1162" s="97" t="s">
        <v>508</v>
      </c>
      <c r="I1162" s="175">
        <v>60</v>
      </c>
      <c r="J1162" s="115">
        <v>60</v>
      </c>
      <c r="K1162" s="143">
        <f t="shared" si="364"/>
        <v>60</v>
      </c>
      <c r="L1162" s="144">
        <f t="shared" si="361"/>
        <v>0</v>
      </c>
      <c r="M1162" s="275">
        <f t="shared" si="360"/>
        <v>60</v>
      </c>
      <c r="N1162" s="98">
        <v>6</v>
      </c>
      <c r="O1162" s="93">
        <f t="shared" ref="O1162:O1164" si="366">K1162/J1162*100</f>
        <v>100</v>
      </c>
      <c r="MR1162" s="100">
        <v>10</v>
      </c>
      <c r="MS1162" s="100">
        <v>14</v>
      </c>
      <c r="MT1162" s="100">
        <v>3</v>
      </c>
      <c r="MU1162" s="100">
        <v>10</v>
      </c>
      <c r="MX1162" s="100">
        <v>12</v>
      </c>
      <c r="MY1162" s="100">
        <v>5</v>
      </c>
      <c r="MZ1162" s="100">
        <v>1</v>
      </c>
      <c r="NE1162" s="100">
        <v>4</v>
      </c>
      <c r="NK1162" s="100">
        <v>1</v>
      </c>
      <c r="ON1162" s="100">
        <f t="shared" si="365"/>
        <v>0</v>
      </c>
    </row>
    <row r="1163" spans="1:404" ht="23.25" customHeight="1">
      <c r="A1163" s="97" t="s">
        <v>1370</v>
      </c>
      <c r="B1163" s="95">
        <v>44398</v>
      </c>
      <c r="C1163" s="97">
        <f t="shared" ca="1" si="347"/>
        <v>-666</v>
      </c>
      <c r="D1163" s="112" t="s">
        <v>1406</v>
      </c>
      <c r="E1163" s="123" t="s">
        <v>1367</v>
      </c>
      <c r="F1163" s="98" t="str">
        <f t="shared" si="359"/>
        <v>B</v>
      </c>
      <c r="G1163" s="110">
        <f ca="1">SUMIF($A:E,$A1163,K:K)</f>
        <v>5654</v>
      </c>
      <c r="H1163" s="112" t="s">
        <v>1405</v>
      </c>
      <c r="I1163" s="175">
        <v>2</v>
      </c>
      <c r="J1163" s="115">
        <v>2</v>
      </c>
      <c r="K1163" s="143">
        <f t="shared" si="364"/>
        <v>2</v>
      </c>
      <c r="L1163" s="144">
        <f t="shared" si="361"/>
        <v>0</v>
      </c>
      <c r="M1163" s="275">
        <f t="shared" si="360"/>
        <v>2</v>
      </c>
      <c r="N1163" s="98">
        <v>3</v>
      </c>
      <c r="O1163" s="93">
        <f t="shared" si="366"/>
        <v>100</v>
      </c>
      <c r="GN1163" s="100">
        <v>2</v>
      </c>
      <c r="ON1163" s="100">
        <f t="shared" si="365"/>
        <v>0</v>
      </c>
    </row>
    <row r="1164" spans="1:404" ht="23.25" customHeight="1">
      <c r="A1164" s="97" t="str">
        <f t="shared" ref="A1164:A1181" si="367">D1164&amp;E1164</f>
        <v>001/GREENPOT-VG_SR-2166-79616-03-B</v>
      </c>
      <c r="B1164" s="95">
        <v>44426</v>
      </c>
      <c r="C1164" s="97">
        <f t="shared" ca="1" si="347"/>
        <v>-638</v>
      </c>
      <c r="D1164" s="112" t="s">
        <v>1606</v>
      </c>
      <c r="E1164" s="123" t="s">
        <v>1613</v>
      </c>
      <c r="F1164" s="98" t="str">
        <f t="shared" si="359"/>
        <v>B</v>
      </c>
      <c r="G1164" s="110">
        <f ca="1">SUMIF($A:E,$A1164,K:K)</f>
        <v>1</v>
      </c>
      <c r="H1164" s="112" t="s">
        <v>1616</v>
      </c>
      <c r="I1164" s="175">
        <v>1</v>
      </c>
      <c r="J1164" s="115">
        <v>1</v>
      </c>
      <c r="K1164" s="143">
        <f t="shared" si="364"/>
        <v>1</v>
      </c>
      <c r="L1164" s="144">
        <f t="shared" si="361"/>
        <v>0</v>
      </c>
      <c r="M1164" s="275">
        <f t="shared" si="360"/>
        <v>1</v>
      </c>
      <c r="N1164" s="98">
        <v>3</v>
      </c>
      <c r="O1164" s="93">
        <f t="shared" si="366"/>
        <v>100</v>
      </c>
      <c r="HL1164" s="100">
        <v>1</v>
      </c>
      <c r="ON1164" s="100">
        <f t="shared" si="365"/>
        <v>0</v>
      </c>
    </row>
    <row r="1165" spans="1:404" ht="23.25" customHeight="1">
      <c r="A1165" s="97" t="str">
        <f t="shared" si="367"/>
        <v>001/GREENPOT-VG_SR-2166-79616-03-A</v>
      </c>
      <c r="B1165" s="95">
        <v>44426</v>
      </c>
      <c r="C1165" s="97">
        <f t="shared" ca="1" si="347"/>
        <v>-638</v>
      </c>
      <c r="D1165" s="112" t="s">
        <v>1606</v>
      </c>
      <c r="E1165" s="123" t="s">
        <v>1612</v>
      </c>
      <c r="F1165" s="98" t="str">
        <f t="shared" si="359"/>
        <v>A</v>
      </c>
      <c r="G1165" s="110">
        <f ca="1">SUMIF($A:E,$A1165,K:K)</f>
        <v>1</v>
      </c>
      <c r="H1165" s="112" t="s">
        <v>1616</v>
      </c>
      <c r="I1165" s="175">
        <v>1</v>
      </c>
      <c r="J1165" s="115">
        <v>1</v>
      </c>
      <c r="K1165" s="143">
        <f t="shared" si="364"/>
        <v>1</v>
      </c>
      <c r="L1165" s="144">
        <f t="shared" si="361"/>
        <v>0</v>
      </c>
      <c r="M1165" s="275">
        <f t="shared" si="360"/>
        <v>1</v>
      </c>
      <c r="N1165" s="98">
        <v>3</v>
      </c>
      <c r="O1165" s="93">
        <f t="shared" ref="O1165:O1181" si="368">K1165/J1165*100</f>
        <v>100</v>
      </c>
      <c r="HL1165" s="100">
        <v>1</v>
      </c>
      <c r="ON1165" s="100">
        <f t="shared" si="365"/>
        <v>0</v>
      </c>
    </row>
    <row r="1166" spans="1:404" ht="23.25" customHeight="1">
      <c r="A1166" s="97" t="str">
        <f t="shared" si="367"/>
        <v>001/GREENPOT-VG_SR-2166-79616-02-B</v>
      </c>
      <c r="B1166" s="95">
        <v>44426</v>
      </c>
      <c r="C1166" s="97">
        <f t="shared" ca="1" si="347"/>
        <v>-638</v>
      </c>
      <c r="D1166" s="112" t="s">
        <v>1606</v>
      </c>
      <c r="E1166" s="123" t="s">
        <v>1611</v>
      </c>
      <c r="F1166" s="98" t="str">
        <f t="shared" si="359"/>
        <v>B</v>
      </c>
      <c r="G1166" s="110">
        <f ca="1">SUMIF($A:E,$A1166,K:K)</f>
        <v>1</v>
      </c>
      <c r="H1166" s="112" t="s">
        <v>1616</v>
      </c>
      <c r="I1166" s="175">
        <v>1</v>
      </c>
      <c r="J1166" s="115">
        <v>1</v>
      </c>
      <c r="K1166" s="143">
        <f t="shared" si="364"/>
        <v>1</v>
      </c>
      <c r="L1166" s="144">
        <f t="shared" si="361"/>
        <v>0</v>
      </c>
      <c r="M1166" s="275">
        <f t="shared" si="360"/>
        <v>1</v>
      </c>
      <c r="N1166" s="98">
        <v>3</v>
      </c>
      <c r="O1166" s="93">
        <f t="shared" si="368"/>
        <v>100</v>
      </c>
      <c r="HL1166" s="100">
        <v>1</v>
      </c>
      <c r="ON1166" s="100">
        <f t="shared" si="365"/>
        <v>0</v>
      </c>
    </row>
    <row r="1167" spans="1:404" ht="23.25" customHeight="1">
      <c r="A1167" s="97" t="str">
        <f t="shared" si="367"/>
        <v>001/GREENPOT-VG_SR-2166-79616-02-A</v>
      </c>
      <c r="B1167" s="95">
        <v>44426</v>
      </c>
      <c r="C1167" s="97">
        <f t="shared" ca="1" si="347"/>
        <v>-638</v>
      </c>
      <c r="D1167" s="112" t="s">
        <v>1606</v>
      </c>
      <c r="E1167" s="123" t="s">
        <v>1610</v>
      </c>
      <c r="F1167" s="98" t="str">
        <f t="shared" si="359"/>
        <v>A</v>
      </c>
      <c r="G1167" s="110">
        <f ca="1">SUMIF($A:E,$A1167,K:K)</f>
        <v>1</v>
      </c>
      <c r="H1167" s="112" t="s">
        <v>1616</v>
      </c>
      <c r="I1167" s="175">
        <v>1</v>
      </c>
      <c r="J1167" s="115">
        <v>1</v>
      </c>
      <c r="K1167" s="143">
        <f t="shared" si="364"/>
        <v>1</v>
      </c>
      <c r="L1167" s="144">
        <f t="shared" si="361"/>
        <v>0</v>
      </c>
      <c r="M1167" s="275">
        <f t="shared" si="360"/>
        <v>1</v>
      </c>
      <c r="N1167" s="98">
        <v>3</v>
      </c>
      <c r="O1167" s="93">
        <f t="shared" si="368"/>
        <v>100</v>
      </c>
      <c r="HL1167" s="100">
        <v>1</v>
      </c>
      <c r="ON1167" s="100">
        <f t="shared" si="365"/>
        <v>0</v>
      </c>
    </row>
    <row r="1168" spans="1:404" ht="23.25" customHeight="1">
      <c r="A1168" s="97" t="str">
        <f t="shared" si="367"/>
        <v>001/ANNA-2166-79516-03-B</v>
      </c>
      <c r="B1168" s="95">
        <v>44395</v>
      </c>
      <c r="C1168" s="97">
        <f t="shared" ref="C1168:C1213" ca="1" si="369">B1168-TODAY()</f>
        <v>-669</v>
      </c>
      <c r="D1168" s="159" t="s">
        <v>862</v>
      </c>
      <c r="E1168" s="123" t="s">
        <v>711</v>
      </c>
      <c r="F1168" s="98" t="str">
        <f t="shared" ref="F1168:F1186" si="370">MID(E1168,13,2)</f>
        <v>B</v>
      </c>
      <c r="G1168" s="110">
        <f ca="1">SUMIF($A:E,$A1168,K:K)</f>
        <v>216</v>
      </c>
      <c r="H1168" s="97" t="s">
        <v>882</v>
      </c>
      <c r="I1168" s="175">
        <v>216</v>
      </c>
      <c r="J1168" s="115">
        <v>216</v>
      </c>
      <c r="K1168" s="143">
        <f t="shared" si="364"/>
        <v>216</v>
      </c>
      <c r="L1168" s="144">
        <f t="shared" si="361"/>
        <v>0</v>
      </c>
      <c r="M1168" s="275">
        <f t="shared" si="360"/>
        <v>216</v>
      </c>
      <c r="N1168" s="98">
        <v>4</v>
      </c>
      <c r="O1168" s="93">
        <f t="shared" si="368"/>
        <v>100</v>
      </c>
      <c r="DB1168" s="101">
        <v>9</v>
      </c>
      <c r="DD1168" s="101">
        <v>26</v>
      </c>
      <c r="DE1168" s="101">
        <v>8</v>
      </c>
      <c r="DF1168" s="101">
        <v>15</v>
      </c>
      <c r="DG1168" s="101">
        <v>12</v>
      </c>
      <c r="DK1168" s="101">
        <v>16</v>
      </c>
      <c r="DL1168" s="101">
        <v>6</v>
      </c>
      <c r="DM1168" s="101">
        <v>14</v>
      </c>
      <c r="DN1168" s="101">
        <v>6</v>
      </c>
      <c r="DP1168" s="101">
        <v>16</v>
      </c>
      <c r="DR1168" s="101">
        <v>13</v>
      </c>
      <c r="DU1168" s="100">
        <v>31</v>
      </c>
      <c r="DW1168" s="100">
        <f>27+14</f>
        <v>41</v>
      </c>
      <c r="DY1168" s="100">
        <v>3</v>
      </c>
      <c r="ON1168" s="100">
        <f t="shared" si="365"/>
        <v>0</v>
      </c>
    </row>
    <row r="1169" spans="1:404" ht="23.25" customHeight="1">
      <c r="A1169" s="97" t="str">
        <f t="shared" si="367"/>
        <v>001/GREENPOT-VG_SR-2166-79516-03-B</v>
      </c>
      <c r="B1169" s="95">
        <v>44426</v>
      </c>
      <c r="C1169" s="97">
        <f t="shared" ca="1" si="369"/>
        <v>-638</v>
      </c>
      <c r="D1169" s="112" t="s">
        <v>1606</v>
      </c>
      <c r="E1169" s="123" t="s">
        <v>711</v>
      </c>
      <c r="F1169" s="98" t="str">
        <f t="shared" si="370"/>
        <v>B</v>
      </c>
      <c r="G1169" s="110">
        <f ca="1">SUMIF($A:E,$A1169,K:K)</f>
        <v>1</v>
      </c>
      <c r="H1169" s="112" t="s">
        <v>1616</v>
      </c>
      <c r="I1169" s="175">
        <v>1</v>
      </c>
      <c r="J1169" s="115">
        <v>1</v>
      </c>
      <c r="K1169" s="143">
        <f t="shared" si="364"/>
        <v>1</v>
      </c>
      <c r="L1169" s="144">
        <f t="shared" si="361"/>
        <v>0</v>
      </c>
      <c r="M1169" s="275">
        <f t="shared" si="360"/>
        <v>1</v>
      </c>
      <c r="N1169" s="98">
        <v>3</v>
      </c>
      <c r="O1169" s="93">
        <f t="shared" si="368"/>
        <v>100</v>
      </c>
      <c r="HL1169" s="100">
        <v>1</v>
      </c>
      <c r="ON1169" s="100">
        <f t="shared" si="365"/>
        <v>0</v>
      </c>
    </row>
    <row r="1170" spans="1:404" ht="23.25" customHeight="1">
      <c r="A1170" s="97" t="str">
        <f t="shared" si="367"/>
        <v>001/ANNA-2166-79516-03-A</v>
      </c>
      <c r="B1170" s="95">
        <v>44395</v>
      </c>
      <c r="C1170" s="97">
        <f t="shared" ca="1" si="369"/>
        <v>-669</v>
      </c>
      <c r="D1170" s="159" t="s">
        <v>862</v>
      </c>
      <c r="E1170" s="123" t="s">
        <v>875</v>
      </c>
      <c r="F1170" s="98" t="str">
        <f t="shared" si="370"/>
        <v>A</v>
      </c>
      <c r="G1170" s="110">
        <f ca="1">SUMIF($A:E,$A1170,K:K)</f>
        <v>144</v>
      </c>
      <c r="H1170" s="97" t="s">
        <v>882</v>
      </c>
      <c r="I1170" s="175">
        <v>144</v>
      </c>
      <c r="J1170" s="115">
        <v>144</v>
      </c>
      <c r="K1170" s="143">
        <f t="shared" si="364"/>
        <v>144</v>
      </c>
      <c r="L1170" s="144">
        <f t="shared" si="361"/>
        <v>0</v>
      </c>
      <c r="M1170" s="275">
        <f t="shared" si="360"/>
        <v>144</v>
      </c>
      <c r="N1170" s="98">
        <v>4</v>
      </c>
      <c r="O1170" s="93">
        <f t="shared" si="368"/>
        <v>100</v>
      </c>
      <c r="EA1170" s="100">
        <v>20</v>
      </c>
      <c r="EC1170" s="100">
        <v>15</v>
      </c>
      <c r="EF1170" s="100">
        <v>13</v>
      </c>
      <c r="EG1170" s="100">
        <v>29</v>
      </c>
      <c r="EH1170" s="100">
        <v>14</v>
      </c>
      <c r="EI1170" s="100">
        <v>14</v>
      </c>
      <c r="EJ1170" s="100">
        <v>7</v>
      </c>
      <c r="EM1170" s="100">
        <v>21</v>
      </c>
      <c r="EN1170" s="100">
        <v>7</v>
      </c>
      <c r="EP1170" s="100">
        <v>4</v>
      </c>
      <c r="ON1170" s="100">
        <f t="shared" si="365"/>
        <v>0</v>
      </c>
    </row>
    <row r="1171" spans="1:404" ht="23.25" customHeight="1">
      <c r="A1171" s="97" t="str">
        <f t="shared" si="367"/>
        <v>001/GREENPOT-VG_SR-2166-79516-03-A</v>
      </c>
      <c r="B1171" s="95">
        <v>44426</v>
      </c>
      <c r="C1171" s="97">
        <f t="shared" ca="1" si="369"/>
        <v>-638</v>
      </c>
      <c r="D1171" s="112" t="s">
        <v>1606</v>
      </c>
      <c r="E1171" s="123" t="s">
        <v>875</v>
      </c>
      <c r="F1171" s="98" t="str">
        <f t="shared" si="370"/>
        <v>A</v>
      </c>
      <c r="G1171" s="110">
        <f ca="1">SUMIF($A:E,$A1171,K:K)</f>
        <v>1</v>
      </c>
      <c r="H1171" s="112" t="s">
        <v>1616</v>
      </c>
      <c r="I1171" s="175">
        <v>1</v>
      </c>
      <c r="J1171" s="115">
        <v>1</v>
      </c>
      <c r="K1171" s="143">
        <f t="shared" si="364"/>
        <v>1</v>
      </c>
      <c r="L1171" s="144">
        <f t="shared" si="361"/>
        <v>0</v>
      </c>
      <c r="M1171" s="275">
        <f t="shared" si="360"/>
        <v>1</v>
      </c>
      <c r="N1171" s="98">
        <v>3</v>
      </c>
      <c r="O1171" s="93">
        <f t="shared" si="368"/>
        <v>100</v>
      </c>
      <c r="HL1171" s="100">
        <v>1</v>
      </c>
      <c r="ON1171" s="100">
        <f t="shared" si="365"/>
        <v>0</v>
      </c>
    </row>
    <row r="1172" spans="1:404" ht="23.25" customHeight="1">
      <c r="A1172" s="97" t="str">
        <f t="shared" si="367"/>
        <v>001/ANNA-2166-79516-03-01</v>
      </c>
      <c r="B1172" s="95">
        <v>44403</v>
      </c>
      <c r="C1172" s="97">
        <f t="shared" ca="1" si="369"/>
        <v>-661</v>
      </c>
      <c r="D1172" s="159" t="s">
        <v>862</v>
      </c>
      <c r="E1172" s="123" t="s">
        <v>874</v>
      </c>
      <c r="F1172" s="98" t="str">
        <f t="shared" si="370"/>
        <v>01</v>
      </c>
      <c r="G1172" s="110">
        <f ca="1">SUMIF($A:E,$A1172,K:K)</f>
        <v>144</v>
      </c>
      <c r="H1172" s="97" t="s">
        <v>881</v>
      </c>
      <c r="I1172" s="175">
        <v>144</v>
      </c>
      <c r="J1172" s="115">
        <v>144</v>
      </c>
      <c r="K1172" s="143">
        <f t="shared" si="364"/>
        <v>144</v>
      </c>
      <c r="L1172" s="144">
        <f t="shared" si="361"/>
        <v>0</v>
      </c>
      <c r="M1172" s="275">
        <f t="shared" si="360"/>
        <v>144</v>
      </c>
      <c r="N1172" s="98">
        <v>4</v>
      </c>
      <c r="O1172" s="93">
        <f t="shared" si="368"/>
        <v>100</v>
      </c>
      <c r="FQ1172" s="100">
        <v>12</v>
      </c>
      <c r="FR1172" s="100">
        <v>10</v>
      </c>
      <c r="FS1172" s="100">
        <v>21</v>
      </c>
      <c r="FU1172" s="100">
        <v>14</v>
      </c>
      <c r="FW1172" s="100">
        <v>25</v>
      </c>
      <c r="FX1172" s="100">
        <v>7</v>
      </c>
      <c r="GA1172" s="100">
        <v>6</v>
      </c>
      <c r="GB1172" s="100">
        <v>16</v>
      </c>
      <c r="GC1172" s="100">
        <v>7</v>
      </c>
      <c r="GD1172" s="100">
        <v>7</v>
      </c>
      <c r="GG1172" s="100">
        <v>14</v>
      </c>
      <c r="GH1172" s="100">
        <v>4</v>
      </c>
      <c r="GQ1172" s="100">
        <v>1</v>
      </c>
      <c r="ON1172" s="100">
        <f t="shared" si="365"/>
        <v>0</v>
      </c>
    </row>
    <row r="1173" spans="1:404" ht="23.25" customHeight="1">
      <c r="A1173" s="97" t="str">
        <f t="shared" si="367"/>
        <v>001/ANNA-2166-79516-02-B</v>
      </c>
      <c r="B1173" s="95">
        <v>44395</v>
      </c>
      <c r="C1173" s="97">
        <f t="shared" ca="1" si="369"/>
        <v>-669</v>
      </c>
      <c r="D1173" s="159" t="s">
        <v>862</v>
      </c>
      <c r="E1173" s="123" t="s">
        <v>710</v>
      </c>
      <c r="F1173" s="98" t="str">
        <f t="shared" si="370"/>
        <v>B</v>
      </c>
      <c r="G1173" s="110">
        <f ca="1">SUMIF($A:E,$A1173,K:K)</f>
        <v>10</v>
      </c>
      <c r="H1173" s="97" t="s">
        <v>882</v>
      </c>
      <c r="I1173" s="175">
        <v>10</v>
      </c>
      <c r="J1173" s="115">
        <v>10</v>
      </c>
      <c r="K1173" s="143">
        <f t="shared" si="364"/>
        <v>10</v>
      </c>
      <c r="L1173" s="144">
        <f t="shared" si="361"/>
        <v>0</v>
      </c>
      <c r="M1173" s="275">
        <f t="shared" si="360"/>
        <v>10</v>
      </c>
      <c r="N1173" s="98">
        <v>4</v>
      </c>
      <c r="O1173" s="93">
        <f t="shared" si="368"/>
        <v>100</v>
      </c>
      <c r="DB1173" s="101">
        <v>2</v>
      </c>
      <c r="DD1173" s="101">
        <v>2</v>
      </c>
      <c r="DE1173" s="101">
        <v>2</v>
      </c>
      <c r="DF1173" s="101">
        <v>2</v>
      </c>
      <c r="DG1173" s="101">
        <v>2</v>
      </c>
      <c r="ON1173" s="100">
        <f t="shared" si="365"/>
        <v>0</v>
      </c>
    </row>
    <row r="1174" spans="1:404" ht="23.25" customHeight="1">
      <c r="A1174" s="97" t="str">
        <f t="shared" si="367"/>
        <v>001/TK MAXX-2166-79135-L3-B</v>
      </c>
      <c r="B1174" s="95" t="s">
        <v>1286</v>
      </c>
      <c r="C1174" s="97">
        <f t="shared" ca="1" si="369"/>
        <v>-578</v>
      </c>
      <c r="D1174" s="96" t="s">
        <v>1291</v>
      </c>
      <c r="E1174" s="94" t="s">
        <v>1290</v>
      </c>
      <c r="F1174" s="98" t="str">
        <f t="shared" si="370"/>
        <v>B</v>
      </c>
      <c r="G1174" s="110">
        <f ca="1">SUMIF($A:E,$A1174,K:K)</f>
        <v>672</v>
      </c>
      <c r="H1174" s="97" t="s">
        <v>933</v>
      </c>
      <c r="I1174" s="98">
        <v>672</v>
      </c>
      <c r="J1174" s="97">
        <v>672</v>
      </c>
      <c r="K1174" s="143">
        <f t="shared" si="364"/>
        <v>672</v>
      </c>
      <c r="L1174" s="144">
        <f t="shared" si="361"/>
        <v>0</v>
      </c>
      <c r="M1174" s="275">
        <f t="shared" si="360"/>
        <v>2016</v>
      </c>
      <c r="N1174" s="98">
        <v>4</v>
      </c>
      <c r="O1174" s="93">
        <f t="shared" si="368"/>
        <v>100</v>
      </c>
      <c r="HC1174" s="100">
        <v>32</v>
      </c>
      <c r="HD1174" s="100">
        <v>39</v>
      </c>
      <c r="HE1174" s="100">
        <v>25</v>
      </c>
      <c r="HF1174" s="100">
        <v>26</v>
      </c>
      <c r="HG1174" s="100">
        <v>13</v>
      </c>
      <c r="HI1174" s="100">
        <v>25</v>
      </c>
      <c r="HJ1174" s="100">
        <v>17</v>
      </c>
      <c r="HK1174" s="100">
        <v>12</v>
      </c>
      <c r="HL1174" s="100">
        <v>27</v>
      </c>
      <c r="HM1174" s="100">
        <v>26</v>
      </c>
      <c r="HN1174" s="100">
        <v>26</v>
      </c>
      <c r="HP1174" s="100">
        <v>13</v>
      </c>
      <c r="HQ1174" s="100">
        <v>13</v>
      </c>
      <c r="HR1174" s="100">
        <v>13</v>
      </c>
      <c r="HS1174" s="100">
        <v>13</v>
      </c>
      <c r="HT1174" s="100">
        <v>13</v>
      </c>
      <c r="HU1174" s="100">
        <v>13</v>
      </c>
      <c r="HW1174" s="100">
        <v>13</v>
      </c>
      <c r="HX1174" s="100">
        <v>5</v>
      </c>
      <c r="HY1174" s="100">
        <v>13</v>
      </c>
      <c r="IB1174" s="100">
        <v>13</v>
      </c>
      <c r="ID1174" s="100">
        <v>13</v>
      </c>
      <c r="IE1174" s="100">
        <v>8</v>
      </c>
      <c r="IF1174" s="100">
        <v>26</v>
      </c>
      <c r="IG1174" s="100">
        <v>13</v>
      </c>
      <c r="IH1174" s="100">
        <v>19</v>
      </c>
      <c r="IK1174" s="100">
        <v>13</v>
      </c>
      <c r="IM1174" s="100">
        <v>31</v>
      </c>
      <c r="IN1174" s="100">
        <v>13</v>
      </c>
      <c r="IO1174" s="100">
        <v>13</v>
      </c>
      <c r="IS1174" s="100">
        <v>13</v>
      </c>
      <c r="IT1174" s="100">
        <v>13</v>
      </c>
      <c r="IU1174" s="100">
        <v>26</v>
      </c>
      <c r="IV1174" s="100">
        <v>13</v>
      </c>
      <c r="IW1174" s="100">
        <v>13</v>
      </c>
      <c r="IZ1174" s="100">
        <v>26</v>
      </c>
      <c r="JD1174" s="100">
        <v>26</v>
      </c>
      <c r="JG1174" s="100">
        <v>3</v>
      </c>
      <c r="ON1174" s="100">
        <f t="shared" si="365"/>
        <v>0</v>
      </c>
    </row>
    <row r="1175" spans="1:404" ht="23.25" customHeight="1">
      <c r="A1175" s="97" t="str">
        <f t="shared" si="367"/>
        <v>005/TK MAXX-2166-79129-L3-B</v>
      </c>
      <c r="B1175" s="95" t="s">
        <v>1282</v>
      </c>
      <c r="C1175" s="97">
        <f t="shared" ca="1" si="369"/>
        <v>-508</v>
      </c>
      <c r="D1175" s="96" t="s">
        <v>1283</v>
      </c>
      <c r="E1175" s="94" t="s">
        <v>1284</v>
      </c>
      <c r="F1175" s="98" t="str">
        <f t="shared" si="370"/>
        <v>B</v>
      </c>
      <c r="G1175" s="110">
        <f ca="1">SUMIF($A:E,$A1175,K:K)</f>
        <v>672</v>
      </c>
      <c r="H1175" s="97" t="s">
        <v>933</v>
      </c>
      <c r="I1175" s="98">
        <v>672</v>
      </c>
      <c r="J1175" s="97">
        <v>672</v>
      </c>
      <c r="K1175" s="143">
        <f t="shared" si="364"/>
        <v>672</v>
      </c>
      <c r="L1175" s="144">
        <f t="shared" si="361"/>
        <v>0</v>
      </c>
      <c r="M1175" s="275">
        <f t="shared" si="360"/>
        <v>2016</v>
      </c>
      <c r="N1175" s="98">
        <v>4</v>
      </c>
      <c r="O1175" s="93">
        <f t="shared" si="368"/>
        <v>100</v>
      </c>
      <c r="IN1175" s="100">
        <v>14</v>
      </c>
      <c r="IO1175" s="100">
        <v>5</v>
      </c>
      <c r="IR1175" s="100">
        <v>15</v>
      </c>
      <c r="IT1175" s="100">
        <v>5</v>
      </c>
      <c r="IU1175" s="100">
        <v>22</v>
      </c>
      <c r="IV1175" s="100">
        <v>1</v>
      </c>
      <c r="IW1175" s="100">
        <v>18</v>
      </c>
      <c r="IZ1175" s="100">
        <v>16</v>
      </c>
      <c r="JA1175" s="100">
        <v>12</v>
      </c>
      <c r="JB1175" s="100">
        <v>24</v>
      </c>
      <c r="JD1175" s="100">
        <v>13</v>
      </c>
      <c r="JG1175" s="100">
        <v>18</v>
      </c>
      <c r="JH1175" s="100">
        <v>24</v>
      </c>
      <c r="JI1175" s="100">
        <v>13</v>
      </c>
      <c r="JJ1175" s="100">
        <v>2</v>
      </c>
      <c r="JK1175" s="100">
        <v>12</v>
      </c>
      <c r="JM1175" s="100">
        <v>12</v>
      </c>
      <c r="JN1175" s="100">
        <v>5</v>
      </c>
      <c r="JO1175" s="100">
        <v>11</v>
      </c>
      <c r="JP1175" s="100">
        <v>11</v>
      </c>
      <c r="JQ1175" s="100">
        <v>12</v>
      </c>
      <c r="JR1175" s="100">
        <v>5</v>
      </c>
      <c r="JT1175" s="100">
        <v>5</v>
      </c>
      <c r="JU1175" s="100">
        <v>24</v>
      </c>
      <c r="JX1175" s="100">
        <v>21</v>
      </c>
      <c r="JY1175" s="100">
        <v>22</v>
      </c>
      <c r="KA1175" s="100">
        <v>12</v>
      </c>
      <c r="KB1175" s="100">
        <v>6</v>
      </c>
      <c r="KC1175" s="100">
        <v>12</v>
      </c>
      <c r="KD1175" s="100">
        <v>12</v>
      </c>
      <c r="KE1175" s="100">
        <v>14</v>
      </c>
      <c r="KG1175" s="100">
        <v>23</v>
      </c>
      <c r="KH1175" s="100">
        <v>6</v>
      </c>
      <c r="KI1175" s="100">
        <v>12</v>
      </c>
      <c r="KJ1175" s="100">
        <v>13</v>
      </c>
      <c r="KN1175" s="100">
        <v>12</v>
      </c>
      <c r="KP1175" s="100">
        <v>22</v>
      </c>
      <c r="KQ1175" s="100">
        <v>13</v>
      </c>
      <c r="KR1175" s="100">
        <v>13</v>
      </c>
      <c r="KU1175" s="100">
        <v>12</v>
      </c>
      <c r="KV1175" s="100">
        <v>18</v>
      </c>
      <c r="KW1175" s="100">
        <v>12</v>
      </c>
      <c r="KX1175" s="100">
        <v>12</v>
      </c>
      <c r="KY1175" s="100">
        <v>12</v>
      </c>
      <c r="KZ1175" s="100">
        <v>11</v>
      </c>
      <c r="LB1175" s="100">
        <v>11</v>
      </c>
      <c r="LC1175" s="100">
        <v>18</v>
      </c>
      <c r="LD1175" s="100">
        <v>1</v>
      </c>
      <c r="LE1175" s="100">
        <v>12</v>
      </c>
      <c r="LF1175" s="100">
        <v>12</v>
      </c>
      <c r="LG1175" s="100">
        <v>12</v>
      </c>
      <c r="LI1175" s="100">
        <v>12</v>
      </c>
      <c r="LK1175" s="100">
        <v>5</v>
      </c>
      <c r="ON1175" s="100">
        <f t="shared" si="365"/>
        <v>0</v>
      </c>
    </row>
    <row r="1176" spans="1:404" ht="23.25" customHeight="1">
      <c r="A1176" s="97" t="str">
        <f t="shared" si="367"/>
        <v>006/TK MAXX-2166-79129-L3-B</v>
      </c>
      <c r="B1176" s="206">
        <v>44563</v>
      </c>
      <c r="C1176" s="97">
        <f t="shared" ca="1" si="369"/>
        <v>-501</v>
      </c>
      <c r="D1176" s="96" t="s">
        <v>1293</v>
      </c>
      <c r="E1176" s="113" t="s">
        <v>1284</v>
      </c>
      <c r="F1176" s="98" t="str">
        <f t="shared" si="370"/>
        <v>B</v>
      </c>
      <c r="G1176" s="110">
        <f ca="1">SUMIF($A:E,$A1176,K:K)</f>
        <v>384</v>
      </c>
      <c r="H1176" s="97" t="s">
        <v>933</v>
      </c>
      <c r="I1176" s="98">
        <v>384</v>
      </c>
      <c r="J1176" s="97">
        <v>384</v>
      </c>
      <c r="K1176" s="143">
        <f t="shared" si="364"/>
        <v>384</v>
      </c>
      <c r="L1176" s="144">
        <f t="shared" si="361"/>
        <v>0</v>
      </c>
      <c r="M1176" s="275">
        <f t="shared" si="360"/>
        <v>1152</v>
      </c>
      <c r="N1176" s="98">
        <v>4</v>
      </c>
      <c r="O1176" s="93">
        <f t="shared" si="368"/>
        <v>100</v>
      </c>
      <c r="LK1176" s="100">
        <v>6</v>
      </c>
      <c r="LL1176" s="100">
        <v>13</v>
      </c>
      <c r="LM1176" s="100">
        <v>12</v>
      </c>
      <c r="LP1176" s="100">
        <v>24</v>
      </c>
      <c r="LQ1176" s="100">
        <v>8</v>
      </c>
      <c r="LR1176" s="100">
        <v>14</v>
      </c>
      <c r="LS1176" s="100">
        <v>12</v>
      </c>
      <c r="LT1176" s="100">
        <v>12</v>
      </c>
      <c r="LU1176" s="100">
        <v>12</v>
      </c>
      <c r="LW1176" s="100">
        <v>18</v>
      </c>
      <c r="LX1176" s="100">
        <v>6</v>
      </c>
      <c r="LY1176" s="100">
        <v>11</v>
      </c>
      <c r="LZ1176" s="100">
        <v>12</v>
      </c>
      <c r="MA1176" s="100">
        <v>12</v>
      </c>
      <c r="MB1176" s="100">
        <v>12</v>
      </c>
      <c r="MD1176" s="100">
        <v>12</v>
      </c>
      <c r="ME1176" s="100">
        <v>6</v>
      </c>
      <c r="MF1176" s="100">
        <v>12</v>
      </c>
      <c r="MG1176" s="100">
        <v>12</v>
      </c>
      <c r="MH1176" s="100">
        <v>12</v>
      </c>
      <c r="MK1176" s="100">
        <v>12</v>
      </c>
      <c r="ML1176" s="100">
        <v>11</v>
      </c>
      <c r="MM1176" s="100">
        <v>12</v>
      </c>
      <c r="MN1176" s="100">
        <v>13</v>
      </c>
      <c r="MO1176" s="100">
        <v>24</v>
      </c>
      <c r="MP1176" s="100">
        <v>12</v>
      </c>
      <c r="MQ1176" s="100">
        <v>12</v>
      </c>
      <c r="MS1176" s="100">
        <v>12</v>
      </c>
      <c r="MT1176" s="100">
        <v>11</v>
      </c>
      <c r="MU1176" s="100">
        <v>12</v>
      </c>
      <c r="MW1176" s="100">
        <v>12</v>
      </c>
      <c r="MX1176" s="100">
        <v>3</v>
      </c>
      <c r="ON1176" s="100">
        <f t="shared" si="365"/>
        <v>0</v>
      </c>
    </row>
    <row r="1177" spans="1:404" ht="23.25" customHeight="1">
      <c r="A1177" s="97" t="str">
        <f t="shared" si="367"/>
        <v>003/TK MAXX-2166-79028-L3-B</v>
      </c>
      <c r="B1177" s="95" t="s">
        <v>1278</v>
      </c>
      <c r="C1177" s="97">
        <f t="shared" ca="1" si="369"/>
        <v>-538</v>
      </c>
      <c r="D1177" s="96" t="s">
        <v>1279</v>
      </c>
      <c r="E1177" s="94" t="s">
        <v>1281</v>
      </c>
      <c r="F1177" s="98" t="str">
        <f t="shared" si="370"/>
        <v>B</v>
      </c>
      <c r="G1177" s="110">
        <f ca="1">SUMIF($A:E,$A1177,K:K)</f>
        <v>672</v>
      </c>
      <c r="H1177" s="97" t="s">
        <v>933</v>
      </c>
      <c r="I1177" s="98">
        <v>672</v>
      </c>
      <c r="J1177" s="97">
        <v>672</v>
      </c>
      <c r="K1177" s="143">
        <f t="shared" si="364"/>
        <v>672</v>
      </c>
      <c r="L1177" s="144">
        <f t="shared" si="361"/>
        <v>0</v>
      </c>
      <c r="M1177" s="275">
        <f t="shared" si="360"/>
        <v>2016</v>
      </c>
      <c r="N1177" s="98">
        <v>4</v>
      </c>
      <c r="O1177" s="93">
        <f t="shared" si="368"/>
        <v>100</v>
      </c>
      <c r="JG1177" s="100">
        <v>22</v>
      </c>
      <c r="JH1177" s="100">
        <v>11</v>
      </c>
      <c r="JI1177" s="100">
        <v>10</v>
      </c>
      <c r="JJ1177" s="100">
        <v>2</v>
      </c>
      <c r="JK1177" s="100">
        <v>20</v>
      </c>
      <c r="JM1177" s="100">
        <v>10</v>
      </c>
      <c r="JN1177" s="100">
        <v>23</v>
      </c>
      <c r="JP1177" s="100">
        <v>16</v>
      </c>
      <c r="JQ1177" s="100">
        <v>12</v>
      </c>
      <c r="JT1177" s="100">
        <v>12</v>
      </c>
      <c r="JU1177" s="100">
        <v>36</v>
      </c>
      <c r="JV1177" s="100">
        <v>28</v>
      </c>
      <c r="JW1177" s="100">
        <v>3</v>
      </c>
      <c r="JX1177" s="100">
        <v>17</v>
      </c>
      <c r="JY1177" s="100">
        <v>35</v>
      </c>
      <c r="KA1177" s="100">
        <v>24</v>
      </c>
      <c r="KB1177" s="100">
        <v>13</v>
      </c>
      <c r="KC1177" s="100">
        <v>23</v>
      </c>
      <c r="KD1177" s="100">
        <v>25</v>
      </c>
      <c r="KE1177" s="100">
        <v>23</v>
      </c>
      <c r="KF1177" s="100">
        <v>25</v>
      </c>
      <c r="KG1177" s="100">
        <v>21</v>
      </c>
      <c r="KH1177" s="100">
        <v>15</v>
      </c>
      <c r="KI1177" s="100">
        <v>17</v>
      </c>
      <c r="KJ1177" s="100">
        <v>10</v>
      </c>
      <c r="KN1177" s="100">
        <v>17</v>
      </c>
      <c r="KO1177" s="100">
        <v>21</v>
      </c>
      <c r="KP1177" s="100">
        <v>24</v>
      </c>
      <c r="KQ1177" s="100">
        <v>23</v>
      </c>
      <c r="KR1177" s="100">
        <v>25</v>
      </c>
      <c r="KU1177" s="100">
        <v>24</v>
      </c>
      <c r="KV1177" s="100">
        <v>19</v>
      </c>
      <c r="KX1177" s="100">
        <v>25</v>
      </c>
      <c r="KY1177" s="100">
        <v>41</v>
      </c>
      <c r="ON1177" s="100">
        <f t="shared" si="365"/>
        <v>0</v>
      </c>
    </row>
    <row r="1178" spans="1:404" ht="23.25" customHeight="1">
      <c r="A1178" s="97" t="str">
        <f t="shared" si="367"/>
        <v>004/TK MAXX-2166-79028-L3-B</v>
      </c>
      <c r="B1178" s="95">
        <v>44536</v>
      </c>
      <c r="C1178" s="97">
        <f t="shared" ca="1" si="369"/>
        <v>-528</v>
      </c>
      <c r="D1178" s="96" t="s">
        <v>1292</v>
      </c>
      <c r="E1178" s="94" t="s">
        <v>1281</v>
      </c>
      <c r="F1178" s="98" t="str">
        <f t="shared" si="370"/>
        <v>B</v>
      </c>
      <c r="G1178" s="110">
        <f ca="1">SUMIF($A:E,$A1178,K:K)</f>
        <v>384</v>
      </c>
      <c r="H1178" s="97" t="s">
        <v>933</v>
      </c>
      <c r="I1178" s="98">
        <v>384</v>
      </c>
      <c r="J1178" s="97">
        <v>384</v>
      </c>
      <c r="K1178" s="143">
        <f t="shared" si="364"/>
        <v>384</v>
      </c>
      <c r="L1178" s="144">
        <f t="shared" si="361"/>
        <v>0</v>
      </c>
      <c r="M1178" s="275">
        <f t="shared" si="360"/>
        <v>1152</v>
      </c>
      <c r="N1178" s="98">
        <v>4</v>
      </c>
      <c r="O1178" s="93">
        <f t="shared" si="368"/>
        <v>100</v>
      </c>
      <c r="KY1178" s="100">
        <v>7</v>
      </c>
      <c r="KZ1178" s="100">
        <v>23</v>
      </c>
      <c r="LB1178" s="100">
        <v>48</v>
      </c>
      <c r="LC1178" s="100">
        <v>36</v>
      </c>
      <c r="LE1178" s="100">
        <v>20</v>
      </c>
      <c r="LF1178" s="100">
        <v>23</v>
      </c>
      <c r="LG1178" s="100">
        <v>24</v>
      </c>
      <c r="LI1178" s="100">
        <v>24</v>
      </c>
      <c r="LK1178" s="100">
        <v>35</v>
      </c>
      <c r="LL1178" s="100">
        <v>21</v>
      </c>
      <c r="LM1178" s="100">
        <v>11</v>
      </c>
      <c r="LP1178" s="100">
        <v>54</v>
      </c>
      <c r="LQ1178" s="100">
        <v>17</v>
      </c>
      <c r="LR1178" s="100">
        <v>28</v>
      </c>
      <c r="MA1178" s="100">
        <v>13</v>
      </c>
      <c r="ON1178" s="100">
        <f t="shared" si="365"/>
        <v>0</v>
      </c>
    </row>
    <row r="1179" spans="1:404" ht="23.25" customHeight="1">
      <c r="A1179" s="97" t="str">
        <f t="shared" si="367"/>
        <v>451/POTTERYPOT-VG-2166-77900-02-A</v>
      </c>
      <c r="B1179" s="126">
        <v>44658</v>
      </c>
      <c r="C1179" s="127">
        <f t="shared" ca="1" si="369"/>
        <v>-406</v>
      </c>
      <c r="D1179" s="208" t="s">
        <v>1589</v>
      </c>
      <c r="E1179" s="282" t="s">
        <v>1591</v>
      </c>
      <c r="F1179" s="132" t="str">
        <f t="shared" si="370"/>
        <v>A</v>
      </c>
      <c r="G1179" s="130">
        <f ca="1">SUMIF($A:E,$A1179,K:K)</f>
        <v>50</v>
      </c>
      <c r="H1179" s="127" t="s">
        <v>927</v>
      </c>
      <c r="I1179" s="203">
        <v>40</v>
      </c>
      <c r="J1179" s="134">
        <v>40</v>
      </c>
      <c r="K1179" s="143">
        <f t="shared" si="364"/>
        <v>50</v>
      </c>
      <c r="L1179" s="144">
        <f t="shared" si="361"/>
        <v>-10</v>
      </c>
      <c r="M1179" s="275">
        <f t="shared" si="360"/>
        <v>40</v>
      </c>
      <c r="N1179" s="132" t="s">
        <v>1776</v>
      </c>
      <c r="O1179" s="93">
        <f t="shared" si="368"/>
        <v>125</v>
      </c>
      <c r="OH1179" s="100">
        <v>5</v>
      </c>
      <c r="OI1179" s="100">
        <v>4</v>
      </c>
      <c r="OJ1179" s="100">
        <v>5</v>
      </c>
      <c r="OK1179" s="100">
        <v>6</v>
      </c>
      <c r="OM1179" s="100">
        <v>5</v>
      </c>
      <c r="ON1179" s="100">
        <f t="shared" si="365"/>
        <v>25</v>
      </c>
    </row>
    <row r="1180" spans="1:404" ht="23.25" customHeight="1">
      <c r="A1180" s="97" t="str">
        <f t="shared" si="367"/>
        <v xml:space="preserve">	457/POTTERYPOT-VG-2166-77900-02-A</v>
      </c>
      <c r="B1180" s="95">
        <v>44674</v>
      </c>
      <c r="C1180" s="97">
        <f t="shared" ca="1" si="369"/>
        <v>-390</v>
      </c>
      <c r="D1180" s="112" t="s">
        <v>1866</v>
      </c>
      <c r="E1180" s="279" t="s">
        <v>1591</v>
      </c>
      <c r="F1180" s="98" t="str">
        <f t="shared" si="370"/>
        <v>A</v>
      </c>
      <c r="G1180" s="110">
        <f ca="1">SUMIF($A:E,$A1180,K:K)</f>
        <v>0</v>
      </c>
      <c r="H1180" s="97" t="s">
        <v>601</v>
      </c>
      <c r="I1180" s="175">
        <v>16</v>
      </c>
      <c r="J1180" s="115">
        <v>16</v>
      </c>
      <c r="K1180" s="144">
        <f t="shared" si="364"/>
        <v>0</v>
      </c>
      <c r="L1180" s="144">
        <f t="shared" si="361"/>
        <v>16</v>
      </c>
      <c r="M1180" s="275">
        <f t="shared" si="360"/>
        <v>16</v>
      </c>
      <c r="N1180" s="98" t="s">
        <v>1776</v>
      </c>
      <c r="O1180" s="93">
        <f t="shared" si="368"/>
        <v>0</v>
      </c>
      <c r="ON1180" s="100">
        <f t="shared" si="365"/>
        <v>0</v>
      </c>
    </row>
    <row r="1181" spans="1:404" ht="23.25" customHeight="1">
      <c r="A1181" s="97" t="str">
        <f t="shared" si="367"/>
        <v>443/POTTERYPOT-VG-2166-77900-02-A</v>
      </c>
      <c r="B1181" s="95">
        <v>44657</v>
      </c>
      <c r="C1181" s="97">
        <f t="shared" ca="1" si="369"/>
        <v>-407</v>
      </c>
      <c r="D1181" s="112" t="s">
        <v>1868</v>
      </c>
      <c r="E1181" s="279" t="s">
        <v>1591</v>
      </c>
      <c r="F1181" s="98" t="str">
        <f t="shared" si="370"/>
        <v>A</v>
      </c>
      <c r="G1181" s="110">
        <f ca="1">SUMIF($A:E,$A1181,K:K)</f>
        <v>0</v>
      </c>
      <c r="H1181" s="97" t="s">
        <v>601</v>
      </c>
      <c r="I1181" s="175">
        <v>20</v>
      </c>
      <c r="J1181" s="115">
        <v>20</v>
      </c>
      <c r="K1181" s="144">
        <f t="shared" si="364"/>
        <v>0</v>
      </c>
      <c r="L1181" s="144">
        <f t="shared" si="361"/>
        <v>20</v>
      </c>
      <c r="M1181" s="275">
        <f t="shared" si="360"/>
        <v>20</v>
      </c>
      <c r="N1181" s="98"/>
      <c r="O1181" s="93">
        <f t="shared" si="368"/>
        <v>0</v>
      </c>
      <c r="ON1181" s="100">
        <f t="shared" si="365"/>
        <v>0</v>
      </c>
    </row>
    <row r="1182" spans="1:404" ht="23.25" customHeight="1">
      <c r="A1182" s="97" t="str">
        <f>D1182&amp;E1183</f>
        <v>414/POTTERYPOT-2166-77900-01-A</v>
      </c>
      <c r="B1182" s="95">
        <v>44573</v>
      </c>
      <c r="C1182" s="97">
        <f t="shared" ca="1" si="369"/>
        <v>-491</v>
      </c>
      <c r="D1182" s="96" t="s">
        <v>1195</v>
      </c>
      <c r="E1182" s="280" t="s">
        <v>1200</v>
      </c>
      <c r="F1182" s="98" t="str">
        <f t="shared" si="370"/>
        <v>A</v>
      </c>
      <c r="G1182" s="110">
        <f ca="1">SUMIF($A:E,$A1182,K:K)</f>
        <v>48</v>
      </c>
      <c r="H1182" s="97" t="s">
        <v>964</v>
      </c>
      <c r="I1182" s="98">
        <v>48</v>
      </c>
      <c r="J1182" s="97">
        <v>48</v>
      </c>
      <c r="K1182" s="143">
        <f t="shared" si="364"/>
        <v>48</v>
      </c>
      <c r="L1182" s="144">
        <f t="shared" si="361"/>
        <v>0</v>
      </c>
      <c r="M1182" s="275">
        <f t="shared" si="360"/>
        <v>48</v>
      </c>
      <c r="N1182" s="98" t="s">
        <v>1776</v>
      </c>
      <c r="O1182" s="93">
        <f>K1182/J1182*100</f>
        <v>100</v>
      </c>
      <c r="MF1182" s="100">
        <v>2</v>
      </c>
      <c r="MH1182" s="100">
        <v>4</v>
      </c>
      <c r="MK1182" s="100">
        <v>2</v>
      </c>
      <c r="ML1182" s="100">
        <v>2</v>
      </c>
      <c r="MN1182" s="100">
        <v>4</v>
      </c>
      <c r="MO1182" s="100">
        <v>2</v>
      </c>
      <c r="MP1182" s="100">
        <v>4</v>
      </c>
      <c r="MQ1182" s="100">
        <v>4</v>
      </c>
      <c r="MR1182" s="100">
        <v>4</v>
      </c>
      <c r="MS1182" s="100">
        <v>2</v>
      </c>
      <c r="MT1182" s="100">
        <v>2</v>
      </c>
      <c r="MU1182" s="100">
        <v>2</v>
      </c>
      <c r="MW1182" s="100">
        <v>2</v>
      </c>
      <c r="MX1182" s="100">
        <v>2</v>
      </c>
      <c r="MY1182" s="100">
        <v>2</v>
      </c>
      <c r="MZ1182" s="100">
        <v>8</v>
      </c>
      <c r="ON1182" s="100">
        <f t="shared" si="365"/>
        <v>0</v>
      </c>
    </row>
    <row r="1183" spans="1:404" ht="23.25" customHeight="1">
      <c r="A1183" s="97" t="str">
        <f t="shared" ref="A1183:A1197" si="371">D1183&amp;E1183</f>
        <v>382/POTTERYPOT-2166-77900-01-A</v>
      </c>
      <c r="B1183" s="95">
        <v>44746</v>
      </c>
      <c r="C1183" s="97">
        <f t="shared" ca="1" si="369"/>
        <v>-318</v>
      </c>
      <c r="D1183" s="96" t="s">
        <v>1276</v>
      </c>
      <c r="E1183" s="280" t="s">
        <v>1200</v>
      </c>
      <c r="F1183" s="98" t="str">
        <f t="shared" si="370"/>
        <v>A</v>
      </c>
      <c r="G1183" s="110">
        <f ca="1">SUMIF($A:E,$A1183,K:K)</f>
        <v>18</v>
      </c>
      <c r="H1183" s="97" t="s">
        <v>964</v>
      </c>
      <c r="I1183" s="98">
        <v>16</v>
      </c>
      <c r="J1183" s="97">
        <v>16</v>
      </c>
      <c r="K1183" s="143">
        <f t="shared" si="364"/>
        <v>18</v>
      </c>
      <c r="L1183" s="144">
        <f t="shared" si="361"/>
        <v>-2</v>
      </c>
      <c r="M1183" s="275">
        <f t="shared" si="360"/>
        <v>16</v>
      </c>
      <c r="N1183" s="98" t="s">
        <v>1776</v>
      </c>
      <c r="O1183" s="93">
        <f t="shared" ref="O1183:O1184" si="372">K1183/J1183*100</f>
        <v>112.5</v>
      </c>
      <c r="OK1183" s="100">
        <v>4</v>
      </c>
      <c r="OM1183" s="100">
        <v>5</v>
      </c>
      <c r="ON1183" s="100">
        <f t="shared" si="365"/>
        <v>9</v>
      </c>
    </row>
    <row r="1184" spans="1:404" ht="23.25" customHeight="1">
      <c r="A1184" s="97" t="str">
        <f t="shared" si="371"/>
        <v xml:space="preserve">	457/POTTERYPOT-VG-2166-77900-01-A</v>
      </c>
      <c r="B1184" s="95">
        <v>44674</v>
      </c>
      <c r="C1184" s="97">
        <f t="shared" ca="1" si="369"/>
        <v>-390</v>
      </c>
      <c r="D1184" s="112" t="s">
        <v>1866</v>
      </c>
      <c r="E1184" s="279" t="s">
        <v>1200</v>
      </c>
      <c r="F1184" s="98" t="str">
        <f t="shared" si="370"/>
        <v>A</v>
      </c>
      <c r="G1184" s="110">
        <f ca="1">SUMIF($A:E,$A1184,K:K)</f>
        <v>0</v>
      </c>
      <c r="H1184" s="97" t="s">
        <v>601</v>
      </c>
      <c r="I1184" s="175">
        <v>32</v>
      </c>
      <c r="J1184" s="115">
        <v>32</v>
      </c>
      <c r="K1184" s="144">
        <f t="shared" si="364"/>
        <v>0</v>
      </c>
      <c r="L1184" s="144">
        <f t="shared" si="361"/>
        <v>32</v>
      </c>
      <c r="M1184" s="275">
        <f t="shared" si="360"/>
        <v>32</v>
      </c>
      <c r="N1184" s="98" t="s">
        <v>1776</v>
      </c>
      <c r="O1184" s="93">
        <f t="shared" si="372"/>
        <v>0</v>
      </c>
      <c r="ON1184" s="100">
        <f t="shared" si="365"/>
        <v>0</v>
      </c>
    </row>
    <row r="1185" spans="1:404" ht="23.25" customHeight="1">
      <c r="A1185" s="97" t="str">
        <f t="shared" si="371"/>
        <v>002T/REJUVENATION-2166-77800-02-39</v>
      </c>
      <c r="B1185" s="95">
        <v>44366</v>
      </c>
      <c r="C1185" s="97">
        <f t="shared" ca="1" si="369"/>
        <v>-698</v>
      </c>
      <c r="D1185" s="145" t="s">
        <v>755</v>
      </c>
      <c r="E1185" s="252" t="s">
        <v>758</v>
      </c>
      <c r="F1185" s="98" t="str">
        <f t="shared" si="370"/>
        <v>39</v>
      </c>
      <c r="G1185" s="110">
        <f ca="1">SUMIF($A:E,$A1185,K:K)</f>
        <v>100</v>
      </c>
      <c r="H1185" s="97" t="s">
        <v>505</v>
      </c>
      <c r="I1185" s="196">
        <v>100</v>
      </c>
      <c r="J1185" s="146">
        <v>100</v>
      </c>
      <c r="K1185" s="143">
        <f t="shared" si="364"/>
        <v>100</v>
      </c>
      <c r="L1185" s="144">
        <f t="shared" si="361"/>
        <v>0</v>
      </c>
      <c r="M1185" s="275">
        <f t="shared" si="360"/>
        <v>100</v>
      </c>
      <c r="N1185" s="98">
        <v>4</v>
      </c>
      <c r="O1185" s="93">
        <f t="shared" ref="O1185:O1209" si="373">K1185/J1185*100</f>
        <v>100</v>
      </c>
      <c r="CW1185" s="101">
        <v>6</v>
      </c>
      <c r="CX1185" s="101">
        <v>5</v>
      </c>
      <c r="CZ1185" s="101">
        <v>8</v>
      </c>
      <c r="DA1185" s="101">
        <v>7</v>
      </c>
      <c r="DB1185" s="101">
        <v>10</v>
      </c>
      <c r="DD1185" s="101">
        <v>12</v>
      </c>
      <c r="DE1185" s="101">
        <v>4</v>
      </c>
      <c r="DF1185" s="101">
        <v>12</v>
      </c>
      <c r="DG1185" s="101">
        <v>10</v>
      </c>
      <c r="DK1185" s="101">
        <v>5</v>
      </c>
      <c r="DL1185" s="101">
        <v>4</v>
      </c>
      <c r="DM1185" s="101">
        <v>8</v>
      </c>
      <c r="DN1185" s="101">
        <v>8</v>
      </c>
      <c r="DR1185" s="101">
        <v>1</v>
      </c>
      <c r="ON1185" s="100">
        <f t="shared" si="365"/>
        <v>0</v>
      </c>
    </row>
    <row r="1186" spans="1:404" ht="23.25" customHeight="1">
      <c r="A1186" s="97" t="str">
        <f t="shared" si="371"/>
        <v>187/KHBS-2166-77800-02-39</v>
      </c>
      <c r="B1186" s="95">
        <v>44343</v>
      </c>
      <c r="C1186" s="97">
        <f t="shared" ca="1" si="369"/>
        <v>-721</v>
      </c>
      <c r="D1186" s="96" t="s">
        <v>996</v>
      </c>
      <c r="E1186" s="94" t="s">
        <v>758</v>
      </c>
      <c r="F1186" s="98" t="str">
        <f t="shared" si="370"/>
        <v>39</v>
      </c>
      <c r="G1186" s="110">
        <f ca="1">SUMIF($A:E,$A1186,K:K)</f>
        <v>1</v>
      </c>
      <c r="H1186" s="97" t="s">
        <v>505</v>
      </c>
      <c r="I1186" s="98">
        <v>1</v>
      </c>
      <c r="J1186" s="99">
        <v>1</v>
      </c>
      <c r="K1186" s="143">
        <f t="shared" si="364"/>
        <v>1</v>
      </c>
      <c r="L1186" s="144">
        <f t="shared" si="361"/>
        <v>0</v>
      </c>
      <c r="M1186" s="275">
        <f t="shared" si="360"/>
        <v>1</v>
      </c>
      <c r="N1186" s="98">
        <v>4</v>
      </c>
      <c r="O1186" s="93">
        <f t="shared" si="373"/>
        <v>100</v>
      </c>
      <c r="ED1186" s="100">
        <v>1</v>
      </c>
      <c r="ON1186" s="100">
        <f t="shared" si="365"/>
        <v>0</v>
      </c>
    </row>
    <row r="1187" spans="1:404" ht="27.75" customHeight="1">
      <c r="A1187" s="97" t="str">
        <f t="shared" si="371"/>
        <v>001/HANKKIJA-2166-77724-X4-B</v>
      </c>
      <c r="B1187" s="95">
        <v>44478</v>
      </c>
      <c r="C1187" s="97">
        <f t="shared" ca="1" si="369"/>
        <v>-586</v>
      </c>
      <c r="D1187" s="112" t="s">
        <v>1041</v>
      </c>
      <c r="E1187" s="123" t="s">
        <v>1046</v>
      </c>
      <c r="F1187" s="98" t="str">
        <f t="shared" ref="F1187:F1189" si="374">MID(E1187,13,2)</f>
        <v>B</v>
      </c>
      <c r="G1187" s="110">
        <f ca="1">SUMIF($A:E,$A1187,K:K)</f>
        <v>640</v>
      </c>
      <c r="H1187" s="97" t="s">
        <v>616</v>
      </c>
      <c r="I1187" s="98">
        <v>640</v>
      </c>
      <c r="J1187" s="97">
        <v>640</v>
      </c>
      <c r="K1187" s="143">
        <f t="shared" si="364"/>
        <v>640</v>
      </c>
      <c r="L1187" s="144">
        <f t="shared" si="361"/>
        <v>0</v>
      </c>
      <c r="M1187" s="275">
        <f t="shared" ref="M1187:M1236" si="375">IF(OR(MID(E1187,10,1)="0",MID(E1187,10,1)="F"),I1187,IF(OR(,MID(E1187,10,1)="S",MID(E1187,10,1)="L",MID(E1187,10,1)="B",MID(E1187,10,1)="X"),MID(E1187,11,1)*I1187,0))</f>
        <v>2560</v>
      </c>
      <c r="N1187" s="98">
        <v>1</v>
      </c>
      <c r="O1187" s="93">
        <f t="shared" si="373"/>
        <v>100</v>
      </c>
      <c r="EV1187" s="100">
        <v>4</v>
      </c>
      <c r="EX1187" s="100">
        <v>5</v>
      </c>
      <c r="EY1187" s="100">
        <v>7</v>
      </c>
      <c r="FA1187" s="100">
        <v>5</v>
      </c>
      <c r="FB1187" s="100">
        <v>4</v>
      </c>
      <c r="FD1187" s="100">
        <v>4</v>
      </c>
      <c r="FE1187" s="100">
        <v>14</v>
      </c>
      <c r="FI1187" s="100">
        <v>8</v>
      </c>
      <c r="FJ1187" s="100">
        <v>2</v>
      </c>
      <c r="FK1187" s="100">
        <v>6</v>
      </c>
      <c r="FL1187" s="100">
        <v>5</v>
      </c>
      <c r="FM1187" s="100">
        <v>5</v>
      </c>
      <c r="FO1187" s="100">
        <v>5</v>
      </c>
      <c r="FP1187" s="100">
        <v>5</v>
      </c>
      <c r="FQ1187" s="100">
        <v>5</v>
      </c>
      <c r="FR1187" s="100">
        <v>4</v>
      </c>
      <c r="FT1187" s="100">
        <v>10</v>
      </c>
      <c r="FU1187" s="100">
        <v>10</v>
      </c>
      <c r="FV1187" s="100">
        <v>1</v>
      </c>
      <c r="FW1187" s="100">
        <v>10</v>
      </c>
      <c r="FX1187" s="100">
        <v>4</v>
      </c>
      <c r="FZ1187" s="100">
        <v>1</v>
      </c>
      <c r="GA1187" s="100">
        <v>5</v>
      </c>
      <c r="GB1187" s="100">
        <v>3</v>
      </c>
      <c r="GC1187" s="100">
        <v>5</v>
      </c>
      <c r="GD1187" s="100">
        <v>5</v>
      </c>
      <c r="GE1187" s="100">
        <v>12</v>
      </c>
      <c r="GH1187" s="100">
        <v>13</v>
      </c>
      <c r="GI1187" s="100">
        <v>1</v>
      </c>
      <c r="GJ1187" s="100">
        <v>6</v>
      </c>
      <c r="GL1187" s="100">
        <v>6</v>
      </c>
      <c r="GN1187" s="100">
        <v>7</v>
      </c>
      <c r="GO1187" s="100">
        <v>7</v>
      </c>
      <c r="GP1187" s="100">
        <v>10</v>
      </c>
      <c r="GQ1187" s="100">
        <v>5</v>
      </c>
      <c r="GR1187" s="100">
        <v>13</v>
      </c>
      <c r="GU1187" s="100">
        <v>7</v>
      </c>
      <c r="GV1187" s="100">
        <v>15</v>
      </c>
      <c r="GW1187" s="100">
        <v>8</v>
      </c>
      <c r="GX1187" s="100">
        <v>28</v>
      </c>
      <c r="GY1187" s="100">
        <v>7</v>
      </c>
      <c r="GZ1187" s="100">
        <v>14</v>
      </c>
      <c r="HB1187" s="100">
        <v>7</v>
      </c>
      <c r="HC1187" s="100">
        <v>16</v>
      </c>
      <c r="HD1187" s="100">
        <v>11</v>
      </c>
      <c r="HE1187" s="100">
        <v>19</v>
      </c>
      <c r="HF1187" s="100">
        <v>8</v>
      </c>
      <c r="HG1187" s="100">
        <v>4</v>
      </c>
      <c r="HI1187" s="100">
        <v>6</v>
      </c>
      <c r="HJ1187" s="100">
        <v>12</v>
      </c>
      <c r="HK1187" s="100">
        <v>17</v>
      </c>
      <c r="HL1187" s="100">
        <v>18</v>
      </c>
      <c r="HM1187" s="100">
        <v>1</v>
      </c>
      <c r="HN1187" s="100">
        <v>20</v>
      </c>
      <c r="HP1187" s="100">
        <v>14</v>
      </c>
      <c r="HQ1187" s="100">
        <v>7</v>
      </c>
      <c r="HS1187" s="100">
        <v>30</v>
      </c>
      <c r="HT1187" s="100">
        <v>2</v>
      </c>
      <c r="HU1187" s="100">
        <v>11</v>
      </c>
      <c r="HW1187" s="100">
        <v>5</v>
      </c>
      <c r="HX1187" s="100">
        <v>7</v>
      </c>
      <c r="HY1187" s="100">
        <v>12</v>
      </c>
      <c r="IB1187" s="100">
        <v>11</v>
      </c>
      <c r="ID1187" s="100">
        <v>17</v>
      </c>
      <c r="IE1187" s="100">
        <v>16</v>
      </c>
      <c r="IG1187" s="100">
        <v>13</v>
      </c>
      <c r="IH1187" s="100">
        <v>1</v>
      </c>
      <c r="II1187" s="100">
        <v>7</v>
      </c>
      <c r="IK1187" s="100">
        <v>7</v>
      </c>
      <c r="IM1187" s="100">
        <v>1</v>
      </c>
      <c r="IN1187" s="100">
        <v>7</v>
      </c>
      <c r="IO1187" s="100">
        <v>6</v>
      </c>
      <c r="IP1187" s="100">
        <v>2</v>
      </c>
      <c r="IR1187" s="100">
        <v>7</v>
      </c>
      <c r="IS1187" s="100">
        <v>2</v>
      </c>
      <c r="IT1187" s="100">
        <v>7</v>
      </c>
      <c r="IV1187" s="100">
        <v>5</v>
      </c>
      <c r="JB1187" s="100">
        <v>3</v>
      </c>
      <c r="ON1187" s="100">
        <f t="shared" si="365"/>
        <v>0</v>
      </c>
    </row>
    <row r="1188" spans="1:404" ht="27.75" customHeight="1">
      <c r="A1188" s="97" t="str">
        <f t="shared" si="371"/>
        <v>002/FLOWER POWER-VG-2166-77724-X4-B</v>
      </c>
      <c r="B1188" s="95">
        <v>44670</v>
      </c>
      <c r="C1188" s="97">
        <f t="shared" ca="1" si="369"/>
        <v>-394</v>
      </c>
      <c r="D1188" s="112" t="s">
        <v>1714</v>
      </c>
      <c r="E1188" s="123" t="s">
        <v>1046</v>
      </c>
      <c r="F1188" s="98" t="str">
        <f t="shared" si="374"/>
        <v>B</v>
      </c>
      <c r="G1188" s="110">
        <f ca="1">SUMIF($A:E,$A1188,K:K)</f>
        <v>68</v>
      </c>
      <c r="H1188" s="112" t="s">
        <v>1725</v>
      </c>
      <c r="I1188" s="175">
        <v>48</v>
      </c>
      <c r="J1188" s="115">
        <v>48</v>
      </c>
      <c r="K1188" s="143">
        <f t="shared" si="364"/>
        <v>68</v>
      </c>
      <c r="L1188" s="144">
        <f t="shared" si="361"/>
        <v>-20</v>
      </c>
      <c r="M1188" s="275">
        <f t="shared" si="375"/>
        <v>192</v>
      </c>
      <c r="N1188" s="98">
        <v>3</v>
      </c>
      <c r="O1188" s="93">
        <f t="shared" si="373"/>
        <v>141.66666666666669</v>
      </c>
      <c r="OG1188" s="100">
        <v>4</v>
      </c>
      <c r="OH1188" s="100">
        <v>5</v>
      </c>
      <c r="OI1188" s="100">
        <v>6</v>
      </c>
      <c r="OJ1188" s="100">
        <v>5</v>
      </c>
      <c r="OK1188" s="100">
        <v>5</v>
      </c>
      <c r="OM1188" s="100">
        <v>9</v>
      </c>
      <c r="ON1188" s="100">
        <f t="shared" si="365"/>
        <v>34</v>
      </c>
    </row>
    <row r="1189" spans="1:404" ht="23.25" customHeight="1">
      <c r="A1189" s="97" t="str">
        <f t="shared" si="371"/>
        <v>002/FLOWER POWER-VG-2166-77724-X2-B</v>
      </c>
      <c r="B1189" s="95">
        <v>44670</v>
      </c>
      <c r="C1189" s="97">
        <f t="shared" ca="1" si="369"/>
        <v>-394</v>
      </c>
      <c r="D1189" s="112" t="s">
        <v>1714</v>
      </c>
      <c r="E1189" s="123" t="s">
        <v>1724</v>
      </c>
      <c r="F1189" s="98" t="str">
        <f t="shared" si="374"/>
        <v>B</v>
      </c>
      <c r="G1189" s="110">
        <f ca="1">SUMIF($A:E,$A1189,K:K)</f>
        <v>0</v>
      </c>
      <c r="H1189" s="112" t="s">
        <v>1725</v>
      </c>
      <c r="I1189" s="175">
        <v>72</v>
      </c>
      <c r="J1189" s="115">
        <v>72</v>
      </c>
      <c r="K1189" s="143">
        <f t="shared" si="364"/>
        <v>0</v>
      </c>
      <c r="L1189" s="144">
        <f t="shared" si="361"/>
        <v>72</v>
      </c>
      <c r="M1189" s="275">
        <f t="shared" si="375"/>
        <v>144</v>
      </c>
      <c r="N1189" s="98">
        <v>3</v>
      </c>
      <c r="O1189" s="93">
        <f t="shared" si="373"/>
        <v>0</v>
      </c>
      <c r="ON1189" s="100">
        <f t="shared" si="365"/>
        <v>0</v>
      </c>
    </row>
    <row r="1190" spans="1:404" ht="23.25" customHeight="1">
      <c r="A1190" s="97" t="str">
        <f t="shared" si="371"/>
        <v>001/AHOME-VG-2166-77723-03-B</v>
      </c>
      <c r="B1190" s="95">
        <v>44576</v>
      </c>
      <c r="C1190" s="97">
        <f t="shared" ca="1" si="369"/>
        <v>-488</v>
      </c>
      <c r="D1190" s="112" t="s">
        <v>1879</v>
      </c>
      <c r="E1190" s="123" t="s">
        <v>648</v>
      </c>
      <c r="F1190" s="98" t="str">
        <f t="shared" ref="F1190:F1216" si="376">MID(E1190,13,2)</f>
        <v>B</v>
      </c>
      <c r="G1190" s="110">
        <f ca="1">SUMIF($A:E,$A1190,K:K)</f>
        <v>30</v>
      </c>
      <c r="H1190" s="97" t="s">
        <v>1593</v>
      </c>
      <c r="I1190" s="98">
        <v>30</v>
      </c>
      <c r="J1190" s="99">
        <v>30</v>
      </c>
      <c r="K1190" s="143">
        <f t="shared" si="364"/>
        <v>30</v>
      </c>
      <c r="L1190" s="144">
        <f t="shared" si="361"/>
        <v>0</v>
      </c>
      <c r="M1190" s="275">
        <f t="shared" si="375"/>
        <v>30</v>
      </c>
      <c r="N1190" s="98">
        <v>3</v>
      </c>
      <c r="O1190" s="93">
        <f t="shared" si="373"/>
        <v>100</v>
      </c>
      <c r="MA1190" s="100">
        <v>20</v>
      </c>
      <c r="MB1190" s="100">
        <v>10</v>
      </c>
      <c r="ON1190" s="100">
        <f t="shared" si="365"/>
        <v>0</v>
      </c>
    </row>
    <row r="1191" spans="1:404" ht="23.25" customHeight="1">
      <c r="A1191" s="97" t="str">
        <f t="shared" si="371"/>
        <v>003/HACA-HK-2166-77712-X4-B</v>
      </c>
      <c r="B1191" s="95">
        <v>44378</v>
      </c>
      <c r="C1191" s="97">
        <f t="shared" ca="1" si="369"/>
        <v>-686</v>
      </c>
      <c r="D1191" s="145" t="s">
        <v>803</v>
      </c>
      <c r="E1191" s="253" t="s">
        <v>808</v>
      </c>
      <c r="F1191" s="98" t="str">
        <f t="shared" si="376"/>
        <v>B</v>
      </c>
      <c r="G1191" s="110">
        <f ca="1">SUMIF($A:E,$A1191,K:K)</f>
        <v>32</v>
      </c>
      <c r="H1191" s="97" t="s">
        <v>791</v>
      </c>
      <c r="I1191" s="196">
        <v>32</v>
      </c>
      <c r="J1191" s="146">
        <v>32</v>
      </c>
      <c r="K1191" s="143">
        <f t="shared" si="364"/>
        <v>32</v>
      </c>
      <c r="L1191" s="144">
        <f t="shared" si="361"/>
        <v>0</v>
      </c>
      <c r="M1191" s="275">
        <f t="shared" si="375"/>
        <v>128</v>
      </c>
      <c r="N1191" s="98">
        <v>3</v>
      </c>
      <c r="O1191" s="93">
        <f t="shared" si="373"/>
        <v>100</v>
      </c>
      <c r="EJ1191" s="100">
        <v>6</v>
      </c>
      <c r="EK1191" s="100">
        <v>3</v>
      </c>
      <c r="EL1191" s="100">
        <v>4</v>
      </c>
      <c r="EM1191" s="100">
        <v>3</v>
      </c>
      <c r="EN1191" s="100">
        <v>2</v>
      </c>
      <c r="EO1191" s="100">
        <v>2</v>
      </c>
      <c r="EP1191" s="100">
        <v>1</v>
      </c>
      <c r="EQ1191" s="100">
        <v>6</v>
      </c>
      <c r="ER1191" s="100">
        <v>4</v>
      </c>
      <c r="EY1191" s="100">
        <v>1</v>
      </c>
      <c r="ON1191" s="100">
        <f t="shared" si="365"/>
        <v>0</v>
      </c>
    </row>
    <row r="1192" spans="1:404" ht="23.25" customHeight="1">
      <c r="A1192" s="97" t="str">
        <f t="shared" si="371"/>
        <v>001/MACKOO-21 (đợt 1)66-77712-X4-B</v>
      </c>
      <c r="B1192" s="95">
        <v>44415</v>
      </c>
      <c r="C1192" s="97">
        <f t="shared" ca="1" si="369"/>
        <v>-649</v>
      </c>
      <c r="D1192" s="96" t="s">
        <v>1002</v>
      </c>
      <c r="E1192" s="94" t="s">
        <v>808</v>
      </c>
      <c r="F1192" s="98" t="str">
        <f t="shared" si="376"/>
        <v>B</v>
      </c>
      <c r="G1192" s="110">
        <f ca="1">SUMIF($A:E,$A1192,K:K)</f>
        <v>840</v>
      </c>
      <c r="H1192" s="97" t="s">
        <v>508</v>
      </c>
      <c r="I1192" s="98">
        <v>840</v>
      </c>
      <c r="J1192" s="99">
        <v>840</v>
      </c>
      <c r="K1192" s="143">
        <f t="shared" si="364"/>
        <v>840</v>
      </c>
      <c r="L1192" s="144">
        <f t="shared" si="361"/>
        <v>0</v>
      </c>
      <c r="M1192" s="275">
        <f t="shared" si="375"/>
        <v>3360</v>
      </c>
      <c r="N1192" s="98">
        <v>3</v>
      </c>
      <c r="O1192" s="93">
        <f t="shared" si="373"/>
        <v>100</v>
      </c>
      <c r="FC1192" s="100">
        <v>4</v>
      </c>
      <c r="FE1192" s="100">
        <v>5</v>
      </c>
      <c r="FF1192" s="100">
        <v>4</v>
      </c>
      <c r="FH1192" s="100">
        <v>4</v>
      </c>
      <c r="FI1192" s="100">
        <v>5</v>
      </c>
      <c r="FJ1192" s="100">
        <v>7</v>
      </c>
      <c r="FK1192" s="100">
        <v>22</v>
      </c>
      <c r="FL1192" s="100">
        <v>21</v>
      </c>
      <c r="FM1192" s="100">
        <v>20</v>
      </c>
      <c r="FO1192" s="100">
        <v>16</v>
      </c>
      <c r="FP1192" s="100">
        <v>12</v>
      </c>
      <c r="FQ1192" s="100">
        <v>20</v>
      </c>
      <c r="FR1192" s="100">
        <v>17</v>
      </c>
      <c r="FS1192" s="100">
        <v>23</v>
      </c>
      <c r="FT1192" s="100">
        <v>9</v>
      </c>
      <c r="FU1192" s="100">
        <v>18</v>
      </c>
      <c r="FV1192" s="100">
        <v>20</v>
      </c>
      <c r="FW1192" s="100">
        <v>21</v>
      </c>
      <c r="FX1192" s="100">
        <v>20</v>
      </c>
      <c r="FZ1192" s="100">
        <v>20</v>
      </c>
      <c r="GA1192" s="100">
        <v>19</v>
      </c>
      <c r="GB1192" s="100">
        <v>16</v>
      </c>
      <c r="GC1192" s="100">
        <v>24</v>
      </c>
      <c r="GD1192" s="100">
        <v>20</v>
      </c>
      <c r="GE1192" s="100">
        <v>26</v>
      </c>
      <c r="GG1192" s="100">
        <v>28</v>
      </c>
      <c r="GH1192" s="100">
        <v>11</v>
      </c>
      <c r="GI1192" s="100">
        <v>27</v>
      </c>
      <c r="GJ1192" s="100">
        <v>26</v>
      </c>
      <c r="GK1192" s="100">
        <v>26</v>
      </c>
      <c r="GL1192" s="100">
        <v>26</v>
      </c>
      <c r="GN1192" s="100">
        <v>26</v>
      </c>
      <c r="GO1192" s="100">
        <v>26</v>
      </c>
      <c r="GP1192" s="100">
        <v>24</v>
      </c>
      <c r="GQ1192" s="100">
        <v>28</v>
      </c>
      <c r="GR1192" s="100">
        <v>11</v>
      </c>
      <c r="GS1192" s="100">
        <v>24</v>
      </c>
      <c r="GU1192" s="100">
        <v>23</v>
      </c>
      <c r="GV1192" s="100">
        <v>29</v>
      </c>
      <c r="GW1192" s="100">
        <v>23</v>
      </c>
      <c r="GX1192" s="100">
        <v>25</v>
      </c>
      <c r="GY1192" s="100">
        <v>26</v>
      </c>
      <c r="GZ1192" s="100">
        <v>25</v>
      </c>
      <c r="HB1192" s="100">
        <v>13</v>
      </c>
      <c r="ON1192" s="100">
        <f t="shared" si="365"/>
        <v>0</v>
      </c>
    </row>
    <row r="1193" spans="1:404" ht="23.25" customHeight="1">
      <c r="A1193" s="97" t="str">
        <f t="shared" si="371"/>
        <v>001/MACKOO-21 (đợt 2)66-77712-X4-B</v>
      </c>
      <c r="B1193" s="95">
        <v>44457</v>
      </c>
      <c r="C1193" s="97">
        <f t="shared" ca="1" si="369"/>
        <v>-607</v>
      </c>
      <c r="D1193" s="96" t="s">
        <v>1003</v>
      </c>
      <c r="E1193" s="94" t="s">
        <v>808</v>
      </c>
      <c r="F1193" s="98" t="str">
        <f t="shared" si="376"/>
        <v>B</v>
      </c>
      <c r="G1193" s="110">
        <f ca="1">SUMIF($A:E,$A1193,K:K)</f>
        <v>840</v>
      </c>
      <c r="H1193" s="97" t="s">
        <v>508</v>
      </c>
      <c r="I1193" s="98">
        <v>840</v>
      </c>
      <c r="J1193" s="99">
        <v>87</v>
      </c>
      <c r="K1193" s="143">
        <f t="shared" si="364"/>
        <v>87</v>
      </c>
      <c r="L1193" s="144">
        <f t="shared" ref="L1193:L1244" si="377">J1193-K1193</f>
        <v>0</v>
      </c>
      <c r="M1193" s="275">
        <f t="shared" si="375"/>
        <v>3360</v>
      </c>
      <c r="N1193" s="98">
        <v>3</v>
      </c>
      <c r="O1193" s="93">
        <f t="shared" si="373"/>
        <v>100</v>
      </c>
      <c r="HB1193" s="100">
        <v>13</v>
      </c>
      <c r="HC1193" s="100">
        <v>19</v>
      </c>
      <c r="HD1193" s="100">
        <v>26</v>
      </c>
      <c r="HE1193" s="100">
        <v>26</v>
      </c>
      <c r="HF1193" s="100">
        <v>3</v>
      </c>
      <c r="ON1193" s="100">
        <f t="shared" si="365"/>
        <v>0</v>
      </c>
    </row>
    <row r="1194" spans="1:404" ht="23.25" customHeight="1">
      <c r="A1194" s="97" t="str">
        <f t="shared" si="371"/>
        <v>001/MACKOO-21 (đợt 2)66-77712-X4-B</v>
      </c>
      <c r="B1194" s="95">
        <v>44457</v>
      </c>
      <c r="C1194" s="97">
        <f t="shared" ca="1" si="369"/>
        <v>-607</v>
      </c>
      <c r="D1194" s="96" t="s">
        <v>1003</v>
      </c>
      <c r="E1194" s="94" t="s">
        <v>808</v>
      </c>
      <c r="F1194" s="98" t="str">
        <f t="shared" si="376"/>
        <v>B</v>
      </c>
      <c r="G1194" s="110">
        <f ca="1">SUMIF($A:E,$A1194,K:K)</f>
        <v>840</v>
      </c>
      <c r="H1194" s="97" t="s">
        <v>616</v>
      </c>
      <c r="I1194" s="98">
        <v>840</v>
      </c>
      <c r="J1194" s="99">
        <f>840-J1193</f>
        <v>753</v>
      </c>
      <c r="K1194" s="143">
        <f t="shared" si="364"/>
        <v>753</v>
      </c>
      <c r="L1194" s="144">
        <f t="shared" si="377"/>
        <v>0</v>
      </c>
      <c r="M1194" s="275">
        <f t="shared" si="375"/>
        <v>3360</v>
      </c>
      <c r="N1194" s="98">
        <v>3</v>
      </c>
      <c r="O1194" s="93">
        <f t="shared" si="373"/>
        <v>100</v>
      </c>
      <c r="HF1194" s="100">
        <v>22</v>
      </c>
      <c r="HG1194" s="100">
        <v>26</v>
      </c>
      <c r="HI1194" s="100">
        <v>26</v>
      </c>
      <c r="HJ1194" s="100">
        <v>26</v>
      </c>
      <c r="HK1194" s="100">
        <v>26</v>
      </c>
      <c r="HL1194" s="100">
        <v>26</v>
      </c>
      <c r="HM1194" s="100">
        <v>25</v>
      </c>
      <c r="HN1194" s="100">
        <v>25</v>
      </c>
      <c r="HP1194" s="100">
        <v>27</v>
      </c>
      <c r="HQ1194" s="100">
        <v>21</v>
      </c>
      <c r="HR1194" s="100">
        <v>31</v>
      </c>
      <c r="HS1194" s="100">
        <v>25</v>
      </c>
      <c r="HT1194" s="100">
        <v>27</v>
      </c>
      <c r="HU1194" s="100">
        <v>21</v>
      </c>
      <c r="HW1194" s="100">
        <v>49</v>
      </c>
      <c r="HX1194" s="100">
        <v>25</v>
      </c>
      <c r="HY1194" s="100">
        <v>26</v>
      </c>
      <c r="IB1194" s="100">
        <v>9</v>
      </c>
      <c r="ID1194" s="100">
        <v>23</v>
      </c>
      <c r="IE1194" s="100">
        <v>3</v>
      </c>
      <c r="IF1194" s="100">
        <v>52</v>
      </c>
      <c r="IG1194" s="100">
        <v>25</v>
      </c>
      <c r="IH1194" s="100">
        <v>25</v>
      </c>
      <c r="II1194" s="100">
        <v>1</v>
      </c>
      <c r="IK1194" s="100">
        <v>26</v>
      </c>
      <c r="IL1194" s="100">
        <v>17</v>
      </c>
      <c r="IM1194" s="100">
        <f>39+9</f>
        <v>48</v>
      </c>
      <c r="IN1194" s="100">
        <v>25</v>
      </c>
      <c r="IP1194" s="100">
        <v>28</v>
      </c>
      <c r="IR1194" s="100">
        <v>15</v>
      </c>
      <c r="IS1194" s="100">
        <v>2</v>
      </c>
      <c r="ON1194" s="100">
        <f t="shared" si="365"/>
        <v>0</v>
      </c>
    </row>
    <row r="1195" spans="1:404" ht="23.25" customHeight="1">
      <c r="A1195" s="97" t="str">
        <f t="shared" si="371"/>
        <v>003/HACA-HK-2166-77712-X2-B</v>
      </c>
      <c r="B1195" s="95">
        <v>44378</v>
      </c>
      <c r="C1195" s="97">
        <f t="shared" ca="1" si="369"/>
        <v>-686</v>
      </c>
      <c r="D1195" s="145" t="s">
        <v>803</v>
      </c>
      <c r="E1195" s="253" t="s">
        <v>807</v>
      </c>
      <c r="F1195" s="98" t="str">
        <f t="shared" si="376"/>
        <v>B</v>
      </c>
      <c r="G1195" s="110">
        <f ca="1">SUMIF($A:E,$A1195,K:K)</f>
        <v>72</v>
      </c>
      <c r="H1195" s="97" t="s">
        <v>791</v>
      </c>
      <c r="I1195" s="196">
        <v>72</v>
      </c>
      <c r="J1195" s="146">
        <v>72</v>
      </c>
      <c r="K1195" s="143">
        <f t="shared" si="364"/>
        <v>72</v>
      </c>
      <c r="L1195" s="144">
        <f t="shared" si="377"/>
        <v>0</v>
      </c>
      <c r="M1195" s="275">
        <f t="shared" si="375"/>
        <v>144</v>
      </c>
      <c r="N1195" s="98">
        <v>3</v>
      </c>
      <c r="O1195" s="93">
        <f t="shared" si="373"/>
        <v>100</v>
      </c>
      <c r="ER1195" s="100">
        <v>7</v>
      </c>
      <c r="ET1195" s="100">
        <v>5</v>
      </c>
      <c r="EU1195" s="100">
        <v>16</v>
      </c>
      <c r="EV1195" s="100">
        <v>10</v>
      </c>
      <c r="EW1195" s="100">
        <v>9</v>
      </c>
      <c r="EX1195" s="100">
        <v>7</v>
      </c>
      <c r="EY1195" s="100">
        <v>6</v>
      </c>
      <c r="FA1195" s="100">
        <v>8</v>
      </c>
      <c r="FB1195" s="100">
        <v>4</v>
      </c>
      <c r="ON1195" s="100">
        <f t="shared" si="365"/>
        <v>0</v>
      </c>
    </row>
    <row r="1196" spans="1:404" ht="23.25" customHeight="1">
      <c r="A1196" s="97" t="str">
        <f t="shared" si="371"/>
        <v>003/HACA-HK-2166-77712-L4-B</v>
      </c>
      <c r="B1196" s="95">
        <v>44378</v>
      </c>
      <c r="C1196" s="97">
        <f t="shared" ca="1" si="369"/>
        <v>-686</v>
      </c>
      <c r="D1196" s="145" t="s">
        <v>803</v>
      </c>
      <c r="E1196" s="253" t="s">
        <v>789</v>
      </c>
      <c r="F1196" s="98" t="str">
        <f t="shared" si="376"/>
        <v>B</v>
      </c>
      <c r="G1196" s="110">
        <f ca="1">SUMIF($A:E,$A1196,K:K)</f>
        <v>12</v>
      </c>
      <c r="H1196" s="97" t="s">
        <v>791</v>
      </c>
      <c r="I1196" s="196">
        <v>12</v>
      </c>
      <c r="J1196" s="146">
        <v>12</v>
      </c>
      <c r="K1196" s="143">
        <f t="shared" si="364"/>
        <v>12</v>
      </c>
      <c r="L1196" s="144">
        <f t="shared" si="377"/>
        <v>0</v>
      </c>
      <c r="M1196" s="275">
        <f t="shared" si="375"/>
        <v>48</v>
      </c>
      <c r="N1196" s="98">
        <v>3</v>
      </c>
      <c r="O1196" s="93">
        <f t="shared" si="373"/>
        <v>100</v>
      </c>
      <c r="DZ1196" s="100">
        <v>4</v>
      </c>
      <c r="EA1196" s="100">
        <v>2</v>
      </c>
      <c r="EC1196" s="100">
        <v>2</v>
      </c>
      <c r="ED1196" s="100">
        <v>2</v>
      </c>
      <c r="EI1196" s="100">
        <v>2</v>
      </c>
      <c r="ON1196" s="100">
        <f t="shared" si="365"/>
        <v>0</v>
      </c>
    </row>
    <row r="1197" spans="1:404" ht="23.25" customHeight="1">
      <c r="A1197" s="97" t="str">
        <f t="shared" si="371"/>
        <v>002/HACA-HK-2166-77712-L4-B</v>
      </c>
      <c r="B1197" s="95">
        <v>44338</v>
      </c>
      <c r="C1197" s="97">
        <f t="shared" ca="1" si="369"/>
        <v>-726</v>
      </c>
      <c r="D1197" s="145" t="s">
        <v>785</v>
      </c>
      <c r="E1197" s="253" t="s">
        <v>789</v>
      </c>
      <c r="F1197" s="98" t="str">
        <f t="shared" si="376"/>
        <v>B</v>
      </c>
      <c r="G1197" s="110">
        <f ca="1">SUMIF($A:E,$A1197,K:K)</f>
        <v>18</v>
      </c>
      <c r="H1197" s="97" t="s">
        <v>792</v>
      </c>
      <c r="I1197" s="98">
        <v>18</v>
      </c>
      <c r="J1197" s="99">
        <v>18</v>
      </c>
      <c r="K1197" s="143">
        <f t="shared" si="364"/>
        <v>18</v>
      </c>
      <c r="L1197" s="144">
        <f t="shared" si="377"/>
        <v>0</v>
      </c>
      <c r="M1197" s="275">
        <f t="shared" si="375"/>
        <v>72</v>
      </c>
      <c r="N1197" s="98">
        <v>3</v>
      </c>
      <c r="O1197" s="93">
        <f t="shared" si="373"/>
        <v>100</v>
      </c>
      <c r="DL1197" s="101">
        <v>1</v>
      </c>
      <c r="DM1197" s="101">
        <v>2</v>
      </c>
      <c r="DN1197" s="101">
        <v>2</v>
      </c>
      <c r="DO1197" s="101">
        <v>2</v>
      </c>
      <c r="DP1197" s="101">
        <v>2</v>
      </c>
      <c r="DR1197" s="101">
        <v>2</v>
      </c>
      <c r="DS1197" s="100">
        <v>1</v>
      </c>
      <c r="DT1197" s="100">
        <v>2</v>
      </c>
      <c r="DU1197" s="100">
        <v>1</v>
      </c>
      <c r="DV1197" s="100">
        <v>2</v>
      </c>
      <c r="DY1197" s="100">
        <v>1</v>
      </c>
      <c r="ON1197" s="100">
        <f t="shared" si="365"/>
        <v>0</v>
      </c>
    </row>
    <row r="1198" spans="1:404" ht="23.25" customHeight="1">
      <c r="A1198" s="97" t="str">
        <f>D1198&amp;E1198</f>
        <v>227/KHBS-2166-77712-B2-B</v>
      </c>
      <c r="B1198" s="95">
        <v>44408</v>
      </c>
      <c r="C1198" s="97">
        <f t="shared" ca="1" si="369"/>
        <v>-656</v>
      </c>
      <c r="D1198" s="96" t="s">
        <v>1439</v>
      </c>
      <c r="E1198" s="94" t="s">
        <v>1441</v>
      </c>
      <c r="F1198" s="98" t="str">
        <f t="shared" si="376"/>
        <v>B</v>
      </c>
      <c r="G1198" s="110">
        <f ca="1">SUMIF($A:E,$A1198,K:K)</f>
        <v>1</v>
      </c>
      <c r="H1198" s="97" t="s">
        <v>616</v>
      </c>
      <c r="I1198" s="98">
        <v>1</v>
      </c>
      <c r="J1198" s="99">
        <v>1</v>
      </c>
      <c r="K1198" s="143">
        <f t="shared" si="364"/>
        <v>1</v>
      </c>
      <c r="L1198" s="144">
        <f t="shared" si="377"/>
        <v>0</v>
      </c>
      <c r="M1198" s="275">
        <f t="shared" si="375"/>
        <v>2</v>
      </c>
      <c r="N1198" s="98">
        <v>3</v>
      </c>
      <c r="O1198" s="93">
        <f t="shared" si="373"/>
        <v>100</v>
      </c>
      <c r="GV1198" s="100">
        <v>1</v>
      </c>
      <c r="ON1198" s="100">
        <f t="shared" si="365"/>
        <v>0</v>
      </c>
    </row>
    <row r="1199" spans="1:404" ht="23.25" customHeight="1">
      <c r="A1199" s="97" t="str">
        <f>D1199&amp;E1199</f>
        <v>003/HACA-HK-2166-77712-04-B</v>
      </c>
      <c r="B1199" s="95">
        <v>44378</v>
      </c>
      <c r="C1199" s="97">
        <f t="shared" ca="1" si="369"/>
        <v>-686</v>
      </c>
      <c r="D1199" s="145" t="s">
        <v>803</v>
      </c>
      <c r="E1199" s="253" t="s">
        <v>806</v>
      </c>
      <c r="F1199" s="98" t="str">
        <f t="shared" si="376"/>
        <v>B</v>
      </c>
      <c r="G1199" s="110">
        <f ca="1">SUMIF($A:E,$A1199,K:K)</f>
        <v>84</v>
      </c>
      <c r="H1199" s="97" t="s">
        <v>791</v>
      </c>
      <c r="I1199" s="196">
        <v>84</v>
      </c>
      <c r="J1199" s="146">
        <v>84</v>
      </c>
      <c r="K1199" s="143">
        <f t="shared" si="364"/>
        <v>84</v>
      </c>
      <c r="L1199" s="144">
        <f t="shared" si="377"/>
        <v>0</v>
      </c>
      <c r="M1199" s="275">
        <f t="shared" si="375"/>
        <v>84</v>
      </c>
      <c r="N1199" s="98">
        <v>3</v>
      </c>
      <c r="O1199" s="93">
        <f t="shared" si="373"/>
        <v>100</v>
      </c>
      <c r="DK1199" s="101">
        <v>6</v>
      </c>
      <c r="DL1199" s="101">
        <v>9</v>
      </c>
      <c r="DM1199" s="101">
        <v>1</v>
      </c>
      <c r="DN1199" s="101">
        <v>7</v>
      </c>
      <c r="DO1199" s="101">
        <v>4</v>
      </c>
      <c r="DP1199" s="101">
        <v>4</v>
      </c>
      <c r="DR1199" s="101">
        <v>2</v>
      </c>
      <c r="DS1199" s="100">
        <v>4</v>
      </c>
      <c r="DT1199" s="100">
        <v>4</v>
      </c>
      <c r="DU1199" s="100">
        <v>4</v>
      </c>
      <c r="DV1199" s="100">
        <v>4</v>
      </c>
      <c r="DW1199" s="100">
        <v>5</v>
      </c>
      <c r="DY1199" s="100">
        <v>5</v>
      </c>
      <c r="DZ1199" s="100">
        <v>2</v>
      </c>
      <c r="EA1199" s="100">
        <v>2</v>
      </c>
      <c r="EC1199" s="100">
        <v>4</v>
      </c>
      <c r="EF1199" s="100">
        <v>2</v>
      </c>
      <c r="EG1199" s="100">
        <v>3</v>
      </c>
      <c r="EI1199" s="100">
        <v>10</v>
      </c>
      <c r="EN1199" s="100">
        <v>1</v>
      </c>
      <c r="EO1199" s="100">
        <v>1</v>
      </c>
      <c r="ON1199" s="100">
        <f t="shared" si="365"/>
        <v>0</v>
      </c>
    </row>
    <row r="1200" spans="1:404" ht="23.25" customHeight="1">
      <c r="A1200" s="97" t="str">
        <f>D1200&amp;E1200</f>
        <v>241/KHBS-2166-77712-02-B</v>
      </c>
      <c r="B1200" s="95">
        <v>44428</v>
      </c>
      <c r="C1200" s="97">
        <f t="shared" ca="1" si="369"/>
        <v>-636</v>
      </c>
      <c r="D1200" s="96" t="s">
        <v>1729</v>
      </c>
      <c r="E1200" s="94" t="s">
        <v>1535</v>
      </c>
      <c r="F1200" s="98" t="str">
        <f t="shared" si="376"/>
        <v>B</v>
      </c>
      <c r="G1200" s="110">
        <f ca="1">SUMIF($A:E,$A1200,K:K)</f>
        <v>1</v>
      </c>
      <c r="H1200" s="97" t="s">
        <v>616</v>
      </c>
      <c r="I1200" s="98">
        <v>1</v>
      </c>
      <c r="J1200" s="99">
        <v>1</v>
      </c>
      <c r="K1200" s="143">
        <f t="shared" si="364"/>
        <v>1</v>
      </c>
      <c r="L1200" s="144">
        <f t="shared" si="377"/>
        <v>0</v>
      </c>
      <c r="M1200" s="275">
        <f t="shared" si="375"/>
        <v>1</v>
      </c>
      <c r="N1200" s="98">
        <v>3</v>
      </c>
      <c r="O1200" s="93">
        <f t="shared" si="373"/>
        <v>100</v>
      </c>
      <c r="HQ1200" s="100">
        <v>1</v>
      </c>
      <c r="ON1200" s="100">
        <f t="shared" si="365"/>
        <v>0</v>
      </c>
    </row>
    <row r="1201" spans="1:404" ht="23.25" customHeight="1">
      <c r="A1201" s="97" t="str">
        <f>D1201&amp;E1201</f>
        <v>001/TK MAXX-USA-2166-77710-X1-B</v>
      </c>
      <c r="B1201" s="95">
        <v>44602</v>
      </c>
      <c r="C1201" s="97">
        <f t="shared" ca="1" si="369"/>
        <v>-462</v>
      </c>
      <c r="D1201" s="112" t="s">
        <v>1363</v>
      </c>
      <c r="E1201" s="123" t="s">
        <v>1366</v>
      </c>
      <c r="F1201" s="98" t="str">
        <f t="shared" si="376"/>
        <v>B</v>
      </c>
      <c r="G1201" s="110">
        <f ca="1">SUMIF($A:E,$A1201,K:K)</f>
        <v>56</v>
      </c>
      <c r="H1201" s="97" t="s">
        <v>508</v>
      </c>
      <c r="I1201" s="175">
        <v>56</v>
      </c>
      <c r="J1201" s="115">
        <v>56</v>
      </c>
      <c r="K1201" s="143">
        <f t="shared" si="364"/>
        <v>56</v>
      </c>
      <c r="L1201" s="144">
        <f t="shared" si="377"/>
        <v>0</v>
      </c>
      <c r="M1201" s="275">
        <f t="shared" si="375"/>
        <v>56</v>
      </c>
      <c r="N1201" s="98">
        <v>4</v>
      </c>
      <c r="O1201" s="93">
        <f t="shared" si="373"/>
        <v>100</v>
      </c>
      <c r="MY1201" s="100">
        <v>4</v>
      </c>
      <c r="NA1201" s="100">
        <v>8</v>
      </c>
      <c r="ND1201" s="100">
        <v>10</v>
      </c>
      <c r="NE1201" s="100">
        <v>9</v>
      </c>
      <c r="NF1201" s="100">
        <v>10</v>
      </c>
      <c r="NG1201" s="100">
        <v>11</v>
      </c>
      <c r="NI1201" s="100">
        <v>2</v>
      </c>
      <c r="NL1201" s="100">
        <v>2</v>
      </c>
      <c r="ON1201" s="100">
        <f t="shared" si="365"/>
        <v>0</v>
      </c>
    </row>
    <row r="1202" spans="1:404" ht="23.25" customHeight="1">
      <c r="A1202" s="97" t="str">
        <f>D1202&amp;E1202</f>
        <v>001T/HOMEGOODS-2166-77710-03-B</v>
      </c>
      <c r="B1202" s="95">
        <v>44408</v>
      </c>
      <c r="C1202" s="97">
        <f t="shared" ca="1" si="369"/>
        <v>-656</v>
      </c>
      <c r="D1202" s="96" t="s">
        <v>1090</v>
      </c>
      <c r="E1202" s="94" t="s">
        <v>1096</v>
      </c>
      <c r="F1202" s="98" t="str">
        <f t="shared" si="376"/>
        <v>B</v>
      </c>
      <c r="G1202" s="110">
        <f ca="1">SUMIF($A:E,$A1202,K:K)</f>
        <v>320</v>
      </c>
      <c r="H1202" s="97" t="s">
        <v>616</v>
      </c>
      <c r="I1202" s="98">
        <v>320</v>
      </c>
      <c r="J1202" s="97">
        <v>320</v>
      </c>
      <c r="K1202" s="143">
        <f t="shared" si="364"/>
        <v>320</v>
      </c>
      <c r="L1202" s="144">
        <f t="shared" si="377"/>
        <v>0</v>
      </c>
      <c r="M1202" s="275">
        <f t="shared" si="375"/>
        <v>320</v>
      </c>
      <c r="N1202" s="98">
        <v>3</v>
      </c>
      <c r="O1202" s="93">
        <f t="shared" si="373"/>
        <v>100</v>
      </c>
      <c r="GA1202" s="100">
        <v>14</v>
      </c>
      <c r="GB1202" s="100">
        <v>11</v>
      </c>
      <c r="GC1202" s="100">
        <v>8</v>
      </c>
      <c r="GD1202" s="100">
        <v>8</v>
      </c>
      <c r="GG1202" s="100">
        <v>7</v>
      </c>
      <c r="GH1202" s="100">
        <v>22</v>
      </c>
      <c r="GI1202" s="100">
        <v>1</v>
      </c>
      <c r="GJ1202" s="100">
        <v>17</v>
      </c>
      <c r="GK1202" s="100">
        <v>23</v>
      </c>
      <c r="GL1202" s="100">
        <v>14</v>
      </c>
      <c r="GN1202" s="100">
        <v>47</v>
      </c>
      <c r="GO1202" s="100">
        <v>19</v>
      </c>
      <c r="GP1202" s="100">
        <v>21</v>
      </c>
      <c r="GQ1202" s="100">
        <v>23</v>
      </c>
      <c r="GR1202" s="100">
        <v>20</v>
      </c>
      <c r="GU1202" s="100">
        <v>43</v>
      </c>
      <c r="GV1202" s="100">
        <v>20</v>
      </c>
      <c r="GW1202" s="100">
        <v>2</v>
      </c>
      <c r="ON1202" s="100">
        <f t="shared" si="365"/>
        <v>0</v>
      </c>
    </row>
    <row r="1203" spans="1:404" ht="23.25" customHeight="1">
      <c r="A1203" s="97" t="str">
        <f>D1203&amp;E1204</f>
        <v>037/VG_SR-21(TJX)66-77710-03-B</v>
      </c>
      <c r="B1203" s="95">
        <v>44384</v>
      </c>
      <c r="C1203" s="97">
        <f t="shared" ca="1" si="369"/>
        <v>-680</v>
      </c>
      <c r="D1203" s="96" t="s">
        <v>1206</v>
      </c>
      <c r="E1203" s="94" t="s">
        <v>1096</v>
      </c>
      <c r="F1203" s="98" t="str">
        <f t="shared" si="376"/>
        <v>B</v>
      </c>
      <c r="G1203" s="110">
        <f ca="1">SUMIF($A:E,$A1203,K:K)</f>
        <v>2</v>
      </c>
      <c r="H1203" s="97" t="s">
        <v>616</v>
      </c>
      <c r="I1203" s="98">
        <v>2</v>
      </c>
      <c r="J1203" s="97">
        <v>2</v>
      </c>
      <c r="K1203" s="143">
        <f t="shared" si="364"/>
        <v>2</v>
      </c>
      <c r="L1203" s="144">
        <f t="shared" si="377"/>
        <v>0</v>
      </c>
      <c r="M1203" s="275">
        <f t="shared" si="375"/>
        <v>2</v>
      </c>
      <c r="N1203" s="98">
        <v>2</v>
      </c>
      <c r="O1203" s="93">
        <f t="shared" si="373"/>
        <v>100</v>
      </c>
      <c r="FS1203" s="100">
        <v>2</v>
      </c>
      <c r="ON1203" s="100">
        <f t="shared" si="365"/>
        <v>0</v>
      </c>
    </row>
    <row r="1204" spans="1:404" ht="23.25" customHeight="1">
      <c r="A1204" s="97" t="str">
        <f t="shared" ref="A1204:A1225" si="378">D1204&amp;E1204</f>
        <v>001/YAMATEI_SR-2166-77710-03-B</v>
      </c>
      <c r="B1204" s="95">
        <v>44397</v>
      </c>
      <c r="C1204" s="97">
        <f t="shared" ca="1" si="369"/>
        <v>-667</v>
      </c>
      <c r="D1204" s="112" t="s">
        <v>1408</v>
      </c>
      <c r="E1204" s="123" t="s">
        <v>1096</v>
      </c>
      <c r="F1204" s="98" t="str">
        <f t="shared" si="376"/>
        <v>B</v>
      </c>
      <c r="G1204" s="110">
        <f ca="1">SUMIF($A:E,$A1204,K:K)</f>
        <v>1</v>
      </c>
      <c r="H1204" s="97" t="s">
        <v>507</v>
      </c>
      <c r="I1204" s="98">
        <v>1</v>
      </c>
      <c r="J1204" s="99">
        <v>1</v>
      </c>
      <c r="K1204" s="143">
        <f t="shared" si="364"/>
        <v>1</v>
      </c>
      <c r="L1204" s="144">
        <f t="shared" si="377"/>
        <v>0</v>
      </c>
      <c r="M1204" s="275">
        <f t="shared" si="375"/>
        <v>1</v>
      </c>
      <c r="N1204" s="98">
        <v>3</v>
      </c>
      <c r="O1204" s="93">
        <f t="shared" si="373"/>
        <v>100</v>
      </c>
      <c r="GI1204" s="100">
        <v>1</v>
      </c>
      <c r="ON1204" s="100">
        <f t="shared" si="365"/>
        <v>0</v>
      </c>
    </row>
    <row r="1205" spans="1:404" ht="23.25" customHeight="1">
      <c r="A1205" s="97" t="str">
        <f t="shared" si="378"/>
        <v>001T/HOMEGOODS-2166-77710-02-B</v>
      </c>
      <c r="B1205" s="95">
        <v>44408</v>
      </c>
      <c r="C1205" s="97">
        <f t="shared" ca="1" si="369"/>
        <v>-656</v>
      </c>
      <c r="D1205" s="96" t="s">
        <v>1090</v>
      </c>
      <c r="E1205" s="94" t="s">
        <v>1095</v>
      </c>
      <c r="F1205" s="98" t="str">
        <f t="shared" si="376"/>
        <v>B</v>
      </c>
      <c r="G1205" s="110">
        <f ca="1">SUMIF($A:E,$A1205,K:K)</f>
        <v>320</v>
      </c>
      <c r="H1205" s="97" t="s">
        <v>616</v>
      </c>
      <c r="I1205" s="98">
        <v>320</v>
      </c>
      <c r="J1205" s="97">
        <v>320</v>
      </c>
      <c r="K1205" s="143">
        <f t="shared" si="364"/>
        <v>320</v>
      </c>
      <c r="L1205" s="144">
        <f t="shared" si="377"/>
        <v>0</v>
      </c>
      <c r="M1205" s="275">
        <f t="shared" si="375"/>
        <v>320</v>
      </c>
      <c r="N1205" s="98">
        <v>3</v>
      </c>
      <c r="O1205" s="93">
        <f t="shared" si="373"/>
        <v>100</v>
      </c>
      <c r="GA1205" s="100">
        <v>14</v>
      </c>
      <c r="GB1205" s="100">
        <v>12</v>
      </c>
      <c r="GC1205" s="100">
        <v>5</v>
      </c>
      <c r="GD1205" s="100">
        <v>9</v>
      </c>
      <c r="GE1205" s="100">
        <v>1</v>
      </c>
      <c r="GG1205" s="100">
        <v>12</v>
      </c>
      <c r="GH1205" s="100">
        <v>19</v>
      </c>
      <c r="GI1205" s="100">
        <v>1</v>
      </c>
      <c r="GJ1205" s="100">
        <v>17</v>
      </c>
      <c r="GK1205" s="100">
        <v>23</v>
      </c>
      <c r="GL1205" s="100">
        <v>14</v>
      </c>
      <c r="GN1205" s="100">
        <v>47</v>
      </c>
      <c r="GO1205" s="100">
        <v>19</v>
      </c>
      <c r="GP1205" s="100">
        <v>21</v>
      </c>
      <c r="GQ1205" s="100">
        <v>23</v>
      </c>
      <c r="GR1205" s="100">
        <v>20</v>
      </c>
      <c r="GU1205" s="100">
        <v>43</v>
      </c>
      <c r="GV1205" s="100">
        <v>20</v>
      </c>
      <c r="ON1205" s="100">
        <f t="shared" si="365"/>
        <v>0</v>
      </c>
    </row>
    <row r="1206" spans="1:404" ht="23.25" customHeight="1">
      <c r="A1206" s="97" t="str">
        <f t="shared" si="378"/>
        <v>042/VG_SR-21(TJX)66-77710-02-B</v>
      </c>
      <c r="B1206" s="95">
        <v>44392</v>
      </c>
      <c r="C1206" s="97">
        <f t="shared" ca="1" si="369"/>
        <v>-672</v>
      </c>
      <c r="D1206" s="96" t="s">
        <v>1390</v>
      </c>
      <c r="E1206" s="94" t="s">
        <v>1095</v>
      </c>
      <c r="F1206" s="98" t="str">
        <f t="shared" si="376"/>
        <v>B</v>
      </c>
      <c r="G1206" s="110">
        <f ca="1">SUMIF($A:E,$A1206,K:K)</f>
        <v>2</v>
      </c>
      <c r="H1206" s="97" t="s">
        <v>508</v>
      </c>
      <c r="I1206" s="98">
        <v>2</v>
      </c>
      <c r="J1206" s="99">
        <v>2</v>
      </c>
      <c r="K1206" s="143">
        <f t="shared" si="364"/>
        <v>2</v>
      </c>
      <c r="L1206" s="144">
        <f t="shared" si="377"/>
        <v>0</v>
      </c>
      <c r="M1206" s="275">
        <f t="shared" si="375"/>
        <v>2</v>
      </c>
      <c r="N1206" s="98">
        <v>3</v>
      </c>
      <c r="O1206" s="93">
        <f t="shared" si="373"/>
        <v>100</v>
      </c>
      <c r="GD1206" s="100">
        <v>2</v>
      </c>
      <c r="ON1206" s="100">
        <f t="shared" si="365"/>
        <v>0</v>
      </c>
    </row>
    <row r="1207" spans="1:404" ht="23.25" customHeight="1">
      <c r="A1207" s="97" t="str">
        <f t="shared" si="378"/>
        <v>001/YAMATEI_SR-2166-77710-02-B</v>
      </c>
      <c r="B1207" s="95">
        <v>44397</v>
      </c>
      <c r="C1207" s="97">
        <f t="shared" ca="1" si="369"/>
        <v>-667</v>
      </c>
      <c r="D1207" s="112" t="s">
        <v>1408</v>
      </c>
      <c r="E1207" s="123" t="s">
        <v>1095</v>
      </c>
      <c r="F1207" s="98" t="str">
        <f t="shared" si="376"/>
        <v>B</v>
      </c>
      <c r="G1207" s="110">
        <f ca="1">SUMIF($A:E,$A1207,K:K)</f>
        <v>1</v>
      </c>
      <c r="H1207" s="97" t="s">
        <v>507</v>
      </c>
      <c r="I1207" s="98">
        <v>1</v>
      </c>
      <c r="J1207" s="99">
        <v>1</v>
      </c>
      <c r="K1207" s="143">
        <f t="shared" si="364"/>
        <v>1</v>
      </c>
      <c r="L1207" s="144">
        <f t="shared" si="377"/>
        <v>0</v>
      </c>
      <c r="M1207" s="275">
        <f t="shared" si="375"/>
        <v>1</v>
      </c>
      <c r="N1207" s="98">
        <v>3</v>
      </c>
      <c r="O1207" s="93">
        <f t="shared" si="373"/>
        <v>100</v>
      </c>
      <c r="GI1207" s="100">
        <v>1</v>
      </c>
      <c r="ON1207" s="100">
        <f t="shared" si="365"/>
        <v>0</v>
      </c>
    </row>
    <row r="1208" spans="1:404" ht="23.25" customHeight="1">
      <c r="A1208" s="97" t="str">
        <f t="shared" si="378"/>
        <v>240/KHBS-2166-77710-02-B</v>
      </c>
      <c r="B1208" s="95">
        <v>44424</v>
      </c>
      <c r="C1208" s="97">
        <f t="shared" ca="1" si="369"/>
        <v>-640</v>
      </c>
      <c r="D1208" s="96" t="s">
        <v>1618</v>
      </c>
      <c r="E1208" s="94" t="s">
        <v>1095</v>
      </c>
      <c r="F1208" s="98" t="str">
        <f t="shared" si="376"/>
        <v>B</v>
      </c>
      <c r="G1208" s="110">
        <f ca="1">SUMIF($A:E,$A1208,K:K)</f>
        <v>2</v>
      </c>
      <c r="H1208" s="97" t="s">
        <v>616</v>
      </c>
      <c r="I1208" s="98">
        <v>2</v>
      </c>
      <c r="J1208" s="99">
        <v>2</v>
      </c>
      <c r="K1208" s="143">
        <f t="shared" si="364"/>
        <v>2</v>
      </c>
      <c r="L1208" s="144">
        <f t="shared" si="377"/>
        <v>0</v>
      </c>
      <c r="M1208" s="275">
        <f t="shared" si="375"/>
        <v>2</v>
      </c>
      <c r="N1208" s="98">
        <v>3</v>
      </c>
      <c r="O1208" s="93">
        <f t="shared" si="373"/>
        <v>100</v>
      </c>
      <c r="HI1208" s="100">
        <v>2</v>
      </c>
      <c r="ON1208" s="100">
        <f t="shared" si="365"/>
        <v>0</v>
      </c>
    </row>
    <row r="1209" spans="1:404" ht="23.25" customHeight="1">
      <c r="A1209" s="97" t="str">
        <f t="shared" si="378"/>
        <v xml:space="preserve">	001/NORTHCOAST-VG-2166-77709-X4-B</v>
      </c>
      <c r="B1209" s="95">
        <v>44660</v>
      </c>
      <c r="C1209" s="97">
        <f t="shared" ca="1" si="369"/>
        <v>-404</v>
      </c>
      <c r="D1209" s="112" t="s">
        <v>1880</v>
      </c>
      <c r="E1209" s="123" t="s">
        <v>1887</v>
      </c>
      <c r="F1209" s="98" t="str">
        <f t="shared" si="376"/>
        <v>B</v>
      </c>
      <c r="G1209" s="110">
        <f ca="1">SUMIF($A:E,$A1209,K:K)</f>
        <v>0</v>
      </c>
      <c r="H1209" s="97" t="s">
        <v>927</v>
      </c>
      <c r="I1209" s="175">
        <v>20</v>
      </c>
      <c r="J1209" s="115">
        <v>20</v>
      </c>
      <c r="K1209" s="143">
        <f t="shared" si="364"/>
        <v>0</v>
      </c>
      <c r="L1209" s="144">
        <f t="shared" si="377"/>
        <v>20</v>
      </c>
      <c r="M1209" s="275">
        <f t="shared" si="375"/>
        <v>80</v>
      </c>
      <c r="N1209" s="98"/>
      <c r="O1209" s="93">
        <f t="shared" si="373"/>
        <v>0</v>
      </c>
      <c r="ON1209" s="100">
        <f t="shared" si="365"/>
        <v>0</v>
      </c>
    </row>
    <row r="1210" spans="1:404" ht="23.25" customHeight="1">
      <c r="A1210" s="97" t="str">
        <f t="shared" si="378"/>
        <v xml:space="preserve">	001/AL-FARES-VG-2166-77705-X4-B1</v>
      </c>
      <c r="B1210" s="95">
        <v>44686</v>
      </c>
      <c r="C1210" s="97">
        <f t="shared" ca="1" si="369"/>
        <v>-378</v>
      </c>
      <c r="D1210" s="112" t="s">
        <v>1814</v>
      </c>
      <c r="E1210" s="279" t="s">
        <v>1820</v>
      </c>
      <c r="F1210" s="98" t="str">
        <f t="shared" si="376"/>
        <v>B1</v>
      </c>
      <c r="G1210" s="110">
        <f ca="1">SUMIF($A:E,$A1210,K:K)</f>
        <v>0</v>
      </c>
      <c r="H1210" s="112" t="s">
        <v>1561</v>
      </c>
      <c r="I1210" s="175">
        <v>32</v>
      </c>
      <c r="J1210" s="115">
        <v>32</v>
      </c>
      <c r="K1210" s="143">
        <f t="shared" si="364"/>
        <v>0</v>
      </c>
      <c r="L1210" s="144">
        <f t="shared" si="377"/>
        <v>32</v>
      </c>
      <c r="M1210" s="275">
        <f t="shared" si="375"/>
        <v>128</v>
      </c>
      <c r="N1210" s="98"/>
      <c r="O1210" s="93">
        <f t="shared" ref="O1210:O1212" si="379">K1210/J1210*100</f>
        <v>0</v>
      </c>
      <c r="ON1210" s="100">
        <f t="shared" si="365"/>
        <v>0</v>
      </c>
    </row>
    <row r="1211" spans="1:404" ht="23.25" customHeight="1">
      <c r="A1211" s="97" t="str">
        <f t="shared" si="378"/>
        <v>002/FLOWER POWER-VG-2166-77705-L5-B1</v>
      </c>
      <c r="B1211" s="95">
        <v>44670</v>
      </c>
      <c r="C1211" s="97">
        <f t="shared" ca="1" si="369"/>
        <v>-394</v>
      </c>
      <c r="D1211" s="112" t="s">
        <v>1714</v>
      </c>
      <c r="E1211" s="279" t="s">
        <v>1723</v>
      </c>
      <c r="F1211" s="98" t="str">
        <f t="shared" si="376"/>
        <v>B1</v>
      </c>
      <c r="G1211" s="110">
        <f ca="1">SUMIF($A:E,$A1211,K:K)</f>
        <v>0</v>
      </c>
      <c r="H1211" s="112" t="s">
        <v>1725</v>
      </c>
      <c r="I1211" s="175">
        <v>56</v>
      </c>
      <c r="J1211" s="115">
        <v>56</v>
      </c>
      <c r="K1211" s="143">
        <f t="shared" si="364"/>
        <v>0</v>
      </c>
      <c r="L1211" s="144">
        <f t="shared" si="377"/>
        <v>56</v>
      </c>
      <c r="M1211" s="275">
        <f t="shared" si="375"/>
        <v>280</v>
      </c>
      <c r="N1211" s="98"/>
      <c r="O1211" s="93">
        <f t="shared" si="379"/>
        <v>0</v>
      </c>
      <c r="ON1211" s="100">
        <f t="shared" si="365"/>
        <v>0</v>
      </c>
    </row>
    <row r="1212" spans="1:404" ht="23.25" customHeight="1">
      <c r="A1212" s="97" t="str">
        <f t="shared" si="378"/>
        <v xml:space="preserve">	001/AL-FARES-VG-2166-77705-L4-B1</v>
      </c>
      <c r="B1212" s="95">
        <v>44686</v>
      </c>
      <c r="C1212" s="97">
        <f t="shared" ca="1" si="369"/>
        <v>-378</v>
      </c>
      <c r="D1212" s="112" t="s">
        <v>1814</v>
      </c>
      <c r="E1212" s="279" t="s">
        <v>1819</v>
      </c>
      <c r="F1212" s="98" t="str">
        <f t="shared" si="376"/>
        <v>B1</v>
      </c>
      <c r="G1212" s="110">
        <f ca="1">SUMIF($A:E,$A1212,K:K)</f>
        <v>0</v>
      </c>
      <c r="H1212" s="112" t="s">
        <v>1561</v>
      </c>
      <c r="I1212" s="175">
        <v>12</v>
      </c>
      <c r="J1212" s="115">
        <v>12</v>
      </c>
      <c r="K1212" s="143">
        <f t="shared" si="364"/>
        <v>0</v>
      </c>
      <c r="L1212" s="144">
        <f t="shared" si="377"/>
        <v>12</v>
      </c>
      <c r="M1212" s="275">
        <f t="shared" si="375"/>
        <v>48</v>
      </c>
      <c r="N1212" s="98"/>
      <c r="O1212" s="93">
        <f t="shared" si="379"/>
        <v>0</v>
      </c>
      <c r="ON1212" s="100">
        <f t="shared" si="365"/>
        <v>0</v>
      </c>
    </row>
    <row r="1213" spans="1:404" ht="23.25" customHeight="1">
      <c r="A1213" s="97" t="str">
        <f t="shared" si="378"/>
        <v>003/ANNA-VG-21(đ4)66-77700-X4-A</v>
      </c>
      <c r="B1213" s="95">
        <v>44579</v>
      </c>
      <c r="C1213" s="97">
        <f t="shared" ca="1" si="369"/>
        <v>-485</v>
      </c>
      <c r="D1213" s="112" t="s">
        <v>1652</v>
      </c>
      <c r="E1213" s="279" t="s">
        <v>1660</v>
      </c>
      <c r="F1213" s="98" t="str">
        <f t="shared" si="376"/>
        <v>A</v>
      </c>
      <c r="G1213" s="110">
        <f ca="1">SUMIF($A:E,$A1213,K:K)</f>
        <v>60</v>
      </c>
      <c r="H1213" s="112" t="s">
        <v>990</v>
      </c>
      <c r="I1213" s="175">
        <v>60</v>
      </c>
      <c r="J1213" s="115">
        <v>60</v>
      </c>
      <c r="K1213" s="143">
        <f t="shared" si="364"/>
        <v>60</v>
      </c>
      <c r="L1213" s="144">
        <f t="shared" si="377"/>
        <v>0</v>
      </c>
      <c r="M1213" s="275">
        <f t="shared" si="375"/>
        <v>240</v>
      </c>
      <c r="N1213" s="98">
        <v>6</v>
      </c>
      <c r="O1213" s="93">
        <f t="shared" ref="O1213:O1246" si="380">K1213/J1213*100</f>
        <v>100</v>
      </c>
      <c r="MP1213" s="100">
        <v>10</v>
      </c>
      <c r="MQ1213" s="100">
        <v>10</v>
      </c>
      <c r="MR1213" s="100">
        <v>10</v>
      </c>
      <c r="MS1213" s="100">
        <v>11</v>
      </c>
      <c r="MT1213" s="100">
        <v>5</v>
      </c>
      <c r="MU1213" s="100">
        <v>12</v>
      </c>
      <c r="ND1213" s="100">
        <v>2</v>
      </c>
      <c r="ON1213" s="100">
        <f t="shared" si="365"/>
        <v>0</v>
      </c>
    </row>
    <row r="1214" spans="1:404" ht="23.25" customHeight="1">
      <c r="A1214" s="97" t="str">
        <f t="shared" si="378"/>
        <v>003/ANNA-VG-21(đ1)66-77700-X2-A</v>
      </c>
      <c r="B1214" s="95">
        <v>44545</v>
      </c>
      <c r="C1214" s="97">
        <f t="shared" ref="C1214:C1265" ca="1" si="381">B1214-TODAY()</f>
        <v>-519</v>
      </c>
      <c r="D1214" s="112" t="s">
        <v>1622</v>
      </c>
      <c r="E1214" s="279" t="s">
        <v>709</v>
      </c>
      <c r="F1214" s="98" t="str">
        <f t="shared" si="376"/>
        <v>A</v>
      </c>
      <c r="G1214" s="110">
        <f ca="1">SUMIF($A:E,$A1214,K:K)</f>
        <v>144</v>
      </c>
      <c r="H1214" s="112" t="s">
        <v>990</v>
      </c>
      <c r="I1214" s="175">
        <v>144</v>
      </c>
      <c r="J1214" s="115">
        <v>144</v>
      </c>
      <c r="K1214" s="143">
        <f t="shared" si="364"/>
        <v>144</v>
      </c>
      <c r="L1214" s="144">
        <f t="shared" si="377"/>
        <v>0</v>
      </c>
      <c r="M1214" s="275">
        <f t="shared" si="375"/>
        <v>288</v>
      </c>
      <c r="N1214" s="98" t="s">
        <v>1776</v>
      </c>
      <c r="O1214" s="93">
        <f t="shared" si="380"/>
        <v>100</v>
      </c>
      <c r="JM1214" s="100">
        <v>10</v>
      </c>
      <c r="JN1214" s="100">
        <v>5</v>
      </c>
      <c r="JO1214" s="100">
        <v>5</v>
      </c>
      <c r="JP1214" s="100">
        <v>5</v>
      </c>
      <c r="JQ1214" s="100">
        <v>4</v>
      </c>
      <c r="JT1214" s="100">
        <v>11</v>
      </c>
      <c r="JU1214" s="100">
        <v>5</v>
      </c>
      <c r="JV1214" s="100">
        <v>10</v>
      </c>
      <c r="JX1214" s="100">
        <v>5</v>
      </c>
      <c r="KA1214" s="100">
        <v>5</v>
      </c>
      <c r="KB1214" s="100">
        <v>9</v>
      </c>
      <c r="KC1214" s="100">
        <v>4</v>
      </c>
      <c r="KE1214" s="100">
        <v>12</v>
      </c>
      <c r="KF1214" s="100">
        <v>5</v>
      </c>
      <c r="KH1214" s="100">
        <v>10</v>
      </c>
      <c r="KI1214" s="100">
        <v>5</v>
      </c>
      <c r="KJ1214" s="100">
        <v>5</v>
      </c>
      <c r="KN1214" s="100">
        <v>5</v>
      </c>
      <c r="KO1214" s="100">
        <v>3</v>
      </c>
      <c r="KP1214" s="100">
        <v>5</v>
      </c>
      <c r="KQ1214" s="100">
        <v>5</v>
      </c>
      <c r="KR1214" s="100">
        <v>5</v>
      </c>
      <c r="KU1214" s="100">
        <v>6</v>
      </c>
      <c r="ON1214" s="100">
        <f t="shared" si="365"/>
        <v>0</v>
      </c>
    </row>
    <row r="1215" spans="1:404" ht="23.25" customHeight="1">
      <c r="A1215" s="97" t="str">
        <f t="shared" si="378"/>
        <v>002/FLOWER POWER-VG-2166-77700-X2-A</v>
      </c>
      <c r="B1215" s="95">
        <v>44670</v>
      </c>
      <c r="C1215" s="97">
        <f t="shared" ca="1" si="381"/>
        <v>-394</v>
      </c>
      <c r="D1215" s="112" t="s">
        <v>1714</v>
      </c>
      <c r="E1215" s="279" t="s">
        <v>709</v>
      </c>
      <c r="F1215" s="98" t="str">
        <f t="shared" si="376"/>
        <v>A</v>
      </c>
      <c r="G1215" s="110">
        <f ca="1">SUMIF($A:E,$A1215,K:K)</f>
        <v>0</v>
      </c>
      <c r="H1215" s="112" t="s">
        <v>1725</v>
      </c>
      <c r="I1215" s="175">
        <v>72</v>
      </c>
      <c r="J1215" s="115">
        <v>72</v>
      </c>
      <c r="K1215" s="143">
        <f t="shared" si="364"/>
        <v>0</v>
      </c>
      <c r="L1215" s="144">
        <f t="shared" si="377"/>
        <v>72</v>
      </c>
      <c r="M1215" s="275">
        <f t="shared" si="375"/>
        <v>144</v>
      </c>
      <c r="N1215" s="98"/>
      <c r="O1215" s="93">
        <f>K1215/J1215*100</f>
        <v>0</v>
      </c>
      <c r="ON1215" s="100">
        <f t="shared" si="365"/>
        <v>0</v>
      </c>
    </row>
    <row r="1216" spans="1:404" ht="23.25" customHeight="1">
      <c r="A1216" s="97" t="str">
        <f t="shared" si="378"/>
        <v>001/MOJAY-2166-77700-S6-B</v>
      </c>
      <c r="B1216" s="95">
        <v>44311</v>
      </c>
      <c r="C1216" s="97">
        <f t="shared" ca="1" si="381"/>
        <v>-753</v>
      </c>
      <c r="D1216" s="145" t="s">
        <v>742</v>
      </c>
      <c r="E1216" s="253" t="s">
        <v>747</v>
      </c>
      <c r="F1216" s="98" t="str">
        <f t="shared" si="376"/>
        <v>B</v>
      </c>
      <c r="G1216" s="110">
        <f ca="1">SUMIF($A:E,$A1216,K:K)</f>
        <v>20</v>
      </c>
      <c r="H1216" s="97" t="s">
        <v>508</v>
      </c>
      <c r="I1216" s="196">
        <v>20</v>
      </c>
      <c r="J1216" s="146">
        <v>20</v>
      </c>
      <c r="K1216" s="143">
        <f t="shared" si="364"/>
        <v>20</v>
      </c>
      <c r="L1216" s="144">
        <f t="shared" si="377"/>
        <v>0</v>
      </c>
      <c r="M1216" s="275">
        <f t="shared" si="375"/>
        <v>120</v>
      </c>
      <c r="N1216" s="98">
        <v>1</v>
      </c>
      <c r="O1216" s="93">
        <f t="shared" si="380"/>
        <v>100</v>
      </c>
      <c r="CZ1216" s="101">
        <v>6</v>
      </c>
      <c r="DA1216" s="101">
        <v>7</v>
      </c>
      <c r="DB1216" s="101">
        <v>5</v>
      </c>
      <c r="DD1216" s="101">
        <v>2</v>
      </c>
      <c r="ON1216" s="100">
        <f t="shared" si="365"/>
        <v>0</v>
      </c>
    </row>
    <row r="1217" spans="1:404" ht="23.25" customHeight="1">
      <c r="A1217" s="97" t="str">
        <f t="shared" si="378"/>
        <v>002/MOJAY-2166-77700-S6-B</v>
      </c>
      <c r="B1217" s="95">
        <v>44340</v>
      </c>
      <c r="C1217" s="97">
        <f t="shared" ca="1" si="381"/>
        <v>-724</v>
      </c>
      <c r="D1217" s="145" t="s">
        <v>735</v>
      </c>
      <c r="E1217" s="253" t="s">
        <v>747</v>
      </c>
      <c r="F1217" s="98" t="str">
        <f t="shared" ref="F1217:F1240" si="382">MID(E1217,13,2)</f>
        <v>B</v>
      </c>
      <c r="G1217" s="110">
        <f ca="1">SUMIF($A:E,$A1217,K:K)</f>
        <v>20</v>
      </c>
      <c r="H1217" s="97" t="s">
        <v>508</v>
      </c>
      <c r="I1217" s="196">
        <v>20</v>
      </c>
      <c r="J1217" s="146">
        <v>20</v>
      </c>
      <c r="K1217" s="143">
        <f t="shared" si="364"/>
        <v>20</v>
      </c>
      <c r="L1217" s="144">
        <f t="shared" si="377"/>
        <v>0</v>
      </c>
      <c r="M1217" s="275">
        <f t="shared" si="375"/>
        <v>120</v>
      </c>
      <c r="N1217" s="98">
        <v>1</v>
      </c>
      <c r="O1217" s="93">
        <f t="shared" si="380"/>
        <v>100</v>
      </c>
      <c r="DN1217" s="101">
        <v>4</v>
      </c>
      <c r="DO1217" s="101">
        <v>4</v>
      </c>
      <c r="DR1217" s="101">
        <v>4</v>
      </c>
      <c r="DS1217" s="100">
        <v>8</v>
      </c>
      <c r="ON1217" s="100">
        <f t="shared" si="365"/>
        <v>0</v>
      </c>
    </row>
    <row r="1218" spans="1:404" ht="23.25" customHeight="1">
      <c r="A1218" s="97" t="str">
        <f t="shared" si="378"/>
        <v>003/MOJAY-2166-77700-S6-B</v>
      </c>
      <c r="B1218" s="95">
        <v>44347</v>
      </c>
      <c r="C1218" s="97">
        <f t="shared" ca="1" si="381"/>
        <v>-717</v>
      </c>
      <c r="D1218" s="145" t="s">
        <v>748</v>
      </c>
      <c r="E1218" s="253" t="s">
        <v>747</v>
      </c>
      <c r="F1218" s="98" t="str">
        <f t="shared" si="382"/>
        <v>B</v>
      </c>
      <c r="G1218" s="110">
        <f ca="1">SUMIF($A:E,$A1218,K:K)</f>
        <v>20</v>
      </c>
      <c r="H1218" s="97" t="s">
        <v>508</v>
      </c>
      <c r="I1218" s="196">
        <v>20</v>
      </c>
      <c r="J1218" s="146">
        <v>20</v>
      </c>
      <c r="K1218" s="143">
        <f t="shared" si="364"/>
        <v>20</v>
      </c>
      <c r="L1218" s="144">
        <f t="shared" si="377"/>
        <v>0</v>
      </c>
      <c r="M1218" s="275">
        <f t="shared" si="375"/>
        <v>120</v>
      </c>
      <c r="N1218" s="98">
        <v>1</v>
      </c>
      <c r="O1218" s="93">
        <f t="shared" si="380"/>
        <v>100</v>
      </c>
      <c r="DT1218" s="100">
        <v>2</v>
      </c>
      <c r="DU1218" s="100">
        <v>2</v>
      </c>
      <c r="DV1218" s="100">
        <v>4</v>
      </c>
      <c r="DW1218" s="100">
        <v>4</v>
      </c>
      <c r="DZ1218" s="100">
        <v>7</v>
      </c>
      <c r="EI1218" s="100">
        <v>1</v>
      </c>
      <c r="ON1218" s="100">
        <f t="shared" si="365"/>
        <v>0</v>
      </c>
    </row>
    <row r="1219" spans="1:404" ht="23.25" customHeight="1">
      <c r="A1219" s="97" t="str">
        <f t="shared" si="378"/>
        <v>001/NEVE YARAK-VG-2166-77700-L3-B</v>
      </c>
      <c r="B1219" s="218">
        <v>44661</v>
      </c>
      <c r="C1219" s="97">
        <f t="shared" ca="1" si="381"/>
        <v>-403</v>
      </c>
      <c r="D1219" s="112" t="s">
        <v>1705</v>
      </c>
      <c r="E1219" s="123" t="s">
        <v>594</v>
      </c>
      <c r="F1219" s="98" t="str">
        <f t="shared" si="382"/>
        <v>B</v>
      </c>
      <c r="G1219" s="110">
        <f ca="1">SUMIF($A:E,$A1219,K:K)</f>
        <v>0</v>
      </c>
      <c r="H1219" s="97" t="s">
        <v>927</v>
      </c>
      <c r="I1219" s="175">
        <v>56</v>
      </c>
      <c r="J1219" s="115">
        <v>56</v>
      </c>
      <c r="K1219" s="143">
        <f t="shared" si="364"/>
        <v>0</v>
      </c>
      <c r="L1219" s="144">
        <f t="shared" si="377"/>
        <v>56</v>
      </c>
      <c r="M1219" s="275">
        <f t="shared" si="375"/>
        <v>168</v>
      </c>
      <c r="N1219" s="98"/>
      <c r="O1219" s="93">
        <f t="shared" si="380"/>
        <v>0</v>
      </c>
      <c r="ON1219" s="100">
        <f t="shared" si="365"/>
        <v>0</v>
      </c>
    </row>
    <row r="1220" spans="1:404" ht="23.25" customHeight="1">
      <c r="A1220" s="97" t="str">
        <f t="shared" si="378"/>
        <v>001A/MOJAY-2166-77700-B5-B</v>
      </c>
      <c r="B1220" s="95">
        <v>44315</v>
      </c>
      <c r="C1220" s="97">
        <f t="shared" ca="1" si="381"/>
        <v>-749</v>
      </c>
      <c r="D1220" s="96" t="s">
        <v>888</v>
      </c>
      <c r="E1220" s="94" t="s">
        <v>889</v>
      </c>
      <c r="F1220" s="98" t="str">
        <f t="shared" si="382"/>
        <v>B</v>
      </c>
      <c r="G1220" s="110">
        <f ca="1">SUMIF($A:E,$A1220,K:K)</f>
        <v>40</v>
      </c>
      <c r="H1220" s="97" t="s">
        <v>616</v>
      </c>
      <c r="I1220" s="98">
        <v>40</v>
      </c>
      <c r="J1220" s="99">
        <v>40</v>
      </c>
      <c r="K1220" s="143">
        <f t="shared" ref="K1220:K1283" si="383">SUM(P1220:BBC1220)</f>
        <v>40</v>
      </c>
      <c r="L1220" s="144">
        <f t="shared" si="377"/>
        <v>0</v>
      </c>
      <c r="M1220" s="275">
        <f t="shared" si="375"/>
        <v>200</v>
      </c>
      <c r="N1220" s="98">
        <v>1</v>
      </c>
      <c r="O1220" s="93">
        <f t="shared" si="380"/>
        <v>100</v>
      </c>
      <c r="DB1220" s="101">
        <v>4</v>
      </c>
      <c r="DE1220" s="101">
        <v>8</v>
      </c>
      <c r="DF1220" s="101">
        <v>17</v>
      </c>
      <c r="DG1220" s="101">
        <v>7</v>
      </c>
      <c r="DK1220" s="101">
        <v>4</v>
      </c>
      <c r="ON1220" s="100">
        <f t="shared" ref="ON1220:ON1283" si="384">SUM(NS1220:OM1220)</f>
        <v>0</v>
      </c>
    </row>
    <row r="1221" spans="1:404" ht="23.25" customHeight="1">
      <c r="A1221" s="97" t="str">
        <f t="shared" si="378"/>
        <v>002A/MOJAY-2166-77700-B5-B</v>
      </c>
      <c r="B1221" s="95">
        <v>44403</v>
      </c>
      <c r="C1221" s="97">
        <f t="shared" ca="1" si="381"/>
        <v>-661</v>
      </c>
      <c r="D1221" s="96" t="s">
        <v>890</v>
      </c>
      <c r="E1221" s="94" t="s">
        <v>889</v>
      </c>
      <c r="F1221" s="98" t="str">
        <f t="shared" si="382"/>
        <v>B</v>
      </c>
      <c r="G1221" s="110">
        <f ca="1">SUMIF($A:E,$A1221,K:K)</f>
        <v>40</v>
      </c>
      <c r="H1221" s="97" t="s">
        <v>616</v>
      </c>
      <c r="I1221" s="98">
        <v>40</v>
      </c>
      <c r="J1221" s="99">
        <v>40</v>
      </c>
      <c r="K1221" s="143">
        <f t="shared" si="383"/>
        <v>40</v>
      </c>
      <c r="L1221" s="144">
        <f t="shared" si="377"/>
        <v>0</v>
      </c>
      <c r="M1221" s="275">
        <f t="shared" si="375"/>
        <v>200</v>
      </c>
      <c r="N1221" s="98">
        <v>1</v>
      </c>
      <c r="O1221" s="93">
        <f t="shared" si="380"/>
        <v>100</v>
      </c>
      <c r="DL1221" s="101">
        <v>2</v>
      </c>
      <c r="DM1221" s="101">
        <v>9</v>
      </c>
      <c r="DN1221" s="101">
        <v>3</v>
      </c>
      <c r="DO1221" s="101">
        <v>4</v>
      </c>
      <c r="DR1221" s="101">
        <v>3</v>
      </c>
      <c r="DS1221" s="100">
        <v>7</v>
      </c>
      <c r="DT1221" s="100">
        <v>1</v>
      </c>
      <c r="DU1221" s="100">
        <v>1</v>
      </c>
      <c r="DV1221" s="100">
        <v>1</v>
      </c>
      <c r="DW1221" s="100">
        <v>5</v>
      </c>
      <c r="DY1221" s="100">
        <v>4</v>
      </c>
      <c r="ON1221" s="100">
        <f t="shared" si="384"/>
        <v>0</v>
      </c>
    </row>
    <row r="1222" spans="1:404" ht="23.25" customHeight="1">
      <c r="A1222" s="97" t="str">
        <f t="shared" si="378"/>
        <v>003A/MOJAY-2166-77700-B5-B</v>
      </c>
      <c r="B1222" s="95">
        <v>44372</v>
      </c>
      <c r="C1222" s="97">
        <f t="shared" ca="1" si="381"/>
        <v>-692</v>
      </c>
      <c r="D1222" s="96" t="s">
        <v>891</v>
      </c>
      <c r="E1222" s="94" t="s">
        <v>889</v>
      </c>
      <c r="F1222" s="98" t="str">
        <f t="shared" si="382"/>
        <v>B</v>
      </c>
      <c r="G1222" s="110">
        <f ca="1">SUMIF($A:E,$A1222,K:K)</f>
        <v>40</v>
      </c>
      <c r="H1222" s="97" t="s">
        <v>616</v>
      </c>
      <c r="I1222" s="98">
        <v>40</v>
      </c>
      <c r="J1222" s="99">
        <v>40</v>
      </c>
      <c r="K1222" s="143">
        <f t="shared" si="383"/>
        <v>40</v>
      </c>
      <c r="L1222" s="144">
        <f t="shared" si="377"/>
        <v>0</v>
      </c>
      <c r="M1222" s="275">
        <f t="shared" si="375"/>
        <v>200</v>
      </c>
      <c r="N1222" s="98">
        <v>1</v>
      </c>
      <c r="O1222" s="93">
        <f t="shared" si="380"/>
        <v>100</v>
      </c>
      <c r="DY1222" s="100">
        <v>2</v>
      </c>
      <c r="DZ1222" s="100">
        <v>1</v>
      </c>
      <c r="EA1222" s="100">
        <v>4</v>
      </c>
      <c r="ED1222" s="100">
        <v>8</v>
      </c>
      <c r="EF1222" s="100">
        <v>4</v>
      </c>
      <c r="EG1222" s="100">
        <v>4</v>
      </c>
      <c r="EH1222" s="100">
        <v>6</v>
      </c>
      <c r="EI1222" s="100">
        <v>3</v>
      </c>
      <c r="EJ1222" s="100">
        <v>4</v>
      </c>
      <c r="EK1222" s="100">
        <v>1</v>
      </c>
      <c r="EM1222" s="100">
        <v>3</v>
      </c>
      <c r="ON1222" s="100">
        <f t="shared" si="384"/>
        <v>0</v>
      </c>
    </row>
    <row r="1223" spans="1:404" ht="23.25" customHeight="1">
      <c r="A1223" s="97" t="str">
        <f t="shared" si="378"/>
        <v>188/KHBS-21(002A/MOJAY-21)66-77700-B2-B</v>
      </c>
      <c r="B1223" s="95">
        <v>44342</v>
      </c>
      <c r="C1223" s="97">
        <f t="shared" ca="1" si="381"/>
        <v>-722</v>
      </c>
      <c r="D1223" s="112" t="s">
        <v>1009</v>
      </c>
      <c r="E1223" s="123" t="s">
        <v>1010</v>
      </c>
      <c r="F1223" s="98" t="str">
        <f t="shared" si="382"/>
        <v>B</v>
      </c>
      <c r="G1223" s="110">
        <f ca="1">SUMIF($A:E,$A1223,K:K)</f>
        <v>1</v>
      </c>
      <c r="H1223" s="97" t="s">
        <v>933</v>
      </c>
      <c r="I1223" s="98">
        <v>1</v>
      </c>
      <c r="J1223" s="99">
        <v>1</v>
      </c>
      <c r="K1223" s="143">
        <f t="shared" si="383"/>
        <v>1</v>
      </c>
      <c r="L1223" s="144">
        <f t="shared" si="377"/>
        <v>0</v>
      </c>
      <c r="M1223" s="275">
        <f t="shared" si="375"/>
        <v>2</v>
      </c>
      <c r="N1223" s="98">
        <v>1</v>
      </c>
      <c r="O1223" s="93">
        <f t="shared" si="380"/>
        <v>100</v>
      </c>
      <c r="EH1223" s="100">
        <v>1</v>
      </c>
      <c r="ON1223" s="100">
        <f t="shared" si="384"/>
        <v>0</v>
      </c>
    </row>
    <row r="1224" spans="1:404" ht="23.25" customHeight="1">
      <c r="A1224" s="97" t="str">
        <f t="shared" si="378"/>
        <v>003/ANNA-VG-21(đ4)66-77700-05-A</v>
      </c>
      <c r="B1224" s="95">
        <v>44579</v>
      </c>
      <c r="C1224" s="97">
        <f t="shared" ca="1" si="381"/>
        <v>-485</v>
      </c>
      <c r="D1224" s="112" t="s">
        <v>1652</v>
      </c>
      <c r="E1224" s="279" t="s">
        <v>1106</v>
      </c>
      <c r="F1224" s="98" t="str">
        <f t="shared" si="382"/>
        <v>A</v>
      </c>
      <c r="G1224" s="110">
        <f ca="1">SUMIF($A:E,$A1224,K:K)</f>
        <v>160</v>
      </c>
      <c r="H1224" s="112" t="s">
        <v>990</v>
      </c>
      <c r="I1224" s="175">
        <v>160</v>
      </c>
      <c r="J1224" s="115">
        <v>160</v>
      </c>
      <c r="K1224" s="143">
        <f t="shared" si="383"/>
        <v>160</v>
      </c>
      <c r="L1224" s="144">
        <f t="shared" si="377"/>
        <v>0</v>
      </c>
      <c r="M1224" s="275">
        <f t="shared" si="375"/>
        <v>160</v>
      </c>
      <c r="N1224" s="98" t="s">
        <v>1776</v>
      </c>
      <c r="O1224" s="93">
        <f t="shared" si="380"/>
        <v>100</v>
      </c>
      <c r="MB1224" s="100">
        <v>9</v>
      </c>
      <c r="MD1224" s="100">
        <v>8</v>
      </c>
      <c r="ME1224" s="100">
        <v>6</v>
      </c>
      <c r="MF1224" s="100">
        <v>10</v>
      </c>
      <c r="MH1224" s="100">
        <v>15</v>
      </c>
      <c r="MK1224" s="100">
        <v>10</v>
      </c>
      <c r="ML1224" s="100">
        <v>10</v>
      </c>
      <c r="MM1224" s="100">
        <v>10</v>
      </c>
      <c r="MN1224" s="100">
        <v>10</v>
      </c>
      <c r="MO1224" s="100">
        <v>5</v>
      </c>
      <c r="MP1224" s="100">
        <v>10</v>
      </c>
      <c r="MQ1224" s="100">
        <v>5</v>
      </c>
      <c r="MR1224" s="100">
        <v>5</v>
      </c>
      <c r="MS1224" s="100">
        <v>9</v>
      </c>
      <c r="MT1224" s="100">
        <v>5</v>
      </c>
      <c r="MU1224" s="100">
        <v>10</v>
      </c>
      <c r="MW1224" s="100">
        <v>5</v>
      </c>
      <c r="MX1224" s="100">
        <v>10</v>
      </c>
      <c r="MY1224" s="100">
        <v>8</v>
      </c>
      <c r="ON1224" s="100">
        <f t="shared" si="384"/>
        <v>0</v>
      </c>
    </row>
    <row r="1225" spans="1:404" ht="23.25" customHeight="1">
      <c r="A1225" s="97" t="str">
        <f t="shared" si="378"/>
        <v>187/KHBS-2166-77700-03-A</v>
      </c>
      <c r="B1225" s="95">
        <v>44343</v>
      </c>
      <c r="C1225" s="97">
        <f t="shared" ca="1" si="381"/>
        <v>-721</v>
      </c>
      <c r="D1225" s="96" t="s">
        <v>996</v>
      </c>
      <c r="E1225" s="94" t="s">
        <v>834</v>
      </c>
      <c r="F1225" s="98" t="str">
        <f t="shared" si="382"/>
        <v>A</v>
      </c>
      <c r="G1225" s="110">
        <f ca="1">SUMIF($A:E,$A1225,K:K)</f>
        <v>1</v>
      </c>
      <c r="H1225" s="97" t="s">
        <v>933</v>
      </c>
      <c r="I1225" s="98">
        <v>1</v>
      </c>
      <c r="J1225" s="99">
        <v>1</v>
      </c>
      <c r="K1225" s="143">
        <f t="shared" si="383"/>
        <v>1</v>
      </c>
      <c r="L1225" s="144">
        <f t="shared" si="377"/>
        <v>0</v>
      </c>
      <c r="M1225" s="275">
        <f t="shared" si="375"/>
        <v>1</v>
      </c>
      <c r="N1225" s="98">
        <v>1</v>
      </c>
      <c r="O1225" s="93">
        <f t="shared" si="380"/>
        <v>100</v>
      </c>
      <c r="ED1225" s="100">
        <v>1</v>
      </c>
      <c r="ON1225" s="100">
        <f t="shared" si="384"/>
        <v>0</v>
      </c>
    </row>
    <row r="1226" spans="1:404" ht="23.25" customHeight="1">
      <c r="A1226" s="97" t="str">
        <f>D1226&amp;E1227</f>
        <v>414/POTTERYPOT-2166-77700-02-A</v>
      </c>
      <c r="B1226" s="95">
        <v>44573</v>
      </c>
      <c r="C1226" s="97">
        <f t="shared" ca="1" si="381"/>
        <v>-491</v>
      </c>
      <c r="D1226" s="96" t="s">
        <v>1195</v>
      </c>
      <c r="E1226" s="280" t="s">
        <v>1199</v>
      </c>
      <c r="F1226" s="98" t="str">
        <f t="shared" si="382"/>
        <v>A</v>
      </c>
      <c r="G1226" s="110">
        <f ca="1">SUMIF($A:E,$A1226,K:K)</f>
        <v>48</v>
      </c>
      <c r="H1226" s="97" t="s">
        <v>964</v>
      </c>
      <c r="I1226" s="98">
        <v>48</v>
      </c>
      <c r="J1226" s="97">
        <v>48</v>
      </c>
      <c r="K1226" s="143">
        <f t="shared" si="383"/>
        <v>48</v>
      </c>
      <c r="L1226" s="144">
        <f t="shared" si="377"/>
        <v>0</v>
      </c>
      <c r="M1226" s="275">
        <f t="shared" si="375"/>
        <v>48</v>
      </c>
      <c r="N1226" s="98" t="s">
        <v>1776</v>
      </c>
      <c r="O1226" s="93">
        <f t="shared" si="380"/>
        <v>100</v>
      </c>
      <c r="MF1226" s="100">
        <v>15</v>
      </c>
      <c r="MG1226" s="100">
        <v>20</v>
      </c>
      <c r="MH1226" s="100">
        <v>13</v>
      </c>
      <c r="ON1226" s="100">
        <f t="shared" si="384"/>
        <v>0</v>
      </c>
    </row>
    <row r="1227" spans="1:404" ht="23.25" customHeight="1">
      <c r="A1227" s="97" t="str">
        <f t="shared" ref="A1227:A1245" si="385">D1227&amp;E1227</f>
        <v>382/POTTERYPOT-2166-77700-02-A</v>
      </c>
      <c r="B1227" s="95">
        <v>44746</v>
      </c>
      <c r="C1227" s="97">
        <f t="shared" ca="1" si="381"/>
        <v>-318</v>
      </c>
      <c r="D1227" s="96" t="s">
        <v>1276</v>
      </c>
      <c r="E1227" s="280" t="s">
        <v>1199</v>
      </c>
      <c r="F1227" s="98" t="str">
        <f t="shared" si="382"/>
        <v>A</v>
      </c>
      <c r="G1227" s="110">
        <f ca="1">SUMIF($A:E,$A1227,K:K)</f>
        <v>32</v>
      </c>
      <c r="H1227" s="97" t="s">
        <v>964</v>
      </c>
      <c r="I1227" s="98">
        <v>16</v>
      </c>
      <c r="J1227" s="97">
        <v>16</v>
      </c>
      <c r="K1227" s="143">
        <f t="shared" si="383"/>
        <v>32</v>
      </c>
      <c r="L1227" s="144">
        <f t="shared" si="377"/>
        <v>-16</v>
      </c>
      <c r="M1227" s="275">
        <f t="shared" si="375"/>
        <v>16</v>
      </c>
      <c r="N1227" s="98" t="s">
        <v>1776</v>
      </c>
      <c r="O1227" s="93">
        <f t="shared" si="380"/>
        <v>200</v>
      </c>
      <c r="OH1227" s="100">
        <v>5</v>
      </c>
      <c r="OI1227" s="100">
        <v>4</v>
      </c>
      <c r="OK1227" s="100">
        <v>7</v>
      </c>
      <c r="ON1227" s="100">
        <f t="shared" si="384"/>
        <v>16</v>
      </c>
    </row>
    <row r="1228" spans="1:404" ht="23.25" customHeight="1">
      <c r="A1228" s="97" t="str">
        <f t="shared" si="385"/>
        <v>320/POTTERYPOT-2166-77700-02-A</v>
      </c>
      <c r="B1228" s="95">
        <v>44649</v>
      </c>
      <c r="C1228" s="97">
        <f t="shared" ca="1" si="381"/>
        <v>-415</v>
      </c>
      <c r="D1228" s="112" t="s">
        <v>1336</v>
      </c>
      <c r="E1228" s="279" t="s">
        <v>1199</v>
      </c>
      <c r="F1228" s="98" t="str">
        <f t="shared" si="382"/>
        <v>A</v>
      </c>
      <c r="G1228" s="110">
        <f ca="1">SUMIF($A:E,$A1228,K:K)</f>
        <v>51</v>
      </c>
      <c r="H1228" s="97" t="s">
        <v>1360</v>
      </c>
      <c r="I1228" s="175">
        <v>38</v>
      </c>
      <c r="J1228" s="115">
        <v>38</v>
      </c>
      <c r="K1228" s="143">
        <f t="shared" si="383"/>
        <v>51</v>
      </c>
      <c r="L1228" s="144">
        <f t="shared" si="377"/>
        <v>-13</v>
      </c>
      <c r="M1228" s="275">
        <f t="shared" si="375"/>
        <v>38</v>
      </c>
      <c r="N1228" s="98" t="s">
        <v>1776</v>
      </c>
      <c r="O1228" s="93">
        <f t="shared" si="380"/>
        <v>134.21052631578948</v>
      </c>
      <c r="NG1228" s="100">
        <v>2</v>
      </c>
      <c r="NI1228" s="100">
        <v>4</v>
      </c>
      <c r="NK1228" s="100">
        <v>8</v>
      </c>
      <c r="NL1228" s="100">
        <v>4</v>
      </c>
      <c r="NM1228" s="100">
        <v>4</v>
      </c>
      <c r="NN1228" s="100">
        <v>3</v>
      </c>
      <c r="NS1228" s="100">
        <v>3</v>
      </c>
      <c r="NU1228" s="100">
        <v>8</v>
      </c>
      <c r="NV1228" s="100">
        <v>2</v>
      </c>
      <c r="ON1228" s="100">
        <f t="shared" si="384"/>
        <v>13</v>
      </c>
    </row>
    <row r="1229" spans="1:404" ht="23.25" customHeight="1">
      <c r="A1229" s="97" t="str">
        <f t="shared" si="385"/>
        <v>321/POTTERYPOT-2166-77700-02-A</v>
      </c>
      <c r="B1229" s="95">
        <v>44669</v>
      </c>
      <c r="C1229" s="97">
        <f t="shared" ca="1" si="381"/>
        <v>-395</v>
      </c>
      <c r="D1229" s="112" t="s">
        <v>1337</v>
      </c>
      <c r="E1229" s="279" t="s">
        <v>1199</v>
      </c>
      <c r="F1229" s="98" t="str">
        <f t="shared" si="382"/>
        <v>A</v>
      </c>
      <c r="G1229" s="110">
        <f ca="1">SUMIF($A:E,$A1229,K:K)</f>
        <v>72</v>
      </c>
      <c r="H1229" s="97" t="s">
        <v>1360</v>
      </c>
      <c r="I1229" s="175">
        <v>36</v>
      </c>
      <c r="J1229" s="115">
        <v>36</v>
      </c>
      <c r="K1229" s="143">
        <f t="shared" si="383"/>
        <v>72</v>
      </c>
      <c r="L1229" s="144">
        <f t="shared" si="377"/>
        <v>-36</v>
      </c>
      <c r="M1229" s="275">
        <f t="shared" si="375"/>
        <v>36</v>
      </c>
      <c r="N1229" s="98" t="s">
        <v>1776</v>
      </c>
      <c r="O1229" s="93">
        <f t="shared" si="380"/>
        <v>200</v>
      </c>
      <c r="NV1229" s="100">
        <v>8</v>
      </c>
      <c r="NY1229" s="100">
        <v>7</v>
      </c>
      <c r="NZ1229" s="100">
        <v>8</v>
      </c>
      <c r="OA1229" s="100">
        <v>9</v>
      </c>
      <c r="OB1229" s="100">
        <v>4</v>
      </c>
      <c r="ON1229" s="100">
        <f t="shared" si="384"/>
        <v>36</v>
      </c>
    </row>
    <row r="1230" spans="1:404" ht="23.25" customHeight="1">
      <c r="A1230" s="97" t="str">
        <f t="shared" si="385"/>
        <v>322/POTTERYPOT-2166-77700-02-A</v>
      </c>
      <c r="B1230" s="114">
        <v>44684</v>
      </c>
      <c r="C1230" s="138">
        <f t="shared" ca="1" si="381"/>
        <v>-380</v>
      </c>
      <c r="D1230" s="234" t="s">
        <v>1338</v>
      </c>
      <c r="E1230" s="284" t="s">
        <v>1199</v>
      </c>
      <c r="F1230" s="133" t="str">
        <f t="shared" si="382"/>
        <v>A</v>
      </c>
      <c r="G1230" s="140">
        <f ca="1">SUMIF($A:E,$A1230,K:K)</f>
        <v>0</v>
      </c>
      <c r="H1230" s="138" t="s">
        <v>1360</v>
      </c>
      <c r="I1230" s="236">
        <v>26</v>
      </c>
      <c r="J1230" s="240">
        <v>26</v>
      </c>
      <c r="K1230" s="166">
        <f t="shared" si="383"/>
        <v>0</v>
      </c>
      <c r="L1230" s="150">
        <f t="shared" si="377"/>
        <v>26</v>
      </c>
      <c r="M1230" s="275">
        <f t="shared" si="375"/>
        <v>26</v>
      </c>
      <c r="N1230" s="133" t="s">
        <v>1776</v>
      </c>
      <c r="O1230" s="93">
        <f t="shared" si="380"/>
        <v>0</v>
      </c>
      <c r="ON1230" s="100">
        <f t="shared" si="384"/>
        <v>0</v>
      </c>
    </row>
    <row r="1231" spans="1:404" ht="23.25" customHeight="1">
      <c r="A1231" s="97" t="str">
        <f t="shared" si="385"/>
        <v>323/POTTERYPOT-2166-77700-02-A</v>
      </c>
      <c r="B1231" s="95">
        <v>44702</v>
      </c>
      <c r="C1231" s="97">
        <f t="shared" ca="1" si="381"/>
        <v>-362</v>
      </c>
      <c r="D1231" s="112" t="s">
        <v>1339</v>
      </c>
      <c r="E1231" s="279" t="s">
        <v>1199</v>
      </c>
      <c r="F1231" s="98" t="str">
        <f t="shared" si="382"/>
        <v>A</v>
      </c>
      <c r="G1231" s="110">
        <f ca="1">SUMIF($A:E,$A1231,K:K)</f>
        <v>0</v>
      </c>
      <c r="H1231" s="97" t="s">
        <v>1360</v>
      </c>
      <c r="I1231" s="175">
        <v>26</v>
      </c>
      <c r="J1231" s="115">
        <v>26</v>
      </c>
      <c r="K1231" s="143">
        <f t="shared" si="383"/>
        <v>0</v>
      </c>
      <c r="L1231" s="144">
        <f t="shared" si="377"/>
        <v>26</v>
      </c>
      <c r="M1231" s="275">
        <f t="shared" si="375"/>
        <v>26</v>
      </c>
      <c r="N1231" s="98"/>
      <c r="O1231" s="93">
        <f t="shared" si="380"/>
        <v>0</v>
      </c>
      <c r="ON1231" s="100">
        <f t="shared" si="384"/>
        <v>0</v>
      </c>
    </row>
    <row r="1232" spans="1:404" ht="23.25" customHeight="1">
      <c r="A1232" s="97" t="str">
        <f t="shared" si="385"/>
        <v>324/POTTERYPOT-2166-77700-02-A</v>
      </c>
      <c r="B1232" s="95">
        <v>44731</v>
      </c>
      <c r="C1232" s="97">
        <f t="shared" ca="1" si="381"/>
        <v>-333</v>
      </c>
      <c r="D1232" s="112" t="s">
        <v>1340</v>
      </c>
      <c r="E1232" s="279" t="s">
        <v>1199</v>
      </c>
      <c r="F1232" s="98" t="str">
        <f t="shared" si="382"/>
        <v>A</v>
      </c>
      <c r="G1232" s="110">
        <f ca="1">SUMIF($A:E,$A1232,K:K)</f>
        <v>0</v>
      </c>
      <c r="H1232" s="97" t="s">
        <v>927</v>
      </c>
      <c r="I1232" s="175">
        <v>220</v>
      </c>
      <c r="J1232" s="115">
        <v>220</v>
      </c>
      <c r="K1232" s="143">
        <f t="shared" si="383"/>
        <v>0</v>
      </c>
      <c r="L1232" s="144">
        <f t="shared" si="377"/>
        <v>220</v>
      </c>
      <c r="M1232" s="275">
        <f t="shared" si="375"/>
        <v>220</v>
      </c>
      <c r="N1232" s="98"/>
      <c r="O1232" s="93">
        <f t="shared" si="380"/>
        <v>0</v>
      </c>
      <c r="ON1232" s="100">
        <f t="shared" si="384"/>
        <v>0</v>
      </c>
    </row>
    <row r="1233" spans="1:404" ht="23.25" customHeight="1">
      <c r="A1233" s="97" t="str">
        <f t="shared" si="385"/>
        <v>325/POTTERYPOT-2166-77700-02-A</v>
      </c>
      <c r="B1233" s="95">
        <v>44761</v>
      </c>
      <c r="C1233" s="97">
        <f t="shared" ca="1" si="381"/>
        <v>-303</v>
      </c>
      <c r="D1233" s="112" t="s">
        <v>1341</v>
      </c>
      <c r="E1233" s="279" t="s">
        <v>1199</v>
      </c>
      <c r="F1233" s="98" t="str">
        <f t="shared" si="382"/>
        <v>A</v>
      </c>
      <c r="G1233" s="110">
        <f ca="1">SUMIF($A:E,$A1233,K:K)</f>
        <v>0</v>
      </c>
      <c r="H1233" s="97" t="s">
        <v>927</v>
      </c>
      <c r="I1233" s="175">
        <v>220</v>
      </c>
      <c r="J1233" s="115">
        <v>220</v>
      </c>
      <c r="K1233" s="143">
        <f t="shared" si="383"/>
        <v>0</v>
      </c>
      <c r="L1233" s="144">
        <f t="shared" si="377"/>
        <v>220</v>
      </c>
      <c r="M1233" s="275">
        <f t="shared" si="375"/>
        <v>220</v>
      </c>
      <c r="N1233" s="98"/>
      <c r="O1233" s="93">
        <f t="shared" si="380"/>
        <v>0</v>
      </c>
      <c r="ON1233" s="100">
        <f t="shared" si="384"/>
        <v>0</v>
      </c>
    </row>
    <row r="1234" spans="1:404" ht="23.25" customHeight="1">
      <c r="A1234" s="97" t="str">
        <f t="shared" si="385"/>
        <v>326/POTTERYPOT-2166-77700-02-A</v>
      </c>
      <c r="B1234" s="95">
        <v>44791</v>
      </c>
      <c r="C1234" s="97">
        <f t="shared" ca="1" si="381"/>
        <v>-273</v>
      </c>
      <c r="D1234" s="112" t="s">
        <v>1342</v>
      </c>
      <c r="E1234" s="279" t="s">
        <v>1199</v>
      </c>
      <c r="F1234" s="98" t="str">
        <f t="shared" si="382"/>
        <v>A</v>
      </c>
      <c r="G1234" s="110">
        <f ca="1">SUMIF($A:E,$A1234,K:K)</f>
        <v>0</v>
      </c>
      <c r="H1234" s="97" t="s">
        <v>927</v>
      </c>
      <c r="I1234" s="175">
        <v>220</v>
      </c>
      <c r="J1234" s="115">
        <v>220</v>
      </c>
      <c r="K1234" s="143">
        <f t="shared" si="383"/>
        <v>0</v>
      </c>
      <c r="L1234" s="144">
        <f t="shared" si="377"/>
        <v>220</v>
      </c>
      <c r="M1234" s="275">
        <f t="shared" si="375"/>
        <v>220</v>
      </c>
      <c r="N1234" s="98"/>
      <c r="O1234" s="93">
        <f t="shared" si="380"/>
        <v>0</v>
      </c>
      <c r="ON1234" s="100">
        <f t="shared" si="384"/>
        <v>0</v>
      </c>
    </row>
    <row r="1235" spans="1:404" ht="23.25" customHeight="1">
      <c r="A1235" s="97" t="str">
        <f t="shared" si="385"/>
        <v>327/POTTERYPOT-2166-77700-02-A</v>
      </c>
      <c r="B1235" s="95">
        <v>44822</v>
      </c>
      <c r="C1235" s="97">
        <f t="shared" ca="1" si="381"/>
        <v>-242</v>
      </c>
      <c r="D1235" s="112" t="s">
        <v>1343</v>
      </c>
      <c r="E1235" s="279" t="s">
        <v>1199</v>
      </c>
      <c r="F1235" s="98" t="str">
        <f t="shared" si="382"/>
        <v>A</v>
      </c>
      <c r="G1235" s="110">
        <f ca="1">SUMIF($A:E,$A1235,K:K)</f>
        <v>0</v>
      </c>
      <c r="H1235" s="97" t="s">
        <v>927</v>
      </c>
      <c r="I1235" s="175">
        <v>220</v>
      </c>
      <c r="J1235" s="115">
        <v>220</v>
      </c>
      <c r="K1235" s="143">
        <f t="shared" si="383"/>
        <v>0</v>
      </c>
      <c r="L1235" s="144">
        <f t="shared" si="377"/>
        <v>220</v>
      </c>
      <c r="M1235" s="275">
        <f t="shared" si="375"/>
        <v>220</v>
      </c>
      <c r="N1235" s="98"/>
      <c r="O1235" s="93">
        <f t="shared" si="380"/>
        <v>0</v>
      </c>
      <c r="ON1235" s="100">
        <f t="shared" si="384"/>
        <v>0</v>
      </c>
    </row>
    <row r="1236" spans="1:404" ht="23.25" customHeight="1">
      <c r="A1236" s="97" t="str">
        <f t="shared" si="385"/>
        <v>328/POTTERYPOT-2166-77700-02-A</v>
      </c>
      <c r="B1236" s="95">
        <v>44850</v>
      </c>
      <c r="C1236" s="97">
        <f t="shared" ca="1" si="381"/>
        <v>-214</v>
      </c>
      <c r="D1236" s="112" t="s">
        <v>1344</v>
      </c>
      <c r="E1236" s="279" t="s">
        <v>1199</v>
      </c>
      <c r="F1236" s="98" t="str">
        <f t="shared" si="382"/>
        <v>A</v>
      </c>
      <c r="G1236" s="110">
        <f ca="1">SUMIF($A:E,$A1236,K:K)</f>
        <v>0</v>
      </c>
      <c r="H1236" s="97" t="s">
        <v>927</v>
      </c>
      <c r="I1236" s="175">
        <v>202</v>
      </c>
      <c r="J1236" s="115">
        <v>202</v>
      </c>
      <c r="K1236" s="143">
        <f t="shared" si="383"/>
        <v>0</v>
      </c>
      <c r="L1236" s="144">
        <f t="shared" si="377"/>
        <v>202</v>
      </c>
      <c r="M1236" s="275">
        <f t="shared" si="375"/>
        <v>202</v>
      </c>
      <c r="N1236" s="98"/>
      <c r="O1236" s="93">
        <f t="shared" si="380"/>
        <v>0</v>
      </c>
      <c r="ON1236" s="100">
        <f t="shared" si="384"/>
        <v>0</v>
      </c>
    </row>
    <row r="1237" spans="1:404" ht="23.25" customHeight="1">
      <c r="A1237" s="97" t="str">
        <f t="shared" si="385"/>
        <v>331/POTTERYPOT-2166-77700-02-A</v>
      </c>
      <c r="B1237" s="95">
        <v>44647</v>
      </c>
      <c r="C1237" s="97">
        <f t="shared" ca="1" si="381"/>
        <v>-417</v>
      </c>
      <c r="D1237" s="112" t="s">
        <v>1347</v>
      </c>
      <c r="E1237" s="279" t="s">
        <v>1199</v>
      </c>
      <c r="F1237" s="98" t="str">
        <f t="shared" si="382"/>
        <v>A</v>
      </c>
      <c r="G1237" s="110">
        <f ca="1">SUMIF($A:E,$A1237,K:K)</f>
        <v>72</v>
      </c>
      <c r="H1237" s="97" t="s">
        <v>927</v>
      </c>
      <c r="I1237" s="175">
        <v>60</v>
      </c>
      <c r="J1237" s="115">
        <v>60</v>
      </c>
      <c r="K1237" s="143">
        <f t="shared" si="383"/>
        <v>72</v>
      </c>
      <c r="L1237" s="144">
        <f t="shared" si="377"/>
        <v>-12</v>
      </c>
      <c r="M1237" s="275">
        <f t="shared" ref="M1237:M1290" si="386">IF(OR(MID(E1237,10,1)="0",MID(E1237,10,1)="F"),I1237,IF(OR(,MID(E1237,10,1)="S",MID(E1237,10,1)="L",MID(E1237,10,1)="B",MID(E1237,10,1)="X"),MID(E1237,11,1)*I1237,0))</f>
        <v>60</v>
      </c>
      <c r="N1237" s="98" t="s">
        <v>1776</v>
      </c>
      <c r="O1237" s="93">
        <f t="shared" si="380"/>
        <v>120</v>
      </c>
      <c r="OC1237" s="100">
        <v>4</v>
      </c>
      <c r="OD1237" s="100">
        <v>4</v>
      </c>
      <c r="OF1237" s="100">
        <v>4</v>
      </c>
      <c r="OG1237" s="100">
        <v>4</v>
      </c>
      <c r="OH1237" s="100">
        <v>4</v>
      </c>
      <c r="OI1237" s="100">
        <v>4</v>
      </c>
      <c r="OJ1237" s="100">
        <v>4</v>
      </c>
      <c r="OK1237" s="100">
        <v>4</v>
      </c>
      <c r="OM1237" s="100">
        <v>4</v>
      </c>
      <c r="ON1237" s="100">
        <f t="shared" si="384"/>
        <v>36</v>
      </c>
    </row>
    <row r="1238" spans="1:404" ht="23.25" customHeight="1">
      <c r="A1238" s="97" t="str">
        <f t="shared" si="385"/>
        <v>332/POTTERYPOT-2166-77700-02-A</v>
      </c>
      <c r="B1238" s="95">
        <v>44564</v>
      </c>
      <c r="C1238" s="97">
        <f t="shared" ca="1" si="381"/>
        <v>-500</v>
      </c>
      <c r="D1238" s="112" t="s">
        <v>1348</v>
      </c>
      <c r="E1238" s="279" t="s">
        <v>1199</v>
      </c>
      <c r="F1238" s="98" t="str">
        <f t="shared" si="382"/>
        <v>A</v>
      </c>
      <c r="G1238" s="110">
        <f ca="1">SUMIF($A:E,$A1238,K:K)</f>
        <v>96</v>
      </c>
      <c r="H1238" s="97" t="s">
        <v>1360</v>
      </c>
      <c r="I1238" s="175">
        <v>96</v>
      </c>
      <c r="J1238" s="115">
        <v>96</v>
      </c>
      <c r="K1238" s="143">
        <f t="shared" si="383"/>
        <v>96</v>
      </c>
      <c r="L1238" s="144">
        <f t="shared" si="377"/>
        <v>0</v>
      </c>
      <c r="M1238" s="275">
        <f t="shared" si="386"/>
        <v>96</v>
      </c>
      <c r="N1238" s="98" t="s">
        <v>1776</v>
      </c>
      <c r="O1238" s="93">
        <f t="shared" si="380"/>
        <v>100</v>
      </c>
      <c r="JM1238" s="100">
        <v>10</v>
      </c>
      <c r="JN1238" s="100">
        <v>5</v>
      </c>
      <c r="JO1238" s="100">
        <v>4</v>
      </c>
      <c r="JP1238" s="100">
        <v>6</v>
      </c>
      <c r="JQ1238" s="100">
        <v>4</v>
      </c>
      <c r="JT1238" s="100">
        <v>11</v>
      </c>
      <c r="JU1238" s="100">
        <v>5</v>
      </c>
      <c r="JV1238" s="100">
        <v>8</v>
      </c>
      <c r="JX1238" s="100">
        <v>6</v>
      </c>
      <c r="JY1238" s="100">
        <v>1</v>
      </c>
      <c r="KA1238" s="100">
        <v>5</v>
      </c>
      <c r="KB1238" s="100">
        <v>9</v>
      </c>
      <c r="KC1238" s="100">
        <v>5</v>
      </c>
      <c r="KE1238" s="100">
        <v>10</v>
      </c>
      <c r="KF1238" s="100">
        <v>6</v>
      </c>
      <c r="KH1238" s="100">
        <v>1</v>
      </c>
      <c r="ON1238" s="100">
        <f t="shared" si="384"/>
        <v>0</v>
      </c>
    </row>
    <row r="1239" spans="1:404" ht="23.25" customHeight="1">
      <c r="A1239" s="97" t="str">
        <f t="shared" si="385"/>
        <v>095/NY/PP-USA-2166-77700-02-A</v>
      </c>
      <c r="B1239" s="95">
        <v>44577</v>
      </c>
      <c r="C1239" s="97">
        <f t="shared" ca="1" si="381"/>
        <v>-487</v>
      </c>
      <c r="D1239" s="112" t="s">
        <v>1429</v>
      </c>
      <c r="E1239" s="279" t="s">
        <v>1199</v>
      </c>
      <c r="F1239" s="98" t="str">
        <f t="shared" si="382"/>
        <v>A</v>
      </c>
      <c r="G1239" s="110">
        <f ca="1">SUMIF($A:E,$A1239,K:K)</f>
        <v>118</v>
      </c>
      <c r="H1239" s="97" t="s">
        <v>616</v>
      </c>
      <c r="I1239" s="175">
        <v>118</v>
      </c>
      <c r="J1239" s="115">
        <v>118</v>
      </c>
      <c r="K1239" s="143">
        <f t="shared" si="383"/>
        <v>118</v>
      </c>
      <c r="L1239" s="144">
        <f t="shared" si="377"/>
        <v>0</v>
      </c>
      <c r="M1239" s="275">
        <f t="shared" si="386"/>
        <v>118</v>
      </c>
      <c r="N1239" s="98" t="s">
        <v>1776</v>
      </c>
      <c r="O1239" s="93">
        <f t="shared" si="380"/>
        <v>100</v>
      </c>
      <c r="KY1239" s="100">
        <v>4</v>
      </c>
      <c r="LB1239" s="100">
        <v>11</v>
      </c>
      <c r="LC1239" s="100">
        <v>5</v>
      </c>
      <c r="LD1239" s="100">
        <v>5</v>
      </c>
      <c r="LF1239" s="100">
        <v>10</v>
      </c>
      <c r="LI1239" s="100">
        <v>15</v>
      </c>
      <c r="LJ1239" s="100">
        <v>5</v>
      </c>
      <c r="LK1239" s="100">
        <v>10</v>
      </c>
      <c r="LL1239" s="100">
        <v>10</v>
      </c>
      <c r="LM1239" s="100">
        <v>10</v>
      </c>
      <c r="LN1239" s="100">
        <v>10</v>
      </c>
      <c r="LP1239" s="100">
        <v>10</v>
      </c>
      <c r="LQ1239" s="100">
        <v>5</v>
      </c>
      <c r="LR1239" s="100">
        <v>8</v>
      </c>
      <c r="ON1239" s="100">
        <f t="shared" si="384"/>
        <v>0</v>
      </c>
    </row>
    <row r="1240" spans="1:404" ht="23.25" customHeight="1">
      <c r="A1240" s="97" t="str">
        <f t="shared" si="385"/>
        <v>096/NY/PP-USA-2166-77700-02-A</v>
      </c>
      <c r="B1240" s="95">
        <v>44577</v>
      </c>
      <c r="C1240" s="97">
        <f t="shared" ca="1" si="381"/>
        <v>-487</v>
      </c>
      <c r="D1240" s="112" t="s">
        <v>1430</v>
      </c>
      <c r="E1240" s="279" t="s">
        <v>1199</v>
      </c>
      <c r="F1240" s="98" t="str">
        <f t="shared" si="382"/>
        <v>A</v>
      </c>
      <c r="G1240" s="110">
        <f ca="1">SUMIF($A:E,$A1240,K:K)</f>
        <v>118</v>
      </c>
      <c r="H1240" s="97" t="s">
        <v>616</v>
      </c>
      <c r="I1240" s="175">
        <v>118</v>
      </c>
      <c r="J1240" s="115">
        <v>118</v>
      </c>
      <c r="K1240" s="143">
        <f t="shared" si="383"/>
        <v>118</v>
      </c>
      <c r="L1240" s="144">
        <f t="shared" si="377"/>
        <v>0</v>
      </c>
      <c r="M1240" s="275">
        <f t="shared" si="386"/>
        <v>118</v>
      </c>
      <c r="N1240" s="98" t="s">
        <v>1776</v>
      </c>
      <c r="O1240" s="93">
        <f t="shared" si="380"/>
        <v>100</v>
      </c>
      <c r="LR1240" s="100">
        <v>2</v>
      </c>
      <c r="LS1240" s="100">
        <v>10</v>
      </c>
      <c r="LT1240" s="100">
        <v>10</v>
      </c>
      <c r="LU1240" s="100">
        <v>10</v>
      </c>
      <c r="LW1240" s="100">
        <v>10</v>
      </c>
      <c r="LX1240" s="100">
        <v>5</v>
      </c>
      <c r="LY1240" s="100">
        <v>3</v>
      </c>
      <c r="LZ1240" s="100">
        <v>17</v>
      </c>
      <c r="MA1240" s="100">
        <v>10</v>
      </c>
      <c r="MB1240" s="100">
        <v>10</v>
      </c>
      <c r="MD1240" s="100">
        <v>10</v>
      </c>
      <c r="ME1240" s="100">
        <v>8</v>
      </c>
      <c r="MH1240" s="100">
        <v>4</v>
      </c>
      <c r="MK1240" s="100">
        <v>9</v>
      </c>
      <c r="ON1240" s="100">
        <f t="shared" si="384"/>
        <v>0</v>
      </c>
    </row>
    <row r="1241" spans="1:404" ht="23.25" customHeight="1">
      <c r="A1241" s="97" t="str">
        <f t="shared" si="385"/>
        <v>097/NY/PP-USA-2166-77700-02-A</v>
      </c>
      <c r="B1241" s="95">
        <v>44577</v>
      </c>
      <c r="C1241" s="97">
        <f t="shared" ca="1" si="381"/>
        <v>-487</v>
      </c>
      <c r="D1241" s="112" t="s">
        <v>1431</v>
      </c>
      <c r="E1241" s="279" t="s">
        <v>1199</v>
      </c>
      <c r="F1241" s="98" t="str">
        <f t="shared" ref="F1241:F1269" si="387">MID(E1241,13,2)</f>
        <v>A</v>
      </c>
      <c r="G1241" s="110">
        <f ca="1">SUMIF($A:E,$A1241,K:K)</f>
        <v>118</v>
      </c>
      <c r="H1241" s="97" t="s">
        <v>616</v>
      </c>
      <c r="I1241" s="175">
        <v>118</v>
      </c>
      <c r="J1241" s="115">
        <v>118</v>
      </c>
      <c r="K1241" s="143">
        <f t="shared" si="383"/>
        <v>118</v>
      </c>
      <c r="L1241" s="144">
        <f t="shared" si="377"/>
        <v>0</v>
      </c>
      <c r="M1241" s="275">
        <f t="shared" si="386"/>
        <v>118</v>
      </c>
      <c r="N1241" s="98" t="s">
        <v>1776</v>
      </c>
      <c r="O1241" s="93">
        <f t="shared" si="380"/>
        <v>100</v>
      </c>
      <c r="MK1241" s="100">
        <v>12</v>
      </c>
      <c r="ML1241" s="100">
        <v>21</v>
      </c>
      <c r="MM1241" s="100">
        <v>20</v>
      </c>
      <c r="MN1241" s="100">
        <v>20</v>
      </c>
      <c r="MO1241" s="100">
        <v>10</v>
      </c>
      <c r="MP1241" s="100">
        <v>19</v>
      </c>
      <c r="MQ1241" s="100">
        <v>15</v>
      </c>
      <c r="MR1241" s="100">
        <v>1</v>
      </c>
      <c r="ON1241" s="100">
        <f t="shared" si="384"/>
        <v>0</v>
      </c>
    </row>
    <row r="1242" spans="1:404" ht="23.25" customHeight="1">
      <c r="A1242" s="97" t="str">
        <f t="shared" si="385"/>
        <v>439/POTTERYPOT-2166-77700-02-A</v>
      </c>
      <c r="B1242" s="95">
        <v>44636</v>
      </c>
      <c r="C1242" s="97">
        <f t="shared" ca="1" si="381"/>
        <v>-428</v>
      </c>
      <c r="D1242" s="112" t="s">
        <v>1601</v>
      </c>
      <c r="E1242" s="279" t="s">
        <v>1199</v>
      </c>
      <c r="F1242" s="98" t="str">
        <f t="shared" si="387"/>
        <v>A</v>
      </c>
      <c r="G1242" s="110">
        <f ca="1">SUMIF($A:E,$A1242,K:K)</f>
        <v>30</v>
      </c>
      <c r="H1242" s="97" t="s">
        <v>927</v>
      </c>
      <c r="I1242" s="175">
        <v>30</v>
      </c>
      <c r="J1242" s="115">
        <v>30</v>
      </c>
      <c r="K1242" s="143">
        <f t="shared" si="383"/>
        <v>30</v>
      </c>
      <c r="L1242" s="144">
        <f t="shared" si="377"/>
        <v>0</v>
      </c>
      <c r="M1242" s="275">
        <f t="shared" si="386"/>
        <v>30</v>
      </c>
      <c r="N1242" s="98" t="s">
        <v>1776</v>
      </c>
      <c r="O1242" s="93">
        <f t="shared" si="380"/>
        <v>100</v>
      </c>
      <c r="ND1242" s="100">
        <v>17</v>
      </c>
      <c r="NE1242" s="100">
        <v>10</v>
      </c>
      <c r="NG1242" s="100">
        <v>3</v>
      </c>
      <c r="ON1242" s="100">
        <f t="shared" si="384"/>
        <v>0</v>
      </c>
    </row>
    <row r="1243" spans="1:404" ht="23.25" customHeight="1">
      <c r="A1243" s="97" t="str">
        <f t="shared" si="385"/>
        <v xml:space="preserve">	457/POTTERYPOT-VG-2166-77700-02-A</v>
      </c>
      <c r="B1243" s="95">
        <v>44674</v>
      </c>
      <c r="C1243" s="97">
        <f t="shared" ca="1" si="381"/>
        <v>-390</v>
      </c>
      <c r="D1243" s="112" t="s">
        <v>1866</v>
      </c>
      <c r="E1243" s="279" t="s">
        <v>1199</v>
      </c>
      <c r="F1243" s="98" t="str">
        <f t="shared" si="387"/>
        <v>A</v>
      </c>
      <c r="G1243" s="110">
        <f ca="1">SUMIF($A:E,$A1243,K:K)</f>
        <v>24</v>
      </c>
      <c r="H1243" s="97" t="s">
        <v>601</v>
      </c>
      <c r="I1243" s="175">
        <v>16</v>
      </c>
      <c r="J1243" s="115">
        <v>16</v>
      </c>
      <c r="K1243" s="144">
        <f t="shared" si="383"/>
        <v>24</v>
      </c>
      <c r="L1243" s="144">
        <f t="shared" si="377"/>
        <v>-8</v>
      </c>
      <c r="M1243" s="275">
        <f t="shared" si="386"/>
        <v>16</v>
      </c>
      <c r="N1243" s="98" t="s">
        <v>1776</v>
      </c>
      <c r="O1243" s="93">
        <f t="shared" si="380"/>
        <v>150</v>
      </c>
      <c r="OK1243" s="100">
        <v>7</v>
      </c>
      <c r="OM1243" s="100">
        <v>5</v>
      </c>
      <c r="ON1243" s="100">
        <f t="shared" si="384"/>
        <v>12</v>
      </c>
    </row>
    <row r="1244" spans="1:404" ht="23.25" customHeight="1">
      <c r="A1244" s="97" t="str">
        <f t="shared" si="385"/>
        <v>115A/NY/PP-USA-VG-2066-77700-02-A</v>
      </c>
      <c r="B1244" s="95">
        <v>44668</v>
      </c>
      <c r="C1244" s="97">
        <f t="shared" ca="1" si="381"/>
        <v>-396</v>
      </c>
      <c r="D1244" s="112" t="s">
        <v>1871</v>
      </c>
      <c r="E1244" s="279" t="s">
        <v>1199</v>
      </c>
      <c r="F1244" s="98" t="str">
        <f t="shared" si="387"/>
        <v>A</v>
      </c>
      <c r="G1244" s="110">
        <f ca="1">SUMIF($A:E,$A1244,K:K)</f>
        <v>0</v>
      </c>
      <c r="H1244" s="97" t="s">
        <v>601</v>
      </c>
      <c r="I1244" s="175">
        <v>16</v>
      </c>
      <c r="J1244" s="115">
        <v>16</v>
      </c>
      <c r="K1244" s="144">
        <f t="shared" si="383"/>
        <v>0</v>
      </c>
      <c r="L1244" s="144">
        <f t="shared" si="377"/>
        <v>16</v>
      </c>
      <c r="M1244" s="275">
        <f t="shared" si="386"/>
        <v>16</v>
      </c>
      <c r="N1244" s="98" t="s">
        <v>1776</v>
      </c>
      <c r="O1244" s="93">
        <f t="shared" si="380"/>
        <v>0</v>
      </c>
      <c r="ON1244" s="100">
        <f t="shared" si="384"/>
        <v>0</v>
      </c>
    </row>
    <row r="1245" spans="1:404" ht="23.25" customHeight="1">
      <c r="A1245" s="97" t="str">
        <f t="shared" si="385"/>
        <v>115B/NY/PP-USA-VG-2066-77700-02-A</v>
      </c>
      <c r="B1245" s="95">
        <v>44668</v>
      </c>
      <c r="C1245" s="97">
        <f t="shared" ca="1" si="381"/>
        <v>-396</v>
      </c>
      <c r="D1245" s="112" t="s">
        <v>1872</v>
      </c>
      <c r="E1245" s="279" t="s">
        <v>1199</v>
      </c>
      <c r="F1245" s="98" t="str">
        <f t="shared" si="387"/>
        <v>A</v>
      </c>
      <c r="G1245" s="110">
        <f ca="1">SUMIF($A:E,$A1245,K:K)</f>
        <v>0</v>
      </c>
      <c r="H1245" s="97" t="s">
        <v>601</v>
      </c>
      <c r="I1245" s="175">
        <v>16</v>
      </c>
      <c r="J1245" s="115">
        <v>16</v>
      </c>
      <c r="K1245" s="144">
        <f t="shared" si="383"/>
        <v>0</v>
      </c>
      <c r="L1245" s="144">
        <f t="shared" ref="L1245:L1296" si="388">J1245-K1245</f>
        <v>16</v>
      </c>
      <c r="M1245" s="275">
        <f t="shared" si="386"/>
        <v>16</v>
      </c>
      <c r="N1245" s="98"/>
      <c r="O1245" s="93">
        <f t="shared" si="380"/>
        <v>0</v>
      </c>
      <c r="ON1245" s="100">
        <f t="shared" si="384"/>
        <v>0</v>
      </c>
    </row>
    <row r="1246" spans="1:404" ht="23.25" customHeight="1">
      <c r="A1246" s="97" t="str">
        <f>D1246&amp;F1246</f>
        <v>013/KHBS-21B</v>
      </c>
      <c r="B1246" s="95">
        <v>44208</v>
      </c>
      <c r="C1246" s="97">
        <f t="shared" ca="1" si="381"/>
        <v>-856</v>
      </c>
      <c r="D1246" s="96" t="s">
        <v>655</v>
      </c>
      <c r="E1246" s="94" t="s">
        <v>656</v>
      </c>
      <c r="F1246" s="98" t="str">
        <f t="shared" si="387"/>
        <v>B</v>
      </c>
      <c r="G1246" s="110">
        <f ca="1">SUMIF($A:E,$A1246,K:K)</f>
        <v>2</v>
      </c>
      <c r="H1246" s="97" t="s">
        <v>601</v>
      </c>
      <c r="I1246" s="98">
        <v>1</v>
      </c>
      <c r="J1246" s="99">
        <v>1</v>
      </c>
      <c r="K1246" s="143">
        <f t="shared" si="383"/>
        <v>1</v>
      </c>
      <c r="L1246" s="144">
        <f t="shared" si="388"/>
        <v>0</v>
      </c>
      <c r="M1246" s="275">
        <f t="shared" si="386"/>
        <v>1</v>
      </c>
      <c r="N1246" s="98">
        <v>2</v>
      </c>
      <c r="O1246" s="93">
        <f t="shared" si="380"/>
        <v>100</v>
      </c>
      <c r="X1246" s="101">
        <v>1</v>
      </c>
      <c r="ON1246" s="100">
        <f t="shared" si="384"/>
        <v>0</v>
      </c>
    </row>
    <row r="1247" spans="1:404" ht="23.25" customHeight="1">
      <c r="A1247" s="97" t="str">
        <f t="shared" ref="A1247:A1263" si="389">D1247&amp;E1247</f>
        <v>081A/NY/PP-USA-2166-77700-01-A</v>
      </c>
      <c r="B1247" s="95">
        <v>44569</v>
      </c>
      <c r="C1247" s="97">
        <f t="shared" ca="1" si="381"/>
        <v>-495</v>
      </c>
      <c r="D1247" s="96" t="s">
        <v>1270</v>
      </c>
      <c r="E1247" s="280" t="s">
        <v>1271</v>
      </c>
      <c r="F1247" s="98" t="str">
        <f t="shared" si="387"/>
        <v>A</v>
      </c>
      <c r="G1247" s="110">
        <f ca="1">SUMIF($A:E,$A1247,K:K)</f>
        <v>6</v>
      </c>
      <c r="H1247" s="97" t="s">
        <v>933</v>
      </c>
      <c r="I1247" s="98">
        <v>6</v>
      </c>
      <c r="J1247" s="98">
        <v>6</v>
      </c>
      <c r="K1247" s="143">
        <f t="shared" si="383"/>
        <v>6</v>
      </c>
      <c r="L1247" s="144">
        <f t="shared" si="388"/>
        <v>0</v>
      </c>
      <c r="M1247" s="275">
        <f t="shared" si="386"/>
        <v>6</v>
      </c>
      <c r="N1247" s="98" t="s">
        <v>1776</v>
      </c>
      <c r="O1247" s="93">
        <f t="shared" ref="O1247:O1285" si="390">K1247/J1247*100</f>
        <v>100</v>
      </c>
      <c r="MF1247" s="100">
        <v>2</v>
      </c>
      <c r="MG1247" s="100">
        <v>4</v>
      </c>
      <c r="ON1247" s="100">
        <f t="shared" si="384"/>
        <v>0</v>
      </c>
    </row>
    <row r="1248" spans="1:404" ht="23.25" customHeight="1">
      <c r="A1248" s="97" t="str">
        <f t="shared" si="389"/>
        <v>382A/POTTERYPOT-2166-77700-01-A</v>
      </c>
      <c r="B1248" s="95">
        <v>44746</v>
      </c>
      <c r="C1248" s="97">
        <f t="shared" ca="1" si="381"/>
        <v>-318</v>
      </c>
      <c r="D1248" s="96" t="s">
        <v>1285</v>
      </c>
      <c r="E1248" s="280" t="s">
        <v>1271</v>
      </c>
      <c r="F1248" s="98" t="str">
        <f t="shared" si="387"/>
        <v>A</v>
      </c>
      <c r="G1248" s="110">
        <f ca="1">SUMIF($A:E,$A1248,K:K)</f>
        <v>0</v>
      </c>
      <c r="H1248" s="97" t="s">
        <v>964</v>
      </c>
      <c r="I1248" s="98">
        <v>6</v>
      </c>
      <c r="J1248" s="97">
        <v>6</v>
      </c>
      <c r="K1248" s="143">
        <f t="shared" si="383"/>
        <v>0</v>
      </c>
      <c r="L1248" s="144">
        <f t="shared" si="388"/>
        <v>6</v>
      </c>
      <c r="M1248" s="275">
        <f t="shared" si="386"/>
        <v>6</v>
      </c>
      <c r="N1248" s="98" t="s">
        <v>1776</v>
      </c>
      <c r="O1248" s="93">
        <f t="shared" si="390"/>
        <v>0</v>
      </c>
      <c r="ON1248" s="100">
        <f t="shared" si="384"/>
        <v>0</v>
      </c>
    </row>
    <row r="1249" spans="1:404" ht="23.25" customHeight="1">
      <c r="A1249" s="97" t="str">
        <f t="shared" si="389"/>
        <v>320/POTTERYPOT-2166-77700-01-A</v>
      </c>
      <c r="B1249" s="95">
        <v>44649</v>
      </c>
      <c r="C1249" s="97">
        <f t="shared" ca="1" si="381"/>
        <v>-415</v>
      </c>
      <c r="D1249" s="112" t="s">
        <v>1336</v>
      </c>
      <c r="E1249" s="279" t="s">
        <v>1271</v>
      </c>
      <c r="F1249" s="98" t="str">
        <f t="shared" si="387"/>
        <v>A</v>
      </c>
      <c r="G1249" s="110">
        <f ca="1">SUMIF($A:E,$A1249,K:K)</f>
        <v>51</v>
      </c>
      <c r="H1249" s="97" t="s">
        <v>1360</v>
      </c>
      <c r="I1249" s="175">
        <v>38</v>
      </c>
      <c r="J1249" s="115">
        <v>38</v>
      </c>
      <c r="K1249" s="143">
        <f t="shared" si="383"/>
        <v>51</v>
      </c>
      <c r="L1249" s="144">
        <f t="shared" si="388"/>
        <v>-13</v>
      </c>
      <c r="M1249" s="275">
        <f t="shared" si="386"/>
        <v>38</v>
      </c>
      <c r="N1249" s="98" t="s">
        <v>1776</v>
      </c>
      <c r="O1249" s="93">
        <f t="shared" si="390"/>
        <v>134.21052631578948</v>
      </c>
      <c r="NG1249" s="100">
        <v>2</v>
      </c>
      <c r="NI1249" s="100">
        <v>4</v>
      </c>
      <c r="NK1249" s="100">
        <v>8</v>
      </c>
      <c r="NL1249" s="100">
        <v>4</v>
      </c>
      <c r="NM1249" s="100">
        <v>4</v>
      </c>
      <c r="NN1249" s="100">
        <v>3</v>
      </c>
      <c r="NS1249" s="100">
        <v>3</v>
      </c>
      <c r="NU1249" s="100">
        <v>8</v>
      </c>
      <c r="NV1249" s="100">
        <v>2</v>
      </c>
      <c r="ON1249" s="100">
        <f t="shared" si="384"/>
        <v>13</v>
      </c>
    </row>
    <row r="1250" spans="1:404" ht="23.25" customHeight="1">
      <c r="A1250" s="97" t="str">
        <f t="shared" si="389"/>
        <v>321/POTTERYPOT-2166-77700-01-A</v>
      </c>
      <c r="B1250" s="95">
        <v>44669</v>
      </c>
      <c r="C1250" s="97">
        <f t="shared" ca="1" si="381"/>
        <v>-395</v>
      </c>
      <c r="D1250" s="112" t="s">
        <v>1337</v>
      </c>
      <c r="E1250" s="279" t="s">
        <v>1271</v>
      </c>
      <c r="F1250" s="98" t="str">
        <f t="shared" si="387"/>
        <v>A</v>
      </c>
      <c r="G1250" s="110">
        <f ca="1">SUMIF($A:E,$A1250,K:K)</f>
        <v>72</v>
      </c>
      <c r="H1250" s="97" t="s">
        <v>1360</v>
      </c>
      <c r="I1250" s="175">
        <v>36</v>
      </c>
      <c r="J1250" s="115">
        <v>36</v>
      </c>
      <c r="K1250" s="143">
        <f t="shared" si="383"/>
        <v>72</v>
      </c>
      <c r="L1250" s="144">
        <f t="shared" si="388"/>
        <v>-36</v>
      </c>
      <c r="M1250" s="275">
        <f t="shared" si="386"/>
        <v>36</v>
      </c>
      <c r="N1250" s="98" t="s">
        <v>1776</v>
      </c>
      <c r="O1250" s="93">
        <f t="shared" si="390"/>
        <v>200</v>
      </c>
      <c r="NV1250" s="100">
        <v>8</v>
      </c>
      <c r="NY1250" s="100">
        <v>7</v>
      </c>
      <c r="NZ1250" s="100">
        <v>8</v>
      </c>
      <c r="OA1250" s="100">
        <v>9</v>
      </c>
      <c r="OB1250" s="100">
        <v>4</v>
      </c>
      <c r="ON1250" s="100">
        <f t="shared" si="384"/>
        <v>36</v>
      </c>
    </row>
    <row r="1251" spans="1:404" ht="23.25" customHeight="1">
      <c r="A1251" s="97" t="str">
        <f t="shared" si="389"/>
        <v>322/POTTERYPOT-2166-77700-01-A</v>
      </c>
      <c r="B1251" s="163">
        <v>44684</v>
      </c>
      <c r="C1251" s="135">
        <f t="shared" ca="1" si="381"/>
        <v>-380</v>
      </c>
      <c r="D1251" s="352" t="s">
        <v>1338</v>
      </c>
      <c r="E1251" s="353" t="s">
        <v>1271</v>
      </c>
      <c r="F1251" s="133" t="str">
        <f t="shared" si="387"/>
        <v>A</v>
      </c>
      <c r="G1251" s="140">
        <f ca="1">SUMIF($A:E,$A1251,K:K)</f>
        <v>0</v>
      </c>
      <c r="H1251" s="135" t="s">
        <v>1360</v>
      </c>
      <c r="I1251" s="354">
        <v>26</v>
      </c>
      <c r="J1251" s="355">
        <v>26</v>
      </c>
      <c r="K1251" s="166">
        <f t="shared" si="383"/>
        <v>0</v>
      </c>
      <c r="L1251" s="150">
        <f t="shared" si="388"/>
        <v>26</v>
      </c>
      <c r="M1251" s="275">
        <f t="shared" si="386"/>
        <v>26</v>
      </c>
      <c r="N1251" s="136" t="s">
        <v>1776</v>
      </c>
      <c r="O1251" s="93">
        <f t="shared" si="390"/>
        <v>0</v>
      </c>
      <c r="ON1251" s="100">
        <f t="shared" si="384"/>
        <v>0</v>
      </c>
    </row>
    <row r="1252" spans="1:404" ht="23.25" customHeight="1">
      <c r="A1252" s="97" t="str">
        <f t="shared" si="389"/>
        <v>323/POTTERYPOT-2166-77700-01-A</v>
      </c>
      <c r="B1252" s="95">
        <v>44702</v>
      </c>
      <c r="C1252" s="97">
        <f t="shared" ca="1" si="381"/>
        <v>-362</v>
      </c>
      <c r="D1252" s="112" t="s">
        <v>1339</v>
      </c>
      <c r="E1252" s="279" t="s">
        <v>1271</v>
      </c>
      <c r="F1252" s="98" t="str">
        <f t="shared" si="387"/>
        <v>A</v>
      </c>
      <c r="G1252" s="110">
        <f ca="1">SUMIF($A:E,$A1252,K:K)</f>
        <v>0</v>
      </c>
      <c r="H1252" s="97" t="s">
        <v>1360</v>
      </c>
      <c r="I1252" s="175">
        <v>26</v>
      </c>
      <c r="J1252" s="115">
        <v>26</v>
      </c>
      <c r="K1252" s="143">
        <f t="shared" si="383"/>
        <v>0</v>
      </c>
      <c r="L1252" s="144">
        <f t="shared" si="388"/>
        <v>26</v>
      </c>
      <c r="M1252" s="275">
        <f t="shared" si="386"/>
        <v>26</v>
      </c>
      <c r="N1252" s="98"/>
      <c r="O1252" s="93">
        <f t="shared" si="390"/>
        <v>0</v>
      </c>
      <c r="ON1252" s="100">
        <f t="shared" si="384"/>
        <v>0</v>
      </c>
    </row>
    <row r="1253" spans="1:404" ht="23.25" customHeight="1">
      <c r="A1253" s="97" t="str">
        <f t="shared" si="389"/>
        <v>324/POTTERYPOT-2166-77700-01-A</v>
      </c>
      <c r="B1253" s="95">
        <v>44731</v>
      </c>
      <c r="C1253" s="97">
        <f t="shared" ca="1" si="381"/>
        <v>-333</v>
      </c>
      <c r="D1253" s="112" t="s">
        <v>1340</v>
      </c>
      <c r="E1253" s="279" t="s">
        <v>1271</v>
      </c>
      <c r="F1253" s="98" t="str">
        <f t="shared" si="387"/>
        <v>A</v>
      </c>
      <c r="G1253" s="110">
        <f ca="1">SUMIF($A:E,$A1253,K:K)</f>
        <v>0</v>
      </c>
      <c r="H1253" s="97" t="s">
        <v>927</v>
      </c>
      <c r="I1253" s="175">
        <v>52</v>
      </c>
      <c r="J1253" s="115">
        <v>52</v>
      </c>
      <c r="K1253" s="143">
        <f t="shared" si="383"/>
        <v>0</v>
      </c>
      <c r="L1253" s="144">
        <f t="shared" si="388"/>
        <v>52</v>
      </c>
      <c r="M1253" s="275">
        <f t="shared" si="386"/>
        <v>52</v>
      </c>
      <c r="N1253" s="98"/>
      <c r="O1253" s="93">
        <f t="shared" si="390"/>
        <v>0</v>
      </c>
      <c r="ON1253" s="100">
        <f t="shared" si="384"/>
        <v>0</v>
      </c>
    </row>
    <row r="1254" spans="1:404" ht="23.25" customHeight="1">
      <c r="A1254" s="97" t="str">
        <f t="shared" si="389"/>
        <v>325/POTTERYPOT-2166-77700-01-A</v>
      </c>
      <c r="B1254" s="95">
        <v>44761</v>
      </c>
      <c r="C1254" s="97">
        <f t="shared" ca="1" si="381"/>
        <v>-303</v>
      </c>
      <c r="D1254" s="112" t="s">
        <v>1341</v>
      </c>
      <c r="E1254" s="279" t="s">
        <v>1271</v>
      </c>
      <c r="F1254" s="98" t="str">
        <f t="shared" si="387"/>
        <v>A</v>
      </c>
      <c r="G1254" s="110">
        <f ca="1">SUMIF($A:E,$A1254,K:K)</f>
        <v>0</v>
      </c>
      <c r="H1254" s="97" t="s">
        <v>927</v>
      </c>
      <c r="I1254" s="175">
        <v>52</v>
      </c>
      <c r="J1254" s="115">
        <v>52</v>
      </c>
      <c r="K1254" s="143">
        <f t="shared" si="383"/>
        <v>0</v>
      </c>
      <c r="L1254" s="144">
        <f t="shared" si="388"/>
        <v>52</v>
      </c>
      <c r="M1254" s="275">
        <f t="shared" si="386"/>
        <v>52</v>
      </c>
      <c r="N1254" s="98"/>
      <c r="O1254" s="93">
        <f t="shared" si="390"/>
        <v>0</v>
      </c>
      <c r="ON1254" s="100">
        <f t="shared" si="384"/>
        <v>0</v>
      </c>
    </row>
    <row r="1255" spans="1:404" ht="23.25" customHeight="1">
      <c r="A1255" s="97" t="str">
        <f t="shared" si="389"/>
        <v>326/POTTERYPOT-2166-77700-01-A</v>
      </c>
      <c r="B1255" s="95">
        <v>44791</v>
      </c>
      <c r="C1255" s="97">
        <f t="shared" ca="1" si="381"/>
        <v>-273</v>
      </c>
      <c r="D1255" s="112" t="s">
        <v>1342</v>
      </c>
      <c r="E1255" s="279" t="s">
        <v>1271</v>
      </c>
      <c r="F1255" s="98" t="str">
        <f t="shared" si="387"/>
        <v>A</v>
      </c>
      <c r="G1255" s="110">
        <f ca="1">SUMIF($A:E,$A1255,K:K)</f>
        <v>0</v>
      </c>
      <c r="H1255" s="97" t="s">
        <v>927</v>
      </c>
      <c r="I1255" s="175">
        <v>52</v>
      </c>
      <c r="J1255" s="115">
        <v>52</v>
      </c>
      <c r="K1255" s="143">
        <f t="shared" si="383"/>
        <v>0</v>
      </c>
      <c r="L1255" s="144">
        <f t="shared" si="388"/>
        <v>52</v>
      </c>
      <c r="M1255" s="275">
        <f t="shared" si="386"/>
        <v>52</v>
      </c>
      <c r="N1255" s="98"/>
      <c r="O1255" s="93">
        <f t="shared" si="390"/>
        <v>0</v>
      </c>
      <c r="ON1255" s="100">
        <f t="shared" si="384"/>
        <v>0</v>
      </c>
    </row>
    <row r="1256" spans="1:404" ht="23.25" customHeight="1">
      <c r="A1256" s="97" t="str">
        <f t="shared" si="389"/>
        <v>327/POTTERYPOT-2166-77700-01-A</v>
      </c>
      <c r="B1256" s="95">
        <v>44822</v>
      </c>
      <c r="C1256" s="97">
        <f t="shared" ca="1" si="381"/>
        <v>-242</v>
      </c>
      <c r="D1256" s="112" t="s">
        <v>1343</v>
      </c>
      <c r="E1256" s="279" t="s">
        <v>1271</v>
      </c>
      <c r="F1256" s="98" t="str">
        <f t="shared" si="387"/>
        <v>A</v>
      </c>
      <c r="G1256" s="110">
        <f ca="1">SUMIF($A:E,$A1256,K:K)</f>
        <v>0</v>
      </c>
      <c r="H1256" s="97" t="s">
        <v>927</v>
      </c>
      <c r="I1256" s="175">
        <v>52</v>
      </c>
      <c r="J1256" s="115">
        <v>52</v>
      </c>
      <c r="K1256" s="143">
        <f t="shared" si="383"/>
        <v>0</v>
      </c>
      <c r="L1256" s="144">
        <f t="shared" si="388"/>
        <v>52</v>
      </c>
      <c r="M1256" s="275">
        <f t="shared" si="386"/>
        <v>52</v>
      </c>
      <c r="N1256" s="98"/>
      <c r="O1256" s="93">
        <f t="shared" si="390"/>
        <v>0</v>
      </c>
      <c r="ON1256" s="100">
        <f t="shared" si="384"/>
        <v>0</v>
      </c>
    </row>
    <row r="1257" spans="1:404" ht="23.25" customHeight="1">
      <c r="A1257" s="97" t="str">
        <f t="shared" si="389"/>
        <v>328/POTTERYPOT-2166-77700-01-A</v>
      </c>
      <c r="B1257" s="95">
        <v>44850</v>
      </c>
      <c r="C1257" s="97">
        <f t="shared" ca="1" si="381"/>
        <v>-214</v>
      </c>
      <c r="D1257" s="112" t="s">
        <v>1344</v>
      </c>
      <c r="E1257" s="279" t="s">
        <v>1271</v>
      </c>
      <c r="F1257" s="98" t="str">
        <f t="shared" si="387"/>
        <v>A</v>
      </c>
      <c r="G1257" s="110">
        <f ca="1">SUMIF($A:E,$A1257,K:K)</f>
        <v>0</v>
      </c>
      <c r="H1257" s="97" t="s">
        <v>927</v>
      </c>
      <c r="I1257" s="175">
        <v>32</v>
      </c>
      <c r="J1257" s="115">
        <v>32</v>
      </c>
      <c r="K1257" s="143">
        <f t="shared" si="383"/>
        <v>0</v>
      </c>
      <c r="L1257" s="144">
        <f t="shared" si="388"/>
        <v>32</v>
      </c>
      <c r="M1257" s="275">
        <f t="shared" si="386"/>
        <v>32</v>
      </c>
      <c r="N1257" s="98"/>
      <c r="O1257" s="93">
        <f t="shared" si="390"/>
        <v>0</v>
      </c>
      <c r="ON1257" s="100">
        <f t="shared" si="384"/>
        <v>0</v>
      </c>
    </row>
    <row r="1258" spans="1:404" ht="23.25" customHeight="1">
      <c r="A1258" s="97" t="str">
        <f t="shared" si="389"/>
        <v>331/POTTERYPOT-2166-77700-01-A</v>
      </c>
      <c r="B1258" s="95">
        <v>44647</v>
      </c>
      <c r="C1258" s="97">
        <f t="shared" ca="1" si="381"/>
        <v>-417</v>
      </c>
      <c r="D1258" s="112" t="s">
        <v>1347</v>
      </c>
      <c r="E1258" s="279" t="s">
        <v>1271</v>
      </c>
      <c r="F1258" s="98" t="str">
        <f t="shared" si="387"/>
        <v>A</v>
      </c>
      <c r="G1258" s="110">
        <f ca="1">SUMIF($A:E,$A1258,K:K)</f>
        <v>72</v>
      </c>
      <c r="H1258" s="97" t="s">
        <v>1360</v>
      </c>
      <c r="I1258" s="175">
        <v>60</v>
      </c>
      <c r="J1258" s="115">
        <v>60</v>
      </c>
      <c r="K1258" s="143">
        <f t="shared" si="383"/>
        <v>72</v>
      </c>
      <c r="L1258" s="144">
        <f t="shared" si="388"/>
        <v>-12</v>
      </c>
      <c r="M1258" s="275">
        <f t="shared" si="386"/>
        <v>60</v>
      </c>
      <c r="N1258" s="98" t="s">
        <v>1776</v>
      </c>
      <c r="O1258" s="93">
        <f t="shared" si="390"/>
        <v>120</v>
      </c>
      <c r="OC1258" s="100">
        <v>4</v>
      </c>
      <c r="OD1258" s="100">
        <v>4</v>
      </c>
      <c r="OF1258" s="100">
        <v>4</v>
      </c>
      <c r="OG1258" s="100">
        <v>4</v>
      </c>
      <c r="OH1258" s="100">
        <v>4</v>
      </c>
      <c r="OI1258" s="100">
        <v>4</v>
      </c>
      <c r="OJ1258" s="100">
        <v>4</v>
      </c>
      <c r="OK1258" s="100">
        <v>4</v>
      </c>
      <c r="OM1258" s="100">
        <v>4</v>
      </c>
      <c r="ON1258" s="100">
        <f t="shared" si="384"/>
        <v>36</v>
      </c>
    </row>
    <row r="1259" spans="1:404" ht="23.25" customHeight="1">
      <c r="A1259" s="97" t="str">
        <f t="shared" si="389"/>
        <v>332/POTTERYPOT-2166-77700-01-A</v>
      </c>
      <c r="B1259" s="95">
        <v>44564</v>
      </c>
      <c r="C1259" s="97">
        <f t="shared" ca="1" si="381"/>
        <v>-500</v>
      </c>
      <c r="D1259" s="112" t="s">
        <v>1348</v>
      </c>
      <c r="E1259" s="279" t="s">
        <v>1271</v>
      </c>
      <c r="F1259" s="98" t="str">
        <f t="shared" si="387"/>
        <v>A</v>
      </c>
      <c r="G1259" s="110">
        <f ca="1">SUMIF($A:E,$A1259,K:K)</f>
        <v>96</v>
      </c>
      <c r="H1259" s="97" t="s">
        <v>1360</v>
      </c>
      <c r="I1259" s="175">
        <v>96</v>
      </c>
      <c r="J1259" s="115">
        <v>96</v>
      </c>
      <c r="K1259" s="143">
        <f t="shared" si="383"/>
        <v>96</v>
      </c>
      <c r="L1259" s="144">
        <f t="shared" si="388"/>
        <v>0</v>
      </c>
      <c r="M1259" s="275">
        <f t="shared" si="386"/>
        <v>96</v>
      </c>
      <c r="N1259" s="98" t="s">
        <v>1776</v>
      </c>
      <c r="O1259" s="93">
        <f t="shared" si="390"/>
        <v>100</v>
      </c>
      <c r="JM1259" s="100">
        <v>10</v>
      </c>
      <c r="JN1259" s="100">
        <v>5</v>
      </c>
      <c r="JO1259" s="100">
        <v>4</v>
      </c>
      <c r="JP1259" s="100">
        <v>6</v>
      </c>
      <c r="JQ1259" s="100">
        <v>4</v>
      </c>
      <c r="JT1259" s="100">
        <v>11</v>
      </c>
      <c r="JU1259" s="100">
        <v>5</v>
      </c>
      <c r="JV1259" s="100">
        <v>8</v>
      </c>
      <c r="JX1259" s="100">
        <v>6</v>
      </c>
      <c r="JY1259" s="100">
        <v>1</v>
      </c>
      <c r="KA1259" s="100">
        <v>5</v>
      </c>
      <c r="KB1259" s="100">
        <v>9</v>
      </c>
      <c r="KC1259" s="100">
        <v>5</v>
      </c>
      <c r="KE1259" s="100">
        <v>10</v>
      </c>
      <c r="KF1259" s="100">
        <v>6</v>
      </c>
      <c r="KH1259" s="100">
        <v>1</v>
      </c>
      <c r="ON1259" s="100">
        <f t="shared" si="384"/>
        <v>0</v>
      </c>
    </row>
    <row r="1260" spans="1:404" ht="23.25" customHeight="1">
      <c r="A1260" s="97" t="str">
        <f t="shared" si="389"/>
        <v>095/NY/PP-USA-2166-77700-01-A</v>
      </c>
      <c r="B1260" s="95">
        <v>44577</v>
      </c>
      <c r="C1260" s="97">
        <f t="shared" ca="1" si="381"/>
        <v>-487</v>
      </c>
      <c r="D1260" s="112" t="s">
        <v>1429</v>
      </c>
      <c r="E1260" s="279" t="s">
        <v>1271</v>
      </c>
      <c r="F1260" s="98" t="str">
        <f t="shared" si="387"/>
        <v>A</v>
      </c>
      <c r="G1260" s="110">
        <f ca="1">SUMIF($A:E,$A1260,K:K)</f>
        <v>18</v>
      </c>
      <c r="H1260" s="97" t="s">
        <v>616</v>
      </c>
      <c r="I1260" s="175">
        <v>18</v>
      </c>
      <c r="J1260" s="115">
        <v>18</v>
      </c>
      <c r="K1260" s="143">
        <f t="shared" si="383"/>
        <v>18</v>
      </c>
      <c r="L1260" s="144">
        <f t="shared" si="388"/>
        <v>0</v>
      </c>
      <c r="M1260" s="275">
        <f t="shared" si="386"/>
        <v>18</v>
      </c>
      <c r="N1260" s="98" t="s">
        <v>1776</v>
      </c>
      <c r="O1260" s="93">
        <f t="shared" si="390"/>
        <v>100</v>
      </c>
      <c r="KY1260" s="100">
        <v>5</v>
      </c>
      <c r="LB1260" s="100">
        <v>10</v>
      </c>
      <c r="LC1260" s="100">
        <v>3</v>
      </c>
      <c r="ON1260" s="100">
        <f t="shared" si="384"/>
        <v>0</v>
      </c>
    </row>
    <row r="1261" spans="1:404" ht="23.25" customHeight="1">
      <c r="A1261" s="97" t="str">
        <f t="shared" si="389"/>
        <v>096/NY/PP-USA-2166-77700-01-A</v>
      </c>
      <c r="B1261" s="95">
        <v>44577</v>
      </c>
      <c r="C1261" s="97">
        <f t="shared" ca="1" si="381"/>
        <v>-487</v>
      </c>
      <c r="D1261" s="112" t="s">
        <v>1430</v>
      </c>
      <c r="E1261" s="279" t="s">
        <v>1271</v>
      </c>
      <c r="F1261" s="98" t="str">
        <f t="shared" si="387"/>
        <v>A</v>
      </c>
      <c r="G1261" s="110">
        <f ca="1">SUMIF($A:E,$A1261,K:K)</f>
        <v>18</v>
      </c>
      <c r="H1261" s="97" t="s">
        <v>616</v>
      </c>
      <c r="I1261" s="175">
        <v>18</v>
      </c>
      <c r="J1261" s="115">
        <v>18</v>
      </c>
      <c r="K1261" s="143">
        <f t="shared" si="383"/>
        <v>18</v>
      </c>
      <c r="L1261" s="144">
        <f t="shared" si="388"/>
        <v>0</v>
      </c>
      <c r="M1261" s="275">
        <f t="shared" si="386"/>
        <v>18</v>
      </c>
      <c r="N1261" s="98" t="s">
        <v>1776</v>
      </c>
      <c r="O1261" s="93">
        <f t="shared" si="390"/>
        <v>100</v>
      </c>
      <c r="LD1261" s="100">
        <v>5</v>
      </c>
      <c r="LF1261" s="100">
        <v>11</v>
      </c>
      <c r="LI1261" s="100">
        <v>2</v>
      </c>
      <c r="ON1261" s="100">
        <f t="shared" si="384"/>
        <v>0</v>
      </c>
    </row>
    <row r="1262" spans="1:404" ht="23.25" customHeight="1">
      <c r="A1262" s="97" t="str">
        <f t="shared" si="389"/>
        <v>097/NY/PP-USA-2166-77700-01-A</v>
      </c>
      <c r="B1262" s="95">
        <v>44577</v>
      </c>
      <c r="C1262" s="97">
        <f t="shared" ca="1" si="381"/>
        <v>-487</v>
      </c>
      <c r="D1262" s="112" t="s">
        <v>1431</v>
      </c>
      <c r="E1262" s="279" t="s">
        <v>1271</v>
      </c>
      <c r="F1262" s="98" t="str">
        <f t="shared" si="387"/>
        <v>A</v>
      </c>
      <c r="G1262" s="110">
        <f ca="1">SUMIF($A:E,$A1262,K:K)</f>
        <v>18</v>
      </c>
      <c r="H1262" s="97" t="s">
        <v>616</v>
      </c>
      <c r="I1262" s="175">
        <v>18</v>
      </c>
      <c r="J1262" s="115">
        <v>18</v>
      </c>
      <c r="K1262" s="143">
        <f t="shared" si="383"/>
        <v>18</v>
      </c>
      <c r="L1262" s="144">
        <f t="shared" si="388"/>
        <v>0</v>
      </c>
      <c r="M1262" s="275">
        <f t="shared" si="386"/>
        <v>18</v>
      </c>
      <c r="N1262" s="98" t="s">
        <v>1776</v>
      </c>
      <c r="O1262" s="93">
        <f t="shared" si="390"/>
        <v>100</v>
      </c>
      <c r="LI1262" s="100">
        <v>8</v>
      </c>
      <c r="LK1262" s="100">
        <v>9</v>
      </c>
      <c r="LN1262" s="100">
        <v>1</v>
      </c>
      <c r="ON1262" s="100">
        <f t="shared" si="384"/>
        <v>0</v>
      </c>
    </row>
    <row r="1263" spans="1:404" ht="23.25" customHeight="1">
      <c r="A1263" s="97" t="str">
        <f t="shared" si="389"/>
        <v>439/POTTERYPOT-2166-77700-01-A</v>
      </c>
      <c r="B1263" s="95">
        <v>44636</v>
      </c>
      <c r="C1263" s="97">
        <f t="shared" ca="1" si="381"/>
        <v>-428</v>
      </c>
      <c r="D1263" s="112" t="s">
        <v>1601</v>
      </c>
      <c r="E1263" s="279" t="s">
        <v>1271</v>
      </c>
      <c r="F1263" s="98" t="str">
        <f t="shared" si="387"/>
        <v>A</v>
      </c>
      <c r="G1263" s="110">
        <f ca="1">SUMIF($A:E,$A1263,K:K)</f>
        <v>42</v>
      </c>
      <c r="H1263" s="97" t="s">
        <v>927</v>
      </c>
      <c r="I1263" s="175">
        <v>42</v>
      </c>
      <c r="J1263" s="115">
        <v>42</v>
      </c>
      <c r="K1263" s="143">
        <f t="shared" si="383"/>
        <v>42</v>
      </c>
      <c r="L1263" s="144">
        <f t="shared" si="388"/>
        <v>0</v>
      </c>
      <c r="M1263" s="275">
        <f t="shared" si="386"/>
        <v>42</v>
      </c>
      <c r="N1263" s="98" t="s">
        <v>1776</v>
      </c>
      <c r="O1263" s="93">
        <f>K1263/J1263*100</f>
        <v>100</v>
      </c>
      <c r="MY1263" s="100">
        <v>4</v>
      </c>
      <c r="MZ1263" s="100">
        <v>6</v>
      </c>
      <c r="NA1263" s="100">
        <v>6</v>
      </c>
      <c r="ND1263" s="100">
        <v>11</v>
      </c>
      <c r="NE1263" s="100">
        <v>4</v>
      </c>
      <c r="NF1263" s="100">
        <v>8</v>
      </c>
      <c r="NI1263" s="100">
        <v>3</v>
      </c>
      <c r="ON1263" s="100">
        <f t="shared" si="384"/>
        <v>0</v>
      </c>
    </row>
    <row r="1264" spans="1:404" ht="23.25" customHeight="1">
      <c r="A1264" s="97" t="s">
        <v>1370</v>
      </c>
      <c r="B1264" s="95">
        <v>44611</v>
      </c>
      <c r="C1264" s="97">
        <f t="shared" ca="1" si="381"/>
        <v>-453</v>
      </c>
      <c r="D1264" s="112" t="s">
        <v>1375</v>
      </c>
      <c r="E1264" s="123" t="s">
        <v>1380</v>
      </c>
      <c r="F1264" s="98" t="str">
        <f t="shared" si="387"/>
        <v>B</v>
      </c>
      <c r="G1264" s="110">
        <f ca="1">SUMIF($A:E,$A1264,K:K)</f>
        <v>5654</v>
      </c>
      <c r="H1264" s="112" t="s">
        <v>1381</v>
      </c>
      <c r="I1264" s="175">
        <v>224</v>
      </c>
      <c r="J1264" s="115">
        <v>224</v>
      </c>
      <c r="K1264" s="143">
        <f t="shared" si="383"/>
        <v>229</v>
      </c>
      <c r="L1264" s="144">
        <f t="shared" si="388"/>
        <v>-5</v>
      </c>
      <c r="M1264" s="275">
        <f t="shared" si="386"/>
        <v>224</v>
      </c>
      <c r="N1264" s="98">
        <v>6</v>
      </c>
      <c r="O1264" s="93">
        <f t="shared" si="390"/>
        <v>102.23214285714286</v>
      </c>
      <c r="MO1264" s="100">
        <v>7</v>
      </c>
      <c r="MP1264" s="100">
        <v>23</v>
      </c>
      <c r="MQ1264" s="100">
        <v>6</v>
      </c>
      <c r="MR1264" s="100">
        <v>16</v>
      </c>
      <c r="MS1264" s="100">
        <v>24</v>
      </c>
      <c r="MT1264" s="100">
        <v>7</v>
      </c>
      <c r="MU1264" s="100">
        <v>7</v>
      </c>
      <c r="MW1264" s="100">
        <v>10</v>
      </c>
      <c r="MX1264" s="100">
        <v>4</v>
      </c>
      <c r="MY1264" s="100">
        <v>6</v>
      </c>
      <c r="NA1264" s="100">
        <v>7</v>
      </c>
      <c r="ND1264" s="100">
        <v>20</v>
      </c>
      <c r="NF1264" s="100">
        <v>1</v>
      </c>
      <c r="NI1264" s="100">
        <v>6</v>
      </c>
      <c r="NL1264" s="100">
        <v>65</v>
      </c>
      <c r="NM1264" s="100">
        <v>3</v>
      </c>
      <c r="NN1264" s="100">
        <v>7</v>
      </c>
      <c r="NT1264" s="100">
        <v>4</v>
      </c>
      <c r="NU1264" s="100">
        <v>1</v>
      </c>
      <c r="ON1264" s="100">
        <f t="shared" si="384"/>
        <v>5</v>
      </c>
    </row>
    <row r="1265" spans="1:404" ht="23.25" customHeight="1">
      <c r="A1265" s="97" t="str">
        <f>D1265&amp;E1265</f>
        <v>002/INTRATUIN-2166-77100-03-B</v>
      </c>
      <c r="B1265" s="95">
        <v>44552</v>
      </c>
      <c r="C1265" s="97">
        <f t="shared" ca="1" si="381"/>
        <v>-512</v>
      </c>
      <c r="D1265" s="112" t="s">
        <v>1594</v>
      </c>
      <c r="E1265" s="123" t="s">
        <v>1380</v>
      </c>
      <c r="F1265" s="98" t="str">
        <f t="shared" si="387"/>
        <v>B</v>
      </c>
      <c r="G1265" s="110">
        <f ca="1">SUMIF($A:E,$A1265,K:K)</f>
        <v>88</v>
      </c>
      <c r="H1265" s="97" t="s">
        <v>1595</v>
      </c>
      <c r="I1265" s="133">
        <v>88</v>
      </c>
      <c r="J1265" s="138">
        <v>88</v>
      </c>
      <c r="K1265" s="166">
        <f t="shared" si="383"/>
        <v>88</v>
      </c>
      <c r="L1265" s="150">
        <f t="shared" si="388"/>
        <v>0</v>
      </c>
      <c r="M1265" s="275">
        <f t="shared" si="386"/>
        <v>88</v>
      </c>
      <c r="N1265" s="133">
        <v>1</v>
      </c>
      <c r="O1265" s="93">
        <f t="shared" si="390"/>
        <v>100</v>
      </c>
      <c r="MF1265" s="100">
        <v>22</v>
      </c>
      <c r="MG1265" s="100">
        <v>34</v>
      </c>
      <c r="MK1265" s="100">
        <v>32</v>
      </c>
      <c r="ON1265" s="100">
        <f t="shared" si="384"/>
        <v>0</v>
      </c>
    </row>
    <row r="1266" spans="1:404" ht="23.25" customHeight="1">
      <c r="A1266" s="127" t="str">
        <f>D1266&amp;E1266</f>
        <v>001/AHOME-2166-77100-03-30</v>
      </c>
      <c r="B1266" s="95">
        <v>44379</v>
      </c>
      <c r="C1266" s="97">
        <f t="shared" ref="C1266:C1308" ca="1" si="391">B1266-TODAY()</f>
        <v>-685</v>
      </c>
      <c r="D1266" s="152" t="s">
        <v>766</v>
      </c>
      <c r="E1266" s="260" t="s">
        <v>516</v>
      </c>
      <c r="F1266" s="132" t="str">
        <f t="shared" si="387"/>
        <v>30</v>
      </c>
      <c r="G1266" s="130">
        <f ca="1">SUMIF($A:E,$A1266,K:K)</f>
        <v>160</v>
      </c>
      <c r="H1266" s="127" t="s">
        <v>769</v>
      </c>
      <c r="I1266" s="132">
        <v>160</v>
      </c>
      <c r="J1266" s="127">
        <v>160</v>
      </c>
      <c r="K1266" s="143">
        <f t="shared" si="383"/>
        <v>160</v>
      </c>
      <c r="L1266" s="144">
        <f t="shared" si="388"/>
        <v>0</v>
      </c>
      <c r="M1266" s="275">
        <f t="shared" si="386"/>
        <v>160</v>
      </c>
      <c r="N1266" s="132">
        <v>5</v>
      </c>
      <c r="O1266" s="93">
        <f t="shared" si="390"/>
        <v>100</v>
      </c>
      <c r="DN1266" s="101">
        <v>5</v>
      </c>
      <c r="DO1266" s="101">
        <v>5</v>
      </c>
      <c r="DU1266" s="100">
        <v>13</v>
      </c>
      <c r="DV1266" s="100">
        <v>5</v>
      </c>
      <c r="DY1266" s="100">
        <v>8</v>
      </c>
      <c r="DZ1266" s="100">
        <v>2</v>
      </c>
      <c r="ED1266" s="100">
        <v>10</v>
      </c>
      <c r="EF1266" s="100">
        <v>3</v>
      </c>
      <c r="EG1266" s="100">
        <v>7</v>
      </c>
      <c r="EH1266" s="100">
        <v>10</v>
      </c>
      <c r="EM1266" s="100">
        <v>16</v>
      </c>
      <c r="EN1266" s="100">
        <v>7</v>
      </c>
      <c r="EO1266" s="100">
        <v>4</v>
      </c>
      <c r="EP1266" s="100">
        <v>4</v>
      </c>
      <c r="ER1266" s="100">
        <v>10</v>
      </c>
      <c r="EU1266" s="100">
        <v>6</v>
      </c>
      <c r="EX1266" s="100">
        <v>15</v>
      </c>
      <c r="EY1266" s="100">
        <v>5</v>
      </c>
      <c r="FA1266" s="100">
        <v>5</v>
      </c>
      <c r="FC1266" s="100">
        <v>8</v>
      </c>
      <c r="FD1266" s="100">
        <v>5</v>
      </c>
      <c r="FL1266" s="100">
        <v>5</v>
      </c>
      <c r="FM1266" s="100">
        <v>2</v>
      </c>
      <c r="ON1266" s="100">
        <f t="shared" si="384"/>
        <v>0</v>
      </c>
    </row>
    <row r="1267" spans="1:404" ht="23.25" customHeight="1">
      <c r="A1267" s="97" t="s">
        <v>1370</v>
      </c>
      <c r="B1267" s="95">
        <v>44611</v>
      </c>
      <c r="C1267" s="97">
        <f t="shared" ca="1" si="391"/>
        <v>-453</v>
      </c>
      <c r="D1267" s="112" t="s">
        <v>1375</v>
      </c>
      <c r="E1267" s="123" t="s">
        <v>1379</v>
      </c>
      <c r="F1267" s="98" t="str">
        <f t="shared" si="387"/>
        <v>B</v>
      </c>
      <c r="G1267" s="110">
        <f ca="1">SUMIF($A:E,$A1267,K:K)</f>
        <v>5654</v>
      </c>
      <c r="H1267" s="112" t="s">
        <v>1381</v>
      </c>
      <c r="I1267" s="175">
        <v>174</v>
      </c>
      <c r="J1267" s="115">
        <v>174</v>
      </c>
      <c r="K1267" s="143">
        <f t="shared" si="383"/>
        <v>230</v>
      </c>
      <c r="L1267" s="144">
        <f t="shared" si="388"/>
        <v>-56</v>
      </c>
      <c r="M1267" s="275">
        <f t="shared" si="386"/>
        <v>174</v>
      </c>
      <c r="N1267" s="98">
        <v>6</v>
      </c>
      <c r="O1267" s="93">
        <f t="shared" si="390"/>
        <v>132.18390804597701</v>
      </c>
      <c r="MO1267" s="100">
        <v>2</v>
      </c>
      <c r="MP1267" s="100">
        <v>3</v>
      </c>
      <c r="MQ1267" s="100">
        <v>1</v>
      </c>
      <c r="MR1267" s="100">
        <v>8</v>
      </c>
      <c r="MS1267" s="100">
        <v>8</v>
      </c>
      <c r="MT1267" s="100">
        <v>2</v>
      </c>
      <c r="MU1267" s="100">
        <v>1</v>
      </c>
      <c r="MW1267" s="100">
        <v>4</v>
      </c>
      <c r="MX1267" s="100">
        <v>2</v>
      </c>
      <c r="MY1267" s="100">
        <v>1</v>
      </c>
      <c r="NA1267" s="100">
        <v>2</v>
      </c>
      <c r="ND1267" s="100">
        <v>15</v>
      </c>
      <c r="NF1267" s="100">
        <v>9</v>
      </c>
      <c r="NI1267" s="100">
        <v>14</v>
      </c>
      <c r="NL1267" s="100">
        <v>30</v>
      </c>
      <c r="NN1267" s="100">
        <v>16</v>
      </c>
      <c r="NT1267" s="100">
        <v>6</v>
      </c>
      <c r="NU1267" s="100">
        <v>2</v>
      </c>
      <c r="NV1267" s="100">
        <v>9</v>
      </c>
      <c r="NY1267" s="100">
        <v>8</v>
      </c>
      <c r="NZ1267" s="100">
        <v>4</v>
      </c>
      <c r="OA1267" s="100">
        <v>12</v>
      </c>
      <c r="OD1267" s="100">
        <v>5</v>
      </c>
      <c r="OG1267" s="100">
        <v>10</v>
      </c>
      <c r="ON1267" s="100">
        <f t="shared" si="384"/>
        <v>56</v>
      </c>
    </row>
    <row r="1268" spans="1:404" ht="23.25" customHeight="1">
      <c r="A1268" s="97" t="str">
        <f>D1268&amp;E1268</f>
        <v>002/INTRATUIN-2166-77100-02-B</v>
      </c>
      <c r="B1268" s="95">
        <v>44552</v>
      </c>
      <c r="C1268" s="97">
        <f t="shared" ca="1" si="391"/>
        <v>-512</v>
      </c>
      <c r="D1268" s="112" t="s">
        <v>1594</v>
      </c>
      <c r="E1268" s="123" t="s">
        <v>1379</v>
      </c>
      <c r="F1268" s="98" t="str">
        <f t="shared" si="387"/>
        <v>B</v>
      </c>
      <c r="G1268" s="110">
        <f ca="1">SUMIF($A:E,$A1268,K:K)</f>
        <v>14</v>
      </c>
      <c r="H1268" s="97" t="s">
        <v>1595</v>
      </c>
      <c r="I1268" s="98">
        <v>14</v>
      </c>
      <c r="J1268" s="97">
        <v>14</v>
      </c>
      <c r="K1268" s="143">
        <f t="shared" si="383"/>
        <v>14</v>
      </c>
      <c r="L1268" s="144">
        <f t="shared" si="388"/>
        <v>0</v>
      </c>
      <c r="M1268" s="275">
        <f t="shared" si="386"/>
        <v>14</v>
      </c>
      <c r="N1268" s="98">
        <v>2</v>
      </c>
      <c r="O1268" s="93">
        <f t="shared" si="390"/>
        <v>100</v>
      </c>
      <c r="MH1268" s="100">
        <v>13</v>
      </c>
      <c r="MK1268" s="100">
        <v>1</v>
      </c>
      <c r="ON1268" s="100">
        <f t="shared" si="384"/>
        <v>0</v>
      </c>
    </row>
    <row r="1269" spans="1:404" ht="23.25" customHeight="1">
      <c r="A1269" s="97" t="s">
        <v>1370</v>
      </c>
      <c r="B1269" s="95">
        <v>44611</v>
      </c>
      <c r="C1269" s="97">
        <f t="shared" ca="1" si="391"/>
        <v>-453</v>
      </c>
      <c r="D1269" s="112" t="s">
        <v>1375</v>
      </c>
      <c r="E1269" s="123" t="s">
        <v>1378</v>
      </c>
      <c r="F1269" s="98" t="str">
        <f t="shared" si="387"/>
        <v>B</v>
      </c>
      <c r="G1269" s="110">
        <f ca="1">SUMIF($A:E,$A1269,K:K)</f>
        <v>5654</v>
      </c>
      <c r="H1269" s="112" t="s">
        <v>1381</v>
      </c>
      <c r="I1269" s="175">
        <v>416</v>
      </c>
      <c r="J1269" s="115">
        <v>416</v>
      </c>
      <c r="K1269" s="143">
        <f t="shared" si="383"/>
        <v>0</v>
      </c>
      <c r="L1269" s="144">
        <f t="shared" si="388"/>
        <v>416</v>
      </c>
      <c r="M1269" s="275">
        <f t="shared" si="386"/>
        <v>416</v>
      </c>
      <c r="N1269" s="98"/>
      <c r="O1269" s="93">
        <f t="shared" si="390"/>
        <v>0</v>
      </c>
      <c r="ON1269" s="100">
        <f t="shared" si="384"/>
        <v>0</v>
      </c>
    </row>
    <row r="1270" spans="1:404" ht="23.25" customHeight="1">
      <c r="A1270" s="127" t="str">
        <f>D1270&amp;E1270</f>
        <v>002/INTRATUIN-2166-77000-03-B</v>
      </c>
      <c r="B1270" s="126">
        <v>44552</v>
      </c>
      <c r="C1270" s="127">
        <f t="shared" ca="1" si="391"/>
        <v>-512</v>
      </c>
      <c r="D1270" s="208" t="s">
        <v>1594</v>
      </c>
      <c r="E1270" s="226" t="s">
        <v>1378</v>
      </c>
      <c r="F1270" s="132" t="str">
        <f t="shared" ref="F1270:F1294" si="392">MID(E1270,13,2)</f>
        <v>B</v>
      </c>
      <c r="G1270" s="130">
        <f ca="1">SUMIF($A:E,$A1270,K:K)</f>
        <v>64</v>
      </c>
      <c r="H1270" s="127" t="s">
        <v>1595</v>
      </c>
      <c r="I1270" s="132">
        <v>64</v>
      </c>
      <c r="J1270" s="127">
        <v>64</v>
      </c>
      <c r="K1270" s="160">
        <f t="shared" si="383"/>
        <v>64</v>
      </c>
      <c r="L1270" s="151">
        <f t="shared" si="388"/>
        <v>0</v>
      </c>
      <c r="M1270" s="275">
        <f t="shared" si="386"/>
        <v>64</v>
      </c>
      <c r="N1270" s="132">
        <v>2</v>
      </c>
      <c r="O1270" s="93">
        <f t="shared" si="390"/>
        <v>100</v>
      </c>
      <c r="MG1270" s="100">
        <v>35</v>
      </c>
      <c r="MH1270" s="100">
        <v>13</v>
      </c>
      <c r="MK1270" s="100">
        <v>16</v>
      </c>
      <c r="ON1270" s="100">
        <f t="shared" si="384"/>
        <v>0</v>
      </c>
    </row>
    <row r="1271" spans="1:404" ht="23.25" customHeight="1">
      <c r="A1271" s="97" t="str">
        <f>D1271&amp;E1271</f>
        <v>001/HERSTERA-2166-77000-03-30</v>
      </c>
      <c r="B1271" s="95">
        <v>44339</v>
      </c>
      <c r="C1271" s="97">
        <f t="shared" ca="1" si="391"/>
        <v>-725</v>
      </c>
      <c r="D1271" s="96" t="s">
        <v>776</v>
      </c>
      <c r="E1271" s="113" t="s">
        <v>778</v>
      </c>
      <c r="F1271" s="98" t="str">
        <f t="shared" si="392"/>
        <v>30</v>
      </c>
      <c r="G1271" s="110">
        <f ca="1">SUMIF($A:E,$A1271,K:K)</f>
        <v>288</v>
      </c>
      <c r="H1271" s="97" t="s">
        <v>779</v>
      </c>
      <c r="I1271" s="98">
        <v>288</v>
      </c>
      <c r="J1271" s="99">
        <v>288</v>
      </c>
      <c r="K1271" s="160">
        <f t="shared" si="383"/>
        <v>288</v>
      </c>
      <c r="L1271" s="151">
        <f t="shared" si="388"/>
        <v>0</v>
      </c>
      <c r="M1271" s="275">
        <f t="shared" si="386"/>
        <v>288</v>
      </c>
      <c r="N1271" s="98">
        <v>1</v>
      </c>
      <c r="O1271" s="93">
        <f t="shared" si="390"/>
        <v>100</v>
      </c>
      <c r="DB1271" s="101">
        <v>8</v>
      </c>
      <c r="DE1271" s="101">
        <v>30</v>
      </c>
      <c r="DF1271" s="101">
        <v>17</v>
      </c>
      <c r="DL1271" s="101">
        <v>8</v>
      </c>
      <c r="DM1271" s="101">
        <v>16</v>
      </c>
      <c r="DN1271" s="101">
        <v>4</v>
      </c>
      <c r="DP1271" s="101">
        <v>24</v>
      </c>
      <c r="DR1271" s="101">
        <v>17</v>
      </c>
      <c r="DS1271" s="100">
        <v>21</v>
      </c>
      <c r="DV1271" s="100">
        <v>31</v>
      </c>
      <c r="DW1271" s="100">
        <v>14</v>
      </c>
      <c r="DY1271" s="100">
        <v>27</v>
      </c>
      <c r="EA1271" s="100">
        <v>26</v>
      </c>
      <c r="EC1271" s="100">
        <v>3</v>
      </c>
      <c r="ED1271" s="100">
        <v>42</v>
      </c>
      <c r="ON1271" s="100">
        <f t="shared" si="384"/>
        <v>0</v>
      </c>
    </row>
    <row r="1272" spans="1:404" ht="23.25" customHeight="1">
      <c r="A1272" s="127" t="s">
        <v>1370</v>
      </c>
      <c r="B1272" s="126">
        <v>44611</v>
      </c>
      <c r="C1272" s="127">
        <f t="shared" ca="1" si="391"/>
        <v>-453</v>
      </c>
      <c r="D1272" s="208" t="s">
        <v>1375</v>
      </c>
      <c r="E1272" s="226" t="s">
        <v>1377</v>
      </c>
      <c r="F1272" s="132" t="str">
        <f t="shared" si="392"/>
        <v>B</v>
      </c>
      <c r="G1272" s="130">
        <f ca="1">SUMIF($A:E,$A1272,K:K)</f>
        <v>5654</v>
      </c>
      <c r="H1272" s="208" t="s">
        <v>1381</v>
      </c>
      <c r="I1272" s="203">
        <v>252</v>
      </c>
      <c r="J1272" s="134">
        <v>252</v>
      </c>
      <c r="K1272" s="160">
        <f t="shared" si="383"/>
        <v>0</v>
      </c>
      <c r="L1272" s="151">
        <f t="shared" si="388"/>
        <v>252</v>
      </c>
      <c r="M1272" s="275">
        <f t="shared" si="386"/>
        <v>252</v>
      </c>
      <c r="N1272" s="132"/>
      <c r="O1272" s="93">
        <f t="shared" si="390"/>
        <v>0</v>
      </c>
      <c r="ON1272" s="100">
        <f t="shared" si="384"/>
        <v>0</v>
      </c>
    </row>
    <row r="1273" spans="1:404" ht="23.25" customHeight="1">
      <c r="A1273" s="127" t="str">
        <f>D1273&amp;E1273</f>
        <v>001/HERSTERA-2166-77000-02-30</v>
      </c>
      <c r="B1273" s="126">
        <v>44339</v>
      </c>
      <c r="C1273" s="127">
        <f t="shared" ca="1" si="391"/>
        <v>-725</v>
      </c>
      <c r="D1273" s="128" t="s">
        <v>776</v>
      </c>
      <c r="E1273" s="209" t="s">
        <v>777</v>
      </c>
      <c r="F1273" s="132" t="str">
        <f t="shared" si="392"/>
        <v>30</v>
      </c>
      <c r="G1273" s="130">
        <f ca="1">SUMIF($A:E,$A1273,K:K)</f>
        <v>192</v>
      </c>
      <c r="H1273" s="127" t="s">
        <v>779</v>
      </c>
      <c r="I1273" s="132">
        <v>192</v>
      </c>
      <c r="J1273" s="131">
        <v>192</v>
      </c>
      <c r="K1273" s="160">
        <f t="shared" si="383"/>
        <v>192</v>
      </c>
      <c r="L1273" s="151">
        <f t="shared" si="388"/>
        <v>0</v>
      </c>
      <c r="M1273" s="275">
        <f t="shared" si="386"/>
        <v>192</v>
      </c>
      <c r="N1273" s="132">
        <v>4</v>
      </c>
      <c r="O1273" s="93">
        <f t="shared" si="390"/>
        <v>100</v>
      </c>
      <c r="CW1273" s="101">
        <v>19</v>
      </c>
      <c r="CZ1273" s="101">
        <v>26</v>
      </c>
      <c r="DA1273" s="101">
        <v>23</v>
      </c>
      <c r="DB1273" s="101">
        <v>20</v>
      </c>
      <c r="DD1273" s="101">
        <v>19</v>
      </c>
      <c r="DE1273" s="101">
        <v>10</v>
      </c>
      <c r="DF1273" s="101">
        <v>19</v>
      </c>
      <c r="DG1273" s="101">
        <v>19</v>
      </c>
      <c r="DK1273" s="101">
        <v>9</v>
      </c>
      <c r="DL1273" s="101">
        <v>10</v>
      </c>
      <c r="DM1273" s="101">
        <v>13</v>
      </c>
      <c r="DN1273" s="101">
        <v>1</v>
      </c>
      <c r="DV1273" s="100">
        <v>4</v>
      </c>
      <c r="ON1273" s="100">
        <f t="shared" si="384"/>
        <v>0</v>
      </c>
    </row>
    <row r="1274" spans="1:404" ht="23.25" customHeight="1">
      <c r="A1274" s="97" t="str">
        <f>D1274&amp;E1274</f>
        <v>003/HACA-HK-2166-76512-S1-B</v>
      </c>
      <c r="B1274" s="95">
        <v>44378</v>
      </c>
      <c r="C1274" s="97">
        <f t="shared" ca="1" si="391"/>
        <v>-686</v>
      </c>
      <c r="D1274" s="145" t="s">
        <v>803</v>
      </c>
      <c r="E1274" s="253" t="s">
        <v>506</v>
      </c>
      <c r="F1274" s="98" t="str">
        <f t="shared" si="392"/>
        <v>B</v>
      </c>
      <c r="G1274" s="110">
        <f ca="1">SUMIF($A:E,$A1274,K:K)</f>
        <v>38</v>
      </c>
      <c r="H1274" s="97" t="s">
        <v>791</v>
      </c>
      <c r="I1274" s="196">
        <v>38</v>
      </c>
      <c r="J1274" s="146">
        <v>38</v>
      </c>
      <c r="K1274" s="143">
        <f t="shared" si="383"/>
        <v>38</v>
      </c>
      <c r="L1274" s="144">
        <f t="shared" si="388"/>
        <v>0</v>
      </c>
      <c r="M1274" s="275">
        <f t="shared" si="386"/>
        <v>38</v>
      </c>
      <c r="N1274" s="98">
        <v>4</v>
      </c>
      <c r="O1274" s="93">
        <f t="shared" si="390"/>
        <v>100</v>
      </c>
      <c r="DZ1274" s="100">
        <v>2</v>
      </c>
      <c r="EC1274" s="100">
        <v>8</v>
      </c>
      <c r="EF1274" s="100">
        <v>8</v>
      </c>
      <c r="EG1274" s="100">
        <v>4</v>
      </c>
      <c r="EH1274" s="100">
        <v>4</v>
      </c>
      <c r="EI1274" s="100">
        <v>4</v>
      </c>
      <c r="EJ1274" s="100">
        <v>3</v>
      </c>
      <c r="EK1274" s="100">
        <v>4</v>
      </c>
      <c r="EL1274" s="100">
        <v>1</v>
      </c>
      <c r="ON1274" s="100">
        <f t="shared" si="384"/>
        <v>0</v>
      </c>
    </row>
    <row r="1275" spans="1:404" ht="23.25" customHeight="1">
      <c r="A1275" s="97" t="str">
        <f>D1275&amp;E1275</f>
        <v>004/HACA-HK-2166-76512-S1-B</v>
      </c>
      <c r="B1275" s="95">
        <v>44378</v>
      </c>
      <c r="C1275" s="97">
        <f t="shared" ca="1" si="391"/>
        <v>-686</v>
      </c>
      <c r="D1275" s="145" t="s">
        <v>815</v>
      </c>
      <c r="E1275" s="253" t="s">
        <v>506</v>
      </c>
      <c r="F1275" s="98" t="str">
        <f t="shared" si="392"/>
        <v>B</v>
      </c>
      <c r="G1275" s="110">
        <f ca="1">SUMIF($A:E,$A1275,K:K)</f>
        <v>19</v>
      </c>
      <c r="H1275" s="97" t="s">
        <v>601</v>
      </c>
      <c r="I1275" s="196">
        <v>19</v>
      </c>
      <c r="J1275" s="146">
        <v>19</v>
      </c>
      <c r="K1275" s="143">
        <f t="shared" si="383"/>
        <v>19</v>
      </c>
      <c r="L1275" s="144">
        <f t="shared" si="388"/>
        <v>0</v>
      </c>
      <c r="M1275" s="275">
        <f t="shared" si="386"/>
        <v>19</v>
      </c>
      <c r="N1275" s="98">
        <v>4</v>
      </c>
      <c r="O1275" s="93">
        <f t="shared" si="390"/>
        <v>100</v>
      </c>
      <c r="EL1275" s="100">
        <v>5</v>
      </c>
      <c r="EM1275" s="100">
        <v>4</v>
      </c>
      <c r="EN1275" s="100">
        <v>3</v>
      </c>
      <c r="EO1275" s="100">
        <v>2</v>
      </c>
      <c r="EP1275" s="100">
        <v>2</v>
      </c>
      <c r="EQ1275" s="100">
        <v>1</v>
      </c>
      <c r="ET1275" s="100">
        <v>2</v>
      </c>
      <c r="ON1275" s="100">
        <f t="shared" si="384"/>
        <v>0</v>
      </c>
    </row>
    <row r="1276" spans="1:404" ht="23.25" customHeight="1">
      <c r="A1276" s="97" t="e">
        <f>D1276&amp;#REF!</f>
        <v>#REF!</v>
      </c>
      <c r="B1276" s="95">
        <v>44570</v>
      </c>
      <c r="C1276" s="97">
        <f t="shared" ca="1" si="391"/>
        <v>-494</v>
      </c>
      <c r="D1276" s="96" t="s">
        <v>1232</v>
      </c>
      <c r="E1276" s="280" t="s">
        <v>423</v>
      </c>
      <c r="F1276" s="98" t="str">
        <f t="shared" si="392"/>
        <v>B1</v>
      </c>
      <c r="G1276" s="110">
        <f ca="1">SUMIF($A:E,$A1276,K:K)</f>
        <v>1754</v>
      </c>
      <c r="H1276" s="127" t="s">
        <v>508</v>
      </c>
      <c r="I1276" s="98">
        <v>8</v>
      </c>
      <c r="J1276" s="97">
        <v>8</v>
      </c>
      <c r="K1276" s="160">
        <f t="shared" si="383"/>
        <v>8</v>
      </c>
      <c r="L1276" s="151">
        <f t="shared" si="388"/>
        <v>0</v>
      </c>
      <c r="M1276" s="275">
        <f t="shared" si="386"/>
        <v>24</v>
      </c>
      <c r="N1276" s="98">
        <v>3</v>
      </c>
      <c r="O1276" s="93">
        <f t="shared" si="390"/>
        <v>100</v>
      </c>
      <c r="MG1276" s="100">
        <v>1</v>
      </c>
      <c r="MH1276" s="100">
        <v>1</v>
      </c>
      <c r="ML1276" s="100">
        <v>3</v>
      </c>
      <c r="MM1276" s="100">
        <v>1</v>
      </c>
      <c r="MN1276" s="100">
        <v>1</v>
      </c>
      <c r="MO1276" s="100">
        <v>1</v>
      </c>
      <c r="ON1276" s="100">
        <f t="shared" si="384"/>
        <v>0</v>
      </c>
    </row>
    <row r="1277" spans="1:404" ht="23.25" customHeight="1">
      <c r="A1277" s="97" t="str">
        <f t="shared" ref="A1277:A1300" si="393">D1277&amp;E1277</f>
        <v>001/ANNA-2166-75716-02-B</v>
      </c>
      <c r="B1277" s="95">
        <v>44395</v>
      </c>
      <c r="C1277" s="97">
        <f t="shared" ca="1" si="391"/>
        <v>-669</v>
      </c>
      <c r="D1277" s="159" t="s">
        <v>862</v>
      </c>
      <c r="E1277" s="123" t="s">
        <v>708</v>
      </c>
      <c r="F1277" s="132" t="str">
        <f t="shared" si="392"/>
        <v>B</v>
      </c>
      <c r="G1277" s="130">
        <f ca="1">SUMIF($A:E,$A1277,K:K)</f>
        <v>90</v>
      </c>
      <c r="H1277" s="97" t="s">
        <v>882</v>
      </c>
      <c r="I1277" s="175">
        <v>90</v>
      </c>
      <c r="J1277" s="115">
        <v>90</v>
      </c>
      <c r="K1277" s="160">
        <f t="shared" si="383"/>
        <v>90</v>
      </c>
      <c r="L1277" s="151">
        <f t="shared" si="388"/>
        <v>0</v>
      </c>
      <c r="M1277" s="275">
        <f t="shared" si="386"/>
        <v>90</v>
      </c>
      <c r="N1277" s="98">
        <v>2</v>
      </c>
      <c r="O1277" s="93">
        <f t="shared" si="390"/>
        <v>100</v>
      </c>
      <c r="DO1277" s="101">
        <v>5</v>
      </c>
      <c r="DP1277" s="101">
        <v>13</v>
      </c>
      <c r="DR1277" s="101">
        <v>14</v>
      </c>
      <c r="DS1277" s="100">
        <v>7</v>
      </c>
      <c r="DT1277" s="100">
        <v>11</v>
      </c>
      <c r="DU1277" s="100">
        <v>21</v>
      </c>
      <c r="DV1277" s="100">
        <v>8</v>
      </c>
      <c r="EF1277" s="100">
        <v>10</v>
      </c>
      <c r="EN1277" s="100">
        <v>1</v>
      </c>
      <c r="ON1277" s="100">
        <f t="shared" si="384"/>
        <v>0</v>
      </c>
    </row>
    <row r="1278" spans="1:404" ht="23.25" customHeight="1">
      <c r="A1278" s="97" t="str">
        <f t="shared" si="393"/>
        <v>001/GREENPOT-VG_SR-2166-75716-02-B</v>
      </c>
      <c r="B1278" s="95">
        <v>44426</v>
      </c>
      <c r="C1278" s="97">
        <f t="shared" ca="1" si="391"/>
        <v>-638</v>
      </c>
      <c r="D1278" s="112" t="s">
        <v>1606</v>
      </c>
      <c r="E1278" s="123" t="s">
        <v>708</v>
      </c>
      <c r="F1278" s="132" t="str">
        <f t="shared" si="392"/>
        <v>B</v>
      </c>
      <c r="G1278" s="130">
        <f ca="1">SUMIF($A:E,$A1278,K:K)</f>
        <v>1</v>
      </c>
      <c r="H1278" s="112" t="s">
        <v>1616</v>
      </c>
      <c r="I1278" s="175">
        <v>1</v>
      </c>
      <c r="J1278" s="115">
        <v>1</v>
      </c>
      <c r="K1278" s="160">
        <f t="shared" si="383"/>
        <v>1</v>
      </c>
      <c r="L1278" s="151">
        <f t="shared" si="388"/>
        <v>0</v>
      </c>
      <c r="M1278" s="275">
        <f t="shared" si="386"/>
        <v>1</v>
      </c>
      <c r="N1278" s="98">
        <v>3</v>
      </c>
      <c r="O1278" s="93">
        <f t="shared" si="390"/>
        <v>100</v>
      </c>
      <c r="HL1278" s="100">
        <v>1</v>
      </c>
      <c r="ON1278" s="100">
        <f t="shared" si="384"/>
        <v>0</v>
      </c>
    </row>
    <row r="1279" spans="1:404" ht="23.25" customHeight="1">
      <c r="A1279" s="97" t="str">
        <f t="shared" si="393"/>
        <v>001/ANNA-2166-75716-02-A</v>
      </c>
      <c r="B1279" s="95">
        <v>44395</v>
      </c>
      <c r="C1279" s="97">
        <f t="shared" ca="1" si="391"/>
        <v>-669</v>
      </c>
      <c r="D1279" s="159" t="s">
        <v>862</v>
      </c>
      <c r="E1279" s="123" t="s">
        <v>873</v>
      </c>
      <c r="F1279" s="132" t="str">
        <f t="shared" si="392"/>
        <v>A</v>
      </c>
      <c r="G1279" s="130">
        <f ca="1">SUMIF($A:E,$A1279,K:K)</f>
        <v>90</v>
      </c>
      <c r="H1279" s="97" t="s">
        <v>882</v>
      </c>
      <c r="I1279" s="175">
        <v>90</v>
      </c>
      <c r="J1279" s="115">
        <v>90</v>
      </c>
      <c r="K1279" s="160">
        <f t="shared" si="383"/>
        <v>90</v>
      </c>
      <c r="L1279" s="151">
        <f t="shared" si="388"/>
        <v>0</v>
      </c>
      <c r="M1279" s="275">
        <f t="shared" si="386"/>
        <v>90</v>
      </c>
      <c r="N1279" s="98">
        <v>2</v>
      </c>
      <c r="O1279" s="93">
        <f t="shared" si="390"/>
        <v>100</v>
      </c>
      <c r="CZ1279" s="101">
        <v>6</v>
      </c>
      <c r="DA1279" s="101">
        <v>7</v>
      </c>
      <c r="DB1279" s="101">
        <v>6</v>
      </c>
      <c r="DD1279" s="101">
        <v>4</v>
      </c>
      <c r="DE1279" s="101">
        <v>6</v>
      </c>
      <c r="DF1279" s="101">
        <v>10</v>
      </c>
      <c r="DG1279" s="101">
        <v>6</v>
      </c>
      <c r="DK1279" s="101">
        <v>8</v>
      </c>
      <c r="DL1279" s="101">
        <v>7</v>
      </c>
      <c r="DM1279" s="101">
        <v>16</v>
      </c>
      <c r="DN1279" s="101">
        <v>14</v>
      </c>
      <c r="ON1279" s="100">
        <f t="shared" si="384"/>
        <v>0</v>
      </c>
    </row>
    <row r="1280" spans="1:404" ht="23.25" customHeight="1">
      <c r="A1280" s="97" t="str">
        <f t="shared" si="393"/>
        <v>211/KHBS-2166-75716-02-A</v>
      </c>
      <c r="B1280" s="95">
        <v>44446</v>
      </c>
      <c r="C1280" s="97">
        <f t="shared" ca="1" si="391"/>
        <v>-618</v>
      </c>
      <c r="D1280" s="96" t="s">
        <v>1260</v>
      </c>
      <c r="E1280" s="94" t="s">
        <v>873</v>
      </c>
      <c r="F1280" s="132" t="str">
        <f t="shared" si="392"/>
        <v>A</v>
      </c>
      <c r="G1280" s="130">
        <f ca="1">SUMIF($A:E,$A1280,K:K)</f>
        <v>1</v>
      </c>
      <c r="H1280" s="97" t="s">
        <v>1261</v>
      </c>
      <c r="I1280" s="98">
        <v>1</v>
      </c>
      <c r="J1280" s="99">
        <v>1</v>
      </c>
      <c r="K1280" s="160">
        <f t="shared" si="383"/>
        <v>1</v>
      </c>
      <c r="L1280" s="151">
        <f t="shared" si="388"/>
        <v>0</v>
      </c>
      <c r="M1280" s="275">
        <f t="shared" si="386"/>
        <v>1</v>
      </c>
      <c r="N1280" s="98">
        <v>2</v>
      </c>
      <c r="O1280" s="93">
        <f t="shared" si="390"/>
        <v>100</v>
      </c>
      <c r="FV1280" s="100">
        <v>1</v>
      </c>
      <c r="ON1280" s="100">
        <f t="shared" si="384"/>
        <v>0</v>
      </c>
    </row>
    <row r="1281" spans="1:404" ht="23.25" customHeight="1">
      <c r="A1281" s="97" t="str">
        <f t="shared" si="393"/>
        <v>215/KHBS-2166-75716-02-A</v>
      </c>
      <c r="B1281" s="95">
        <v>44394</v>
      </c>
      <c r="C1281" s="97">
        <f t="shared" ca="1" si="391"/>
        <v>-670</v>
      </c>
      <c r="D1281" s="96" t="s">
        <v>1313</v>
      </c>
      <c r="E1281" s="258" t="s">
        <v>873</v>
      </c>
      <c r="F1281" s="132" t="str">
        <f t="shared" si="392"/>
        <v>A</v>
      </c>
      <c r="G1281" s="130">
        <f ca="1">SUMIF($A:E,$A1281,K:K)</f>
        <v>1</v>
      </c>
      <c r="H1281" s="97" t="s">
        <v>1309</v>
      </c>
      <c r="I1281" s="212">
        <v>1</v>
      </c>
      <c r="J1281" s="213">
        <v>1</v>
      </c>
      <c r="K1281" s="160">
        <f t="shared" si="383"/>
        <v>1</v>
      </c>
      <c r="L1281" s="151">
        <f t="shared" si="388"/>
        <v>0</v>
      </c>
      <c r="M1281" s="275">
        <f t="shared" si="386"/>
        <v>1</v>
      </c>
      <c r="N1281" s="98">
        <v>3</v>
      </c>
      <c r="O1281" s="93">
        <f t="shared" si="390"/>
        <v>100</v>
      </c>
      <c r="GE1281" s="100">
        <v>1</v>
      </c>
      <c r="ON1281" s="100">
        <f t="shared" si="384"/>
        <v>0</v>
      </c>
    </row>
    <row r="1282" spans="1:404" ht="23.25" customHeight="1">
      <c r="A1282" s="97" t="str">
        <f t="shared" si="393"/>
        <v>001/GREENPOT-VG_SR-2166-75716-02-A</v>
      </c>
      <c r="B1282" s="95">
        <v>44426</v>
      </c>
      <c r="C1282" s="97">
        <f t="shared" ca="1" si="391"/>
        <v>-638</v>
      </c>
      <c r="D1282" s="112" t="s">
        <v>1606</v>
      </c>
      <c r="E1282" s="123" t="s">
        <v>873</v>
      </c>
      <c r="F1282" s="132" t="str">
        <f t="shared" si="392"/>
        <v>A</v>
      </c>
      <c r="G1282" s="130">
        <f ca="1">SUMIF($A:E,$A1282,K:K)</f>
        <v>1</v>
      </c>
      <c r="H1282" s="112" t="s">
        <v>1616</v>
      </c>
      <c r="I1282" s="175">
        <v>1</v>
      </c>
      <c r="J1282" s="115">
        <v>1</v>
      </c>
      <c r="K1282" s="160">
        <f t="shared" si="383"/>
        <v>1</v>
      </c>
      <c r="L1282" s="151">
        <f t="shared" si="388"/>
        <v>0</v>
      </c>
      <c r="M1282" s="275">
        <f t="shared" si="386"/>
        <v>1</v>
      </c>
      <c r="N1282" s="98">
        <v>3</v>
      </c>
      <c r="O1282" s="93">
        <f t="shared" si="390"/>
        <v>100</v>
      </c>
      <c r="HL1282" s="100">
        <v>1</v>
      </c>
      <c r="ON1282" s="100">
        <f t="shared" si="384"/>
        <v>0</v>
      </c>
    </row>
    <row r="1283" spans="1:404" ht="23.25" customHeight="1">
      <c r="A1283" s="97" t="str">
        <f t="shared" si="393"/>
        <v>001/ANNA-2166-75716-02-01</v>
      </c>
      <c r="B1283" s="95">
        <v>44403</v>
      </c>
      <c r="C1283" s="97">
        <f t="shared" ca="1" si="391"/>
        <v>-661</v>
      </c>
      <c r="D1283" s="159" t="s">
        <v>862</v>
      </c>
      <c r="E1283" s="123" t="s">
        <v>872</v>
      </c>
      <c r="F1283" s="132" t="str">
        <f t="shared" si="392"/>
        <v>01</v>
      </c>
      <c r="G1283" s="130">
        <f ca="1">SUMIF($A:E,$A1283,K:K)</f>
        <v>90</v>
      </c>
      <c r="H1283" s="97" t="s">
        <v>881</v>
      </c>
      <c r="I1283" s="175">
        <v>90</v>
      </c>
      <c r="J1283" s="115">
        <v>90</v>
      </c>
      <c r="K1283" s="160">
        <f t="shared" si="383"/>
        <v>90</v>
      </c>
      <c r="L1283" s="151">
        <f t="shared" si="388"/>
        <v>0</v>
      </c>
      <c r="M1283" s="275">
        <f t="shared" si="386"/>
        <v>90</v>
      </c>
      <c r="N1283" s="98">
        <v>2</v>
      </c>
      <c r="O1283" s="93">
        <f t="shared" si="390"/>
        <v>100</v>
      </c>
      <c r="EC1283" s="100">
        <v>7</v>
      </c>
      <c r="ED1283" s="100">
        <v>14</v>
      </c>
      <c r="EF1283" s="100">
        <v>6</v>
      </c>
      <c r="EG1283" s="100">
        <v>7</v>
      </c>
      <c r="EH1283" s="100">
        <v>7</v>
      </c>
      <c r="EI1283" s="100">
        <v>7</v>
      </c>
      <c r="EJ1283" s="100">
        <v>7</v>
      </c>
      <c r="EK1283" s="100">
        <v>6</v>
      </c>
      <c r="EL1283" s="100">
        <v>7</v>
      </c>
      <c r="EM1283" s="100">
        <v>7</v>
      </c>
      <c r="EQ1283" s="100">
        <v>7</v>
      </c>
      <c r="ER1283" s="100">
        <v>7</v>
      </c>
      <c r="ET1283" s="100">
        <v>1</v>
      </c>
      <c r="ON1283" s="100">
        <f t="shared" si="384"/>
        <v>0</v>
      </c>
    </row>
    <row r="1284" spans="1:404" ht="23.25" customHeight="1">
      <c r="A1284" s="97" t="str">
        <f t="shared" si="393"/>
        <v>001/GREENPOT-VG_SR-2166-75716-01-B</v>
      </c>
      <c r="B1284" s="95">
        <v>44426</v>
      </c>
      <c r="C1284" s="97">
        <f t="shared" ca="1" si="391"/>
        <v>-638</v>
      </c>
      <c r="D1284" s="112" t="s">
        <v>1606</v>
      </c>
      <c r="E1284" s="123" t="s">
        <v>707</v>
      </c>
      <c r="F1284" s="132" t="str">
        <f t="shared" si="392"/>
        <v>B</v>
      </c>
      <c r="G1284" s="130">
        <f ca="1">SUMIF($A:E,$A1284,K:K)</f>
        <v>1</v>
      </c>
      <c r="H1284" s="112" t="s">
        <v>1616</v>
      </c>
      <c r="I1284" s="175">
        <v>1</v>
      </c>
      <c r="J1284" s="115">
        <v>1</v>
      </c>
      <c r="K1284" s="160">
        <f t="shared" ref="K1284:K1347" si="394">SUM(P1284:BBC1284)</f>
        <v>1</v>
      </c>
      <c r="L1284" s="151">
        <f t="shared" si="388"/>
        <v>0</v>
      </c>
      <c r="M1284" s="275">
        <f t="shared" si="386"/>
        <v>1</v>
      </c>
      <c r="N1284" s="98">
        <v>3</v>
      </c>
      <c r="O1284" s="93">
        <f t="shared" si="390"/>
        <v>100</v>
      </c>
      <c r="HL1284" s="100">
        <v>1</v>
      </c>
      <c r="ON1284" s="100">
        <f t="shared" ref="ON1284:ON1347" si="395">SUM(NS1284:OM1284)</f>
        <v>0</v>
      </c>
    </row>
    <row r="1285" spans="1:404" ht="23.25" customHeight="1">
      <c r="A1285" s="97" t="str">
        <f t="shared" si="393"/>
        <v xml:space="preserve">	001/AL-FARES-VG-2166-75716-01-B</v>
      </c>
      <c r="B1285" s="95">
        <v>44686</v>
      </c>
      <c r="C1285" s="97">
        <f t="shared" ca="1" si="391"/>
        <v>-378</v>
      </c>
      <c r="D1285" s="112" t="s">
        <v>1814</v>
      </c>
      <c r="E1285" s="123" t="s">
        <v>707</v>
      </c>
      <c r="F1285" s="132" t="str">
        <f t="shared" si="392"/>
        <v>B</v>
      </c>
      <c r="G1285" s="130">
        <f ca="1">SUMIF($A:E,$A1285,K:K)</f>
        <v>0</v>
      </c>
      <c r="H1285" s="112" t="s">
        <v>1561</v>
      </c>
      <c r="I1285" s="175">
        <v>64</v>
      </c>
      <c r="J1285" s="115">
        <v>64</v>
      </c>
      <c r="K1285" s="160">
        <f t="shared" si="394"/>
        <v>0</v>
      </c>
      <c r="L1285" s="151">
        <f t="shared" si="388"/>
        <v>64</v>
      </c>
      <c r="M1285" s="275">
        <f t="shared" si="386"/>
        <v>64</v>
      </c>
      <c r="N1285" s="98">
        <v>4</v>
      </c>
      <c r="O1285" s="93">
        <f t="shared" si="390"/>
        <v>0</v>
      </c>
      <c r="ON1285" s="100">
        <f t="shared" si="395"/>
        <v>0</v>
      </c>
    </row>
    <row r="1286" spans="1:404" ht="23.25" customHeight="1">
      <c r="A1286" s="97" t="str">
        <f t="shared" si="393"/>
        <v>001/GREENPOT-VG_SR-2166-75716-01-A</v>
      </c>
      <c r="B1286" s="95">
        <v>44426</v>
      </c>
      <c r="C1286" s="97">
        <f t="shared" ca="1" si="391"/>
        <v>-638</v>
      </c>
      <c r="D1286" s="112" t="s">
        <v>1606</v>
      </c>
      <c r="E1286" s="123" t="s">
        <v>1609</v>
      </c>
      <c r="F1286" s="132" t="str">
        <f t="shared" si="392"/>
        <v>A</v>
      </c>
      <c r="G1286" s="130">
        <f ca="1">SUMIF($A:E,$A1286,K:K)</f>
        <v>1</v>
      </c>
      <c r="H1286" s="112" t="s">
        <v>1616</v>
      </c>
      <c r="I1286" s="175">
        <v>1</v>
      </c>
      <c r="J1286" s="115">
        <v>1</v>
      </c>
      <c r="K1286" s="160">
        <f t="shared" si="394"/>
        <v>1</v>
      </c>
      <c r="L1286" s="151">
        <f t="shared" si="388"/>
        <v>0</v>
      </c>
      <c r="M1286" s="275">
        <f t="shared" si="386"/>
        <v>1</v>
      </c>
      <c r="N1286" s="98">
        <v>3</v>
      </c>
      <c r="O1286" s="93">
        <f t="shared" ref="O1286:O1308" si="396">K1286/J1286*100</f>
        <v>100</v>
      </c>
      <c r="HL1286" s="100">
        <v>1</v>
      </c>
      <c r="ON1286" s="100">
        <f t="shared" si="395"/>
        <v>0</v>
      </c>
    </row>
    <row r="1287" spans="1:404" ht="23.25" customHeight="1">
      <c r="A1287" s="97" t="str">
        <f t="shared" si="393"/>
        <v>001/ANNA-2166-75616-03-B</v>
      </c>
      <c r="B1287" s="95">
        <v>44395</v>
      </c>
      <c r="C1287" s="97">
        <f t="shared" ca="1" si="391"/>
        <v>-669</v>
      </c>
      <c r="D1287" s="159" t="s">
        <v>862</v>
      </c>
      <c r="E1287" s="123" t="s">
        <v>706</v>
      </c>
      <c r="F1287" s="132" t="str">
        <f t="shared" si="392"/>
        <v>B</v>
      </c>
      <c r="G1287" s="130">
        <f ca="1">SUMIF($A:E,$A1287,K:K)</f>
        <v>315</v>
      </c>
      <c r="H1287" s="97" t="s">
        <v>882</v>
      </c>
      <c r="I1287" s="175">
        <v>315</v>
      </c>
      <c r="J1287" s="115">
        <v>200</v>
      </c>
      <c r="K1287" s="160">
        <f t="shared" si="394"/>
        <v>200</v>
      </c>
      <c r="L1287" s="151">
        <f t="shared" si="388"/>
        <v>0</v>
      </c>
      <c r="M1287" s="275">
        <f t="shared" si="386"/>
        <v>315</v>
      </c>
      <c r="N1287" s="98">
        <v>5</v>
      </c>
      <c r="O1287" s="93">
        <f t="shared" si="396"/>
        <v>100</v>
      </c>
      <c r="DN1287" s="101">
        <v>4</v>
      </c>
      <c r="DO1287" s="101">
        <v>14</v>
      </c>
      <c r="DP1287" s="101">
        <v>12</v>
      </c>
      <c r="DR1287" s="101">
        <v>10</v>
      </c>
      <c r="DS1287" s="100">
        <v>5</v>
      </c>
      <c r="DU1287" s="100">
        <v>6</v>
      </c>
      <c r="DV1287" s="100">
        <v>17</v>
      </c>
      <c r="DW1287" s="100">
        <v>4</v>
      </c>
      <c r="DY1287" s="100">
        <v>21</v>
      </c>
      <c r="EA1287" s="100">
        <v>21</v>
      </c>
      <c r="EC1287" s="100">
        <v>7</v>
      </c>
      <c r="ED1287" s="100">
        <v>9</v>
      </c>
      <c r="EG1287" s="100">
        <v>8</v>
      </c>
      <c r="EH1287" s="100">
        <v>24</v>
      </c>
      <c r="EI1287" s="100">
        <v>9</v>
      </c>
      <c r="EJ1287" s="100">
        <v>10</v>
      </c>
      <c r="EK1287" s="100">
        <v>9</v>
      </c>
      <c r="EN1287" s="100">
        <v>9</v>
      </c>
      <c r="EO1287" s="100">
        <v>1</v>
      </c>
      <c r="ON1287" s="100">
        <f t="shared" si="395"/>
        <v>0</v>
      </c>
    </row>
    <row r="1288" spans="1:404" ht="23.25" customHeight="1">
      <c r="A1288" s="97" t="str">
        <f t="shared" si="393"/>
        <v>001/ANNA-2166-75616-03-B</v>
      </c>
      <c r="B1288" s="95">
        <v>44395</v>
      </c>
      <c r="C1288" s="97">
        <f t="shared" ca="1" si="391"/>
        <v>-669</v>
      </c>
      <c r="D1288" s="159" t="s">
        <v>862</v>
      </c>
      <c r="E1288" s="123" t="s">
        <v>706</v>
      </c>
      <c r="F1288" s="132" t="str">
        <f t="shared" si="392"/>
        <v>B</v>
      </c>
      <c r="G1288" s="130">
        <f ca="1">SUMIF($A:E,$A1288,K:K)</f>
        <v>315</v>
      </c>
      <c r="H1288" s="97" t="s">
        <v>882</v>
      </c>
      <c r="I1288" s="175">
        <v>315</v>
      </c>
      <c r="J1288" s="115">
        <v>115</v>
      </c>
      <c r="K1288" s="160">
        <f t="shared" si="394"/>
        <v>115</v>
      </c>
      <c r="L1288" s="151">
        <f t="shared" si="388"/>
        <v>0</v>
      </c>
      <c r="M1288" s="275">
        <f t="shared" si="386"/>
        <v>315</v>
      </c>
      <c r="N1288" s="98">
        <v>3</v>
      </c>
      <c r="O1288" s="93">
        <f t="shared" si="396"/>
        <v>100</v>
      </c>
      <c r="DA1288" s="101">
        <v>12</v>
      </c>
      <c r="DB1288" s="101">
        <v>9</v>
      </c>
      <c r="DD1288" s="101">
        <v>15</v>
      </c>
      <c r="DE1288" s="101">
        <v>5</v>
      </c>
      <c r="DF1288" s="101">
        <v>10</v>
      </c>
      <c r="DG1288" s="101">
        <v>9</v>
      </c>
      <c r="DK1288" s="101">
        <v>10</v>
      </c>
      <c r="DL1288" s="101">
        <v>5</v>
      </c>
      <c r="DM1288" s="101">
        <v>8</v>
      </c>
      <c r="DN1288" s="101">
        <v>10</v>
      </c>
      <c r="DO1288" s="101">
        <v>9</v>
      </c>
      <c r="DP1288" s="101">
        <v>10</v>
      </c>
      <c r="DR1288" s="101">
        <v>3</v>
      </c>
      <c r="ON1288" s="100">
        <f t="shared" si="395"/>
        <v>0</v>
      </c>
    </row>
    <row r="1289" spans="1:404" ht="23.25" customHeight="1">
      <c r="A1289" s="97" t="str">
        <f t="shared" si="393"/>
        <v>158/KHBS-2166-75616-03-B</v>
      </c>
      <c r="B1289" s="95">
        <v>44306</v>
      </c>
      <c r="C1289" s="97">
        <f t="shared" ca="1" si="391"/>
        <v>-758</v>
      </c>
      <c r="D1289" s="96" t="s">
        <v>886</v>
      </c>
      <c r="E1289" s="94" t="s">
        <v>706</v>
      </c>
      <c r="F1289" s="132" t="str">
        <f t="shared" si="392"/>
        <v>B</v>
      </c>
      <c r="G1289" s="130">
        <f ca="1">SUMIF($A:E,$A1289,K:K)</f>
        <v>2</v>
      </c>
      <c r="H1289" s="97" t="s">
        <v>882</v>
      </c>
      <c r="I1289" s="98">
        <v>2</v>
      </c>
      <c r="J1289" s="99">
        <v>2</v>
      </c>
      <c r="K1289" s="160">
        <f t="shared" si="394"/>
        <v>2</v>
      </c>
      <c r="L1289" s="151">
        <f t="shared" si="388"/>
        <v>0</v>
      </c>
      <c r="M1289" s="275">
        <f t="shared" si="386"/>
        <v>2</v>
      </c>
      <c r="N1289" s="98">
        <v>1</v>
      </c>
      <c r="O1289" s="93">
        <f t="shared" si="396"/>
        <v>100</v>
      </c>
      <c r="CX1289" s="101">
        <v>2</v>
      </c>
      <c r="ON1289" s="100">
        <f t="shared" si="395"/>
        <v>0</v>
      </c>
    </row>
    <row r="1290" spans="1:404" ht="23.25" customHeight="1">
      <c r="A1290" s="97" t="str">
        <f t="shared" si="393"/>
        <v>165/KHBS-2166-75616-03-B</v>
      </c>
      <c r="B1290" s="95">
        <v>44319</v>
      </c>
      <c r="C1290" s="97">
        <f t="shared" ca="1" si="391"/>
        <v>-745</v>
      </c>
      <c r="D1290" s="96" t="s">
        <v>925</v>
      </c>
      <c r="E1290" s="94" t="s">
        <v>706</v>
      </c>
      <c r="F1290" s="132" t="str">
        <f t="shared" si="392"/>
        <v>B</v>
      </c>
      <c r="G1290" s="130">
        <f ca="1">SUMIF($A:E,$A1290,K:K)</f>
        <v>1</v>
      </c>
      <c r="H1290" s="97" t="s">
        <v>715</v>
      </c>
      <c r="I1290" s="98">
        <v>1</v>
      </c>
      <c r="J1290" s="99">
        <v>1</v>
      </c>
      <c r="K1290" s="160">
        <f t="shared" si="394"/>
        <v>1</v>
      </c>
      <c r="L1290" s="151">
        <f t="shared" si="388"/>
        <v>0</v>
      </c>
      <c r="M1290" s="275">
        <f t="shared" si="386"/>
        <v>1</v>
      </c>
      <c r="N1290" s="98">
        <v>3</v>
      </c>
      <c r="O1290" s="93">
        <f t="shared" si="396"/>
        <v>100</v>
      </c>
      <c r="DL1290" s="101">
        <v>1</v>
      </c>
      <c r="ON1290" s="100">
        <f t="shared" si="395"/>
        <v>0</v>
      </c>
    </row>
    <row r="1291" spans="1:404" ht="23.25" customHeight="1">
      <c r="A1291" s="97" t="str">
        <f t="shared" si="393"/>
        <v>211/KHBS-2166-75616-03-B</v>
      </c>
      <c r="B1291" s="95">
        <v>44446</v>
      </c>
      <c r="C1291" s="97">
        <f t="shared" ca="1" si="391"/>
        <v>-618</v>
      </c>
      <c r="D1291" s="96" t="s">
        <v>1260</v>
      </c>
      <c r="E1291" s="94" t="s">
        <v>706</v>
      </c>
      <c r="F1291" s="98" t="str">
        <f t="shared" si="392"/>
        <v>B</v>
      </c>
      <c r="G1291" s="110">
        <f ca="1">SUMIF($A:E,$A1291,K:K)</f>
        <v>2</v>
      </c>
      <c r="H1291" s="97" t="s">
        <v>1261</v>
      </c>
      <c r="I1291" s="98">
        <v>2</v>
      </c>
      <c r="J1291" s="99">
        <v>2</v>
      </c>
      <c r="K1291" s="143">
        <f t="shared" si="394"/>
        <v>2</v>
      </c>
      <c r="L1291" s="144">
        <f t="shared" si="388"/>
        <v>0</v>
      </c>
      <c r="M1291" s="275">
        <f t="shared" ref="M1291:M1317" si="397">IF(OR(MID(E1291,10,1)="0",MID(E1291,10,1)="F"),I1291,IF(OR(,MID(E1291,10,1)="S",MID(E1291,10,1)="L",MID(E1291,10,1)="B",MID(E1291,10,1)="X"),MID(E1291,11,1)*I1291,0))</f>
        <v>2</v>
      </c>
      <c r="N1291" s="98">
        <v>3</v>
      </c>
      <c r="O1291" s="93">
        <f t="shared" si="396"/>
        <v>100</v>
      </c>
      <c r="GC1291" s="100">
        <v>2</v>
      </c>
      <c r="ON1291" s="100">
        <f t="shared" si="395"/>
        <v>0</v>
      </c>
    </row>
    <row r="1292" spans="1:404" ht="23.25" customHeight="1">
      <c r="A1292" s="97" t="str">
        <f t="shared" si="393"/>
        <v>001/GREENPOT-VG_SR-2166-75616-03-B</v>
      </c>
      <c r="B1292" s="95">
        <v>44426</v>
      </c>
      <c r="C1292" s="97">
        <f t="shared" ca="1" si="391"/>
        <v>-638</v>
      </c>
      <c r="D1292" s="112" t="s">
        <v>1606</v>
      </c>
      <c r="E1292" s="123" t="s">
        <v>706</v>
      </c>
      <c r="F1292" s="132" t="str">
        <f t="shared" si="392"/>
        <v>B</v>
      </c>
      <c r="G1292" s="130">
        <f ca="1">SUMIF($A:E,$A1292,K:K)</f>
        <v>1</v>
      </c>
      <c r="H1292" s="112" t="s">
        <v>1616</v>
      </c>
      <c r="I1292" s="175">
        <v>1</v>
      </c>
      <c r="J1292" s="115">
        <v>1</v>
      </c>
      <c r="K1292" s="143">
        <f t="shared" si="394"/>
        <v>1</v>
      </c>
      <c r="L1292" s="144">
        <f t="shared" si="388"/>
        <v>0</v>
      </c>
      <c r="M1292" s="275">
        <f t="shared" si="397"/>
        <v>1</v>
      </c>
      <c r="N1292" s="98">
        <v>3</v>
      </c>
      <c r="O1292" s="93">
        <f t="shared" si="396"/>
        <v>100</v>
      </c>
      <c r="HL1292" s="100">
        <v>1</v>
      </c>
      <c r="ON1292" s="100">
        <f t="shared" si="395"/>
        <v>0</v>
      </c>
    </row>
    <row r="1293" spans="1:404" ht="23.25" customHeight="1">
      <c r="A1293" s="97" t="str">
        <f t="shared" si="393"/>
        <v>001/GREENPOT-VG_SR-2166-75616-03-A</v>
      </c>
      <c r="B1293" s="95">
        <v>44426</v>
      </c>
      <c r="C1293" s="97">
        <f t="shared" ca="1" si="391"/>
        <v>-638</v>
      </c>
      <c r="D1293" s="112" t="s">
        <v>1606</v>
      </c>
      <c r="E1293" s="123" t="s">
        <v>1608</v>
      </c>
      <c r="F1293" s="132" t="str">
        <f t="shared" si="392"/>
        <v>A</v>
      </c>
      <c r="G1293" s="130">
        <f ca="1">SUMIF($A:E,$A1293,K:K)</f>
        <v>1</v>
      </c>
      <c r="H1293" s="112" t="s">
        <v>1616</v>
      </c>
      <c r="I1293" s="175">
        <v>1</v>
      </c>
      <c r="J1293" s="115">
        <v>1</v>
      </c>
      <c r="K1293" s="143">
        <f t="shared" si="394"/>
        <v>1</v>
      </c>
      <c r="L1293" s="144">
        <f t="shared" si="388"/>
        <v>0</v>
      </c>
      <c r="M1293" s="275">
        <f t="shared" si="397"/>
        <v>1</v>
      </c>
      <c r="N1293" s="98">
        <v>3</v>
      </c>
      <c r="O1293" s="93">
        <f t="shared" si="396"/>
        <v>100</v>
      </c>
      <c r="HL1293" s="100">
        <v>1</v>
      </c>
      <c r="ON1293" s="100">
        <f t="shared" si="395"/>
        <v>0</v>
      </c>
    </row>
    <row r="1294" spans="1:404" ht="23.25" customHeight="1">
      <c r="A1294" s="97" t="str">
        <f t="shared" si="393"/>
        <v>001/ANNA-2166-75616-03-01</v>
      </c>
      <c r="B1294" s="95">
        <v>44403</v>
      </c>
      <c r="C1294" s="97">
        <f t="shared" ca="1" si="391"/>
        <v>-661</v>
      </c>
      <c r="D1294" s="159" t="s">
        <v>862</v>
      </c>
      <c r="E1294" s="123" t="s">
        <v>871</v>
      </c>
      <c r="F1294" s="132" t="str">
        <f t="shared" si="392"/>
        <v>01</v>
      </c>
      <c r="G1294" s="130">
        <f ca="1">SUMIF($A:E,$A1294,K:K)</f>
        <v>189</v>
      </c>
      <c r="H1294" s="97" t="s">
        <v>881</v>
      </c>
      <c r="I1294" s="175">
        <v>189</v>
      </c>
      <c r="J1294" s="115">
        <v>189</v>
      </c>
      <c r="K1294" s="143">
        <f t="shared" si="394"/>
        <v>189</v>
      </c>
      <c r="L1294" s="144">
        <f t="shared" si="388"/>
        <v>0</v>
      </c>
      <c r="M1294" s="275">
        <f t="shared" si="397"/>
        <v>189</v>
      </c>
      <c r="N1294" s="98">
        <v>3</v>
      </c>
      <c r="O1294" s="93">
        <f t="shared" si="396"/>
        <v>100</v>
      </c>
      <c r="ED1294" s="100">
        <v>3</v>
      </c>
      <c r="EF1294" s="100">
        <v>11</v>
      </c>
      <c r="EG1294" s="100">
        <v>10</v>
      </c>
      <c r="EH1294" s="100">
        <v>11</v>
      </c>
      <c r="EI1294" s="100">
        <v>10</v>
      </c>
      <c r="EJ1294" s="100">
        <v>10</v>
      </c>
      <c r="EK1294" s="100">
        <v>9</v>
      </c>
      <c r="EL1294" s="100">
        <v>10</v>
      </c>
      <c r="EM1294" s="100">
        <v>6</v>
      </c>
      <c r="EN1294" s="100">
        <v>5</v>
      </c>
      <c r="EO1294" s="100">
        <v>9</v>
      </c>
      <c r="EP1294" s="100">
        <v>10</v>
      </c>
      <c r="EQ1294" s="100">
        <v>10</v>
      </c>
      <c r="ER1294" s="100">
        <v>16</v>
      </c>
      <c r="ET1294" s="100">
        <v>10</v>
      </c>
      <c r="EU1294" s="100">
        <v>4</v>
      </c>
      <c r="EV1294" s="100">
        <v>10</v>
      </c>
      <c r="EW1294" s="100">
        <v>10</v>
      </c>
      <c r="EX1294" s="100">
        <v>6</v>
      </c>
      <c r="FA1294" s="100">
        <v>19</v>
      </c>
      <c r="ON1294" s="100">
        <f t="shared" si="395"/>
        <v>0</v>
      </c>
    </row>
    <row r="1295" spans="1:404" ht="23.25" customHeight="1">
      <c r="A1295" s="97" t="str">
        <f t="shared" si="393"/>
        <v>001/ANNA-2166-75616-02-B</v>
      </c>
      <c r="B1295" s="95">
        <v>44395</v>
      </c>
      <c r="C1295" s="97">
        <f t="shared" ca="1" si="391"/>
        <v>-669</v>
      </c>
      <c r="D1295" s="159" t="s">
        <v>862</v>
      </c>
      <c r="E1295" s="123" t="s">
        <v>705</v>
      </c>
      <c r="F1295" s="132" t="str">
        <f t="shared" ref="F1295:F1311" si="398">MID(E1295,13,2)</f>
        <v>B</v>
      </c>
      <c r="G1295" s="130">
        <f ca="1">SUMIF($A:E,$A1295,K:K)</f>
        <v>264</v>
      </c>
      <c r="H1295" s="97" t="s">
        <v>882</v>
      </c>
      <c r="I1295" s="175">
        <v>264</v>
      </c>
      <c r="J1295" s="115">
        <v>264</v>
      </c>
      <c r="K1295" s="160">
        <f t="shared" si="394"/>
        <v>264</v>
      </c>
      <c r="L1295" s="151">
        <f t="shared" si="388"/>
        <v>0</v>
      </c>
      <c r="M1295" s="275">
        <f t="shared" si="397"/>
        <v>264</v>
      </c>
      <c r="N1295" s="98">
        <v>3</v>
      </c>
      <c r="O1295" s="93">
        <f t="shared" si="396"/>
        <v>100</v>
      </c>
      <c r="DA1295" s="101">
        <v>19</v>
      </c>
      <c r="DB1295" s="101">
        <v>12</v>
      </c>
      <c r="DD1295" s="101">
        <v>15</v>
      </c>
      <c r="DE1295" s="101">
        <v>7</v>
      </c>
      <c r="DF1295" s="101">
        <v>13</v>
      </c>
      <c r="DG1295" s="101">
        <v>14</v>
      </c>
      <c r="DK1295" s="101">
        <v>13</v>
      </c>
      <c r="DL1295" s="101">
        <v>8</v>
      </c>
      <c r="DM1295" s="101">
        <v>14</v>
      </c>
      <c r="DN1295" s="101">
        <v>14</v>
      </c>
      <c r="DO1295" s="101">
        <v>14</v>
      </c>
      <c r="DP1295" s="101">
        <v>14</v>
      </c>
      <c r="DR1295" s="101">
        <v>7</v>
      </c>
      <c r="DS1295" s="100">
        <v>13</v>
      </c>
      <c r="DT1295" s="100">
        <v>9</v>
      </c>
      <c r="DV1295" s="100">
        <v>12</v>
      </c>
      <c r="DW1295" s="100">
        <v>16</v>
      </c>
      <c r="DZ1295" s="100">
        <v>7</v>
      </c>
      <c r="EA1295" s="100">
        <v>7</v>
      </c>
      <c r="EC1295" s="100">
        <v>14</v>
      </c>
      <c r="ED1295" s="100">
        <v>5</v>
      </c>
      <c r="EF1295" s="100">
        <v>17</v>
      </c>
      <c r="ON1295" s="100">
        <f t="shared" si="395"/>
        <v>0</v>
      </c>
    </row>
    <row r="1296" spans="1:404" ht="23.25" customHeight="1">
      <c r="A1296" s="97" t="str">
        <f t="shared" si="393"/>
        <v>202/KHBS-2166-75616-02-B</v>
      </c>
      <c r="B1296" s="95">
        <v>44362</v>
      </c>
      <c r="C1296" s="97">
        <f t="shared" ca="1" si="391"/>
        <v>-702</v>
      </c>
      <c r="D1296" s="96" t="s">
        <v>1077</v>
      </c>
      <c r="E1296" s="94" t="s">
        <v>705</v>
      </c>
      <c r="F1296" s="132" t="str">
        <f t="shared" si="398"/>
        <v>B</v>
      </c>
      <c r="G1296" s="130">
        <f ca="1">SUMIF($A:E,$A1296,K:K)</f>
        <v>1</v>
      </c>
      <c r="H1296" s="97" t="s">
        <v>508</v>
      </c>
      <c r="I1296" s="98">
        <v>1</v>
      </c>
      <c r="J1296" s="99">
        <v>1</v>
      </c>
      <c r="K1296" s="160">
        <f t="shared" si="394"/>
        <v>1</v>
      </c>
      <c r="L1296" s="151">
        <f t="shared" si="388"/>
        <v>0</v>
      </c>
      <c r="M1296" s="275">
        <f t="shared" si="397"/>
        <v>1</v>
      </c>
      <c r="N1296" s="98">
        <v>3</v>
      </c>
      <c r="O1296" s="93">
        <f t="shared" si="396"/>
        <v>100</v>
      </c>
      <c r="EX1296" s="100">
        <v>1</v>
      </c>
      <c r="ON1296" s="100">
        <f t="shared" si="395"/>
        <v>0</v>
      </c>
    </row>
    <row r="1297" spans="1:404" ht="23.25" customHeight="1">
      <c r="A1297" s="97" t="str">
        <f t="shared" si="393"/>
        <v>215/KHBS-2166-75616-02-B</v>
      </c>
      <c r="B1297" s="95">
        <v>44394</v>
      </c>
      <c r="C1297" s="97">
        <f t="shared" ca="1" si="391"/>
        <v>-670</v>
      </c>
      <c r="D1297" s="96" t="s">
        <v>1313</v>
      </c>
      <c r="E1297" s="258" t="s">
        <v>705</v>
      </c>
      <c r="F1297" s="132" t="str">
        <f t="shared" si="398"/>
        <v>B</v>
      </c>
      <c r="G1297" s="130">
        <f ca="1">SUMIF($A:E,$A1297,K:K)</f>
        <v>4</v>
      </c>
      <c r="H1297" s="97" t="s">
        <v>1309</v>
      </c>
      <c r="I1297" s="212">
        <v>4</v>
      </c>
      <c r="J1297" s="213">
        <v>4</v>
      </c>
      <c r="K1297" s="160">
        <f t="shared" si="394"/>
        <v>4</v>
      </c>
      <c r="L1297" s="151">
        <f t="shared" ref="L1297:L1327" si="399">J1297-K1297</f>
        <v>0</v>
      </c>
      <c r="M1297" s="275">
        <f t="shared" si="397"/>
        <v>4</v>
      </c>
      <c r="N1297" s="98">
        <v>3</v>
      </c>
      <c r="O1297" s="93">
        <f t="shared" si="396"/>
        <v>100</v>
      </c>
      <c r="GE1297" s="100">
        <v>4</v>
      </c>
      <c r="ON1297" s="100">
        <f t="shared" si="395"/>
        <v>0</v>
      </c>
    </row>
    <row r="1298" spans="1:404" ht="23.25" customHeight="1">
      <c r="A1298" s="97" t="str">
        <f t="shared" si="393"/>
        <v>001/GREENPOT-VG_SR-2166-75616-02-B</v>
      </c>
      <c r="B1298" s="95">
        <v>44426</v>
      </c>
      <c r="C1298" s="97">
        <f t="shared" ca="1" si="391"/>
        <v>-638</v>
      </c>
      <c r="D1298" s="112" t="s">
        <v>1606</v>
      </c>
      <c r="E1298" s="123" t="s">
        <v>705</v>
      </c>
      <c r="F1298" s="132" t="str">
        <f t="shared" si="398"/>
        <v>B</v>
      </c>
      <c r="G1298" s="130">
        <f ca="1">SUMIF($A:E,$A1298,K:K)</f>
        <v>1</v>
      </c>
      <c r="H1298" s="112" t="s">
        <v>1616</v>
      </c>
      <c r="I1298" s="175">
        <v>1</v>
      </c>
      <c r="J1298" s="115">
        <v>1</v>
      </c>
      <c r="K1298" s="160">
        <f t="shared" si="394"/>
        <v>1</v>
      </c>
      <c r="L1298" s="151">
        <f t="shared" si="399"/>
        <v>0</v>
      </c>
      <c r="M1298" s="275">
        <f t="shared" si="397"/>
        <v>1</v>
      </c>
      <c r="N1298" s="98">
        <v>3</v>
      </c>
      <c r="O1298" s="93">
        <f t="shared" si="396"/>
        <v>100</v>
      </c>
      <c r="HL1298" s="100">
        <v>1</v>
      </c>
      <c r="ON1298" s="100">
        <f t="shared" si="395"/>
        <v>0</v>
      </c>
    </row>
    <row r="1299" spans="1:404" ht="23.25" customHeight="1">
      <c r="A1299" s="97" t="str">
        <f t="shared" si="393"/>
        <v>001/ANNA-2166-75616-02-A</v>
      </c>
      <c r="B1299" s="95">
        <v>44395</v>
      </c>
      <c r="C1299" s="97">
        <f t="shared" ca="1" si="391"/>
        <v>-669</v>
      </c>
      <c r="D1299" s="159" t="s">
        <v>862</v>
      </c>
      <c r="E1299" s="123" t="s">
        <v>870</v>
      </c>
      <c r="F1299" s="132" t="str">
        <f t="shared" si="398"/>
        <v>A</v>
      </c>
      <c r="G1299" s="130">
        <f ca="1">SUMIF($A:E,$A1299,K:K)</f>
        <v>132</v>
      </c>
      <c r="H1299" s="97" t="s">
        <v>882</v>
      </c>
      <c r="I1299" s="175">
        <v>132</v>
      </c>
      <c r="J1299" s="115">
        <v>132</v>
      </c>
      <c r="K1299" s="160">
        <f t="shared" si="394"/>
        <v>132</v>
      </c>
      <c r="L1299" s="151">
        <f t="shared" si="399"/>
        <v>0</v>
      </c>
      <c r="M1299" s="275">
        <f t="shared" si="397"/>
        <v>132</v>
      </c>
      <c r="N1299" s="98">
        <v>3</v>
      </c>
      <c r="O1299" s="93">
        <f t="shared" si="396"/>
        <v>100</v>
      </c>
      <c r="EF1299" s="100">
        <v>13</v>
      </c>
      <c r="EG1299" s="100">
        <v>20</v>
      </c>
      <c r="EH1299" s="100">
        <v>15</v>
      </c>
      <c r="EI1299" s="100">
        <v>14</v>
      </c>
      <c r="EJ1299" s="100">
        <v>14</v>
      </c>
      <c r="EK1299" s="100">
        <v>13</v>
      </c>
      <c r="EL1299" s="100">
        <v>14</v>
      </c>
      <c r="EM1299" s="100">
        <v>8</v>
      </c>
      <c r="EN1299" s="100">
        <v>7</v>
      </c>
      <c r="EO1299" s="100">
        <v>14</v>
      </c>
      <c r="ON1299" s="100">
        <f t="shared" si="395"/>
        <v>0</v>
      </c>
    </row>
    <row r="1300" spans="1:404" ht="23.25" customHeight="1">
      <c r="A1300" s="97" t="str">
        <f t="shared" si="393"/>
        <v>204/KHBS-2166-75616-02-A</v>
      </c>
      <c r="B1300" s="95">
        <v>44365</v>
      </c>
      <c r="C1300" s="97">
        <f t="shared" ca="1" si="391"/>
        <v>-699</v>
      </c>
      <c r="D1300" s="96" t="s">
        <v>1099</v>
      </c>
      <c r="E1300" s="94" t="s">
        <v>870</v>
      </c>
      <c r="F1300" s="132" t="str">
        <f t="shared" si="398"/>
        <v>A</v>
      </c>
      <c r="G1300" s="130">
        <f ca="1">SUMIF($A:E,$A1300,K:K)</f>
        <v>1</v>
      </c>
      <c r="H1300" s="97" t="s">
        <v>971</v>
      </c>
      <c r="I1300" s="98">
        <v>1</v>
      </c>
      <c r="J1300" s="97">
        <v>1</v>
      </c>
      <c r="K1300" s="160">
        <f t="shared" si="394"/>
        <v>1</v>
      </c>
      <c r="L1300" s="151">
        <f t="shared" si="399"/>
        <v>0</v>
      </c>
      <c r="M1300" s="275">
        <f t="shared" si="397"/>
        <v>1</v>
      </c>
      <c r="N1300" s="98">
        <v>3</v>
      </c>
      <c r="O1300" s="93">
        <f t="shared" si="396"/>
        <v>100</v>
      </c>
      <c r="FB1300" s="100">
        <v>1</v>
      </c>
      <c r="ON1300" s="100">
        <f t="shared" si="395"/>
        <v>0</v>
      </c>
    </row>
    <row r="1301" spans="1:404" ht="23.25" customHeight="1">
      <c r="A1301" s="127" t="str">
        <f t="shared" ref="A1301:A1317" si="400">D1301&amp;E1301</f>
        <v>001/GREENPOT-VG_SR-2166-75616-02-A</v>
      </c>
      <c r="B1301" s="95">
        <v>44426</v>
      </c>
      <c r="C1301" s="127">
        <f t="shared" ca="1" si="391"/>
        <v>-638</v>
      </c>
      <c r="D1301" s="208" t="s">
        <v>1606</v>
      </c>
      <c r="E1301" s="226" t="s">
        <v>870</v>
      </c>
      <c r="F1301" s="132" t="str">
        <f t="shared" si="398"/>
        <v>A</v>
      </c>
      <c r="G1301" s="130">
        <f ca="1">SUMIF($A:E,$A1301,K:K)</f>
        <v>1</v>
      </c>
      <c r="H1301" s="208" t="s">
        <v>1616</v>
      </c>
      <c r="I1301" s="203">
        <v>1</v>
      </c>
      <c r="J1301" s="134">
        <v>1</v>
      </c>
      <c r="K1301" s="160">
        <f t="shared" si="394"/>
        <v>1</v>
      </c>
      <c r="L1301" s="151">
        <f t="shared" si="399"/>
        <v>0</v>
      </c>
      <c r="M1301" s="275">
        <f t="shared" si="397"/>
        <v>1</v>
      </c>
      <c r="N1301" s="132">
        <v>3</v>
      </c>
      <c r="O1301" s="93">
        <f t="shared" si="396"/>
        <v>100</v>
      </c>
      <c r="HL1301" s="100">
        <v>1</v>
      </c>
      <c r="ON1301" s="100">
        <f t="shared" si="395"/>
        <v>0</v>
      </c>
    </row>
    <row r="1302" spans="1:404" ht="23.25" customHeight="1">
      <c r="A1302" s="127" t="str">
        <f t="shared" si="400"/>
        <v>001/ANNA-2166-75616-02-01</v>
      </c>
      <c r="B1302" s="95">
        <v>44403</v>
      </c>
      <c r="C1302" s="97">
        <f t="shared" ca="1" si="391"/>
        <v>-661</v>
      </c>
      <c r="D1302" s="159" t="s">
        <v>862</v>
      </c>
      <c r="E1302" s="123" t="s">
        <v>869</v>
      </c>
      <c r="F1302" s="132" t="str">
        <f t="shared" si="398"/>
        <v>01</v>
      </c>
      <c r="G1302" s="130">
        <f ca="1">SUMIF($A:E,$A1302,K:K)</f>
        <v>132</v>
      </c>
      <c r="H1302" s="97" t="s">
        <v>881</v>
      </c>
      <c r="I1302" s="175">
        <v>132</v>
      </c>
      <c r="J1302" s="115">
        <v>132</v>
      </c>
      <c r="K1302" s="160">
        <f t="shared" si="394"/>
        <v>132</v>
      </c>
      <c r="L1302" s="151">
        <f t="shared" si="399"/>
        <v>0</v>
      </c>
      <c r="M1302" s="275">
        <f t="shared" si="397"/>
        <v>132</v>
      </c>
      <c r="N1302" s="98">
        <v>4</v>
      </c>
      <c r="O1302" s="93">
        <f t="shared" si="396"/>
        <v>100</v>
      </c>
      <c r="EH1302" s="100">
        <v>5</v>
      </c>
      <c r="EI1302" s="100">
        <v>8</v>
      </c>
      <c r="EJ1302" s="100">
        <v>5</v>
      </c>
      <c r="EM1302" s="100">
        <v>9</v>
      </c>
      <c r="EN1302" s="100">
        <v>5</v>
      </c>
      <c r="EP1302" s="100">
        <v>4</v>
      </c>
      <c r="EQ1302" s="100">
        <v>10</v>
      </c>
      <c r="ER1302" s="100">
        <v>5</v>
      </c>
      <c r="EU1302" s="100">
        <v>9</v>
      </c>
      <c r="EV1302" s="100">
        <v>4</v>
      </c>
      <c r="EW1302" s="100">
        <v>11</v>
      </c>
      <c r="EX1302" s="100">
        <v>5</v>
      </c>
      <c r="FB1302" s="100">
        <v>4</v>
      </c>
      <c r="FC1302" s="100">
        <v>4</v>
      </c>
      <c r="FD1302" s="100">
        <v>9</v>
      </c>
      <c r="FE1302" s="100">
        <v>3</v>
      </c>
      <c r="FJ1302" s="100">
        <v>11</v>
      </c>
      <c r="FK1302" s="100">
        <v>3</v>
      </c>
      <c r="FS1302" s="100">
        <v>10</v>
      </c>
      <c r="FU1302" s="100">
        <v>8</v>
      </c>
      <c r="ON1302" s="100">
        <f t="shared" si="395"/>
        <v>0</v>
      </c>
    </row>
    <row r="1303" spans="1:404" ht="23.25" customHeight="1">
      <c r="A1303" s="127" t="str">
        <f t="shared" si="400"/>
        <v>003/CANADIAN_SR-2166-73317-03-B</v>
      </c>
      <c r="B1303" s="95">
        <v>44372</v>
      </c>
      <c r="C1303" s="97">
        <f t="shared" ca="1" si="391"/>
        <v>-692</v>
      </c>
      <c r="D1303" s="96" t="s">
        <v>1110</v>
      </c>
      <c r="E1303" s="94" t="s">
        <v>1114</v>
      </c>
      <c r="F1303" s="132" t="str">
        <f t="shared" si="398"/>
        <v>B</v>
      </c>
      <c r="G1303" s="130">
        <f ca="1">SUMIF($A:E,$A1303,K:K)</f>
        <v>2</v>
      </c>
      <c r="H1303" s="97" t="s">
        <v>601</v>
      </c>
      <c r="I1303" s="98">
        <v>2</v>
      </c>
      <c r="J1303" s="99">
        <v>2</v>
      </c>
      <c r="K1303" s="160">
        <f t="shared" si="394"/>
        <v>2</v>
      </c>
      <c r="L1303" s="151">
        <f t="shared" si="399"/>
        <v>0</v>
      </c>
      <c r="M1303" s="275">
        <f t="shared" si="397"/>
        <v>2</v>
      </c>
      <c r="N1303" s="98">
        <v>2</v>
      </c>
      <c r="O1303" s="93">
        <f t="shared" si="396"/>
        <v>100</v>
      </c>
      <c r="FJ1303" s="100">
        <v>2</v>
      </c>
      <c r="ON1303" s="100">
        <f t="shared" si="395"/>
        <v>0</v>
      </c>
    </row>
    <row r="1304" spans="1:404" ht="23.25" customHeight="1">
      <c r="A1304" s="127" t="str">
        <f t="shared" si="400"/>
        <v>001/MOJAY-2166-73300-S3-B</v>
      </c>
      <c r="B1304" s="95">
        <v>44311</v>
      </c>
      <c r="C1304" s="97">
        <f t="shared" ca="1" si="391"/>
        <v>-753</v>
      </c>
      <c r="D1304" s="145" t="s">
        <v>742</v>
      </c>
      <c r="E1304" s="253" t="s">
        <v>746</v>
      </c>
      <c r="F1304" s="132" t="str">
        <f t="shared" si="398"/>
        <v>B</v>
      </c>
      <c r="G1304" s="130">
        <f ca="1">SUMIF($A:E,$A1304,K:K)</f>
        <v>32</v>
      </c>
      <c r="H1304" s="97" t="s">
        <v>508</v>
      </c>
      <c r="I1304" s="196">
        <v>32</v>
      </c>
      <c r="J1304" s="146">
        <v>32</v>
      </c>
      <c r="K1304" s="160">
        <f t="shared" si="394"/>
        <v>32</v>
      </c>
      <c r="L1304" s="151">
        <f t="shared" si="399"/>
        <v>0</v>
      </c>
      <c r="M1304" s="275">
        <f t="shared" si="397"/>
        <v>96</v>
      </c>
      <c r="N1304" s="98">
        <v>5</v>
      </c>
      <c r="O1304" s="93">
        <f t="shared" si="396"/>
        <v>100</v>
      </c>
      <c r="DB1304" s="101">
        <v>18</v>
      </c>
      <c r="DD1304" s="101">
        <v>14</v>
      </c>
      <c r="ON1304" s="100">
        <f t="shared" si="395"/>
        <v>0</v>
      </c>
    </row>
    <row r="1305" spans="1:404" ht="23.25" customHeight="1">
      <c r="A1305" s="127" t="str">
        <f t="shared" si="400"/>
        <v>002/MOJAY-2166-73300-S3-B</v>
      </c>
      <c r="B1305" s="95">
        <v>44340</v>
      </c>
      <c r="C1305" s="122">
        <f t="shared" ca="1" si="391"/>
        <v>-724</v>
      </c>
      <c r="D1305" s="145" t="s">
        <v>735</v>
      </c>
      <c r="E1305" s="253" t="s">
        <v>746</v>
      </c>
      <c r="F1305" s="132" t="str">
        <f t="shared" si="398"/>
        <v>B</v>
      </c>
      <c r="G1305" s="130">
        <f ca="1">SUMIF($A:E,$A1305,K:K)</f>
        <v>32</v>
      </c>
      <c r="H1305" s="97" t="s">
        <v>508</v>
      </c>
      <c r="I1305" s="196">
        <v>32</v>
      </c>
      <c r="J1305" s="146">
        <v>32</v>
      </c>
      <c r="K1305" s="160">
        <f t="shared" si="394"/>
        <v>32</v>
      </c>
      <c r="L1305" s="151">
        <f t="shared" si="399"/>
        <v>0</v>
      </c>
      <c r="M1305" s="275">
        <f t="shared" si="397"/>
        <v>96</v>
      </c>
      <c r="N1305" s="98">
        <v>5</v>
      </c>
      <c r="O1305" s="93">
        <f t="shared" si="396"/>
        <v>100</v>
      </c>
      <c r="DG1305" s="101">
        <v>3</v>
      </c>
      <c r="DK1305" s="101">
        <v>3</v>
      </c>
      <c r="DL1305" s="101">
        <v>2</v>
      </c>
      <c r="DM1305" s="101">
        <v>4</v>
      </c>
      <c r="DN1305" s="101">
        <v>6</v>
      </c>
      <c r="DP1305" s="101">
        <v>2</v>
      </c>
      <c r="DR1305" s="101">
        <v>9</v>
      </c>
      <c r="DS1305" s="100">
        <v>3</v>
      </c>
      <c r="ON1305" s="100">
        <f t="shared" si="395"/>
        <v>0</v>
      </c>
    </row>
    <row r="1306" spans="1:404" ht="23.25" customHeight="1">
      <c r="A1306" s="127" t="str">
        <f t="shared" si="400"/>
        <v>003/MOJAY-2166-73300-S3-B</v>
      </c>
      <c r="B1306" s="95">
        <v>44347</v>
      </c>
      <c r="C1306" s="122">
        <f t="shared" ca="1" si="391"/>
        <v>-717</v>
      </c>
      <c r="D1306" s="145" t="s">
        <v>748</v>
      </c>
      <c r="E1306" s="253" t="s">
        <v>746</v>
      </c>
      <c r="F1306" s="132" t="str">
        <f t="shared" si="398"/>
        <v>B</v>
      </c>
      <c r="G1306" s="130">
        <f ca="1">SUMIF($A:E,$A1306,K:K)</f>
        <v>32</v>
      </c>
      <c r="H1306" s="97" t="s">
        <v>508</v>
      </c>
      <c r="I1306" s="196">
        <v>32</v>
      </c>
      <c r="J1306" s="146">
        <v>32</v>
      </c>
      <c r="K1306" s="160">
        <f t="shared" si="394"/>
        <v>32</v>
      </c>
      <c r="L1306" s="151">
        <f t="shared" si="399"/>
        <v>0</v>
      </c>
      <c r="M1306" s="275">
        <f t="shared" si="397"/>
        <v>96</v>
      </c>
      <c r="N1306" s="98">
        <v>5</v>
      </c>
      <c r="O1306" s="93">
        <f t="shared" si="396"/>
        <v>100</v>
      </c>
      <c r="DU1306" s="100">
        <v>5</v>
      </c>
      <c r="DV1306" s="100">
        <v>1</v>
      </c>
      <c r="DW1306" s="100">
        <v>3</v>
      </c>
      <c r="DY1306" s="100">
        <v>3</v>
      </c>
      <c r="DZ1306" s="100">
        <v>6</v>
      </c>
      <c r="EA1306" s="100">
        <v>1</v>
      </c>
      <c r="EC1306" s="100">
        <v>5</v>
      </c>
      <c r="ED1306" s="100">
        <v>2</v>
      </c>
      <c r="EF1306" s="100">
        <v>4</v>
      </c>
      <c r="EG1306" s="100">
        <v>1</v>
      </c>
      <c r="EI1306" s="100">
        <v>1</v>
      </c>
      <c r="ON1306" s="100">
        <f t="shared" si="395"/>
        <v>0</v>
      </c>
    </row>
    <row r="1307" spans="1:404" ht="23.25" customHeight="1">
      <c r="A1307" s="127" t="str">
        <f t="shared" si="400"/>
        <v>439A/POTTERYPOT-2166-73300-03-A</v>
      </c>
      <c r="B1307" s="95">
        <v>44636</v>
      </c>
      <c r="C1307" s="122">
        <f t="shared" ca="1" si="391"/>
        <v>-428</v>
      </c>
      <c r="D1307" s="112" t="s">
        <v>1514</v>
      </c>
      <c r="E1307" s="279" t="s">
        <v>1516</v>
      </c>
      <c r="F1307" s="132" t="str">
        <f t="shared" si="398"/>
        <v>A</v>
      </c>
      <c r="G1307" s="130">
        <f ca="1">SUMIF($A:E,$A1307,K:K)</f>
        <v>332</v>
      </c>
      <c r="H1307" s="97" t="s">
        <v>1600</v>
      </c>
      <c r="I1307" s="175">
        <v>216</v>
      </c>
      <c r="J1307" s="115">
        <v>216</v>
      </c>
      <c r="K1307" s="160">
        <f t="shared" si="394"/>
        <v>332</v>
      </c>
      <c r="L1307" s="151">
        <f t="shared" si="399"/>
        <v>-116</v>
      </c>
      <c r="M1307" s="275">
        <f t="shared" si="397"/>
        <v>216</v>
      </c>
      <c r="N1307" s="98" t="s">
        <v>1776</v>
      </c>
      <c r="O1307" s="93">
        <f t="shared" si="396"/>
        <v>153.7037037037037</v>
      </c>
      <c r="OB1307" s="100">
        <v>10</v>
      </c>
      <c r="OC1307" s="100">
        <v>29</v>
      </c>
      <c r="OD1307" s="100">
        <v>20</v>
      </c>
      <c r="OG1307" s="100">
        <v>26</v>
      </c>
      <c r="OH1307" s="100">
        <v>20</v>
      </c>
      <c r="OI1307" s="100">
        <v>19</v>
      </c>
      <c r="OJ1307" s="100">
        <v>22</v>
      </c>
      <c r="OK1307" s="100">
        <v>20</v>
      </c>
      <c r="ON1307" s="100">
        <f t="shared" si="395"/>
        <v>166</v>
      </c>
    </row>
    <row r="1308" spans="1:404" ht="23.25" customHeight="1">
      <c r="A1308" s="127" t="str">
        <f t="shared" si="400"/>
        <v>003/ANNA-VG-21(đ6)66-73300-03-A</v>
      </c>
      <c r="B1308" s="95">
        <v>44607</v>
      </c>
      <c r="C1308" s="122">
        <f t="shared" ca="1" si="391"/>
        <v>-457</v>
      </c>
      <c r="D1308" s="112" t="s">
        <v>1668</v>
      </c>
      <c r="E1308" s="279" t="s">
        <v>1516</v>
      </c>
      <c r="F1308" s="132" t="str">
        <f t="shared" si="398"/>
        <v>A</v>
      </c>
      <c r="G1308" s="130">
        <f ca="1">SUMIF($A:E,$A1308,K:K)</f>
        <v>126</v>
      </c>
      <c r="H1308" s="112" t="s">
        <v>990</v>
      </c>
      <c r="I1308" s="175">
        <v>63</v>
      </c>
      <c r="J1308" s="115">
        <v>63</v>
      </c>
      <c r="K1308" s="160">
        <f t="shared" si="394"/>
        <v>126</v>
      </c>
      <c r="L1308" s="151">
        <f t="shared" si="399"/>
        <v>-63</v>
      </c>
      <c r="M1308" s="275">
        <f t="shared" si="397"/>
        <v>63</v>
      </c>
      <c r="N1308" s="98">
        <v>2</v>
      </c>
      <c r="O1308" s="93">
        <f t="shared" si="396"/>
        <v>200</v>
      </c>
      <c r="NT1308" s="100">
        <v>19</v>
      </c>
      <c r="NU1308" s="100">
        <v>20</v>
      </c>
      <c r="NV1308" s="100">
        <v>20</v>
      </c>
      <c r="NZ1308" s="100">
        <v>4</v>
      </c>
      <c r="ON1308" s="100">
        <f t="shared" si="395"/>
        <v>63</v>
      </c>
    </row>
    <row r="1309" spans="1:404" ht="23.25" customHeight="1">
      <c r="A1309" s="127" t="str">
        <f t="shared" si="400"/>
        <v>001/MOJAY-2166-72900-S2-B</v>
      </c>
      <c r="B1309" s="126">
        <v>44311</v>
      </c>
      <c r="C1309" s="139">
        <f t="shared" ref="C1309:C1317" ca="1" si="401">B1309-TODAY()</f>
        <v>-753</v>
      </c>
      <c r="D1309" s="145" t="s">
        <v>742</v>
      </c>
      <c r="E1309" s="254" t="s">
        <v>745</v>
      </c>
      <c r="F1309" s="132" t="str">
        <f t="shared" si="398"/>
        <v>B</v>
      </c>
      <c r="G1309" s="130">
        <f ca="1">SUMIF($A:E,$A1309,K:K)</f>
        <v>16</v>
      </c>
      <c r="H1309" s="127" t="s">
        <v>508</v>
      </c>
      <c r="I1309" s="156">
        <v>16</v>
      </c>
      <c r="J1309" s="153">
        <v>16</v>
      </c>
      <c r="K1309" s="160">
        <f t="shared" si="394"/>
        <v>16</v>
      </c>
      <c r="L1309" s="151">
        <f t="shared" si="399"/>
        <v>0</v>
      </c>
      <c r="M1309" s="275">
        <f t="shared" si="397"/>
        <v>32</v>
      </c>
      <c r="N1309" s="132">
        <v>3</v>
      </c>
      <c r="O1309" s="93">
        <f t="shared" ref="O1309:O1324" si="402">K1309/J1309*100</f>
        <v>100</v>
      </c>
      <c r="CU1309" s="101">
        <v>2</v>
      </c>
      <c r="CX1309" s="101">
        <v>9</v>
      </c>
      <c r="CZ1309" s="101">
        <v>5</v>
      </c>
      <c r="ON1309" s="100">
        <f t="shared" si="395"/>
        <v>0</v>
      </c>
    </row>
    <row r="1310" spans="1:404" ht="23.25" customHeight="1">
      <c r="A1310" s="97" t="str">
        <f t="shared" si="400"/>
        <v>002/MOJAY-2166-72900-S2-B</v>
      </c>
      <c r="B1310" s="95">
        <v>44340</v>
      </c>
      <c r="C1310" s="97">
        <f t="shared" ca="1" si="401"/>
        <v>-724</v>
      </c>
      <c r="D1310" s="145" t="s">
        <v>735</v>
      </c>
      <c r="E1310" s="253" t="s">
        <v>745</v>
      </c>
      <c r="F1310" s="132" t="str">
        <f t="shared" si="398"/>
        <v>B</v>
      </c>
      <c r="G1310" s="130">
        <f ca="1">SUMIF($A:E,$A1310,K:K)</f>
        <v>16</v>
      </c>
      <c r="H1310" s="97" t="s">
        <v>508</v>
      </c>
      <c r="I1310" s="196">
        <v>16</v>
      </c>
      <c r="J1310" s="146">
        <v>16</v>
      </c>
      <c r="K1310" s="160">
        <f t="shared" si="394"/>
        <v>16</v>
      </c>
      <c r="L1310" s="151">
        <f t="shared" si="399"/>
        <v>0</v>
      </c>
      <c r="M1310" s="275">
        <f t="shared" si="397"/>
        <v>32</v>
      </c>
      <c r="N1310" s="98">
        <v>3</v>
      </c>
      <c r="O1310" s="93">
        <f t="shared" si="402"/>
        <v>100</v>
      </c>
      <c r="CZ1310" s="101">
        <v>3</v>
      </c>
      <c r="DA1310" s="101">
        <v>7</v>
      </c>
      <c r="DF1310" s="101">
        <v>2</v>
      </c>
      <c r="DM1310" s="101">
        <v>4</v>
      </c>
      <c r="ON1310" s="100">
        <f t="shared" si="395"/>
        <v>0</v>
      </c>
    </row>
    <row r="1311" spans="1:404" ht="23.25" customHeight="1">
      <c r="A1311" s="97" t="str">
        <f t="shared" si="400"/>
        <v>003/MOJAY-2166-72900-S2-B</v>
      </c>
      <c r="B1311" s="95">
        <v>44347</v>
      </c>
      <c r="C1311" s="97">
        <f t="shared" ca="1" si="401"/>
        <v>-717</v>
      </c>
      <c r="D1311" s="145" t="s">
        <v>748</v>
      </c>
      <c r="E1311" s="253" t="s">
        <v>745</v>
      </c>
      <c r="F1311" s="132" t="str">
        <f t="shared" si="398"/>
        <v>B</v>
      </c>
      <c r="G1311" s="130">
        <f ca="1">SUMIF($A:E,$A1311,K:K)</f>
        <v>16</v>
      </c>
      <c r="H1311" s="97" t="s">
        <v>508</v>
      </c>
      <c r="I1311" s="196">
        <v>16</v>
      </c>
      <c r="J1311" s="146">
        <v>16</v>
      </c>
      <c r="K1311" s="160">
        <f t="shared" si="394"/>
        <v>16</v>
      </c>
      <c r="L1311" s="151">
        <f t="shared" si="399"/>
        <v>0</v>
      </c>
      <c r="M1311" s="275">
        <f t="shared" si="397"/>
        <v>32</v>
      </c>
      <c r="N1311" s="98">
        <v>3</v>
      </c>
      <c r="O1311" s="93">
        <f t="shared" si="402"/>
        <v>100</v>
      </c>
      <c r="DM1311" s="101">
        <v>3</v>
      </c>
      <c r="DN1311" s="101">
        <v>2</v>
      </c>
      <c r="DO1311" s="101">
        <v>2</v>
      </c>
      <c r="DT1311" s="100">
        <v>1</v>
      </c>
      <c r="DU1311" s="100">
        <v>5</v>
      </c>
      <c r="DW1311" s="100">
        <v>3</v>
      </c>
      <c r="ON1311" s="100">
        <f t="shared" si="395"/>
        <v>0</v>
      </c>
    </row>
    <row r="1312" spans="1:404" ht="23.25" customHeight="1">
      <c r="A1312" s="97" t="str">
        <f t="shared" si="400"/>
        <v>001/MOJAY-2166-72900-02-A1(phen)</v>
      </c>
      <c r="B1312" s="95">
        <v>44311</v>
      </c>
      <c r="C1312" s="97">
        <f t="shared" ca="1" si="401"/>
        <v>-753</v>
      </c>
      <c r="D1312" s="145" t="s">
        <v>742</v>
      </c>
      <c r="E1312" s="253" t="s">
        <v>467</v>
      </c>
      <c r="F1312" s="132" t="str">
        <f t="shared" ref="F1312:F1317" si="403">MID(E1312,13,2)</f>
        <v>A1</v>
      </c>
      <c r="G1312" s="130">
        <f ca="1">SUMIF($A:E,$A1312,K:K)</f>
        <v>16</v>
      </c>
      <c r="H1312" s="97" t="s">
        <v>749</v>
      </c>
      <c r="I1312" s="196">
        <v>16</v>
      </c>
      <c r="J1312" s="146">
        <v>16</v>
      </c>
      <c r="K1312" s="143">
        <f t="shared" si="394"/>
        <v>16</v>
      </c>
      <c r="L1312" s="144">
        <f t="shared" si="399"/>
        <v>0</v>
      </c>
      <c r="M1312" s="275">
        <f t="shared" si="397"/>
        <v>16</v>
      </c>
      <c r="N1312" s="98">
        <v>3</v>
      </c>
      <c r="O1312" s="93">
        <f t="shared" si="402"/>
        <v>100</v>
      </c>
      <c r="CU1312" s="101">
        <v>2</v>
      </c>
      <c r="CX1312" s="101">
        <v>9</v>
      </c>
      <c r="CZ1312" s="101">
        <v>5</v>
      </c>
      <c r="ON1312" s="100">
        <f t="shared" si="395"/>
        <v>0</v>
      </c>
    </row>
    <row r="1313" spans="1:404" ht="23.25" customHeight="1">
      <c r="A1313" s="97" t="str">
        <f t="shared" si="400"/>
        <v>002/MOJAY-2166-72900-02-A1(phen)</v>
      </c>
      <c r="B1313" s="95">
        <v>44381</v>
      </c>
      <c r="C1313" s="97">
        <f t="shared" ca="1" si="401"/>
        <v>-683</v>
      </c>
      <c r="D1313" s="145" t="s">
        <v>735</v>
      </c>
      <c r="E1313" s="253" t="s">
        <v>467</v>
      </c>
      <c r="F1313" s="132" t="str">
        <f t="shared" si="403"/>
        <v>A1</v>
      </c>
      <c r="G1313" s="130">
        <f ca="1">SUMIF($A:E,$A1313,K:K)</f>
        <v>16</v>
      </c>
      <c r="H1313" s="97" t="s">
        <v>749</v>
      </c>
      <c r="I1313" s="196">
        <v>32</v>
      </c>
      <c r="J1313" s="146">
        <v>16</v>
      </c>
      <c r="K1313" s="143">
        <f t="shared" si="394"/>
        <v>16</v>
      </c>
      <c r="L1313" s="144">
        <f t="shared" si="399"/>
        <v>0</v>
      </c>
      <c r="M1313" s="275">
        <f t="shared" si="397"/>
        <v>32</v>
      </c>
      <c r="N1313" s="98">
        <v>3</v>
      </c>
      <c r="O1313" s="93">
        <f t="shared" si="402"/>
        <v>100</v>
      </c>
      <c r="CZ1313" s="101">
        <v>3</v>
      </c>
      <c r="DA1313" s="101">
        <v>7</v>
      </c>
      <c r="DF1313" s="101">
        <v>2</v>
      </c>
      <c r="DM1313" s="101">
        <v>4</v>
      </c>
      <c r="ON1313" s="100">
        <f t="shared" si="395"/>
        <v>0</v>
      </c>
    </row>
    <row r="1314" spans="1:404" ht="23.25" customHeight="1">
      <c r="A1314" s="97" t="str">
        <f t="shared" si="400"/>
        <v>003/MOJAY-2166-72900-02-A1(phen)</v>
      </c>
      <c r="B1314" s="95">
        <v>44381</v>
      </c>
      <c r="C1314" s="97">
        <f t="shared" ca="1" si="401"/>
        <v>-683</v>
      </c>
      <c r="D1314" s="145" t="s">
        <v>748</v>
      </c>
      <c r="E1314" s="253" t="s">
        <v>467</v>
      </c>
      <c r="F1314" s="132" t="str">
        <f t="shared" si="403"/>
        <v>A1</v>
      </c>
      <c r="G1314" s="130">
        <f ca="1">SUMIF($A:E,$A1314,K:K)</f>
        <v>16</v>
      </c>
      <c r="H1314" s="97" t="s">
        <v>749</v>
      </c>
      <c r="I1314" s="196">
        <v>16</v>
      </c>
      <c r="J1314" s="146">
        <v>16</v>
      </c>
      <c r="K1314" s="143">
        <f t="shared" si="394"/>
        <v>16</v>
      </c>
      <c r="L1314" s="144">
        <f t="shared" si="399"/>
        <v>0</v>
      </c>
      <c r="M1314" s="275">
        <f t="shared" si="397"/>
        <v>16</v>
      </c>
      <c r="N1314" s="98">
        <v>3</v>
      </c>
      <c r="O1314" s="93">
        <f t="shared" si="402"/>
        <v>100</v>
      </c>
      <c r="DM1314" s="101">
        <v>3</v>
      </c>
      <c r="DN1314" s="101">
        <v>2</v>
      </c>
      <c r="DO1314" s="101">
        <v>2</v>
      </c>
      <c r="DT1314" s="100">
        <v>1</v>
      </c>
      <c r="DU1314" s="100">
        <v>5</v>
      </c>
      <c r="DW1314" s="100">
        <v>3</v>
      </c>
      <c r="ON1314" s="100">
        <f t="shared" si="395"/>
        <v>0</v>
      </c>
    </row>
    <row r="1315" spans="1:404" ht="23.25" customHeight="1">
      <c r="A1315" s="97" t="str">
        <f t="shared" si="400"/>
        <v>001/MOJAY-2166-72900-01-A1(phen)</v>
      </c>
      <c r="B1315" s="95">
        <v>44311</v>
      </c>
      <c r="C1315" s="97">
        <f t="shared" ca="1" si="401"/>
        <v>-753</v>
      </c>
      <c r="D1315" s="145" t="s">
        <v>742</v>
      </c>
      <c r="E1315" s="253" t="s">
        <v>466</v>
      </c>
      <c r="F1315" s="132" t="str">
        <f t="shared" si="403"/>
        <v>A1</v>
      </c>
      <c r="G1315" s="130">
        <f ca="1">SUMIF($A:E,$A1315,K:K)</f>
        <v>16</v>
      </c>
      <c r="H1315" s="97" t="s">
        <v>749</v>
      </c>
      <c r="I1315" s="196">
        <v>16</v>
      </c>
      <c r="J1315" s="146">
        <v>16</v>
      </c>
      <c r="K1315" s="143">
        <f t="shared" si="394"/>
        <v>16</v>
      </c>
      <c r="L1315" s="144">
        <f t="shared" si="399"/>
        <v>0</v>
      </c>
      <c r="M1315" s="275">
        <f t="shared" si="397"/>
        <v>16</v>
      </c>
      <c r="N1315" s="98">
        <v>3</v>
      </c>
      <c r="O1315" s="93">
        <f t="shared" si="402"/>
        <v>100</v>
      </c>
      <c r="CU1315" s="101">
        <v>2</v>
      </c>
      <c r="CX1315" s="101">
        <v>9</v>
      </c>
      <c r="CZ1315" s="101">
        <v>5</v>
      </c>
      <c r="ON1315" s="100">
        <f t="shared" si="395"/>
        <v>0</v>
      </c>
    </row>
    <row r="1316" spans="1:404" ht="23.25" customHeight="1">
      <c r="A1316" s="97" t="str">
        <f t="shared" si="400"/>
        <v>002/MOJAY-2166-72900-01-A1(phen)</v>
      </c>
      <c r="B1316" s="95">
        <v>44340</v>
      </c>
      <c r="C1316" s="127">
        <f t="shared" ca="1" si="401"/>
        <v>-724</v>
      </c>
      <c r="D1316" s="145" t="s">
        <v>735</v>
      </c>
      <c r="E1316" s="253" t="s">
        <v>466</v>
      </c>
      <c r="F1316" s="132" t="str">
        <f t="shared" si="403"/>
        <v>A1</v>
      </c>
      <c r="G1316" s="130">
        <f ca="1">SUMIF($A:E,$A1316,K:K)</f>
        <v>16</v>
      </c>
      <c r="H1316" s="97" t="s">
        <v>749</v>
      </c>
      <c r="I1316" s="196">
        <v>16</v>
      </c>
      <c r="J1316" s="146">
        <v>16</v>
      </c>
      <c r="K1316" s="143">
        <f t="shared" si="394"/>
        <v>16</v>
      </c>
      <c r="L1316" s="144">
        <f t="shared" si="399"/>
        <v>0</v>
      </c>
      <c r="M1316" s="275">
        <f t="shared" si="397"/>
        <v>16</v>
      </c>
      <c r="N1316" s="98">
        <v>3</v>
      </c>
      <c r="O1316" s="93">
        <f t="shared" si="402"/>
        <v>100</v>
      </c>
      <c r="CZ1316" s="101">
        <v>3</v>
      </c>
      <c r="DA1316" s="101">
        <v>7</v>
      </c>
      <c r="DF1316" s="101">
        <v>2</v>
      </c>
      <c r="DM1316" s="101">
        <v>4</v>
      </c>
      <c r="ON1316" s="100">
        <f t="shared" si="395"/>
        <v>0</v>
      </c>
    </row>
    <row r="1317" spans="1:404" ht="23.25" customHeight="1">
      <c r="A1317" s="97" t="str">
        <f t="shared" si="400"/>
        <v>003/MOJAY-2166-72900-01-A1(phen)</v>
      </c>
      <c r="B1317" s="95">
        <v>44381</v>
      </c>
      <c r="C1317" s="127">
        <f t="shared" ca="1" si="401"/>
        <v>-683</v>
      </c>
      <c r="D1317" s="145" t="s">
        <v>748</v>
      </c>
      <c r="E1317" s="253" t="s">
        <v>466</v>
      </c>
      <c r="F1317" s="132" t="str">
        <f t="shared" si="403"/>
        <v>A1</v>
      </c>
      <c r="G1317" s="130">
        <f ca="1">SUMIF($A:E,$A1317,K:K)</f>
        <v>16</v>
      </c>
      <c r="H1317" s="97" t="s">
        <v>749</v>
      </c>
      <c r="I1317" s="196">
        <v>16</v>
      </c>
      <c r="J1317" s="146">
        <v>16</v>
      </c>
      <c r="K1317" s="143">
        <f t="shared" si="394"/>
        <v>16</v>
      </c>
      <c r="L1317" s="144">
        <f t="shared" si="399"/>
        <v>0</v>
      </c>
      <c r="M1317" s="275">
        <f t="shared" si="397"/>
        <v>16</v>
      </c>
      <c r="N1317" s="98">
        <v>3</v>
      </c>
      <c r="O1317" s="93">
        <f t="shared" si="402"/>
        <v>100</v>
      </c>
      <c r="DM1317" s="101">
        <v>3</v>
      </c>
      <c r="DN1317" s="101">
        <v>2</v>
      </c>
      <c r="DO1317" s="101">
        <v>2</v>
      </c>
      <c r="DT1317" s="100">
        <v>1</v>
      </c>
      <c r="DU1317" s="100">
        <v>5</v>
      </c>
      <c r="DW1317" s="100">
        <v>3</v>
      </c>
      <c r="ON1317" s="100">
        <f t="shared" si="395"/>
        <v>0</v>
      </c>
    </row>
    <row r="1318" spans="1:404" ht="23.25" customHeight="1">
      <c r="A1318" s="97" t="s">
        <v>2172</v>
      </c>
      <c r="B1318" s="95">
        <v>44528</v>
      </c>
      <c r="C1318" s="97">
        <v>6</v>
      </c>
      <c r="D1318" s="96" t="s">
        <v>2071</v>
      </c>
      <c r="E1318" s="94" t="s">
        <v>2197</v>
      </c>
      <c r="F1318" s="132" t="s">
        <v>561</v>
      </c>
      <c r="G1318" s="130">
        <v>0</v>
      </c>
      <c r="H1318" s="97" t="s">
        <v>616</v>
      </c>
      <c r="I1318" s="98">
        <v>48</v>
      </c>
      <c r="J1318" s="97">
        <v>10</v>
      </c>
      <c r="K1318" s="143">
        <f t="shared" si="394"/>
        <v>10</v>
      </c>
      <c r="L1318" s="144">
        <f t="shared" ref="L1318:L1321" si="404">J1318-K1318</f>
        <v>0</v>
      </c>
      <c r="M1318" s="98">
        <v>3</v>
      </c>
      <c r="N1318" s="98">
        <v>6</v>
      </c>
      <c r="O1318" s="93">
        <f t="shared" si="402"/>
        <v>100</v>
      </c>
      <c r="KZ1318" s="100">
        <v>2</v>
      </c>
      <c r="LC1318" s="100">
        <v>8</v>
      </c>
      <c r="ON1318" s="100">
        <f t="shared" si="395"/>
        <v>0</v>
      </c>
    </row>
    <row r="1319" spans="1:404" ht="23.25" customHeight="1">
      <c r="A1319" s="97" t="s">
        <v>2172</v>
      </c>
      <c r="B1319" s="95">
        <v>44528</v>
      </c>
      <c r="C1319" s="97">
        <v>6</v>
      </c>
      <c r="D1319" s="96" t="s">
        <v>2071</v>
      </c>
      <c r="E1319" s="94" t="s">
        <v>2197</v>
      </c>
      <c r="F1319" s="132" t="s">
        <v>561</v>
      </c>
      <c r="G1319" s="130">
        <v>0</v>
      </c>
      <c r="H1319" s="97" t="s">
        <v>616</v>
      </c>
      <c r="I1319" s="98">
        <v>48</v>
      </c>
      <c r="J1319" s="97">
        <v>38</v>
      </c>
      <c r="K1319" s="143">
        <f t="shared" si="394"/>
        <v>38</v>
      </c>
      <c r="L1319" s="144">
        <f t="shared" si="404"/>
        <v>0</v>
      </c>
      <c r="M1319" s="98">
        <v>2</v>
      </c>
      <c r="N1319" s="98">
        <v>2</v>
      </c>
      <c r="O1319" s="93">
        <f t="shared" si="402"/>
        <v>100</v>
      </c>
      <c r="LB1319" s="100">
        <v>1</v>
      </c>
      <c r="LC1319" s="100">
        <v>6</v>
      </c>
      <c r="LE1319" s="100">
        <v>3</v>
      </c>
      <c r="LF1319" s="100">
        <v>5</v>
      </c>
      <c r="LI1319" s="100">
        <v>3</v>
      </c>
      <c r="LK1319" s="100">
        <v>2</v>
      </c>
      <c r="LL1319" s="100">
        <v>8</v>
      </c>
      <c r="LM1319" s="100">
        <v>10</v>
      </c>
      <c r="ON1319" s="100">
        <f t="shared" si="395"/>
        <v>0</v>
      </c>
    </row>
    <row r="1320" spans="1:404" ht="23.25" customHeight="1">
      <c r="A1320" s="97" t="s">
        <v>2172</v>
      </c>
      <c r="B1320" s="95">
        <v>44528</v>
      </c>
      <c r="C1320" s="97">
        <f ca="1">B1320-TODAY()</f>
        <v>-536</v>
      </c>
      <c r="D1320" s="96" t="s">
        <v>2071</v>
      </c>
      <c r="E1320" s="94" t="s">
        <v>1127</v>
      </c>
      <c r="F1320" s="132" t="s">
        <v>561</v>
      </c>
      <c r="G1320" s="130">
        <v>0</v>
      </c>
      <c r="H1320" s="97" t="s">
        <v>616</v>
      </c>
      <c r="I1320" s="98">
        <v>48</v>
      </c>
      <c r="J1320" s="97">
        <v>10</v>
      </c>
      <c r="K1320" s="143">
        <f t="shared" si="394"/>
        <v>10</v>
      </c>
      <c r="L1320" s="144">
        <f t="shared" si="404"/>
        <v>0</v>
      </c>
      <c r="M1320" s="98">
        <v>2</v>
      </c>
      <c r="N1320" s="98">
        <v>6</v>
      </c>
      <c r="O1320" s="93">
        <f t="shared" si="402"/>
        <v>100</v>
      </c>
      <c r="KZ1320" s="100">
        <v>2</v>
      </c>
      <c r="LC1320" s="100">
        <v>8</v>
      </c>
      <c r="ON1320" s="100">
        <f t="shared" si="395"/>
        <v>0</v>
      </c>
    </row>
    <row r="1321" spans="1:404" ht="23.25" customHeight="1">
      <c r="A1321" s="97" t="str">
        <f>D1321&amp;E1321</f>
        <v>009/CLARIUS-21 đ166-72124-S1-B</v>
      </c>
      <c r="B1321" s="95">
        <v>44528</v>
      </c>
      <c r="C1321" s="97">
        <f ca="1">B1321-TODAY()</f>
        <v>-536</v>
      </c>
      <c r="D1321" s="96" t="s">
        <v>2071</v>
      </c>
      <c r="E1321" s="94" t="s">
        <v>1127</v>
      </c>
      <c r="F1321" s="132" t="str">
        <f>MID(E1321,13,2)</f>
        <v>B</v>
      </c>
      <c r="G1321" s="130">
        <f ca="1">SUMIF($A:E,$A1321,K:K)</f>
        <v>96</v>
      </c>
      <c r="H1321" s="97" t="s">
        <v>616</v>
      </c>
      <c r="I1321" s="98">
        <v>48</v>
      </c>
      <c r="J1321" s="97">
        <v>38</v>
      </c>
      <c r="K1321" s="143">
        <f t="shared" si="394"/>
        <v>38</v>
      </c>
      <c r="L1321" s="144">
        <f t="shared" si="404"/>
        <v>0</v>
      </c>
      <c r="M1321" s="275">
        <f t="shared" ref="M1321:M1360" si="405">IF(OR(MID(E1321,10,1)="0",MID(E1321,10,1)="F"),I1321,IF(OR(,MID(E1321,10,1)="S",MID(E1321,10,1)="L",MID(E1321,10,1)="B",MID(E1321,10,1)="X"),MID(E1321,11,1)*I1321,0))</f>
        <v>48</v>
      </c>
      <c r="N1321" s="98">
        <v>2</v>
      </c>
      <c r="O1321" s="93">
        <f t="shared" si="402"/>
        <v>100</v>
      </c>
      <c r="LB1321" s="100">
        <v>1</v>
      </c>
      <c r="LC1321" s="100">
        <v>6</v>
      </c>
      <c r="LE1321" s="100">
        <v>3</v>
      </c>
      <c r="LF1321" s="100">
        <v>5</v>
      </c>
      <c r="LI1321" s="100">
        <v>3</v>
      </c>
      <c r="LK1321" s="100">
        <v>2</v>
      </c>
      <c r="LL1321" s="100">
        <v>8</v>
      </c>
      <c r="LM1321" s="100">
        <v>10</v>
      </c>
      <c r="ON1321" s="100">
        <f t="shared" si="395"/>
        <v>0</v>
      </c>
    </row>
    <row r="1322" spans="1:404" ht="23.25" customHeight="1">
      <c r="A1322" s="97" t="str">
        <f>D1322&amp;E1322</f>
        <v>001/CLARIUS-VG-2166-72124-S1-B</v>
      </c>
      <c r="B1322" s="95">
        <v>44767</v>
      </c>
      <c r="C1322" s="97">
        <f ca="1">B1322-TODAY()</f>
        <v>-297</v>
      </c>
      <c r="D1322" s="112" t="s">
        <v>1471</v>
      </c>
      <c r="E1322" s="123" t="s">
        <v>1127</v>
      </c>
      <c r="F1322" s="132" t="str">
        <f>MID(E1322,13,2)</f>
        <v>B</v>
      </c>
      <c r="G1322" s="130">
        <f ca="1">SUMIF($A:E,$A1322,K:K)</f>
        <v>0</v>
      </c>
      <c r="H1322" s="112" t="s">
        <v>1494</v>
      </c>
      <c r="I1322" s="175">
        <v>36</v>
      </c>
      <c r="J1322" s="115">
        <v>96</v>
      </c>
      <c r="K1322" s="143">
        <f t="shared" si="394"/>
        <v>0</v>
      </c>
      <c r="L1322" s="144">
        <f t="shared" si="399"/>
        <v>96</v>
      </c>
      <c r="M1322" s="275">
        <f t="shared" si="405"/>
        <v>36</v>
      </c>
      <c r="N1322" s="98"/>
      <c r="O1322" s="93">
        <f t="shared" si="402"/>
        <v>0</v>
      </c>
      <c r="ON1322" s="100">
        <f t="shared" si="395"/>
        <v>0</v>
      </c>
    </row>
    <row r="1323" spans="1:404" ht="33.75" customHeight="1">
      <c r="A1323" s="97" t="str">
        <f>D1323&amp;E1323</f>
        <v>001/CLARIUS-VG-21 )Đ1)66-72100-S1-B2</v>
      </c>
      <c r="B1323" s="95">
        <v>44767</v>
      </c>
      <c r="C1323" s="97">
        <f ca="1">B1323-TODAY()</f>
        <v>-297</v>
      </c>
      <c r="D1323" s="112" t="s">
        <v>2068</v>
      </c>
      <c r="E1323" s="279" t="s">
        <v>1484</v>
      </c>
      <c r="F1323" s="132" t="str">
        <f>MID(E1323,13,2)</f>
        <v>B2</v>
      </c>
      <c r="G1323" s="130">
        <f ca="1">SUMIF($A:E,$A1323,K:K)</f>
        <v>0</v>
      </c>
      <c r="H1323" s="112" t="s">
        <v>1494</v>
      </c>
      <c r="I1323" s="175">
        <v>36</v>
      </c>
      <c r="J1323" s="115">
        <v>36</v>
      </c>
      <c r="K1323" s="143">
        <f t="shared" si="394"/>
        <v>0</v>
      </c>
      <c r="L1323" s="144">
        <f t="shared" si="399"/>
        <v>36</v>
      </c>
      <c r="M1323" s="275">
        <f t="shared" si="405"/>
        <v>36</v>
      </c>
      <c r="N1323" s="98"/>
      <c r="O1323" s="93">
        <f t="shared" si="402"/>
        <v>0</v>
      </c>
      <c r="ON1323" s="100">
        <f t="shared" si="395"/>
        <v>0</v>
      </c>
    </row>
    <row r="1324" spans="1:404" ht="23.25" customHeight="1">
      <c r="A1324" s="97" t="str">
        <f>D1324&amp;E1324</f>
        <v>001/CLARIUS-VG-21 )Đ1)66-72100-S1-A1(phen)</v>
      </c>
      <c r="B1324" s="95">
        <v>44767</v>
      </c>
      <c r="C1324" s="97">
        <f ca="1">B1324-TODAY()</f>
        <v>-297</v>
      </c>
      <c r="D1324" s="112" t="s">
        <v>2068</v>
      </c>
      <c r="E1324" s="279" t="s">
        <v>1475</v>
      </c>
      <c r="F1324" s="132" t="str">
        <f>MID(E1324,13,2)</f>
        <v>A1</v>
      </c>
      <c r="G1324" s="130">
        <f ca="1">SUMIF($A:E,$A1324,K:K)</f>
        <v>0</v>
      </c>
      <c r="H1324" s="112" t="s">
        <v>1491</v>
      </c>
      <c r="I1324" s="175">
        <v>36</v>
      </c>
      <c r="J1324" s="115">
        <v>36</v>
      </c>
      <c r="K1324" s="143">
        <f t="shared" si="394"/>
        <v>0</v>
      </c>
      <c r="L1324" s="144">
        <f t="shared" si="399"/>
        <v>36</v>
      </c>
      <c r="M1324" s="275">
        <f t="shared" si="405"/>
        <v>36</v>
      </c>
      <c r="N1324" s="98"/>
      <c r="O1324" s="93">
        <f t="shared" si="402"/>
        <v>0</v>
      </c>
      <c r="ON1324" s="100">
        <f t="shared" si="395"/>
        <v>0</v>
      </c>
    </row>
    <row r="1325" spans="1:404" ht="23.25" customHeight="1">
      <c r="A1325" s="97" t="str">
        <f t="shared" ref="A1325:A1339" si="406">D1325&amp;E1325</f>
        <v>027T/WESTELM-21( đợt 1)66-70900-04-B</v>
      </c>
      <c r="B1325" s="206">
        <v>44490</v>
      </c>
      <c r="C1325" s="97">
        <f t="shared" ref="C1325:C1339" ca="1" si="407">B1325-TODAY()</f>
        <v>-574</v>
      </c>
      <c r="D1325" s="112" t="s">
        <v>1978</v>
      </c>
      <c r="E1325" s="123" t="s">
        <v>1450</v>
      </c>
      <c r="F1325" s="132" t="str">
        <f t="shared" ref="F1325" si="408">MID(E1325,13,2)</f>
        <v>B</v>
      </c>
      <c r="G1325" s="130">
        <f ca="1">SUMIF($A:E,$A1325,K:K)</f>
        <v>958</v>
      </c>
      <c r="H1325" s="97" t="s">
        <v>616</v>
      </c>
      <c r="I1325" s="175">
        <v>958</v>
      </c>
      <c r="J1325" s="115">
        <v>958</v>
      </c>
      <c r="K1325" s="143">
        <f t="shared" si="394"/>
        <v>958</v>
      </c>
      <c r="L1325" s="144">
        <f t="shared" si="399"/>
        <v>0</v>
      </c>
      <c r="M1325" s="275">
        <f t="shared" si="405"/>
        <v>958</v>
      </c>
      <c r="N1325" s="98">
        <v>4</v>
      </c>
      <c r="O1325" s="93">
        <f t="shared" ref="O1325:O1328" si="409">K1325/J1325*100</f>
        <v>100</v>
      </c>
      <c r="HT1325" s="100">
        <f>29+38</f>
        <v>67</v>
      </c>
      <c r="HU1325" s="100">
        <v>38</v>
      </c>
      <c r="HW1325" s="100">
        <v>30</v>
      </c>
      <c r="HX1325" s="100">
        <v>32</v>
      </c>
      <c r="HY1325" s="100">
        <v>27</v>
      </c>
      <c r="IB1325" s="100">
        <v>40</v>
      </c>
      <c r="ID1325" s="100">
        <v>40</v>
      </c>
      <c r="IE1325" s="100">
        <v>38</v>
      </c>
      <c r="IF1325" s="100">
        <v>40</v>
      </c>
      <c r="IH1325" s="100">
        <v>57</v>
      </c>
      <c r="II1325" s="100">
        <v>40</v>
      </c>
      <c r="IL1325" s="100">
        <v>60</v>
      </c>
      <c r="IM1325" s="100">
        <v>50</v>
      </c>
      <c r="IN1325" s="100">
        <v>47</v>
      </c>
      <c r="IO1325" s="100">
        <v>39</v>
      </c>
      <c r="IS1325" s="100">
        <v>61</v>
      </c>
      <c r="IT1325" s="100">
        <v>45</v>
      </c>
      <c r="IU1325" s="100">
        <v>58</v>
      </c>
      <c r="IV1325" s="100">
        <v>55</v>
      </c>
      <c r="IW1325" s="100">
        <v>22</v>
      </c>
      <c r="IY1325" s="100">
        <v>41</v>
      </c>
      <c r="IZ1325" s="100">
        <v>31</v>
      </c>
      <c r="ON1325" s="100">
        <f t="shared" si="395"/>
        <v>0</v>
      </c>
    </row>
    <row r="1326" spans="1:404" ht="23.25" customHeight="1">
      <c r="A1326" s="97" t="str">
        <f t="shared" si="406"/>
        <v>029T/WESTELM-2166-70900-04-B</v>
      </c>
      <c r="B1326" s="95">
        <v>44515</v>
      </c>
      <c r="C1326" s="97">
        <f t="shared" ca="1" si="407"/>
        <v>-549</v>
      </c>
      <c r="D1326" s="112" t="s">
        <v>1544</v>
      </c>
      <c r="E1326" s="123" t="s">
        <v>1450</v>
      </c>
      <c r="F1326" s="132" t="s">
        <v>561</v>
      </c>
      <c r="G1326" s="130">
        <f ca="1">SUMIF($A:E,$A1326,K:K)</f>
        <v>642</v>
      </c>
      <c r="H1326" s="112" t="s">
        <v>1545</v>
      </c>
      <c r="I1326" s="175">
        <v>642</v>
      </c>
      <c r="J1326" s="115">
        <v>300</v>
      </c>
      <c r="K1326" s="143">
        <f t="shared" si="394"/>
        <v>300</v>
      </c>
      <c r="L1326" s="144">
        <f t="shared" si="399"/>
        <v>0</v>
      </c>
      <c r="M1326" s="275">
        <f t="shared" si="405"/>
        <v>642</v>
      </c>
      <c r="N1326" s="98">
        <v>6</v>
      </c>
      <c r="O1326" s="93">
        <f t="shared" si="409"/>
        <v>100</v>
      </c>
      <c r="IM1326" s="100">
        <f>20+17+15+38</f>
        <v>90</v>
      </c>
      <c r="IO1326" s="100">
        <v>20</v>
      </c>
      <c r="IP1326" s="100">
        <v>46</v>
      </c>
      <c r="IT1326" s="100">
        <v>67</v>
      </c>
      <c r="IU1326" s="100">
        <v>53</v>
      </c>
      <c r="IW1326" s="100">
        <v>24</v>
      </c>
      <c r="ON1326" s="100">
        <f t="shared" si="395"/>
        <v>0</v>
      </c>
    </row>
    <row r="1327" spans="1:404" ht="23.25" customHeight="1">
      <c r="A1327" s="97" t="str">
        <f t="shared" si="406"/>
        <v>029T/WESTELM-2166-70900-04-B</v>
      </c>
      <c r="B1327" s="95">
        <v>44515</v>
      </c>
      <c r="C1327" s="97">
        <f t="shared" ca="1" si="407"/>
        <v>-549</v>
      </c>
      <c r="D1327" s="112" t="s">
        <v>1544</v>
      </c>
      <c r="E1327" s="123" t="s">
        <v>1450</v>
      </c>
      <c r="F1327" s="132" t="str">
        <f t="shared" ref="F1327:F1339" si="410">MID(E1327,13,2)</f>
        <v>B</v>
      </c>
      <c r="G1327" s="130">
        <f ca="1">SUMIF($A:E,$A1327,K:K)</f>
        <v>642</v>
      </c>
      <c r="H1327" s="112" t="s">
        <v>1545</v>
      </c>
      <c r="I1327" s="175">
        <v>642</v>
      </c>
      <c r="J1327" s="115">
        <f>642-J1326</f>
        <v>342</v>
      </c>
      <c r="K1327" s="143">
        <f t="shared" si="394"/>
        <v>342</v>
      </c>
      <c r="L1327" s="144">
        <f t="shared" si="399"/>
        <v>0</v>
      </c>
      <c r="M1327" s="275">
        <f t="shared" si="405"/>
        <v>642</v>
      </c>
      <c r="N1327" s="98">
        <v>6</v>
      </c>
      <c r="O1327" s="93">
        <f t="shared" si="409"/>
        <v>100</v>
      </c>
      <c r="IW1327" s="100">
        <v>139</v>
      </c>
      <c r="IY1327" s="100">
        <v>24</v>
      </c>
      <c r="IZ1327" s="100">
        <v>51</v>
      </c>
      <c r="JA1327" s="100">
        <v>33</v>
      </c>
      <c r="JB1327" s="100">
        <v>19</v>
      </c>
      <c r="JC1327" s="100">
        <v>2</v>
      </c>
      <c r="JD1327" s="100">
        <v>58</v>
      </c>
      <c r="JF1327" s="100">
        <v>2</v>
      </c>
      <c r="JG1327" s="100">
        <v>14</v>
      </c>
      <c r="ON1327" s="100">
        <f t="shared" si="395"/>
        <v>0</v>
      </c>
    </row>
    <row r="1328" spans="1:404" ht="23.25" customHeight="1">
      <c r="A1328" s="97" t="str">
        <f t="shared" si="406"/>
        <v>030T/WESTELM-2166-70900-04-B</v>
      </c>
      <c r="B1328" s="95">
        <v>44524</v>
      </c>
      <c r="C1328" s="97">
        <f t="shared" ca="1" si="407"/>
        <v>-540</v>
      </c>
      <c r="D1328" s="112" t="s">
        <v>1592</v>
      </c>
      <c r="E1328" s="123" t="s">
        <v>1450</v>
      </c>
      <c r="F1328" s="132" t="str">
        <f t="shared" si="410"/>
        <v>B</v>
      </c>
      <c r="G1328" s="130">
        <f ca="1">SUMIF($A:E,$A1328,K:K)</f>
        <v>285</v>
      </c>
      <c r="H1328" s="97" t="s">
        <v>1593</v>
      </c>
      <c r="I1328" s="175">
        <v>285</v>
      </c>
      <c r="J1328" s="115">
        <v>285</v>
      </c>
      <c r="K1328" s="143">
        <f t="shared" si="394"/>
        <v>285</v>
      </c>
      <c r="L1328" s="144">
        <f t="shared" ref="L1328:L1383" si="411">J1328-K1328</f>
        <v>0</v>
      </c>
      <c r="M1328" s="275">
        <f t="shared" si="405"/>
        <v>285</v>
      </c>
      <c r="N1328" s="98">
        <v>6</v>
      </c>
      <c r="O1328" s="93">
        <f t="shared" si="409"/>
        <v>100</v>
      </c>
      <c r="JG1328" s="100">
        <v>18</v>
      </c>
      <c r="JH1328" s="100">
        <v>26</v>
      </c>
      <c r="JI1328" s="100">
        <v>23</v>
      </c>
      <c r="JJ1328" s="100">
        <v>35</v>
      </c>
      <c r="JK1328" s="100">
        <v>42</v>
      </c>
      <c r="JN1328" s="100">
        <f>9+31</f>
        <v>40</v>
      </c>
      <c r="JO1328" s="100">
        <v>53</v>
      </c>
      <c r="JP1328" s="100">
        <v>41</v>
      </c>
      <c r="JR1328" s="100">
        <v>7</v>
      </c>
      <c r="ON1328" s="100">
        <f t="shared" si="395"/>
        <v>0</v>
      </c>
    </row>
    <row r="1329" spans="1:404" ht="32.25" customHeight="1">
      <c r="A1329" s="97" t="str">
        <f t="shared" si="406"/>
        <v>001/AHOME-2166-70900-04-39</v>
      </c>
      <c r="B1329" s="95">
        <v>44379</v>
      </c>
      <c r="C1329" s="97">
        <f t="shared" ca="1" si="407"/>
        <v>-685</v>
      </c>
      <c r="D1329" s="145" t="s">
        <v>766</v>
      </c>
      <c r="E1329" s="252" t="s">
        <v>647</v>
      </c>
      <c r="F1329" s="132" t="str">
        <f t="shared" si="410"/>
        <v>39</v>
      </c>
      <c r="G1329" s="130">
        <f ca="1">SUMIF($A:E,$A1329,K:K)</f>
        <v>100</v>
      </c>
      <c r="H1329" s="97" t="s">
        <v>770</v>
      </c>
      <c r="I1329" s="98">
        <v>100</v>
      </c>
      <c r="J1329" s="97">
        <v>100</v>
      </c>
      <c r="K1329" s="143">
        <f t="shared" si="394"/>
        <v>100</v>
      </c>
      <c r="L1329" s="144">
        <f t="shared" si="411"/>
        <v>0</v>
      </c>
      <c r="M1329" s="275">
        <f t="shared" si="405"/>
        <v>100</v>
      </c>
      <c r="N1329" s="98">
        <v>1</v>
      </c>
      <c r="O1329" s="93">
        <f t="shared" ref="O1329:O1372" si="412">K1329/J1329*100</f>
        <v>100</v>
      </c>
      <c r="EM1329" s="100">
        <v>16</v>
      </c>
      <c r="EN1329" s="100">
        <v>10</v>
      </c>
      <c r="EP1329" s="100">
        <v>36</v>
      </c>
      <c r="EQ1329" s="100">
        <v>14</v>
      </c>
      <c r="ER1329" s="100">
        <v>2</v>
      </c>
      <c r="EU1329" s="100">
        <v>6</v>
      </c>
      <c r="EW1329" s="100">
        <v>11</v>
      </c>
      <c r="FK1329" s="100">
        <v>5</v>
      </c>
      <c r="ON1329" s="100">
        <f t="shared" si="395"/>
        <v>0</v>
      </c>
    </row>
    <row r="1330" spans="1:404" ht="23.25" customHeight="1">
      <c r="A1330" s="97" t="str">
        <f t="shared" si="406"/>
        <v>001/AHOME-2166-70900-04-30</v>
      </c>
      <c r="B1330" s="95">
        <v>44379</v>
      </c>
      <c r="C1330" s="97">
        <f t="shared" ca="1" si="407"/>
        <v>-685</v>
      </c>
      <c r="D1330" s="145" t="s">
        <v>766</v>
      </c>
      <c r="E1330" s="252" t="s">
        <v>646</v>
      </c>
      <c r="F1330" s="132" t="str">
        <f t="shared" si="410"/>
        <v>30</v>
      </c>
      <c r="G1330" s="130">
        <f ca="1">SUMIF($A:E,$A1330,K:K)</f>
        <v>100</v>
      </c>
      <c r="H1330" s="97" t="s">
        <v>770</v>
      </c>
      <c r="I1330" s="98">
        <v>100</v>
      </c>
      <c r="J1330" s="97">
        <v>100</v>
      </c>
      <c r="K1330" s="143">
        <f t="shared" si="394"/>
        <v>100</v>
      </c>
      <c r="L1330" s="144">
        <f t="shared" si="411"/>
        <v>0</v>
      </c>
      <c r="M1330" s="275">
        <f t="shared" si="405"/>
        <v>100</v>
      </c>
      <c r="N1330" s="98">
        <v>3</v>
      </c>
      <c r="O1330" s="93">
        <f t="shared" si="412"/>
        <v>100</v>
      </c>
      <c r="DP1330" s="101">
        <v>8</v>
      </c>
      <c r="DR1330" s="101">
        <v>4</v>
      </c>
      <c r="DS1330" s="100">
        <v>4</v>
      </c>
      <c r="DT1330" s="100">
        <v>3</v>
      </c>
      <c r="DU1330" s="100">
        <v>4</v>
      </c>
      <c r="DV1330" s="100">
        <v>4</v>
      </c>
      <c r="DW1330" s="100">
        <v>4</v>
      </c>
      <c r="DZ1330" s="100">
        <v>11</v>
      </c>
      <c r="EA1330" s="100">
        <v>12</v>
      </c>
      <c r="EC1330" s="100">
        <v>12</v>
      </c>
      <c r="ED1330" s="100">
        <v>13</v>
      </c>
      <c r="EF1330" s="100">
        <v>12</v>
      </c>
      <c r="EG1330" s="100">
        <v>4</v>
      </c>
      <c r="EH1330" s="100">
        <v>5</v>
      </c>
      <c r="ON1330" s="100">
        <f t="shared" si="395"/>
        <v>0</v>
      </c>
    </row>
    <row r="1331" spans="1:404" ht="23.25" customHeight="1">
      <c r="A1331" s="97" t="str">
        <f t="shared" si="406"/>
        <v>001/AHOME-2166-70900-03-39</v>
      </c>
      <c r="B1331" s="95">
        <v>44379</v>
      </c>
      <c r="C1331" s="97">
        <f t="shared" ca="1" si="407"/>
        <v>-685</v>
      </c>
      <c r="D1331" s="145" t="s">
        <v>766</v>
      </c>
      <c r="E1331" s="252" t="s">
        <v>645</v>
      </c>
      <c r="F1331" s="132" t="str">
        <f t="shared" si="410"/>
        <v>39</v>
      </c>
      <c r="G1331" s="130">
        <f ca="1">SUMIF($A:E,$A1331,K:K)</f>
        <v>100</v>
      </c>
      <c r="H1331" s="97" t="s">
        <v>770</v>
      </c>
      <c r="I1331" s="98">
        <v>100</v>
      </c>
      <c r="J1331" s="97">
        <v>100</v>
      </c>
      <c r="K1331" s="143">
        <f t="shared" si="394"/>
        <v>100</v>
      </c>
      <c r="L1331" s="144">
        <f t="shared" si="411"/>
        <v>0</v>
      </c>
      <c r="M1331" s="275">
        <f t="shared" si="405"/>
        <v>100</v>
      </c>
      <c r="N1331" s="98">
        <v>1</v>
      </c>
      <c r="O1331" s="93">
        <f t="shared" si="412"/>
        <v>100</v>
      </c>
      <c r="EM1331" s="100">
        <v>16</v>
      </c>
      <c r="EN1331" s="100">
        <v>10</v>
      </c>
      <c r="EP1331" s="100">
        <v>36</v>
      </c>
      <c r="EQ1331" s="100">
        <v>14</v>
      </c>
      <c r="ER1331" s="100">
        <v>2</v>
      </c>
      <c r="EU1331" s="100">
        <v>6</v>
      </c>
      <c r="EW1331" s="100">
        <v>11</v>
      </c>
      <c r="FK1331" s="100">
        <v>5</v>
      </c>
      <c r="ON1331" s="100">
        <f t="shared" si="395"/>
        <v>0</v>
      </c>
    </row>
    <row r="1332" spans="1:404" ht="23.25" customHeight="1">
      <c r="A1332" s="97" t="str">
        <f t="shared" si="406"/>
        <v>001/AHOME-2166-70900-03-30</v>
      </c>
      <c r="B1332" s="95">
        <v>44379</v>
      </c>
      <c r="C1332" s="97">
        <f t="shared" ca="1" si="407"/>
        <v>-685</v>
      </c>
      <c r="D1332" s="145" t="s">
        <v>766</v>
      </c>
      <c r="E1332" s="252" t="s">
        <v>644</v>
      </c>
      <c r="F1332" s="132" t="str">
        <f t="shared" si="410"/>
        <v>30</v>
      </c>
      <c r="G1332" s="130">
        <f ca="1">SUMIF($A:E,$A1332,K:K)</f>
        <v>100</v>
      </c>
      <c r="H1332" s="97" t="s">
        <v>770</v>
      </c>
      <c r="I1332" s="98">
        <v>100</v>
      </c>
      <c r="J1332" s="97">
        <v>100</v>
      </c>
      <c r="K1332" s="143">
        <f t="shared" si="394"/>
        <v>100</v>
      </c>
      <c r="L1332" s="144">
        <f t="shared" si="411"/>
        <v>0</v>
      </c>
      <c r="M1332" s="275">
        <f t="shared" si="405"/>
        <v>100</v>
      </c>
      <c r="N1332" s="98">
        <v>3</v>
      </c>
      <c r="O1332" s="93">
        <f t="shared" si="412"/>
        <v>100</v>
      </c>
      <c r="DP1332" s="101">
        <v>24</v>
      </c>
      <c r="DR1332" s="101">
        <v>12</v>
      </c>
      <c r="DS1332" s="100">
        <v>12</v>
      </c>
      <c r="DT1332" s="100">
        <v>12</v>
      </c>
      <c r="DU1332" s="100">
        <v>12</v>
      </c>
      <c r="DV1332" s="100">
        <v>9</v>
      </c>
      <c r="DW1332" s="100">
        <v>12</v>
      </c>
      <c r="DZ1332" s="100">
        <v>7</v>
      </c>
      <c r="ON1332" s="100">
        <f t="shared" si="395"/>
        <v>0</v>
      </c>
    </row>
    <row r="1333" spans="1:404" ht="23.25" customHeight="1">
      <c r="A1333" s="97" t="str">
        <f t="shared" si="406"/>
        <v>180/KHBS-21 ( 016/ANNA-21)66-70900-01-30</v>
      </c>
      <c r="B1333" s="95">
        <v>44330</v>
      </c>
      <c r="C1333" s="97">
        <f t="shared" ca="1" si="407"/>
        <v>-734</v>
      </c>
      <c r="D1333" s="96" t="s">
        <v>969</v>
      </c>
      <c r="E1333" s="94" t="s">
        <v>967</v>
      </c>
      <c r="F1333" s="132" t="str">
        <f t="shared" si="410"/>
        <v>30</v>
      </c>
      <c r="G1333" s="130">
        <f ca="1">SUMIF($A:E,$A1333,K:K)</f>
        <v>1</v>
      </c>
      <c r="H1333" s="97" t="s">
        <v>970</v>
      </c>
      <c r="I1333" s="98">
        <v>1</v>
      </c>
      <c r="J1333" s="99">
        <v>1</v>
      </c>
      <c r="K1333" s="143">
        <f t="shared" si="394"/>
        <v>1</v>
      </c>
      <c r="L1333" s="144">
        <f t="shared" si="411"/>
        <v>0</v>
      </c>
      <c r="M1333" s="275">
        <f t="shared" si="405"/>
        <v>1</v>
      </c>
      <c r="N1333" s="98">
        <v>5</v>
      </c>
      <c r="O1333" s="93">
        <f t="shared" si="412"/>
        <v>100</v>
      </c>
      <c r="DW1333" s="100">
        <v>1</v>
      </c>
      <c r="ON1333" s="100">
        <f t="shared" si="395"/>
        <v>0</v>
      </c>
    </row>
    <row r="1334" spans="1:404" ht="23.25" customHeight="1">
      <c r="A1334" s="97" t="str">
        <f t="shared" si="406"/>
        <v>004/OBI-2166-70337-04-B4</v>
      </c>
      <c r="B1334" s="95">
        <v>44448</v>
      </c>
      <c r="C1334" s="97">
        <f t="shared" ca="1" si="407"/>
        <v>-616</v>
      </c>
      <c r="D1334" s="96" t="s">
        <v>1137</v>
      </c>
      <c r="E1334" s="94" t="s">
        <v>1139</v>
      </c>
      <c r="F1334" s="132" t="str">
        <f t="shared" si="410"/>
        <v>B4</v>
      </c>
      <c r="G1334" s="130">
        <f ca="1">SUMIF($A:E,$A1334,K:K)</f>
        <v>88</v>
      </c>
      <c r="H1334" s="97" t="s">
        <v>616</v>
      </c>
      <c r="I1334" s="98">
        <v>88</v>
      </c>
      <c r="J1334" s="97">
        <v>88</v>
      </c>
      <c r="K1334" s="143">
        <f t="shared" si="394"/>
        <v>88</v>
      </c>
      <c r="L1334" s="144">
        <f t="shared" si="411"/>
        <v>0</v>
      </c>
      <c r="M1334" s="275">
        <f t="shared" si="405"/>
        <v>88</v>
      </c>
      <c r="N1334" s="98">
        <v>3</v>
      </c>
      <c r="O1334" s="93">
        <f t="shared" si="412"/>
        <v>100</v>
      </c>
      <c r="HE1334" s="100">
        <v>5</v>
      </c>
      <c r="HF1334" s="100">
        <v>3</v>
      </c>
      <c r="HI1334" s="100">
        <v>2</v>
      </c>
      <c r="HK1334" s="100">
        <v>4</v>
      </c>
      <c r="HL1334" s="100">
        <v>3</v>
      </c>
      <c r="HM1334" s="100">
        <v>3</v>
      </c>
      <c r="HN1334" s="100">
        <v>5</v>
      </c>
      <c r="HP1334" s="100">
        <v>4</v>
      </c>
      <c r="HQ1334" s="100">
        <v>2</v>
      </c>
      <c r="HS1334" s="100">
        <v>6</v>
      </c>
      <c r="HT1334" s="100">
        <v>4</v>
      </c>
      <c r="HU1334" s="100">
        <v>4</v>
      </c>
      <c r="HW1334" s="100">
        <v>3</v>
      </c>
      <c r="HX1334" s="100">
        <v>8</v>
      </c>
      <c r="IB1334" s="100">
        <v>4</v>
      </c>
      <c r="ID1334" s="100">
        <v>4</v>
      </c>
      <c r="IF1334" s="100">
        <v>4</v>
      </c>
      <c r="IG1334" s="100">
        <v>8</v>
      </c>
      <c r="IH1334" s="100">
        <v>3</v>
      </c>
      <c r="IK1334" s="100">
        <v>9</v>
      </c>
      <c r="ON1334" s="100">
        <f t="shared" si="395"/>
        <v>0</v>
      </c>
    </row>
    <row r="1335" spans="1:404" ht="23.25" customHeight="1">
      <c r="A1335" s="97" t="str">
        <f t="shared" si="406"/>
        <v>021T/WESTELM-2166-70337-03-B4</v>
      </c>
      <c r="B1335" s="95">
        <v>44408</v>
      </c>
      <c r="C1335" s="97">
        <f t="shared" ca="1" si="407"/>
        <v>-656</v>
      </c>
      <c r="D1335" s="96" t="s">
        <v>1080</v>
      </c>
      <c r="E1335" s="94" t="s">
        <v>1117</v>
      </c>
      <c r="F1335" s="132" t="str">
        <f t="shared" si="410"/>
        <v>B4</v>
      </c>
      <c r="G1335" s="130">
        <f ca="1">SUMIF($A:E,$A1335,K:K)</f>
        <v>505</v>
      </c>
      <c r="H1335" s="97" t="s">
        <v>508</v>
      </c>
      <c r="I1335" s="98">
        <v>505</v>
      </c>
      <c r="J1335" s="97">
        <v>505</v>
      </c>
      <c r="K1335" s="143">
        <f t="shared" si="394"/>
        <v>505</v>
      </c>
      <c r="L1335" s="144">
        <f t="shared" si="411"/>
        <v>0</v>
      </c>
      <c r="M1335" s="275">
        <f t="shared" si="405"/>
        <v>505</v>
      </c>
      <c r="N1335" s="98">
        <v>5</v>
      </c>
      <c r="O1335" s="93">
        <f t="shared" si="412"/>
        <v>100</v>
      </c>
      <c r="FE1335" s="100">
        <v>8</v>
      </c>
      <c r="FH1335" s="100">
        <v>8</v>
      </c>
      <c r="FI1335" s="100">
        <v>4</v>
      </c>
      <c r="FJ1335" s="100">
        <v>4</v>
      </c>
      <c r="FK1335" s="100">
        <v>9</v>
      </c>
      <c r="FL1335" s="100">
        <v>5</v>
      </c>
      <c r="FM1335" s="100">
        <v>11</v>
      </c>
      <c r="FO1335" s="100">
        <v>8</v>
      </c>
      <c r="FP1335" s="100">
        <v>16</v>
      </c>
      <c r="FR1335" s="100">
        <v>16</v>
      </c>
      <c r="FS1335" s="100">
        <v>19</v>
      </c>
      <c r="FT1335" s="100">
        <v>17</v>
      </c>
      <c r="FU1335" s="100">
        <v>17</v>
      </c>
      <c r="FV1335" s="100">
        <v>18</v>
      </c>
      <c r="FW1335" s="100">
        <v>17</v>
      </c>
      <c r="FX1335" s="100">
        <v>16</v>
      </c>
      <c r="FZ1335" s="100">
        <v>20</v>
      </c>
      <c r="GA1335" s="100">
        <v>19</v>
      </c>
      <c r="GB1335" s="100">
        <v>20</v>
      </c>
      <c r="GC1335" s="100">
        <v>19</v>
      </c>
      <c r="GD1335" s="100">
        <v>20</v>
      </c>
      <c r="GE1335" s="100">
        <v>20</v>
      </c>
      <c r="GG1335" s="100">
        <v>17</v>
      </c>
      <c r="GH1335" s="100">
        <v>20</v>
      </c>
      <c r="GI1335" s="100">
        <v>19</v>
      </c>
      <c r="GJ1335" s="100">
        <v>18</v>
      </c>
      <c r="GK1335" s="100">
        <v>21</v>
      </c>
      <c r="GL1335" s="100">
        <v>15</v>
      </c>
      <c r="GN1335" s="100">
        <v>19</v>
      </c>
      <c r="GO1335" s="100">
        <v>21</v>
      </c>
      <c r="GP1335" s="100">
        <v>15</v>
      </c>
      <c r="GQ1335" s="100">
        <v>4</v>
      </c>
      <c r="GR1335" s="100">
        <v>3</v>
      </c>
      <c r="GS1335" s="100">
        <v>4</v>
      </c>
      <c r="GU1335" s="100">
        <v>2</v>
      </c>
      <c r="GV1335" s="100">
        <v>4</v>
      </c>
      <c r="GW1335" s="100">
        <v>12</v>
      </c>
      <c r="ON1335" s="100">
        <f t="shared" si="395"/>
        <v>0</v>
      </c>
    </row>
    <row r="1336" spans="1:404" ht="23.25" customHeight="1">
      <c r="A1336" s="97" t="str">
        <f t="shared" si="406"/>
        <v>004/OBI-2166-70337-03-B4</v>
      </c>
      <c r="B1336" s="95">
        <v>44448</v>
      </c>
      <c r="C1336" s="97">
        <f t="shared" ca="1" si="407"/>
        <v>-616</v>
      </c>
      <c r="D1336" s="96" t="s">
        <v>1137</v>
      </c>
      <c r="E1336" s="94" t="s">
        <v>1117</v>
      </c>
      <c r="F1336" s="132" t="str">
        <f t="shared" si="410"/>
        <v>B4</v>
      </c>
      <c r="G1336" s="130">
        <f ca="1">SUMIF($A:E,$A1336,K:K)</f>
        <v>88</v>
      </c>
      <c r="H1336" s="97" t="s">
        <v>616</v>
      </c>
      <c r="I1336" s="98">
        <v>88</v>
      </c>
      <c r="J1336" s="97">
        <v>88</v>
      </c>
      <c r="K1336" s="143">
        <f t="shared" si="394"/>
        <v>88</v>
      </c>
      <c r="L1336" s="144">
        <f t="shared" si="411"/>
        <v>0</v>
      </c>
      <c r="M1336" s="275">
        <f t="shared" si="405"/>
        <v>88</v>
      </c>
      <c r="N1336" s="98">
        <v>3</v>
      </c>
      <c r="O1336" s="93">
        <f t="shared" si="412"/>
        <v>100</v>
      </c>
      <c r="HE1336" s="100">
        <v>5</v>
      </c>
      <c r="HF1336" s="100">
        <v>3</v>
      </c>
      <c r="HI1336" s="100">
        <v>2</v>
      </c>
      <c r="HK1336" s="100">
        <v>4</v>
      </c>
      <c r="HL1336" s="100">
        <v>3</v>
      </c>
      <c r="HM1336" s="100">
        <v>3</v>
      </c>
      <c r="HN1336" s="100">
        <v>5</v>
      </c>
      <c r="HP1336" s="100">
        <v>4</v>
      </c>
      <c r="HQ1336" s="100">
        <v>2</v>
      </c>
      <c r="HS1336" s="100">
        <v>6</v>
      </c>
      <c r="HT1336" s="100">
        <v>4</v>
      </c>
      <c r="HU1336" s="100">
        <v>4</v>
      </c>
      <c r="HW1336" s="100">
        <v>3</v>
      </c>
      <c r="HX1336" s="100">
        <v>8</v>
      </c>
      <c r="IB1336" s="100">
        <v>4</v>
      </c>
      <c r="ID1336" s="100">
        <v>4</v>
      </c>
      <c r="IF1336" s="100">
        <v>4</v>
      </c>
      <c r="IG1336" s="100">
        <v>8</v>
      </c>
      <c r="IH1336" s="100">
        <v>3</v>
      </c>
      <c r="IK1336" s="100">
        <v>9</v>
      </c>
      <c r="ON1336" s="100">
        <f t="shared" si="395"/>
        <v>0</v>
      </c>
    </row>
    <row r="1337" spans="1:404" ht="23.25" customHeight="1">
      <c r="A1337" s="97" t="str">
        <f t="shared" si="406"/>
        <v>035T/WESTELM-2166-70337-03-B4</v>
      </c>
      <c r="B1337" s="95">
        <v>44546</v>
      </c>
      <c r="C1337" s="97">
        <f t="shared" ca="1" si="407"/>
        <v>-518</v>
      </c>
      <c r="D1337" s="112" t="s">
        <v>1773</v>
      </c>
      <c r="E1337" s="123" t="s">
        <v>1117</v>
      </c>
      <c r="F1337" s="132" t="str">
        <f t="shared" si="410"/>
        <v>B4</v>
      </c>
      <c r="G1337" s="130">
        <f ca="1">SUMIF($A:E,$A1337,K:K)</f>
        <v>310</v>
      </c>
      <c r="H1337" s="97" t="s">
        <v>616</v>
      </c>
      <c r="I1337" s="175">
        <v>310</v>
      </c>
      <c r="J1337" s="115">
        <v>310</v>
      </c>
      <c r="K1337" s="143">
        <f t="shared" si="394"/>
        <v>310</v>
      </c>
      <c r="L1337" s="144">
        <f t="shared" si="411"/>
        <v>0</v>
      </c>
      <c r="M1337" s="275">
        <f t="shared" si="405"/>
        <v>310</v>
      </c>
      <c r="N1337" s="98">
        <v>4</v>
      </c>
      <c r="O1337" s="93">
        <f t="shared" si="412"/>
        <v>100</v>
      </c>
      <c r="JX1337" s="100">
        <v>8</v>
      </c>
      <c r="JY1337" s="100">
        <v>4</v>
      </c>
      <c r="KA1337" s="100">
        <v>16</v>
      </c>
      <c r="KB1337" s="100">
        <v>4</v>
      </c>
      <c r="KC1337" s="100">
        <v>8</v>
      </c>
      <c r="KD1337" s="100">
        <v>7</v>
      </c>
      <c r="KE1337" s="100">
        <v>8</v>
      </c>
      <c r="KF1337" s="100">
        <v>10</v>
      </c>
      <c r="KG1337" s="100">
        <v>8</v>
      </c>
      <c r="KH1337" s="100">
        <v>4</v>
      </c>
      <c r="KI1337" s="100">
        <v>4</v>
      </c>
      <c r="KJ1337" s="100">
        <v>12</v>
      </c>
      <c r="KN1337" s="100">
        <v>7</v>
      </c>
      <c r="KO1337" s="100">
        <v>6</v>
      </c>
      <c r="KP1337" s="100">
        <v>9</v>
      </c>
      <c r="KQ1337" s="100">
        <v>8</v>
      </c>
      <c r="KR1337" s="100">
        <v>8</v>
      </c>
      <c r="KV1337" s="100">
        <v>20</v>
      </c>
      <c r="KW1337" s="100">
        <v>4</v>
      </c>
      <c r="KX1337" s="100">
        <v>4</v>
      </c>
      <c r="KY1337" s="100">
        <v>8</v>
      </c>
      <c r="KZ1337" s="100">
        <v>8</v>
      </c>
      <c r="LB1337" s="100">
        <v>16</v>
      </c>
      <c r="LC1337" s="100">
        <v>4</v>
      </c>
      <c r="LD1337" s="100">
        <v>8</v>
      </c>
      <c r="LE1337" s="100">
        <v>7</v>
      </c>
      <c r="LF1337" s="100">
        <v>7</v>
      </c>
      <c r="LG1337" s="100">
        <v>10</v>
      </c>
      <c r="LI1337" s="100">
        <v>8</v>
      </c>
      <c r="LK1337" s="100">
        <v>4</v>
      </c>
      <c r="LL1337" s="100">
        <v>8</v>
      </c>
      <c r="LM1337" s="100">
        <v>8</v>
      </c>
      <c r="LN1337" s="100">
        <v>7</v>
      </c>
      <c r="LP1337" s="100">
        <v>8</v>
      </c>
      <c r="LQ1337" s="100">
        <v>12</v>
      </c>
      <c r="LR1337" s="100">
        <v>8</v>
      </c>
      <c r="LS1337" s="100">
        <v>7</v>
      </c>
      <c r="LT1337" s="100">
        <v>7</v>
      </c>
      <c r="LU1337" s="100">
        <v>6</v>
      </c>
      <c r="ON1337" s="100">
        <f t="shared" si="395"/>
        <v>0</v>
      </c>
    </row>
    <row r="1338" spans="1:404" ht="23.25" customHeight="1">
      <c r="A1338" s="97" t="str">
        <f t="shared" si="406"/>
        <v>060/WESTELM-2166-70337-02-B4</v>
      </c>
      <c r="B1338" s="95">
        <v>44425</v>
      </c>
      <c r="C1338" s="97">
        <f t="shared" ca="1" si="407"/>
        <v>-639</v>
      </c>
      <c r="D1338" s="96" t="s">
        <v>895</v>
      </c>
      <c r="E1338" s="94" t="s">
        <v>602</v>
      </c>
      <c r="F1338" s="132" t="str">
        <f t="shared" si="410"/>
        <v>B4</v>
      </c>
      <c r="G1338" s="130">
        <f ca="1">SUMIF($A:E,$A1338,K:K)</f>
        <v>57</v>
      </c>
      <c r="H1338" s="97" t="s">
        <v>616</v>
      </c>
      <c r="I1338" s="98">
        <v>57</v>
      </c>
      <c r="J1338" s="99">
        <v>57</v>
      </c>
      <c r="K1338" s="143">
        <f t="shared" si="394"/>
        <v>57</v>
      </c>
      <c r="L1338" s="144">
        <f t="shared" si="411"/>
        <v>0</v>
      </c>
      <c r="M1338" s="275">
        <f t="shared" si="405"/>
        <v>57</v>
      </c>
      <c r="N1338" s="98">
        <v>4</v>
      </c>
      <c r="O1338" s="93">
        <f t="shared" si="412"/>
        <v>100</v>
      </c>
      <c r="ED1338" s="100">
        <v>1</v>
      </c>
      <c r="EF1338" s="100">
        <v>8</v>
      </c>
      <c r="EG1338" s="100">
        <v>9</v>
      </c>
      <c r="EH1338" s="100">
        <v>8</v>
      </c>
      <c r="EI1338" s="100">
        <v>8</v>
      </c>
      <c r="EJ1338" s="100">
        <v>8</v>
      </c>
      <c r="EK1338" s="100">
        <v>5</v>
      </c>
      <c r="EL1338" s="100">
        <v>7</v>
      </c>
      <c r="EM1338" s="100">
        <v>3</v>
      </c>
      <c r="ON1338" s="100">
        <f t="shared" si="395"/>
        <v>0</v>
      </c>
    </row>
    <row r="1339" spans="1:404" ht="23.25" customHeight="1">
      <c r="A1339" s="97" t="str">
        <f t="shared" si="406"/>
        <v>061/WESTELM-2166-70337-02-B4</v>
      </c>
      <c r="B1339" s="95">
        <v>44425</v>
      </c>
      <c r="C1339" s="97">
        <f t="shared" ca="1" si="407"/>
        <v>-639</v>
      </c>
      <c r="D1339" s="96" t="s">
        <v>896</v>
      </c>
      <c r="E1339" s="94" t="s">
        <v>602</v>
      </c>
      <c r="F1339" s="132" t="str">
        <f t="shared" si="410"/>
        <v>B4</v>
      </c>
      <c r="G1339" s="130">
        <f ca="1">SUMIF($A:E,$A1339,K:K)</f>
        <v>71</v>
      </c>
      <c r="H1339" s="97" t="s">
        <v>616</v>
      </c>
      <c r="I1339" s="98">
        <v>71</v>
      </c>
      <c r="J1339" s="99">
        <v>71</v>
      </c>
      <c r="K1339" s="143">
        <f t="shared" si="394"/>
        <v>71</v>
      </c>
      <c r="L1339" s="144">
        <f t="shared" si="411"/>
        <v>0</v>
      </c>
      <c r="M1339" s="275">
        <f t="shared" si="405"/>
        <v>71</v>
      </c>
      <c r="N1339" s="98">
        <v>4</v>
      </c>
      <c r="O1339" s="93">
        <f t="shared" si="412"/>
        <v>100</v>
      </c>
      <c r="GS1339" s="100">
        <v>6</v>
      </c>
      <c r="GU1339" s="100">
        <v>7</v>
      </c>
      <c r="GV1339" s="100">
        <v>12</v>
      </c>
      <c r="GW1339" s="100">
        <v>10</v>
      </c>
      <c r="GX1339" s="100">
        <v>8</v>
      </c>
      <c r="GY1339" s="100">
        <v>11</v>
      </c>
      <c r="GZ1339" s="100">
        <v>5</v>
      </c>
      <c r="HB1339" s="100">
        <v>10</v>
      </c>
      <c r="HD1339" s="100">
        <v>2</v>
      </c>
      <c r="ON1339" s="100">
        <f t="shared" si="395"/>
        <v>0</v>
      </c>
    </row>
    <row r="1340" spans="1:404" ht="23.25" customHeight="1">
      <c r="A1340" s="97" t="s">
        <v>1771</v>
      </c>
      <c r="B1340" s="95">
        <v>44441</v>
      </c>
      <c r="C1340" s="97">
        <v>-5</v>
      </c>
      <c r="D1340" s="112" t="s">
        <v>1447</v>
      </c>
      <c r="E1340" s="123" t="s">
        <v>602</v>
      </c>
      <c r="F1340" s="132" t="s">
        <v>1772</v>
      </c>
      <c r="G1340" s="130">
        <v>210</v>
      </c>
      <c r="H1340" s="97" t="s">
        <v>616</v>
      </c>
      <c r="I1340" s="175">
        <v>261</v>
      </c>
      <c r="J1340" s="115">
        <v>24</v>
      </c>
      <c r="K1340" s="143">
        <f t="shared" si="394"/>
        <v>24</v>
      </c>
      <c r="L1340" s="144">
        <f t="shared" si="411"/>
        <v>0</v>
      </c>
      <c r="M1340" s="275">
        <f t="shared" si="405"/>
        <v>261</v>
      </c>
      <c r="N1340" s="98">
        <v>1</v>
      </c>
      <c r="O1340" s="93">
        <f t="shared" si="412"/>
        <v>100</v>
      </c>
      <c r="IF1340" s="100">
        <v>14</v>
      </c>
      <c r="IG1340" s="100">
        <v>9</v>
      </c>
      <c r="IH1340" s="100">
        <v>1</v>
      </c>
      <c r="ON1340" s="100">
        <f t="shared" si="395"/>
        <v>0</v>
      </c>
    </row>
    <row r="1341" spans="1:404" ht="23.25" customHeight="1">
      <c r="A1341" s="97" t="s">
        <v>1771</v>
      </c>
      <c r="B1341" s="95">
        <v>44441</v>
      </c>
      <c r="C1341" s="97">
        <v>-7</v>
      </c>
      <c r="D1341" s="112" t="s">
        <v>1447</v>
      </c>
      <c r="E1341" s="123" t="s">
        <v>602</v>
      </c>
      <c r="F1341" s="132" t="s">
        <v>1772</v>
      </c>
      <c r="G1341" s="130">
        <v>235</v>
      </c>
      <c r="H1341" s="97" t="s">
        <v>616</v>
      </c>
      <c r="I1341" s="175">
        <v>261</v>
      </c>
      <c r="J1341" s="115">
        <v>2</v>
      </c>
      <c r="K1341" s="143">
        <f t="shared" si="394"/>
        <v>2</v>
      </c>
      <c r="L1341" s="144">
        <f t="shared" si="411"/>
        <v>0</v>
      </c>
      <c r="M1341" s="275">
        <f t="shared" si="405"/>
        <v>261</v>
      </c>
      <c r="N1341" s="98">
        <v>1</v>
      </c>
      <c r="O1341" s="93">
        <f t="shared" si="412"/>
        <v>100</v>
      </c>
      <c r="IF1341" s="100">
        <v>2</v>
      </c>
      <c r="ON1341" s="100">
        <f t="shared" si="395"/>
        <v>0</v>
      </c>
    </row>
    <row r="1342" spans="1:404" ht="23.25" customHeight="1">
      <c r="A1342" s="97" t="str">
        <f t="shared" ref="A1342:A1354" si="413">D1342&amp;E1342</f>
        <v>025T/WESTELM-2166-70337-02-B4</v>
      </c>
      <c r="B1342" s="95">
        <v>44441</v>
      </c>
      <c r="C1342" s="97">
        <f t="shared" ref="C1342:C1373" ca="1" si="414">B1342-TODAY()</f>
        <v>-623</v>
      </c>
      <c r="D1342" s="112" t="s">
        <v>1447</v>
      </c>
      <c r="E1342" s="123" t="s">
        <v>602</v>
      </c>
      <c r="F1342" s="132" t="str">
        <f t="shared" ref="F1342:F1373" si="415">MID(E1342,13,2)</f>
        <v>B4</v>
      </c>
      <c r="G1342" s="130">
        <f ca="1">SUMIF($A:E,$A1342,K:K)</f>
        <v>261</v>
      </c>
      <c r="H1342" s="97" t="s">
        <v>616</v>
      </c>
      <c r="I1342" s="175">
        <v>261</v>
      </c>
      <c r="J1342" s="115">
        <v>235</v>
      </c>
      <c r="K1342" s="143">
        <f t="shared" si="394"/>
        <v>235</v>
      </c>
      <c r="L1342" s="144">
        <f t="shared" si="411"/>
        <v>0</v>
      </c>
      <c r="M1342" s="275">
        <f t="shared" si="405"/>
        <v>261</v>
      </c>
      <c r="N1342" s="98">
        <v>5</v>
      </c>
      <c r="O1342" s="93">
        <f t="shared" si="412"/>
        <v>100</v>
      </c>
      <c r="HG1342" s="100">
        <v>10</v>
      </c>
      <c r="HI1342" s="100">
        <v>10</v>
      </c>
      <c r="HJ1342" s="100">
        <v>9</v>
      </c>
      <c r="HK1342" s="100">
        <v>5</v>
      </c>
      <c r="HL1342" s="100">
        <v>10</v>
      </c>
      <c r="HM1342" s="100">
        <v>12</v>
      </c>
      <c r="HN1342" s="100">
        <v>12</v>
      </c>
      <c r="HP1342" s="100">
        <v>16</v>
      </c>
      <c r="HQ1342" s="100">
        <v>8</v>
      </c>
      <c r="HR1342" s="100">
        <v>15</v>
      </c>
      <c r="HS1342" s="100">
        <v>17</v>
      </c>
      <c r="HT1342" s="100">
        <v>9</v>
      </c>
      <c r="HU1342" s="100">
        <v>15</v>
      </c>
      <c r="HW1342" s="100">
        <v>14</v>
      </c>
      <c r="HX1342" s="100">
        <v>8</v>
      </c>
      <c r="HY1342" s="100">
        <v>11</v>
      </c>
      <c r="IB1342" s="100">
        <v>17</v>
      </c>
      <c r="ID1342" s="100">
        <v>12</v>
      </c>
      <c r="IE1342" s="100">
        <v>25</v>
      </c>
      <c r="ON1342" s="100">
        <f t="shared" si="395"/>
        <v>0</v>
      </c>
    </row>
    <row r="1343" spans="1:404" ht="23.25" customHeight="1">
      <c r="A1343" s="97" t="str">
        <f t="shared" si="413"/>
        <v>026T/WESTELM-2166-70337-02-B4</v>
      </c>
      <c r="B1343" s="95">
        <v>44454</v>
      </c>
      <c r="C1343" s="97">
        <f t="shared" ca="1" si="414"/>
        <v>-610</v>
      </c>
      <c r="D1343" s="112" t="s">
        <v>1448</v>
      </c>
      <c r="E1343" s="123" t="s">
        <v>602</v>
      </c>
      <c r="F1343" s="132" t="str">
        <f t="shared" si="415"/>
        <v>B4</v>
      </c>
      <c r="G1343" s="130">
        <f ca="1">SUMIF($A:E,$A1343,K:K)</f>
        <v>39</v>
      </c>
      <c r="H1343" s="97" t="s">
        <v>616</v>
      </c>
      <c r="I1343" s="175">
        <v>39</v>
      </c>
      <c r="J1343" s="115">
        <v>39</v>
      </c>
      <c r="K1343" s="143">
        <f t="shared" si="394"/>
        <v>39</v>
      </c>
      <c r="L1343" s="144">
        <f t="shared" si="411"/>
        <v>0</v>
      </c>
      <c r="M1343" s="275">
        <f t="shared" si="405"/>
        <v>39</v>
      </c>
      <c r="N1343" s="98">
        <v>1</v>
      </c>
      <c r="O1343" s="93">
        <f t="shared" si="412"/>
        <v>100</v>
      </c>
      <c r="II1343" s="100">
        <v>8</v>
      </c>
      <c r="IK1343" s="100">
        <v>4</v>
      </c>
      <c r="IL1343" s="100">
        <v>16</v>
      </c>
      <c r="IM1343" s="100">
        <v>8</v>
      </c>
      <c r="IN1343" s="100">
        <v>3</v>
      </c>
      <c r="ON1343" s="100">
        <f t="shared" si="395"/>
        <v>0</v>
      </c>
    </row>
    <row r="1344" spans="1:404" ht="23.25" customHeight="1">
      <c r="A1344" s="97" t="str">
        <f t="shared" si="413"/>
        <v>52_SR-21(OBI)66-70337-02-B4</v>
      </c>
      <c r="B1344" s="95">
        <v>44437</v>
      </c>
      <c r="C1344" s="97">
        <f t="shared" ca="1" si="414"/>
        <v>-627</v>
      </c>
      <c r="D1344" s="96" t="s">
        <v>1760</v>
      </c>
      <c r="E1344" s="94" t="s">
        <v>602</v>
      </c>
      <c r="F1344" s="132" t="str">
        <f t="shared" si="415"/>
        <v>B4</v>
      </c>
      <c r="G1344" s="130">
        <f ca="1">SUMIF($A:E,$A1344,K:K)</f>
        <v>1</v>
      </c>
      <c r="H1344" s="97" t="s">
        <v>1691</v>
      </c>
      <c r="I1344" s="98">
        <v>1</v>
      </c>
      <c r="J1344" s="99">
        <v>1</v>
      </c>
      <c r="K1344" s="143">
        <f t="shared" si="394"/>
        <v>1</v>
      </c>
      <c r="L1344" s="144">
        <f t="shared" si="411"/>
        <v>0</v>
      </c>
      <c r="M1344" s="275">
        <f t="shared" si="405"/>
        <v>1</v>
      </c>
      <c r="N1344" s="98">
        <v>5</v>
      </c>
      <c r="O1344" s="93">
        <f t="shared" si="412"/>
        <v>100</v>
      </c>
      <c r="HT1344" s="100">
        <v>1</v>
      </c>
      <c r="ON1344" s="100">
        <f t="shared" si="395"/>
        <v>0</v>
      </c>
    </row>
    <row r="1345" spans="1:404" ht="23.25" customHeight="1">
      <c r="A1345" s="97" t="str">
        <f t="shared" si="413"/>
        <v>035T/WESTELM-2166-70337-02-B4</v>
      </c>
      <c r="B1345" s="95">
        <v>44546</v>
      </c>
      <c r="C1345" s="97">
        <f t="shared" ca="1" si="414"/>
        <v>-518</v>
      </c>
      <c r="D1345" s="112" t="s">
        <v>1773</v>
      </c>
      <c r="E1345" s="123" t="s">
        <v>602</v>
      </c>
      <c r="F1345" s="132" t="str">
        <f t="shared" si="415"/>
        <v>B4</v>
      </c>
      <c r="G1345" s="130">
        <f ca="1">SUMIF($A:E,$A1345,K:K)</f>
        <v>163</v>
      </c>
      <c r="H1345" s="97" t="s">
        <v>616</v>
      </c>
      <c r="I1345" s="175">
        <v>163</v>
      </c>
      <c r="J1345" s="115">
        <v>163</v>
      </c>
      <c r="K1345" s="143">
        <f t="shared" si="394"/>
        <v>163</v>
      </c>
      <c r="L1345" s="144">
        <f t="shared" si="411"/>
        <v>0</v>
      </c>
      <c r="M1345" s="275">
        <f t="shared" si="405"/>
        <v>163</v>
      </c>
      <c r="N1345" s="98">
        <v>1</v>
      </c>
      <c r="O1345" s="93">
        <f t="shared" si="412"/>
        <v>100</v>
      </c>
      <c r="IP1345" s="100">
        <v>15</v>
      </c>
      <c r="IR1345" s="100">
        <v>4</v>
      </c>
      <c r="IS1345" s="100">
        <v>8</v>
      </c>
      <c r="IT1345" s="100">
        <v>8</v>
      </c>
      <c r="IU1345" s="100">
        <v>14</v>
      </c>
      <c r="IV1345" s="100">
        <v>5</v>
      </c>
      <c r="IW1345" s="100">
        <v>10</v>
      </c>
      <c r="IY1345" s="100">
        <v>29</v>
      </c>
      <c r="IZ1345" s="100">
        <v>9</v>
      </c>
      <c r="JA1345" s="100">
        <v>24</v>
      </c>
      <c r="JC1345" s="100">
        <v>8</v>
      </c>
      <c r="JD1345" s="100">
        <v>5</v>
      </c>
      <c r="JF1345" s="100">
        <v>4</v>
      </c>
      <c r="JG1345" s="100">
        <v>9</v>
      </c>
      <c r="JI1345" s="100">
        <v>11</v>
      </c>
      <c r="ON1345" s="100">
        <f t="shared" si="395"/>
        <v>0</v>
      </c>
    </row>
    <row r="1346" spans="1:404" ht="23.25" customHeight="1">
      <c r="A1346" s="97" t="str">
        <f t="shared" si="413"/>
        <v>003/WESTELM-2166-70337-02-B4</v>
      </c>
      <c r="B1346" s="95">
        <v>44455</v>
      </c>
      <c r="C1346" s="97">
        <f t="shared" ca="1" si="414"/>
        <v>-609</v>
      </c>
      <c r="D1346" s="112" t="s">
        <v>1824</v>
      </c>
      <c r="E1346" s="123" t="s">
        <v>602</v>
      </c>
      <c r="F1346" s="132" t="str">
        <f t="shared" si="415"/>
        <v>B4</v>
      </c>
      <c r="G1346" s="130">
        <f ca="1">SUMIF($A:E,$A1346,K:K)</f>
        <v>5</v>
      </c>
      <c r="H1346" s="97" t="s">
        <v>616</v>
      </c>
      <c r="I1346" s="175">
        <v>5</v>
      </c>
      <c r="J1346" s="115">
        <v>5</v>
      </c>
      <c r="K1346" s="143">
        <f t="shared" si="394"/>
        <v>5</v>
      </c>
      <c r="L1346" s="144">
        <f t="shared" si="411"/>
        <v>0</v>
      </c>
      <c r="M1346" s="275">
        <f t="shared" si="405"/>
        <v>5</v>
      </c>
      <c r="N1346" s="98">
        <v>1</v>
      </c>
      <c r="O1346" s="93">
        <f t="shared" si="412"/>
        <v>100</v>
      </c>
      <c r="IR1346" s="100">
        <v>5</v>
      </c>
      <c r="ON1346" s="100">
        <f t="shared" si="395"/>
        <v>0</v>
      </c>
    </row>
    <row r="1347" spans="1:404" ht="23.25" customHeight="1">
      <c r="A1347" s="97" t="str">
        <f t="shared" si="413"/>
        <v>021T/WESTELM-2166-70337-01-B4</v>
      </c>
      <c r="B1347" s="95">
        <v>44408</v>
      </c>
      <c r="C1347" s="97">
        <f t="shared" ca="1" si="414"/>
        <v>-656</v>
      </c>
      <c r="D1347" s="96" t="s">
        <v>1080</v>
      </c>
      <c r="E1347" s="94" t="s">
        <v>1081</v>
      </c>
      <c r="F1347" s="132" t="str">
        <f t="shared" si="415"/>
        <v>B4</v>
      </c>
      <c r="G1347" s="130">
        <f ca="1">SUMIF($A:E,$A1347,K:K)</f>
        <v>319</v>
      </c>
      <c r="H1347" s="97" t="s">
        <v>508</v>
      </c>
      <c r="I1347" s="98">
        <v>319</v>
      </c>
      <c r="J1347" s="97">
        <v>319</v>
      </c>
      <c r="K1347" s="143">
        <f t="shared" si="394"/>
        <v>319</v>
      </c>
      <c r="L1347" s="144">
        <f t="shared" si="411"/>
        <v>0</v>
      </c>
      <c r="M1347" s="275">
        <f t="shared" si="405"/>
        <v>319</v>
      </c>
      <c r="N1347" s="98">
        <v>5</v>
      </c>
      <c r="O1347" s="93">
        <f t="shared" si="412"/>
        <v>100</v>
      </c>
      <c r="FE1347" s="100">
        <v>8</v>
      </c>
      <c r="FH1347" s="100">
        <v>8</v>
      </c>
      <c r="FI1347" s="100">
        <v>4</v>
      </c>
      <c r="FJ1347" s="100">
        <v>7</v>
      </c>
      <c r="FK1347" s="100">
        <v>8</v>
      </c>
      <c r="FL1347" s="100">
        <v>8</v>
      </c>
      <c r="FM1347" s="100">
        <v>7</v>
      </c>
      <c r="FO1347" s="100">
        <v>7</v>
      </c>
      <c r="FP1347" s="100">
        <v>5</v>
      </c>
      <c r="FQ1347" s="100">
        <v>8</v>
      </c>
      <c r="FR1347" s="100">
        <v>7</v>
      </c>
      <c r="FS1347" s="100">
        <v>13</v>
      </c>
      <c r="FT1347" s="100">
        <v>9</v>
      </c>
      <c r="FU1347" s="100">
        <v>11</v>
      </c>
      <c r="FV1347" s="100">
        <v>14</v>
      </c>
      <c r="FW1347" s="100">
        <v>13</v>
      </c>
      <c r="FX1347" s="100">
        <v>12</v>
      </c>
      <c r="FZ1347" s="100">
        <v>11</v>
      </c>
      <c r="GA1347" s="100">
        <v>12</v>
      </c>
      <c r="GB1347" s="100">
        <v>11</v>
      </c>
      <c r="GC1347" s="100">
        <v>13</v>
      </c>
      <c r="GD1347" s="100">
        <v>12</v>
      </c>
      <c r="GE1347" s="100">
        <v>12</v>
      </c>
      <c r="GG1347" s="100">
        <v>12</v>
      </c>
      <c r="GH1347" s="100">
        <v>6</v>
      </c>
      <c r="GI1347" s="100">
        <v>12</v>
      </c>
      <c r="GJ1347" s="100">
        <v>12</v>
      </c>
      <c r="GK1347" s="100">
        <v>12</v>
      </c>
      <c r="GL1347" s="100">
        <v>11</v>
      </c>
      <c r="GN1347" s="100">
        <v>12</v>
      </c>
      <c r="GO1347" s="100">
        <v>11</v>
      </c>
      <c r="GP1347" s="100">
        <v>11</v>
      </c>
      <c r="ON1347" s="100">
        <f t="shared" si="395"/>
        <v>0</v>
      </c>
    </row>
    <row r="1348" spans="1:404" ht="23.25" customHeight="1">
      <c r="A1348" s="97" t="str">
        <f t="shared" si="413"/>
        <v>215/KHBS-2166-70337-01-B4</v>
      </c>
      <c r="B1348" s="95">
        <v>44394</v>
      </c>
      <c r="C1348" s="97">
        <f t="shared" ca="1" si="414"/>
        <v>-670</v>
      </c>
      <c r="D1348" s="96" t="s">
        <v>1313</v>
      </c>
      <c r="E1348" s="258" t="s">
        <v>1081</v>
      </c>
      <c r="F1348" s="132" t="str">
        <f t="shared" si="415"/>
        <v>B4</v>
      </c>
      <c r="G1348" s="130">
        <f ca="1">SUMIF($A:E,$A1348,K:K)</f>
        <v>1</v>
      </c>
      <c r="H1348" s="97" t="s">
        <v>508</v>
      </c>
      <c r="I1348" s="212">
        <v>1</v>
      </c>
      <c r="J1348" s="213">
        <v>1</v>
      </c>
      <c r="K1348" s="143">
        <f t="shared" ref="K1348:K1411" si="416">SUM(P1348:BBC1348)</f>
        <v>1</v>
      </c>
      <c r="L1348" s="144">
        <f t="shared" si="411"/>
        <v>0</v>
      </c>
      <c r="M1348" s="275">
        <f t="shared" si="405"/>
        <v>1</v>
      </c>
      <c r="N1348" s="98">
        <v>5</v>
      </c>
      <c r="O1348" s="93">
        <f t="shared" si="412"/>
        <v>100</v>
      </c>
      <c r="GB1348" s="100">
        <v>1</v>
      </c>
      <c r="ON1348" s="100">
        <f t="shared" ref="ON1348:ON1411" si="417">SUM(NS1348:OM1348)</f>
        <v>0</v>
      </c>
    </row>
    <row r="1349" spans="1:404" ht="23.25" customHeight="1">
      <c r="A1349" s="97" t="str">
        <f t="shared" si="413"/>
        <v>035T/WESTELM-2166-70337-01-B4</v>
      </c>
      <c r="B1349" s="95">
        <v>44546</v>
      </c>
      <c r="C1349" s="97">
        <f t="shared" ca="1" si="414"/>
        <v>-518</v>
      </c>
      <c r="D1349" s="112" t="s">
        <v>1773</v>
      </c>
      <c r="E1349" s="123" t="s">
        <v>1081</v>
      </c>
      <c r="F1349" s="132" t="str">
        <f t="shared" si="415"/>
        <v>B4</v>
      </c>
      <c r="G1349" s="130">
        <f ca="1">SUMIF($A:E,$A1349,K:K)</f>
        <v>312</v>
      </c>
      <c r="H1349" s="97" t="s">
        <v>616</v>
      </c>
      <c r="I1349" s="175">
        <v>312</v>
      </c>
      <c r="J1349" s="115">
        <v>312</v>
      </c>
      <c r="K1349" s="143">
        <f t="shared" si="416"/>
        <v>312</v>
      </c>
      <c r="L1349" s="144">
        <f t="shared" si="411"/>
        <v>0</v>
      </c>
      <c r="M1349" s="275">
        <f t="shared" si="405"/>
        <v>312</v>
      </c>
      <c r="N1349" s="98">
        <v>1</v>
      </c>
      <c r="O1349" s="93">
        <f t="shared" si="412"/>
        <v>100</v>
      </c>
      <c r="KV1349" s="100">
        <v>6</v>
      </c>
      <c r="KW1349" s="100">
        <v>5</v>
      </c>
      <c r="KX1349" s="100">
        <v>7</v>
      </c>
      <c r="KY1349" s="100">
        <v>12</v>
      </c>
      <c r="KZ1349" s="100">
        <v>17</v>
      </c>
      <c r="LB1349" s="100">
        <v>18</v>
      </c>
      <c r="LE1349" s="100">
        <v>12</v>
      </c>
      <c r="LF1349" s="100">
        <v>23</v>
      </c>
      <c r="LG1349" s="100">
        <v>24</v>
      </c>
      <c r="LI1349" s="100">
        <v>1</v>
      </c>
      <c r="LJ1349" s="100">
        <v>6</v>
      </c>
      <c r="LK1349" s="100">
        <v>8</v>
      </c>
      <c r="LL1349" s="100">
        <v>9</v>
      </c>
      <c r="LM1349" s="100">
        <v>8</v>
      </c>
      <c r="LN1349" s="100">
        <v>6</v>
      </c>
      <c r="LP1349" s="100">
        <v>1</v>
      </c>
      <c r="LQ1349" s="100">
        <v>16</v>
      </c>
      <c r="LR1349" s="100">
        <v>19</v>
      </c>
      <c r="LS1349" s="100">
        <v>4</v>
      </c>
      <c r="LT1349" s="100">
        <v>6</v>
      </c>
      <c r="LU1349" s="100">
        <v>11</v>
      </c>
      <c r="LW1349" s="100">
        <v>15</v>
      </c>
      <c r="LX1349" s="100">
        <v>16</v>
      </c>
      <c r="LY1349" s="100">
        <v>6</v>
      </c>
      <c r="LZ1349" s="100">
        <v>18</v>
      </c>
      <c r="MA1349" s="100">
        <v>2</v>
      </c>
      <c r="MB1349" s="100">
        <v>10</v>
      </c>
      <c r="MD1349" s="100">
        <v>26</v>
      </c>
      <c r="ON1349" s="100">
        <f t="shared" si="417"/>
        <v>0</v>
      </c>
    </row>
    <row r="1350" spans="1:404" ht="23.25" customHeight="1">
      <c r="A1350" s="97" t="str">
        <f t="shared" si="413"/>
        <v>266/KHBS-2166-70337-01-B4</v>
      </c>
      <c r="B1350" s="95">
        <v>44459</v>
      </c>
      <c r="C1350" s="97">
        <f t="shared" ca="1" si="414"/>
        <v>-605</v>
      </c>
      <c r="D1350" s="96" t="s">
        <v>1842</v>
      </c>
      <c r="E1350" s="94" t="s">
        <v>1081</v>
      </c>
      <c r="F1350" s="132" t="str">
        <f t="shared" si="415"/>
        <v>B4</v>
      </c>
      <c r="G1350" s="130">
        <f ca="1">SUMIF($A:E,$A1350,K:K)</f>
        <v>5</v>
      </c>
      <c r="H1350" s="97" t="s">
        <v>1593</v>
      </c>
      <c r="I1350" s="98">
        <v>5</v>
      </c>
      <c r="J1350" s="99">
        <v>5</v>
      </c>
      <c r="K1350" s="143">
        <f t="shared" si="416"/>
        <v>5</v>
      </c>
      <c r="L1350" s="144">
        <f t="shared" si="411"/>
        <v>0</v>
      </c>
      <c r="M1350" s="275">
        <f t="shared" si="405"/>
        <v>5</v>
      </c>
      <c r="N1350" s="98">
        <v>1</v>
      </c>
      <c r="O1350" s="93">
        <f t="shared" si="412"/>
        <v>100</v>
      </c>
      <c r="IR1350" s="100">
        <v>2</v>
      </c>
      <c r="IS1350" s="100">
        <v>3</v>
      </c>
      <c r="ON1350" s="100">
        <f t="shared" si="417"/>
        <v>0</v>
      </c>
    </row>
    <row r="1351" spans="1:404" ht="23.25" customHeight="1">
      <c r="A1351" s="97" t="str">
        <f t="shared" si="413"/>
        <v>002/BUNNINGS-2166-70322-B3-B</v>
      </c>
      <c r="B1351" s="95">
        <v>44450</v>
      </c>
      <c r="C1351" s="97">
        <f t="shared" ca="1" si="414"/>
        <v>-614</v>
      </c>
      <c r="D1351" s="96" t="s">
        <v>1074</v>
      </c>
      <c r="E1351" s="94" t="s">
        <v>1075</v>
      </c>
      <c r="F1351" s="132" t="str">
        <f t="shared" si="415"/>
        <v>B</v>
      </c>
      <c r="G1351" s="130">
        <f ca="1">SUMIF($A:E,$A1351,K:K)</f>
        <v>1320</v>
      </c>
      <c r="H1351" s="97" t="s">
        <v>616</v>
      </c>
      <c r="I1351" s="98">
        <v>1320</v>
      </c>
      <c r="J1351" s="99">
        <v>350</v>
      </c>
      <c r="K1351" s="143">
        <f t="shared" si="416"/>
        <v>350</v>
      </c>
      <c r="L1351" s="144">
        <f t="shared" si="411"/>
        <v>0</v>
      </c>
      <c r="M1351" s="275">
        <f t="shared" si="405"/>
        <v>3960</v>
      </c>
      <c r="N1351" s="98">
        <v>2</v>
      </c>
      <c r="O1351" s="93">
        <f t="shared" si="412"/>
        <v>100</v>
      </c>
      <c r="FA1351" s="100">
        <v>5</v>
      </c>
      <c r="FB1351" s="100">
        <v>5</v>
      </c>
      <c r="FC1351" s="100">
        <v>9</v>
      </c>
      <c r="FD1351" s="100">
        <v>8</v>
      </c>
      <c r="FE1351" s="100">
        <v>4</v>
      </c>
      <c r="FF1351" s="100">
        <v>8</v>
      </c>
      <c r="FH1351" s="100">
        <v>5</v>
      </c>
      <c r="FI1351" s="100">
        <v>4</v>
      </c>
      <c r="FJ1351" s="100">
        <v>9</v>
      </c>
      <c r="FK1351" s="100">
        <v>9</v>
      </c>
      <c r="FL1351" s="100">
        <v>13</v>
      </c>
      <c r="FM1351" s="100">
        <v>9</v>
      </c>
      <c r="FO1351" s="100">
        <v>11</v>
      </c>
      <c r="FP1351" s="100">
        <v>5</v>
      </c>
      <c r="FQ1351" s="100">
        <v>10</v>
      </c>
      <c r="FR1351" s="100">
        <v>9</v>
      </c>
      <c r="FS1351" s="100">
        <v>11</v>
      </c>
      <c r="FT1351" s="100">
        <v>6</v>
      </c>
      <c r="FU1351" s="100">
        <v>10</v>
      </c>
      <c r="FV1351" s="100">
        <v>5</v>
      </c>
      <c r="FW1351" s="100">
        <v>5</v>
      </c>
      <c r="FZ1351" s="100">
        <v>10</v>
      </c>
      <c r="GA1351" s="100">
        <v>5</v>
      </c>
      <c r="GC1351" s="100">
        <v>4</v>
      </c>
      <c r="GD1351" s="100">
        <v>5</v>
      </c>
      <c r="GE1351" s="100">
        <v>3</v>
      </c>
      <c r="GG1351" s="100">
        <v>5</v>
      </c>
      <c r="GH1351" s="100">
        <v>9</v>
      </c>
      <c r="GK1351" s="100">
        <v>14</v>
      </c>
      <c r="GL1351" s="100">
        <v>5</v>
      </c>
      <c r="GN1351" s="100">
        <v>1</v>
      </c>
      <c r="GP1351" s="100">
        <v>4</v>
      </c>
      <c r="GQ1351" s="100">
        <v>14</v>
      </c>
      <c r="GR1351" s="100">
        <v>5</v>
      </c>
      <c r="GS1351" s="100">
        <v>4</v>
      </c>
      <c r="GU1351" s="100">
        <v>6</v>
      </c>
      <c r="GV1351" s="100">
        <v>6</v>
      </c>
      <c r="GW1351" s="100">
        <v>5</v>
      </c>
      <c r="GX1351" s="100">
        <v>10</v>
      </c>
      <c r="GY1351" s="100">
        <v>7</v>
      </c>
      <c r="GZ1351" s="100">
        <v>4</v>
      </c>
      <c r="HB1351" s="100">
        <v>10</v>
      </c>
      <c r="HC1351" s="100">
        <v>15</v>
      </c>
      <c r="HD1351" s="100">
        <v>9</v>
      </c>
      <c r="HE1351" s="100">
        <v>9</v>
      </c>
      <c r="HF1351" s="100">
        <v>6</v>
      </c>
      <c r="HG1351" s="100">
        <v>3</v>
      </c>
      <c r="HX1351" s="100">
        <v>2</v>
      </c>
      <c r="HY1351" s="100">
        <v>6</v>
      </c>
      <c r="IE1351" s="100">
        <v>1</v>
      </c>
      <c r="IF1351" s="100">
        <v>2</v>
      </c>
      <c r="IH1351" s="100">
        <v>1</v>
      </c>
      <c r="ON1351" s="100">
        <f t="shared" si="417"/>
        <v>0</v>
      </c>
    </row>
    <row r="1352" spans="1:404" ht="23.25" customHeight="1">
      <c r="A1352" s="97" t="str">
        <f t="shared" si="413"/>
        <v>002/BUNNINGS-2166-70322-B3-B</v>
      </c>
      <c r="B1352" s="95">
        <v>44450</v>
      </c>
      <c r="C1352" s="97">
        <f t="shared" ca="1" si="414"/>
        <v>-614</v>
      </c>
      <c r="D1352" s="96" t="s">
        <v>1074</v>
      </c>
      <c r="E1352" s="94" t="s">
        <v>1075</v>
      </c>
      <c r="F1352" s="132" t="str">
        <f t="shared" si="415"/>
        <v>B</v>
      </c>
      <c r="G1352" s="130">
        <f ca="1">SUMIF($A:E,$A1352,K:K)</f>
        <v>1320</v>
      </c>
      <c r="H1352" s="97" t="s">
        <v>616</v>
      </c>
      <c r="I1352" s="98">
        <v>1320</v>
      </c>
      <c r="J1352" s="99">
        <v>350</v>
      </c>
      <c r="K1352" s="143">
        <f t="shared" si="416"/>
        <v>350</v>
      </c>
      <c r="L1352" s="144">
        <f t="shared" si="411"/>
        <v>0</v>
      </c>
      <c r="M1352" s="275">
        <f t="shared" si="405"/>
        <v>3960</v>
      </c>
      <c r="N1352" s="98">
        <v>4</v>
      </c>
      <c r="O1352" s="93">
        <f t="shared" si="412"/>
        <v>100</v>
      </c>
      <c r="FE1352" s="100">
        <v>7</v>
      </c>
      <c r="FF1352" s="100">
        <v>9</v>
      </c>
      <c r="FH1352" s="100">
        <v>6</v>
      </c>
      <c r="FI1352" s="100">
        <v>10</v>
      </c>
      <c r="FJ1352" s="100">
        <v>8</v>
      </c>
      <c r="FK1352" s="100">
        <v>6</v>
      </c>
      <c r="FL1352" s="100">
        <v>16</v>
      </c>
      <c r="FM1352" s="100">
        <v>9</v>
      </c>
      <c r="FO1352" s="100">
        <v>10</v>
      </c>
      <c r="FP1352" s="100">
        <v>13</v>
      </c>
      <c r="FQ1352" s="100">
        <v>3</v>
      </c>
      <c r="FR1352" s="100">
        <v>9</v>
      </c>
      <c r="FS1352" s="100">
        <v>13</v>
      </c>
      <c r="FT1352" s="100">
        <v>1</v>
      </c>
      <c r="FU1352" s="100">
        <v>8</v>
      </c>
      <c r="FV1352" s="100">
        <v>10</v>
      </c>
      <c r="FW1352" s="100">
        <v>10</v>
      </c>
      <c r="FX1352" s="100">
        <v>10</v>
      </c>
      <c r="FZ1352" s="100">
        <v>9</v>
      </c>
      <c r="GA1352" s="100">
        <v>7</v>
      </c>
      <c r="GB1352" s="100">
        <v>10</v>
      </c>
      <c r="GC1352" s="100">
        <v>10</v>
      </c>
      <c r="GD1352" s="100">
        <v>5</v>
      </c>
      <c r="GE1352" s="100">
        <v>10</v>
      </c>
      <c r="GG1352" s="100">
        <v>6</v>
      </c>
      <c r="GH1352" s="100">
        <v>9</v>
      </c>
      <c r="GI1352" s="100">
        <v>10</v>
      </c>
      <c r="GJ1352" s="100">
        <v>9</v>
      </c>
      <c r="GK1352" s="100">
        <v>5</v>
      </c>
      <c r="GL1352" s="100">
        <v>10</v>
      </c>
      <c r="GN1352" s="100">
        <v>10</v>
      </c>
      <c r="GO1352" s="100">
        <v>5</v>
      </c>
      <c r="GP1352" s="100">
        <v>10</v>
      </c>
      <c r="GQ1352" s="100">
        <v>10</v>
      </c>
      <c r="GR1352" s="100">
        <v>4</v>
      </c>
      <c r="GS1352" s="100">
        <v>9</v>
      </c>
      <c r="GU1352" s="100">
        <v>7</v>
      </c>
      <c r="GV1352" s="100">
        <v>4</v>
      </c>
      <c r="GW1352" s="100">
        <v>16</v>
      </c>
      <c r="GX1352" s="100">
        <v>10</v>
      </c>
      <c r="GY1352" s="100">
        <v>5</v>
      </c>
      <c r="HI1352" s="100">
        <v>2</v>
      </c>
      <c r="ON1352" s="100">
        <f t="shared" si="417"/>
        <v>0</v>
      </c>
    </row>
    <row r="1353" spans="1:404" ht="23.25" customHeight="1">
      <c r="A1353" s="97" t="str">
        <f t="shared" si="413"/>
        <v>002/BUNNINGS-2166-70322-B3-B</v>
      </c>
      <c r="B1353" s="95">
        <v>44450</v>
      </c>
      <c r="C1353" s="97">
        <f t="shared" ca="1" si="414"/>
        <v>-614</v>
      </c>
      <c r="D1353" s="96" t="s">
        <v>1074</v>
      </c>
      <c r="E1353" s="94" t="s">
        <v>1075</v>
      </c>
      <c r="F1353" s="132" t="str">
        <f t="shared" si="415"/>
        <v>B</v>
      </c>
      <c r="G1353" s="130">
        <f ca="1">SUMIF($A:E,$A1353,K:K)</f>
        <v>1320</v>
      </c>
      <c r="H1353" s="97" t="s">
        <v>616</v>
      </c>
      <c r="I1353" s="98">
        <v>1320</v>
      </c>
      <c r="J1353" s="99">
        <f>1320-J1351-J1352</f>
        <v>620</v>
      </c>
      <c r="K1353" s="143">
        <f t="shared" si="416"/>
        <v>620</v>
      </c>
      <c r="L1353" s="144">
        <f t="shared" si="411"/>
        <v>0</v>
      </c>
      <c r="M1353" s="275">
        <f t="shared" si="405"/>
        <v>3960</v>
      </c>
      <c r="N1353" s="98">
        <v>5</v>
      </c>
      <c r="O1353" s="93">
        <f t="shared" si="412"/>
        <v>100</v>
      </c>
      <c r="FT1353" s="100">
        <v>9</v>
      </c>
      <c r="FU1353" s="100">
        <v>10</v>
      </c>
      <c r="FV1353" s="100">
        <v>9</v>
      </c>
      <c r="FW1353" s="100">
        <v>10</v>
      </c>
      <c r="FX1353" s="100">
        <v>2</v>
      </c>
      <c r="GO1353" s="100">
        <v>5</v>
      </c>
      <c r="GP1353" s="100">
        <v>10</v>
      </c>
      <c r="GQ1353" s="100">
        <v>18</v>
      </c>
      <c r="GR1353" s="100">
        <v>11</v>
      </c>
      <c r="GS1353" s="100">
        <v>19</v>
      </c>
      <c r="GU1353" s="100">
        <v>20</v>
      </c>
      <c r="GV1353" s="100">
        <v>10</v>
      </c>
      <c r="GW1353" s="100">
        <v>20</v>
      </c>
      <c r="GX1353" s="100">
        <v>17</v>
      </c>
      <c r="GY1353" s="100">
        <v>10</v>
      </c>
      <c r="GZ1353" s="100">
        <v>23</v>
      </c>
      <c r="HB1353" s="100">
        <v>32</v>
      </c>
      <c r="HC1353" s="100">
        <v>16</v>
      </c>
      <c r="HD1353" s="100">
        <v>29</v>
      </c>
      <c r="HE1353" s="100">
        <v>15</v>
      </c>
      <c r="HF1353" s="100">
        <v>13</v>
      </c>
      <c r="HG1353" s="100">
        <v>24</v>
      </c>
      <c r="HI1353" s="100">
        <v>20</v>
      </c>
      <c r="HJ1353" s="100">
        <v>11</v>
      </c>
      <c r="HK1353" s="100">
        <v>15</v>
      </c>
      <c r="HL1353" s="100">
        <v>23</v>
      </c>
      <c r="HM1353" s="100">
        <v>26</v>
      </c>
      <c r="HN1353" s="100">
        <v>29</v>
      </c>
      <c r="HP1353" s="100">
        <v>32</v>
      </c>
      <c r="HQ1353" s="100">
        <v>15</v>
      </c>
      <c r="HR1353" s="100">
        <v>28</v>
      </c>
      <c r="HS1353" s="100">
        <v>30</v>
      </c>
      <c r="HT1353" s="100">
        <v>16</v>
      </c>
      <c r="HU1353" s="100">
        <v>15</v>
      </c>
      <c r="HW1353" s="100">
        <v>21</v>
      </c>
      <c r="HX1353" s="100">
        <v>1</v>
      </c>
      <c r="HY1353" s="100">
        <v>6</v>
      </c>
      <c r="ON1353" s="100">
        <f t="shared" si="417"/>
        <v>0</v>
      </c>
    </row>
    <row r="1354" spans="1:404" ht="23.25" customHeight="1">
      <c r="A1354" s="97" t="str">
        <f t="shared" si="413"/>
        <v>001/HANKKIJA-2166-70322-B2-B</v>
      </c>
      <c r="B1354" s="95">
        <v>44478</v>
      </c>
      <c r="C1354" s="97">
        <f t="shared" ca="1" si="414"/>
        <v>-586</v>
      </c>
      <c r="D1354" s="112" t="s">
        <v>1041</v>
      </c>
      <c r="E1354" s="123" t="s">
        <v>1045</v>
      </c>
      <c r="F1354" s="132" t="str">
        <f t="shared" si="415"/>
        <v>B</v>
      </c>
      <c r="G1354" s="130">
        <f ca="1">SUMIF($A:E,$A1354,K:K)</f>
        <v>72</v>
      </c>
      <c r="H1354" s="97" t="s">
        <v>616</v>
      </c>
      <c r="I1354" s="98">
        <v>72</v>
      </c>
      <c r="J1354" s="97">
        <v>72</v>
      </c>
      <c r="K1354" s="143">
        <f t="shared" si="416"/>
        <v>72</v>
      </c>
      <c r="L1354" s="144">
        <f t="shared" si="411"/>
        <v>0</v>
      </c>
      <c r="M1354" s="275">
        <f t="shared" si="405"/>
        <v>144</v>
      </c>
      <c r="N1354" s="98">
        <v>5</v>
      </c>
      <c r="O1354" s="93">
        <f t="shared" si="412"/>
        <v>100</v>
      </c>
      <c r="FL1354" s="100">
        <v>15</v>
      </c>
      <c r="FM1354" s="100">
        <v>20</v>
      </c>
      <c r="FO1354" s="100">
        <v>10</v>
      </c>
      <c r="FP1354" s="100">
        <v>18</v>
      </c>
      <c r="FR1354" s="100">
        <v>8</v>
      </c>
      <c r="FU1354" s="100">
        <v>1</v>
      </c>
      <c r="ON1354" s="100">
        <f t="shared" si="417"/>
        <v>0</v>
      </c>
    </row>
    <row r="1355" spans="1:404" ht="23.25" customHeight="1">
      <c r="A1355" s="97" t="str">
        <f>D1355&amp;E1356</f>
        <v>002/METRO_SR-2166-70322-B2-B</v>
      </c>
      <c r="B1355" s="95">
        <v>44375</v>
      </c>
      <c r="C1355" s="97">
        <f t="shared" ca="1" si="414"/>
        <v>-689</v>
      </c>
      <c r="D1355" s="96" t="s">
        <v>1170</v>
      </c>
      <c r="E1355" s="94" t="s">
        <v>1045</v>
      </c>
      <c r="F1355" s="132" t="str">
        <f t="shared" si="415"/>
        <v>B</v>
      </c>
      <c r="G1355" s="130">
        <f ca="1">SUMIF($A:E,$A1355,K:K)</f>
        <v>1</v>
      </c>
      <c r="H1355" s="97" t="s">
        <v>933</v>
      </c>
      <c r="I1355" s="98">
        <v>1</v>
      </c>
      <c r="J1355" s="99">
        <v>1</v>
      </c>
      <c r="K1355" s="143">
        <f t="shared" si="416"/>
        <v>1</v>
      </c>
      <c r="L1355" s="144">
        <f t="shared" si="411"/>
        <v>0</v>
      </c>
      <c r="M1355" s="275">
        <f t="shared" si="405"/>
        <v>2</v>
      </c>
      <c r="N1355" s="98">
        <v>2</v>
      </c>
      <c r="O1355" s="93">
        <f t="shared" si="412"/>
        <v>100</v>
      </c>
      <c r="FM1355" s="100">
        <v>1</v>
      </c>
      <c r="ON1355" s="100">
        <f t="shared" si="417"/>
        <v>0</v>
      </c>
    </row>
    <row r="1356" spans="1:404" ht="23.25" customHeight="1">
      <c r="A1356" s="97" t="e">
        <f>D1356&amp;#REF!</f>
        <v>#REF!</v>
      </c>
      <c r="B1356" s="95">
        <v>44375</v>
      </c>
      <c r="C1356" s="97">
        <f t="shared" ca="1" si="414"/>
        <v>-689</v>
      </c>
      <c r="D1356" s="96" t="s">
        <v>1172</v>
      </c>
      <c r="E1356" s="94" t="s">
        <v>1045</v>
      </c>
      <c r="F1356" s="132" t="str">
        <f t="shared" si="415"/>
        <v>B</v>
      </c>
      <c r="G1356" s="130">
        <f ca="1">SUMIF($A:E,$A1356,K:K)</f>
        <v>1754</v>
      </c>
      <c r="H1356" s="97" t="s">
        <v>933</v>
      </c>
      <c r="I1356" s="98">
        <v>1</v>
      </c>
      <c r="J1356" s="99">
        <v>1</v>
      </c>
      <c r="K1356" s="143">
        <f t="shared" si="416"/>
        <v>1</v>
      </c>
      <c r="L1356" s="144">
        <f t="shared" si="411"/>
        <v>0</v>
      </c>
      <c r="M1356" s="275">
        <f t="shared" si="405"/>
        <v>2</v>
      </c>
      <c r="N1356" s="98">
        <v>2</v>
      </c>
      <c r="O1356" s="93">
        <f t="shared" si="412"/>
        <v>100</v>
      </c>
      <c r="FM1356" s="100">
        <v>1</v>
      </c>
      <c r="ON1356" s="100">
        <f t="shared" si="417"/>
        <v>0</v>
      </c>
    </row>
    <row r="1357" spans="1:404" ht="23.25" customHeight="1">
      <c r="A1357" s="97" t="str">
        <f>D1357&amp;E1357</f>
        <v>002T/OBI-2166-70322-04-B</v>
      </c>
      <c r="B1357" s="95">
        <v>44416</v>
      </c>
      <c r="C1357" s="97">
        <f t="shared" ca="1" si="414"/>
        <v>-648</v>
      </c>
      <c r="D1357" s="112" t="s">
        <v>1047</v>
      </c>
      <c r="E1357" s="123" t="s">
        <v>1063</v>
      </c>
      <c r="F1357" s="132" t="str">
        <f t="shared" si="415"/>
        <v>B</v>
      </c>
      <c r="G1357" s="130">
        <f ca="1">SUMIF($A:E,$A1357,K:K)</f>
        <v>243</v>
      </c>
      <c r="H1357" s="97" t="s">
        <v>616</v>
      </c>
      <c r="I1357" s="175">
        <v>243</v>
      </c>
      <c r="J1357" s="115">
        <v>243</v>
      </c>
      <c r="K1357" s="143">
        <f t="shared" si="416"/>
        <v>243</v>
      </c>
      <c r="L1357" s="144">
        <f t="shared" si="411"/>
        <v>0</v>
      </c>
      <c r="M1357" s="275">
        <f t="shared" si="405"/>
        <v>243</v>
      </c>
      <c r="N1357" s="98">
        <v>5</v>
      </c>
      <c r="O1357" s="93">
        <f t="shared" si="412"/>
        <v>100</v>
      </c>
      <c r="EW1357" s="100">
        <v>39</v>
      </c>
      <c r="EX1357" s="100">
        <v>10</v>
      </c>
      <c r="EY1357" s="100">
        <v>16</v>
      </c>
      <c r="FA1357" s="100">
        <v>25</v>
      </c>
      <c r="FB1357" s="100">
        <v>9</v>
      </c>
      <c r="FC1357" s="100">
        <v>17</v>
      </c>
      <c r="FD1357" s="100">
        <v>19</v>
      </c>
      <c r="FE1357" s="100">
        <v>14</v>
      </c>
      <c r="FF1357" s="100">
        <v>20</v>
      </c>
      <c r="FH1357" s="100">
        <v>19</v>
      </c>
      <c r="FI1357" s="100">
        <v>12</v>
      </c>
      <c r="FJ1357" s="100">
        <v>18</v>
      </c>
      <c r="FK1357" s="100">
        <v>20</v>
      </c>
      <c r="FL1357" s="100">
        <v>5</v>
      </c>
      <c r="ON1357" s="100">
        <f t="shared" si="417"/>
        <v>0</v>
      </c>
    </row>
    <row r="1358" spans="1:404" ht="23.25" customHeight="1">
      <c r="A1358" s="97" t="str">
        <f>D1358&amp;E1358</f>
        <v>006T/OBI-2166-70322-04-B</v>
      </c>
      <c r="B1358" s="95">
        <v>44424</v>
      </c>
      <c r="C1358" s="97">
        <f t="shared" ca="1" si="414"/>
        <v>-640</v>
      </c>
      <c r="D1358" s="112" t="s">
        <v>1296</v>
      </c>
      <c r="E1358" s="123" t="s">
        <v>1063</v>
      </c>
      <c r="F1358" s="132" t="str">
        <f t="shared" si="415"/>
        <v>B</v>
      </c>
      <c r="G1358" s="130">
        <f ca="1">SUMIF($A:E,$A1358,K:K)</f>
        <v>141</v>
      </c>
      <c r="H1358" s="97" t="s">
        <v>508</v>
      </c>
      <c r="I1358" s="175">
        <v>141</v>
      </c>
      <c r="J1358" s="115">
        <v>141</v>
      </c>
      <c r="K1358" s="143">
        <f t="shared" si="416"/>
        <v>141</v>
      </c>
      <c r="L1358" s="144">
        <f t="shared" si="411"/>
        <v>0</v>
      </c>
      <c r="M1358" s="275">
        <f t="shared" si="405"/>
        <v>141</v>
      </c>
      <c r="N1358" s="98">
        <v>5</v>
      </c>
      <c r="O1358" s="93">
        <f t="shared" si="412"/>
        <v>100</v>
      </c>
      <c r="FX1358" s="100">
        <v>9</v>
      </c>
      <c r="FZ1358" s="100">
        <v>10</v>
      </c>
      <c r="GA1358" s="100">
        <v>10</v>
      </c>
      <c r="GB1358" s="100">
        <v>10</v>
      </c>
      <c r="GC1358" s="100">
        <v>10</v>
      </c>
      <c r="GD1358" s="100">
        <v>10</v>
      </c>
      <c r="GE1358" s="100">
        <v>7</v>
      </c>
      <c r="GG1358" s="100">
        <v>11</v>
      </c>
      <c r="GH1358" s="100">
        <v>18</v>
      </c>
      <c r="GI1358" s="100">
        <v>2</v>
      </c>
      <c r="GJ1358" s="100">
        <v>10</v>
      </c>
      <c r="GK1358" s="100">
        <v>19</v>
      </c>
      <c r="GN1358" s="100">
        <v>10</v>
      </c>
      <c r="GO1358" s="100">
        <v>5</v>
      </c>
      <c r="ON1358" s="100">
        <f t="shared" si="417"/>
        <v>0</v>
      </c>
    </row>
    <row r="1359" spans="1:404" ht="23.25" customHeight="1">
      <c r="A1359" s="97" t="s">
        <v>1370</v>
      </c>
      <c r="B1359" s="95">
        <v>44453</v>
      </c>
      <c r="C1359" s="97">
        <f t="shared" ca="1" si="414"/>
        <v>-611</v>
      </c>
      <c r="D1359" s="112" t="s">
        <v>1396</v>
      </c>
      <c r="E1359" s="123" t="s">
        <v>1063</v>
      </c>
      <c r="F1359" s="132" t="str">
        <f t="shared" si="415"/>
        <v>B</v>
      </c>
      <c r="G1359" s="130">
        <f ca="1">SUMIF($A:E,$A1359,K:K)</f>
        <v>5654</v>
      </c>
      <c r="H1359" s="97" t="s">
        <v>1402</v>
      </c>
      <c r="I1359" s="175">
        <v>108</v>
      </c>
      <c r="J1359" s="115">
        <v>108</v>
      </c>
      <c r="K1359" s="143">
        <f t="shared" si="416"/>
        <v>108</v>
      </c>
      <c r="L1359" s="144">
        <f t="shared" si="411"/>
        <v>0</v>
      </c>
      <c r="M1359" s="275">
        <f t="shared" si="405"/>
        <v>108</v>
      </c>
      <c r="N1359" s="98">
        <v>2</v>
      </c>
      <c r="O1359" s="93">
        <f t="shared" si="412"/>
        <v>100</v>
      </c>
      <c r="HN1359" s="100">
        <v>4</v>
      </c>
      <c r="HP1359" s="100">
        <v>4</v>
      </c>
      <c r="HR1359" s="100">
        <v>8</v>
      </c>
      <c r="HT1359" s="100">
        <v>7</v>
      </c>
      <c r="HU1359" s="100">
        <v>4</v>
      </c>
      <c r="HW1359" s="100">
        <v>10</v>
      </c>
      <c r="HX1359" s="100">
        <v>5</v>
      </c>
      <c r="HY1359" s="100">
        <v>7</v>
      </c>
      <c r="IB1359" s="100">
        <v>8</v>
      </c>
      <c r="IE1359" s="100">
        <v>9</v>
      </c>
      <c r="IF1359" s="100">
        <v>11</v>
      </c>
      <c r="IG1359" s="100">
        <v>5</v>
      </c>
      <c r="IH1359" s="100">
        <v>6</v>
      </c>
      <c r="II1359" s="100">
        <v>10</v>
      </c>
      <c r="IL1359" s="100">
        <v>10</v>
      </c>
      <c r="ON1359" s="100">
        <f t="shared" si="417"/>
        <v>0</v>
      </c>
    </row>
    <row r="1360" spans="1:404" ht="23.25" customHeight="1">
      <c r="A1360" s="97" t="str">
        <f>D1360&amp;E1360</f>
        <v>245/KHBS-2166-70322-04-B</v>
      </c>
      <c r="B1360" s="95">
        <v>44431</v>
      </c>
      <c r="C1360" s="97">
        <f t="shared" ca="1" si="414"/>
        <v>-633</v>
      </c>
      <c r="D1360" s="96" t="s">
        <v>1731</v>
      </c>
      <c r="E1360" s="94" t="s">
        <v>1063</v>
      </c>
      <c r="F1360" s="132" t="str">
        <f t="shared" si="415"/>
        <v>B</v>
      </c>
      <c r="G1360" s="130">
        <f ca="1">SUMIF($A:E,$A1360,K:K)</f>
        <v>1</v>
      </c>
      <c r="H1360" s="97" t="s">
        <v>616</v>
      </c>
      <c r="I1360" s="98">
        <v>1</v>
      </c>
      <c r="J1360" s="99">
        <v>1</v>
      </c>
      <c r="K1360" s="143">
        <f t="shared" si="416"/>
        <v>1</v>
      </c>
      <c r="L1360" s="144">
        <f t="shared" si="411"/>
        <v>0</v>
      </c>
      <c r="M1360" s="275">
        <f t="shared" si="405"/>
        <v>1</v>
      </c>
      <c r="N1360" s="98">
        <v>5</v>
      </c>
      <c r="O1360" s="93">
        <f t="shared" si="412"/>
        <v>100</v>
      </c>
      <c r="HQ1360" s="100">
        <v>1</v>
      </c>
      <c r="ON1360" s="100">
        <f t="shared" si="417"/>
        <v>0</v>
      </c>
    </row>
    <row r="1361" spans="1:404" ht="23.25" customHeight="1">
      <c r="A1361" s="97" t="str">
        <f>D1361&amp;E1361</f>
        <v>002T/OBI-2166-70322-03-B</v>
      </c>
      <c r="B1361" s="95">
        <v>44416</v>
      </c>
      <c r="C1361" s="97">
        <f t="shared" ca="1" si="414"/>
        <v>-648</v>
      </c>
      <c r="D1361" s="112" t="s">
        <v>1047</v>
      </c>
      <c r="E1361" s="123" t="s">
        <v>1062</v>
      </c>
      <c r="F1361" s="132" t="str">
        <f t="shared" si="415"/>
        <v>B</v>
      </c>
      <c r="G1361" s="130">
        <f ca="1">SUMIF($A:E,$A1361,K:K)</f>
        <v>243</v>
      </c>
      <c r="H1361" s="97" t="s">
        <v>616</v>
      </c>
      <c r="I1361" s="175">
        <v>243</v>
      </c>
      <c r="J1361" s="115">
        <v>243</v>
      </c>
      <c r="K1361" s="143">
        <f t="shared" si="416"/>
        <v>243</v>
      </c>
      <c r="L1361" s="144">
        <f t="shared" si="411"/>
        <v>0</v>
      </c>
      <c r="M1361" s="275">
        <f t="shared" ref="M1361:M1419" si="418">IF(OR(MID(E1361,10,1)="0",MID(E1361,10,1)="F"),I1361,IF(OR(,MID(E1361,10,1)="S",MID(E1361,10,1)="L",MID(E1361,10,1)="B",MID(E1361,10,1)="X"),MID(E1361,11,1)*I1361,0))</f>
        <v>243</v>
      </c>
      <c r="N1361" s="98">
        <v>5</v>
      </c>
      <c r="O1361" s="93">
        <f t="shared" si="412"/>
        <v>100</v>
      </c>
      <c r="EW1361" s="100">
        <v>39</v>
      </c>
      <c r="EX1361" s="100">
        <v>10</v>
      </c>
      <c r="EY1361" s="100">
        <v>16</v>
      </c>
      <c r="FA1361" s="100">
        <v>25</v>
      </c>
      <c r="FB1361" s="100">
        <v>9</v>
      </c>
      <c r="FC1361" s="100">
        <v>17</v>
      </c>
      <c r="FD1361" s="100">
        <v>19</v>
      </c>
      <c r="FE1361" s="100">
        <v>14</v>
      </c>
      <c r="FF1361" s="100">
        <v>20</v>
      </c>
      <c r="FH1361" s="100">
        <v>19</v>
      </c>
      <c r="FI1361" s="100">
        <v>12</v>
      </c>
      <c r="FJ1361" s="100">
        <v>18</v>
      </c>
      <c r="FK1361" s="100">
        <v>20</v>
      </c>
      <c r="FL1361" s="100">
        <v>5</v>
      </c>
      <c r="ON1361" s="100">
        <f t="shared" si="417"/>
        <v>0</v>
      </c>
    </row>
    <row r="1362" spans="1:404" ht="23.25" customHeight="1">
      <c r="A1362" s="97" t="str">
        <f>D1362&amp;E1362</f>
        <v>006T/OBI-2166-70322-03-B</v>
      </c>
      <c r="B1362" s="95">
        <v>44424</v>
      </c>
      <c r="C1362" s="97">
        <f t="shared" ca="1" si="414"/>
        <v>-640</v>
      </c>
      <c r="D1362" s="112" t="s">
        <v>1296</v>
      </c>
      <c r="E1362" s="123" t="s">
        <v>1062</v>
      </c>
      <c r="F1362" s="132" t="str">
        <f t="shared" si="415"/>
        <v>B</v>
      </c>
      <c r="G1362" s="130">
        <f ca="1">SUMIF($A:E,$A1362,K:K)</f>
        <v>141</v>
      </c>
      <c r="H1362" s="97" t="s">
        <v>508</v>
      </c>
      <c r="I1362" s="175">
        <v>141</v>
      </c>
      <c r="J1362" s="115">
        <v>141</v>
      </c>
      <c r="K1362" s="143">
        <f t="shared" si="416"/>
        <v>141</v>
      </c>
      <c r="L1362" s="144">
        <f t="shared" si="411"/>
        <v>0</v>
      </c>
      <c r="M1362" s="275">
        <f t="shared" si="418"/>
        <v>141</v>
      </c>
      <c r="N1362" s="98">
        <v>5</v>
      </c>
      <c r="O1362" s="93">
        <f t="shared" si="412"/>
        <v>100</v>
      </c>
      <c r="FX1362" s="100">
        <v>9</v>
      </c>
      <c r="FZ1362" s="100">
        <v>10</v>
      </c>
      <c r="GA1362" s="100">
        <v>10</v>
      </c>
      <c r="GB1362" s="100">
        <v>10</v>
      </c>
      <c r="GC1362" s="100">
        <v>10</v>
      </c>
      <c r="GD1362" s="100">
        <v>10</v>
      </c>
      <c r="GE1362" s="100">
        <v>7</v>
      </c>
      <c r="GG1362" s="100">
        <v>11</v>
      </c>
      <c r="GH1362" s="100">
        <v>18</v>
      </c>
      <c r="GI1362" s="100">
        <v>2</v>
      </c>
      <c r="GJ1362" s="100">
        <v>10</v>
      </c>
      <c r="GK1362" s="100">
        <v>19</v>
      </c>
      <c r="GN1362" s="100">
        <v>10</v>
      </c>
      <c r="GO1362" s="100">
        <v>5</v>
      </c>
      <c r="ON1362" s="100">
        <f t="shared" si="417"/>
        <v>0</v>
      </c>
    </row>
    <row r="1363" spans="1:404" ht="23.25" customHeight="1">
      <c r="A1363" s="97" t="s">
        <v>1370</v>
      </c>
      <c r="B1363" s="95">
        <v>44453</v>
      </c>
      <c r="C1363" s="97">
        <f t="shared" ca="1" si="414"/>
        <v>-611</v>
      </c>
      <c r="D1363" s="112" t="s">
        <v>1396</v>
      </c>
      <c r="E1363" s="123" t="s">
        <v>1062</v>
      </c>
      <c r="F1363" s="132" t="str">
        <f t="shared" si="415"/>
        <v>B</v>
      </c>
      <c r="G1363" s="130">
        <f ca="1">SUMIF($A:E,$A1363,K:K)</f>
        <v>5654</v>
      </c>
      <c r="H1363" s="97" t="s">
        <v>1402</v>
      </c>
      <c r="I1363" s="175">
        <v>108</v>
      </c>
      <c r="J1363" s="115">
        <v>108</v>
      </c>
      <c r="K1363" s="143">
        <f t="shared" si="416"/>
        <v>108</v>
      </c>
      <c r="L1363" s="144">
        <f t="shared" si="411"/>
        <v>0</v>
      </c>
      <c r="M1363" s="275">
        <f t="shared" si="418"/>
        <v>108</v>
      </c>
      <c r="N1363" s="98">
        <v>2</v>
      </c>
      <c r="O1363" s="93">
        <f t="shared" si="412"/>
        <v>100</v>
      </c>
      <c r="HN1363" s="100">
        <v>4</v>
      </c>
      <c r="HP1363" s="100">
        <v>4</v>
      </c>
      <c r="HR1363" s="100">
        <v>8</v>
      </c>
      <c r="HT1363" s="100">
        <v>7</v>
      </c>
      <c r="HU1363" s="100">
        <v>4</v>
      </c>
      <c r="HW1363" s="100">
        <v>10</v>
      </c>
      <c r="HX1363" s="100">
        <v>5</v>
      </c>
      <c r="HY1363" s="100">
        <v>7</v>
      </c>
      <c r="IB1363" s="100">
        <v>8</v>
      </c>
      <c r="IE1363" s="100">
        <v>9</v>
      </c>
      <c r="IF1363" s="100">
        <v>11</v>
      </c>
      <c r="IG1363" s="100">
        <v>5</v>
      </c>
      <c r="IH1363" s="100">
        <v>6</v>
      </c>
      <c r="II1363" s="100">
        <v>10</v>
      </c>
      <c r="IK1363" s="100">
        <v>7</v>
      </c>
      <c r="IL1363" s="100">
        <v>3</v>
      </c>
      <c r="ON1363" s="100">
        <f t="shared" si="417"/>
        <v>0</v>
      </c>
    </row>
    <row r="1364" spans="1:404" ht="23.25" customHeight="1">
      <c r="A1364" s="97" t="str">
        <f>D1364&amp;E1364</f>
        <v>257/KHBS-21(002/BUNNINGS-21)66-70322-03-B</v>
      </c>
      <c r="B1364" s="95">
        <v>44449</v>
      </c>
      <c r="C1364" s="97">
        <f t="shared" ca="1" si="414"/>
        <v>-615</v>
      </c>
      <c r="D1364" s="111" t="s">
        <v>1822</v>
      </c>
      <c r="E1364" s="225" t="s">
        <v>1062</v>
      </c>
      <c r="F1364" s="132" t="str">
        <f t="shared" si="415"/>
        <v>B</v>
      </c>
      <c r="G1364" s="130">
        <f ca="1">SUMIF($A:E,$A1364,K:K)</f>
        <v>2</v>
      </c>
      <c r="H1364" s="97" t="s">
        <v>616</v>
      </c>
      <c r="I1364" s="98">
        <v>2</v>
      </c>
      <c r="J1364" s="99">
        <v>2</v>
      </c>
      <c r="K1364" s="143">
        <f t="shared" si="416"/>
        <v>2</v>
      </c>
      <c r="L1364" s="144">
        <f t="shared" si="411"/>
        <v>0</v>
      </c>
      <c r="M1364" s="275">
        <f t="shared" si="418"/>
        <v>2</v>
      </c>
      <c r="N1364" s="98">
        <v>2</v>
      </c>
      <c r="O1364" s="93">
        <f t="shared" si="412"/>
        <v>100</v>
      </c>
      <c r="IG1364" s="100">
        <v>2</v>
      </c>
      <c r="ON1364" s="100">
        <f t="shared" si="417"/>
        <v>0</v>
      </c>
    </row>
    <row r="1365" spans="1:404" ht="23.25" customHeight="1">
      <c r="A1365" s="97" t="str">
        <f>D1365&amp;E1365</f>
        <v>265/KHBS-2166-70322-03-B</v>
      </c>
      <c r="B1365" s="95">
        <v>44464</v>
      </c>
      <c r="C1365" s="97">
        <f t="shared" ca="1" si="414"/>
        <v>-600</v>
      </c>
      <c r="D1365" s="96" t="s">
        <v>1843</v>
      </c>
      <c r="E1365" s="94" t="s">
        <v>1062</v>
      </c>
      <c r="F1365" s="132" t="str">
        <f t="shared" si="415"/>
        <v>B</v>
      </c>
      <c r="G1365" s="130">
        <f ca="1">SUMIF($A:E,$A1365,K:K)</f>
        <v>2</v>
      </c>
      <c r="H1365" s="97" t="s">
        <v>1593</v>
      </c>
      <c r="I1365" s="98">
        <v>2</v>
      </c>
      <c r="J1365" s="99">
        <v>2</v>
      </c>
      <c r="K1365" s="143">
        <f t="shared" si="416"/>
        <v>2</v>
      </c>
      <c r="L1365" s="144">
        <f t="shared" si="411"/>
        <v>0</v>
      </c>
      <c r="M1365" s="275">
        <f t="shared" si="418"/>
        <v>2</v>
      </c>
      <c r="N1365" s="98">
        <v>1</v>
      </c>
      <c r="O1365" s="93">
        <f t="shared" si="412"/>
        <v>100</v>
      </c>
      <c r="IP1365" s="100">
        <v>2</v>
      </c>
      <c r="ON1365" s="100">
        <f t="shared" si="417"/>
        <v>0</v>
      </c>
    </row>
    <row r="1366" spans="1:404" ht="23.25" customHeight="1">
      <c r="A1366" s="97" t="str">
        <f>D1366&amp;E1367</f>
        <v>034/VG_SR-21(METRO)66-70322-02-B</v>
      </c>
      <c r="B1366" s="95">
        <v>44375</v>
      </c>
      <c r="C1366" s="97">
        <f t="shared" ca="1" si="414"/>
        <v>-689</v>
      </c>
      <c r="D1366" s="96" t="s">
        <v>1172</v>
      </c>
      <c r="E1366" s="94" t="s">
        <v>1173</v>
      </c>
      <c r="F1366" s="132" t="str">
        <f t="shared" si="415"/>
        <v>B</v>
      </c>
      <c r="G1366" s="130">
        <f ca="1">SUMIF($A:E,$A1366,K:K)</f>
        <v>2</v>
      </c>
      <c r="H1366" s="97" t="s">
        <v>933</v>
      </c>
      <c r="I1366" s="98">
        <v>1</v>
      </c>
      <c r="J1366" s="99">
        <v>1</v>
      </c>
      <c r="K1366" s="143">
        <f t="shared" si="416"/>
        <v>1</v>
      </c>
      <c r="L1366" s="144">
        <f t="shared" si="411"/>
        <v>0</v>
      </c>
      <c r="M1366" s="275">
        <f t="shared" si="418"/>
        <v>1</v>
      </c>
      <c r="N1366" s="98">
        <v>2</v>
      </c>
      <c r="O1366" s="93">
        <f t="shared" si="412"/>
        <v>100</v>
      </c>
      <c r="FM1366" s="100">
        <v>1</v>
      </c>
      <c r="ON1366" s="100">
        <f t="shared" si="417"/>
        <v>0</v>
      </c>
    </row>
    <row r="1367" spans="1:404" ht="23.25" customHeight="1">
      <c r="A1367" s="97" t="str">
        <f>D1367&amp;E1368</f>
        <v>034/VG_SR-21(METRO)66-70322-02-B</v>
      </c>
      <c r="B1367" s="95">
        <v>44375</v>
      </c>
      <c r="C1367" s="97">
        <f t="shared" ca="1" si="414"/>
        <v>-689</v>
      </c>
      <c r="D1367" s="96" t="s">
        <v>1172</v>
      </c>
      <c r="E1367" s="94" t="s">
        <v>1173</v>
      </c>
      <c r="F1367" s="132" t="str">
        <f t="shared" si="415"/>
        <v>B</v>
      </c>
      <c r="G1367" s="130">
        <f ca="1">SUMIF($A:E,$A1367,K:K)</f>
        <v>2</v>
      </c>
      <c r="H1367" s="97" t="s">
        <v>933</v>
      </c>
      <c r="I1367" s="98">
        <v>1</v>
      </c>
      <c r="J1367" s="99">
        <v>1</v>
      </c>
      <c r="K1367" s="143">
        <f t="shared" si="416"/>
        <v>1</v>
      </c>
      <c r="L1367" s="144">
        <f t="shared" si="411"/>
        <v>0</v>
      </c>
      <c r="M1367" s="275">
        <f t="shared" si="418"/>
        <v>1</v>
      </c>
      <c r="N1367" s="98">
        <v>2</v>
      </c>
      <c r="O1367" s="93">
        <f t="shared" si="412"/>
        <v>100</v>
      </c>
      <c r="FM1367" s="100">
        <v>1</v>
      </c>
      <c r="ON1367" s="100">
        <f t="shared" si="417"/>
        <v>0</v>
      </c>
    </row>
    <row r="1368" spans="1:404" ht="23.25" customHeight="1">
      <c r="A1368" s="97" t="str">
        <f t="shared" ref="A1368:A1379" si="419">D1368&amp;E1368</f>
        <v>245/KHBS-2166-70322-02-B</v>
      </c>
      <c r="B1368" s="95">
        <v>44431</v>
      </c>
      <c r="C1368" s="97">
        <f t="shared" ca="1" si="414"/>
        <v>-633</v>
      </c>
      <c r="D1368" s="96" t="s">
        <v>1731</v>
      </c>
      <c r="E1368" s="94" t="s">
        <v>1173</v>
      </c>
      <c r="F1368" s="132" t="str">
        <f t="shared" si="415"/>
        <v>B</v>
      </c>
      <c r="G1368" s="130">
        <f ca="1">SUMIF($A:E,$A1368,K:K)</f>
        <v>1</v>
      </c>
      <c r="H1368" s="97" t="s">
        <v>616</v>
      </c>
      <c r="I1368" s="98">
        <v>1</v>
      </c>
      <c r="J1368" s="99">
        <v>1</v>
      </c>
      <c r="K1368" s="143">
        <f t="shared" si="416"/>
        <v>1</v>
      </c>
      <c r="L1368" s="144">
        <f t="shared" si="411"/>
        <v>0</v>
      </c>
      <c r="M1368" s="275">
        <f t="shared" si="418"/>
        <v>1</v>
      </c>
      <c r="N1368" s="98">
        <v>5</v>
      </c>
      <c r="O1368" s="93">
        <f t="shared" si="412"/>
        <v>100</v>
      </c>
      <c r="HQ1368" s="100">
        <v>1</v>
      </c>
      <c r="ON1368" s="100">
        <f t="shared" si="417"/>
        <v>0</v>
      </c>
    </row>
    <row r="1369" spans="1:404" ht="23.25" customHeight="1">
      <c r="A1369" s="97" t="str">
        <f t="shared" si="419"/>
        <v xml:space="preserve">	001/NORTHCOAST-VG-2166-70309-S4-B</v>
      </c>
      <c r="B1369" s="95">
        <v>44660</v>
      </c>
      <c r="C1369" s="97">
        <f t="shared" ca="1" si="414"/>
        <v>-404</v>
      </c>
      <c r="D1369" s="112" t="s">
        <v>1880</v>
      </c>
      <c r="E1369" s="123" t="s">
        <v>1886</v>
      </c>
      <c r="F1369" s="132" t="str">
        <f t="shared" si="415"/>
        <v>B</v>
      </c>
      <c r="G1369" s="130">
        <f ca="1">SUMIF($A:E,$A1369,K:K)</f>
        <v>0</v>
      </c>
      <c r="H1369" s="97" t="s">
        <v>927</v>
      </c>
      <c r="I1369" s="175">
        <v>30</v>
      </c>
      <c r="J1369" s="115">
        <v>30</v>
      </c>
      <c r="K1369" s="143">
        <f t="shared" si="416"/>
        <v>0</v>
      </c>
      <c r="L1369" s="144">
        <f t="shared" si="411"/>
        <v>30</v>
      </c>
      <c r="M1369" s="275">
        <f t="shared" si="418"/>
        <v>120</v>
      </c>
      <c r="N1369" s="98"/>
      <c r="O1369" s="93">
        <f t="shared" si="412"/>
        <v>0</v>
      </c>
      <c r="ON1369" s="100">
        <f t="shared" si="417"/>
        <v>0</v>
      </c>
    </row>
    <row r="1370" spans="1:404" ht="23.25" customHeight="1">
      <c r="A1370" s="97" t="str">
        <f t="shared" si="419"/>
        <v>007/YAMATEI-2166-70309-B2-B</v>
      </c>
      <c r="B1370" s="95">
        <v>44641</v>
      </c>
      <c r="C1370" s="97">
        <f t="shared" ca="1" si="414"/>
        <v>-423</v>
      </c>
      <c r="D1370" s="112" t="s">
        <v>1569</v>
      </c>
      <c r="E1370" s="123" t="s">
        <v>1588</v>
      </c>
      <c r="F1370" s="132" t="str">
        <f t="shared" si="415"/>
        <v>B</v>
      </c>
      <c r="G1370" s="130">
        <f ca="1">SUMIF($A:E,$A1370,K:K)</f>
        <v>0</v>
      </c>
      <c r="H1370" s="97" t="s">
        <v>927</v>
      </c>
      <c r="I1370" s="175">
        <v>60</v>
      </c>
      <c r="J1370" s="115">
        <v>60</v>
      </c>
      <c r="K1370" s="143">
        <f t="shared" si="416"/>
        <v>0</v>
      </c>
      <c r="L1370" s="144">
        <f t="shared" si="411"/>
        <v>60</v>
      </c>
      <c r="M1370" s="275">
        <f t="shared" si="418"/>
        <v>120</v>
      </c>
      <c r="N1370" s="98"/>
      <c r="O1370" s="93">
        <f t="shared" si="412"/>
        <v>0</v>
      </c>
      <c r="ON1370" s="100">
        <f t="shared" si="417"/>
        <v>0</v>
      </c>
    </row>
    <row r="1371" spans="1:404" ht="23.25" customHeight="1">
      <c r="A1371" s="97" t="str">
        <f t="shared" si="419"/>
        <v>007/YAMATEI-2166-70309-03-B</v>
      </c>
      <c r="B1371" s="95">
        <v>44641</v>
      </c>
      <c r="C1371" s="97">
        <f t="shared" ca="1" si="414"/>
        <v>-423</v>
      </c>
      <c r="D1371" s="112" t="s">
        <v>1569</v>
      </c>
      <c r="E1371" s="123" t="s">
        <v>1587</v>
      </c>
      <c r="F1371" s="132" t="str">
        <f t="shared" si="415"/>
        <v>B</v>
      </c>
      <c r="G1371" s="130">
        <f ca="1">SUMIF($A:E,$A1371,K:K)</f>
        <v>110</v>
      </c>
      <c r="H1371" s="97" t="s">
        <v>927</v>
      </c>
      <c r="I1371" s="175">
        <v>150</v>
      </c>
      <c r="J1371" s="115">
        <v>150</v>
      </c>
      <c r="K1371" s="143">
        <f t="shared" si="416"/>
        <v>110</v>
      </c>
      <c r="L1371" s="144">
        <f t="shared" si="411"/>
        <v>40</v>
      </c>
      <c r="M1371" s="275">
        <f t="shared" si="418"/>
        <v>150</v>
      </c>
      <c r="N1371" s="98">
        <v>1</v>
      </c>
      <c r="O1371" s="93">
        <f t="shared" si="412"/>
        <v>73.333333333333329</v>
      </c>
      <c r="OI1371" s="100">
        <v>25</v>
      </c>
      <c r="OJ1371" s="100">
        <v>20</v>
      </c>
      <c r="OK1371" s="100">
        <v>10</v>
      </c>
      <c r="ON1371" s="100">
        <f t="shared" si="417"/>
        <v>55</v>
      </c>
    </row>
    <row r="1372" spans="1:404" ht="23.25" customHeight="1">
      <c r="A1372" s="97" t="str">
        <f t="shared" si="419"/>
        <v xml:space="preserve"> 001/YAMATEI-VG_SR-2166-70309-02-B</v>
      </c>
      <c r="B1372" s="95">
        <v>44425</v>
      </c>
      <c r="C1372" s="97">
        <f t="shared" ca="1" si="414"/>
        <v>-639</v>
      </c>
      <c r="D1372" s="112" t="s">
        <v>1556</v>
      </c>
      <c r="E1372" s="123" t="s">
        <v>1560</v>
      </c>
      <c r="F1372" s="132" t="str">
        <f t="shared" si="415"/>
        <v>B</v>
      </c>
      <c r="G1372" s="130">
        <f ca="1">SUMIF($A:E,$A1372,K:K)</f>
        <v>4</v>
      </c>
      <c r="H1372" s="112" t="s">
        <v>1561</v>
      </c>
      <c r="I1372" s="175">
        <v>4</v>
      </c>
      <c r="J1372" s="115">
        <v>4</v>
      </c>
      <c r="K1372" s="143">
        <f t="shared" si="416"/>
        <v>4</v>
      </c>
      <c r="L1372" s="144">
        <f t="shared" si="411"/>
        <v>0</v>
      </c>
      <c r="M1372" s="275">
        <f t="shared" si="418"/>
        <v>4</v>
      </c>
      <c r="N1372" s="98">
        <v>2</v>
      </c>
      <c r="O1372" s="93">
        <f t="shared" si="412"/>
        <v>100</v>
      </c>
      <c r="HJ1372" s="100">
        <v>4</v>
      </c>
      <c r="ON1372" s="100">
        <f t="shared" si="417"/>
        <v>0</v>
      </c>
    </row>
    <row r="1373" spans="1:404" ht="23.25" customHeight="1">
      <c r="A1373" s="97" t="str">
        <f t="shared" si="419"/>
        <v>002/FLOWER POWER-VG-2166-70305-S4-B1</v>
      </c>
      <c r="B1373" s="95">
        <v>44670</v>
      </c>
      <c r="C1373" s="97">
        <f t="shared" ca="1" si="414"/>
        <v>-394</v>
      </c>
      <c r="D1373" s="112" t="s">
        <v>1714</v>
      </c>
      <c r="E1373" s="279" t="s">
        <v>1722</v>
      </c>
      <c r="F1373" s="132" t="str">
        <f t="shared" si="415"/>
        <v>B1</v>
      </c>
      <c r="G1373" s="130">
        <f ca="1">SUMIF($A:E,$A1373,K:K)</f>
        <v>0</v>
      </c>
      <c r="H1373" s="112" t="s">
        <v>1725</v>
      </c>
      <c r="I1373" s="175">
        <v>30</v>
      </c>
      <c r="J1373" s="115">
        <v>30</v>
      </c>
      <c r="K1373" s="143">
        <f t="shared" si="416"/>
        <v>0</v>
      </c>
      <c r="L1373" s="144">
        <f t="shared" si="411"/>
        <v>30</v>
      </c>
      <c r="M1373" s="275">
        <f t="shared" si="418"/>
        <v>120</v>
      </c>
      <c r="N1373" s="98"/>
      <c r="O1373" s="93">
        <f t="shared" ref="O1373:O1383" si="420">K1373/J1373*100</f>
        <v>0</v>
      </c>
      <c r="ON1373" s="100">
        <f t="shared" si="417"/>
        <v>0</v>
      </c>
    </row>
    <row r="1374" spans="1:404" ht="23.25" customHeight="1">
      <c r="A1374" s="138" t="str">
        <f t="shared" si="419"/>
        <v>007/YAMATEI-2166-70305-B2-B1</v>
      </c>
      <c r="B1374" s="95">
        <v>44641</v>
      </c>
      <c r="C1374" s="138">
        <f t="shared" ref="C1374:C1400" ca="1" si="421">B1374-TODAY()</f>
        <v>-423</v>
      </c>
      <c r="D1374" s="234" t="s">
        <v>1569</v>
      </c>
      <c r="E1374" s="387" t="s">
        <v>1586</v>
      </c>
      <c r="F1374" s="132" t="str">
        <f t="shared" ref="F1374:F1400" si="422">MID(E1374,13,2)</f>
        <v>B1</v>
      </c>
      <c r="G1374" s="130">
        <f ca="1">SUMIF($A:E,$A1374,K:K)</f>
        <v>52</v>
      </c>
      <c r="H1374" s="97" t="s">
        <v>927</v>
      </c>
      <c r="I1374" s="175">
        <v>120</v>
      </c>
      <c r="J1374" s="115">
        <v>120</v>
      </c>
      <c r="K1374" s="143">
        <f t="shared" si="416"/>
        <v>52</v>
      </c>
      <c r="L1374" s="144">
        <f t="shared" si="411"/>
        <v>68</v>
      </c>
      <c r="M1374" s="275">
        <f t="shared" si="418"/>
        <v>240</v>
      </c>
      <c r="N1374" s="98">
        <v>6</v>
      </c>
      <c r="O1374" s="93">
        <f t="shared" si="420"/>
        <v>43.333333333333336</v>
      </c>
      <c r="OK1374" s="100">
        <v>8</v>
      </c>
      <c r="OM1374" s="100">
        <v>18</v>
      </c>
      <c r="ON1374" s="100">
        <f t="shared" si="417"/>
        <v>26</v>
      </c>
    </row>
    <row r="1375" spans="1:404" ht="23.25" customHeight="1">
      <c r="A1375" s="97" t="str">
        <f t="shared" si="419"/>
        <v>007/YAMATEI-2166-70305-04-B1</v>
      </c>
      <c r="B1375" s="95">
        <v>44641</v>
      </c>
      <c r="C1375" s="97">
        <f t="shared" ca="1" si="421"/>
        <v>-423</v>
      </c>
      <c r="D1375" s="112" t="s">
        <v>1569</v>
      </c>
      <c r="E1375" s="289" t="s">
        <v>1585</v>
      </c>
      <c r="F1375" s="132" t="str">
        <f t="shared" si="422"/>
        <v>B1</v>
      </c>
      <c r="G1375" s="130">
        <f ca="1">SUMIF($A:E,$A1375,K:K)</f>
        <v>0</v>
      </c>
      <c r="H1375" s="97" t="s">
        <v>927</v>
      </c>
      <c r="I1375" s="175">
        <v>63</v>
      </c>
      <c r="J1375" s="115">
        <v>63</v>
      </c>
      <c r="K1375" s="143">
        <f t="shared" si="416"/>
        <v>0</v>
      </c>
      <c r="L1375" s="144">
        <f t="shared" si="411"/>
        <v>63</v>
      </c>
      <c r="M1375" s="275">
        <f t="shared" si="418"/>
        <v>63</v>
      </c>
      <c r="N1375" s="98"/>
      <c r="O1375" s="93">
        <f t="shared" si="420"/>
        <v>0</v>
      </c>
      <c r="ON1375" s="100">
        <f t="shared" si="417"/>
        <v>0</v>
      </c>
    </row>
    <row r="1376" spans="1:404" ht="23.25" customHeight="1">
      <c r="A1376" s="97" t="str">
        <f t="shared" si="419"/>
        <v>007/YAMATEI-2166-70305-03-B1</v>
      </c>
      <c r="B1376" s="95">
        <v>44641</v>
      </c>
      <c r="C1376" s="97">
        <f t="shared" ca="1" si="421"/>
        <v>-423</v>
      </c>
      <c r="D1376" s="112" t="s">
        <v>1569</v>
      </c>
      <c r="E1376" s="289" t="s">
        <v>1584</v>
      </c>
      <c r="F1376" s="132" t="str">
        <f t="shared" si="422"/>
        <v>B1</v>
      </c>
      <c r="G1376" s="130">
        <f ca="1">SUMIF($A:E,$A1376,K:K)</f>
        <v>0</v>
      </c>
      <c r="H1376" s="97" t="s">
        <v>927</v>
      </c>
      <c r="I1376" s="175">
        <v>120</v>
      </c>
      <c r="J1376" s="115">
        <v>120</v>
      </c>
      <c r="K1376" s="143">
        <f t="shared" si="416"/>
        <v>0</v>
      </c>
      <c r="L1376" s="144">
        <f t="shared" si="411"/>
        <v>120</v>
      </c>
      <c r="M1376" s="275">
        <f t="shared" si="418"/>
        <v>120</v>
      </c>
      <c r="N1376" s="98">
        <v>1</v>
      </c>
      <c r="O1376" s="93">
        <f t="shared" si="420"/>
        <v>0</v>
      </c>
      <c r="ON1376" s="100">
        <f t="shared" si="417"/>
        <v>0</v>
      </c>
    </row>
    <row r="1377" spans="1:404" ht="23.25" customHeight="1">
      <c r="A1377" s="97" t="str">
        <f t="shared" si="419"/>
        <v>007/YAMATEI-2166-70305-01-B1</v>
      </c>
      <c r="B1377" s="95">
        <v>44641</v>
      </c>
      <c r="C1377" s="97">
        <f t="shared" ca="1" si="421"/>
        <v>-423</v>
      </c>
      <c r="D1377" s="112" t="s">
        <v>1569</v>
      </c>
      <c r="E1377" s="289" t="s">
        <v>1583</v>
      </c>
      <c r="F1377" s="132" t="str">
        <f t="shared" si="422"/>
        <v>B1</v>
      </c>
      <c r="G1377" s="130">
        <f ca="1">SUMIF($A:E,$A1377,K:K)</f>
        <v>22</v>
      </c>
      <c r="H1377" s="97" t="s">
        <v>927</v>
      </c>
      <c r="I1377" s="175">
        <v>30</v>
      </c>
      <c r="J1377" s="115">
        <v>30</v>
      </c>
      <c r="K1377" s="143">
        <f t="shared" si="416"/>
        <v>22</v>
      </c>
      <c r="L1377" s="144">
        <f t="shared" si="411"/>
        <v>8</v>
      </c>
      <c r="M1377" s="275">
        <f t="shared" si="418"/>
        <v>30</v>
      </c>
      <c r="N1377" s="98">
        <v>1</v>
      </c>
      <c r="O1377" s="93">
        <f t="shared" si="420"/>
        <v>73.333333333333329</v>
      </c>
      <c r="OJ1377" s="100">
        <v>2</v>
      </c>
      <c r="OK1377" s="100">
        <v>9</v>
      </c>
      <c r="ON1377" s="100">
        <f t="shared" si="417"/>
        <v>11</v>
      </c>
    </row>
    <row r="1378" spans="1:404" ht="23.25" customHeight="1">
      <c r="A1378" s="97" t="str">
        <f t="shared" si="419"/>
        <v>005A/YAMATEI-VG-2166-70305-01-B1</v>
      </c>
      <c r="B1378" s="95">
        <v>44455</v>
      </c>
      <c r="C1378" s="97">
        <f t="shared" ca="1" si="421"/>
        <v>-609</v>
      </c>
      <c r="D1378" s="112" t="s">
        <v>1812</v>
      </c>
      <c r="E1378" s="123" t="s">
        <v>1583</v>
      </c>
      <c r="F1378" s="132" t="str">
        <f t="shared" si="422"/>
        <v>B1</v>
      </c>
      <c r="G1378" s="130">
        <f ca="1">SUMIF($A:E,$A1378,K:K)</f>
        <v>12</v>
      </c>
      <c r="H1378" s="97" t="s">
        <v>601</v>
      </c>
      <c r="I1378" s="98">
        <v>12</v>
      </c>
      <c r="J1378" s="99">
        <v>12</v>
      </c>
      <c r="K1378" s="143">
        <f t="shared" si="416"/>
        <v>12</v>
      </c>
      <c r="L1378" s="144">
        <f t="shared" si="411"/>
        <v>0</v>
      </c>
      <c r="M1378" s="275">
        <f t="shared" si="418"/>
        <v>12</v>
      </c>
      <c r="N1378" s="98">
        <v>1</v>
      </c>
      <c r="O1378" s="93">
        <f t="shared" si="420"/>
        <v>100</v>
      </c>
      <c r="IO1378" s="100">
        <v>12</v>
      </c>
      <c r="ON1378" s="100">
        <f t="shared" si="417"/>
        <v>0</v>
      </c>
    </row>
    <row r="1379" spans="1:404" ht="23.25" customHeight="1">
      <c r="A1379" s="97" t="str">
        <f t="shared" si="419"/>
        <v>007A/YAHMATEL-2166-70305-01-B1</v>
      </c>
      <c r="B1379" s="95">
        <v>44637</v>
      </c>
      <c r="C1379" s="97">
        <f t="shared" ca="1" si="421"/>
        <v>-427</v>
      </c>
      <c r="D1379" s="96" t="s">
        <v>1889</v>
      </c>
      <c r="E1379" s="280" t="s">
        <v>1583</v>
      </c>
      <c r="F1379" s="132" t="str">
        <f t="shared" si="422"/>
        <v>B1</v>
      </c>
      <c r="G1379" s="130">
        <f ca="1">SUMIF($A:E,$A1379,K:K)</f>
        <v>12</v>
      </c>
      <c r="H1379" s="97" t="s">
        <v>1890</v>
      </c>
      <c r="I1379" s="98">
        <v>6</v>
      </c>
      <c r="J1379" s="99">
        <v>6</v>
      </c>
      <c r="K1379" s="143">
        <f t="shared" si="416"/>
        <v>12</v>
      </c>
      <c r="L1379" s="144">
        <f t="shared" si="411"/>
        <v>-6</v>
      </c>
      <c r="M1379" s="275">
        <f t="shared" si="418"/>
        <v>6</v>
      </c>
      <c r="N1379" s="98">
        <v>2</v>
      </c>
      <c r="O1379" s="93">
        <f t="shared" si="420"/>
        <v>200</v>
      </c>
      <c r="OI1379" s="100">
        <v>5</v>
      </c>
      <c r="OJ1379" s="100">
        <v>1</v>
      </c>
      <c r="ON1379" s="100">
        <f t="shared" si="417"/>
        <v>6</v>
      </c>
    </row>
    <row r="1380" spans="1:404" ht="23.25" customHeight="1">
      <c r="A1380" s="97" t="str">
        <f>D1380&amp;E1381</f>
        <v>004/HOMESENSE-2166-70302-B3-B</v>
      </c>
      <c r="B1380" s="95">
        <v>44569</v>
      </c>
      <c r="C1380" s="97">
        <f t="shared" ca="1" si="421"/>
        <v>-495</v>
      </c>
      <c r="D1380" s="96" t="s">
        <v>1255</v>
      </c>
      <c r="E1380" s="94" t="s">
        <v>1258</v>
      </c>
      <c r="F1380" s="132" t="str">
        <f t="shared" si="422"/>
        <v>B</v>
      </c>
      <c r="G1380" s="130">
        <f ca="1">SUMIF($A:E,$A1380,K:K)</f>
        <v>144</v>
      </c>
      <c r="H1380" s="97" t="s">
        <v>508</v>
      </c>
      <c r="I1380" s="98">
        <v>144</v>
      </c>
      <c r="J1380" s="97">
        <v>144</v>
      </c>
      <c r="K1380" s="143">
        <f t="shared" si="416"/>
        <v>144</v>
      </c>
      <c r="L1380" s="144">
        <f t="shared" si="411"/>
        <v>0</v>
      </c>
      <c r="M1380" s="275">
        <f t="shared" si="418"/>
        <v>432</v>
      </c>
      <c r="N1380" s="98">
        <v>3</v>
      </c>
      <c r="O1380" s="93">
        <f t="shared" si="420"/>
        <v>100</v>
      </c>
      <c r="JI1380" s="100">
        <v>4</v>
      </c>
      <c r="JJ1380" s="100">
        <v>2</v>
      </c>
      <c r="JK1380" s="100">
        <v>3</v>
      </c>
      <c r="JM1380" s="100">
        <v>5</v>
      </c>
      <c r="JN1380" s="100">
        <v>6</v>
      </c>
      <c r="JP1380" s="100">
        <v>4</v>
      </c>
      <c r="JR1380" s="100">
        <v>4</v>
      </c>
      <c r="JU1380" s="100">
        <v>4</v>
      </c>
      <c r="JV1380" s="100">
        <v>1</v>
      </c>
      <c r="JW1380" s="100">
        <v>4</v>
      </c>
      <c r="JX1380" s="100">
        <v>2</v>
      </c>
      <c r="KA1380" s="100">
        <v>6</v>
      </c>
      <c r="KC1380" s="100">
        <v>3</v>
      </c>
      <c r="KD1380" s="100">
        <v>4</v>
      </c>
      <c r="KE1380" s="100">
        <v>10</v>
      </c>
      <c r="KF1380" s="100">
        <v>4</v>
      </c>
      <c r="KG1380" s="100">
        <v>1</v>
      </c>
      <c r="KH1380" s="100">
        <v>1</v>
      </c>
      <c r="KI1380" s="100">
        <v>4</v>
      </c>
      <c r="KJ1380" s="100">
        <v>4</v>
      </c>
      <c r="KN1380" s="100">
        <v>2</v>
      </c>
      <c r="KO1380" s="100">
        <v>2</v>
      </c>
      <c r="KQ1380" s="100">
        <v>1</v>
      </c>
      <c r="KS1380" s="100">
        <v>1</v>
      </c>
      <c r="KU1380" s="100">
        <v>6</v>
      </c>
      <c r="KV1380" s="100">
        <v>3</v>
      </c>
      <c r="KW1380" s="100">
        <v>4</v>
      </c>
      <c r="KZ1380" s="100">
        <v>3</v>
      </c>
      <c r="LC1380" s="100">
        <v>4</v>
      </c>
      <c r="LF1380" s="100">
        <v>6</v>
      </c>
      <c r="LG1380" s="100">
        <v>2</v>
      </c>
      <c r="LI1380" s="100">
        <v>4</v>
      </c>
      <c r="LK1380" s="100">
        <v>6</v>
      </c>
      <c r="LL1380" s="100">
        <v>2</v>
      </c>
      <c r="LN1380" s="100">
        <v>4</v>
      </c>
      <c r="LP1380" s="100">
        <v>2</v>
      </c>
      <c r="LR1380" s="100">
        <v>6</v>
      </c>
      <c r="LS1380" s="100">
        <v>4</v>
      </c>
      <c r="LT1380" s="100">
        <v>4</v>
      </c>
      <c r="LU1380" s="100">
        <v>2</v>
      </c>
      <c r="ON1380" s="100">
        <f t="shared" si="417"/>
        <v>0</v>
      </c>
    </row>
    <row r="1381" spans="1:404" ht="23.25" customHeight="1">
      <c r="A1381" s="97" t="str">
        <f t="shared" ref="A1381:A1414" si="423">D1381&amp;E1381</f>
        <v>038/VG_SR-21( TJX)66-70302-B3-B</v>
      </c>
      <c r="B1381" s="95">
        <v>44390</v>
      </c>
      <c r="C1381" s="97">
        <f t="shared" ca="1" si="421"/>
        <v>-674</v>
      </c>
      <c r="D1381" s="112" t="s">
        <v>1297</v>
      </c>
      <c r="E1381" s="123" t="s">
        <v>1258</v>
      </c>
      <c r="F1381" s="132" t="str">
        <f t="shared" si="422"/>
        <v>B</v>
      </c>
      <c r="G1381" s="130">
        <f ca="1">SUMIF($A:E,$A1381,K:K)</f>
        <v>2</v>
      </c>
      <c r="H1381" s="97" t="s">
        <v>508</v>
      </c>
      <c r="I1381" s="98">
        <v>2</v>
      </c>
      <c r="J1381" s="99">
        <v>2</v>
      </c>
      <c r="K1381" s="143">
        <f t="shared" si="416"/>
        <v>2</v>
      </c>
      <c r="L1381" s="144">
        <f t="shared" si="411"/>
        <v>0</v>
      </c>
      <c r="M1381" s="275">
        <f t="shared" si="418"/>
        <v>6</v>
      </c>
      <c r="N1381" s="211">
        <v>2</v>
      </c>
      <c r="O1381" s="93">
        <f t="shared" si="420"/>
        <v>100</v>
      </c>
      <c r="GA1381" s="100">
        <v>1</v>
      </c>
      <c r="GB1381" s="100">
        <v>1</v>
      </c>
      <c r="ON1381" s="100">
        <f t="shared" si="417"/>
        <v>0</v>
      </c>
    </row>
    <row r="1382" spans="1:404" ht="23.25" customHeight="1">
      <c r="A1382" s="97" t="str">
        <f t="shared" si="423"/>
        <v>006B/ITIMASIA-2166-70300-S4-B</v>
      </c>
      <c r="B1382" s="95">
        <v>44715</v>
      </c>
      <c r="C1382" s="97">
        <f t="shared" ca="1" si="421"/>
        <v>-349</v>
      </c>
      <c r="D1382" s="96" t="s">
        <v>2199</v>
      </c>
      <c r="E1382" s="94" t="s">
        <v>1167</v>
      </c>
      <c r="F1382" s="132" t="str">
        <f t="shared" si="422"/>
        <v>B</v>
      </c>
      <c r="G1382" s="130">
        <f ca="1">SUMIF($A:E,$A1382,K:K)</f>
        <v>0</v>
      </c>
      <c r="H1382" s="97" t="s">
        <v>933</v>
      </c>
      <c r="I1382" s="98">
        <v>216</v>
      </c>
      <c r="J1382" s="99">
        <v>216</v>
      </c>
      <c r="K1382" s="143">
        <f t="shared" si="416"/>
        <v>0</v>
      </c>
      <c r="L1382" s="144">
        <f t="shared" si="411"/>
        <v>216</v>
      </c>
      <c r="M1382" s="275">
        <f t="shared" si="418"/>
        <v>864</v>
      </c>
      <c r="N1382" s="98"/>
      <c r="O1382" s="93">
        <f t="shared" si="420"/>
        <v>0</v>
      </c>
      <c r="ON1382" s="100">
        <f t="shared" si="417"/>
        <v>0</v>
      </c>
    </row>
    <row r="1383" spans="1:404" ht="23.25" customHeight="1">
      <c r="A1383" s="97" t="str">
        <f t="shared" si="423"/>
        <v>001/NEVE YARAK-VG-2166-70300-S4-B</v>
      </c>
      <c r="B1383" s="218">
        <v>44661</v>
      </c>
      <c r="C1383" s="97">
        <f t="shared" ca="1" si="421"/>
        <v>-403</v>
      </c>
      <c r="D1383" s="112" t="s">
        <v>1705</v>
      </c>
      <c r="E1383" s="123" t="s">
        <v>1167</v>
      </c>
      <c r="F1383" s="132" t="str">
        <f t="shared" si="422"/>
        <v>B</v>
      </c>
      <c r="G1383" s="130">
        <f ca="1">SUMIF($A:E,$A1383,K:K)</f>
        <v>0</v>
      </c>
      <c r="H1383" s="97" t="s">
        <v>927</v>
      </c>
      <c r="I1383" s="175">
        <v>60</v>
      </c>
      <c r="J1383" s="115">
        <v>60</v>
      </c>
      <c r="K1383" s="143">
        <f t="shared" si="416"/>
        <v>0</v>
      </c>
      <c r="L1383" s="144">
        <f t="shared" si="411"/>
        <v>60</v>
      </c>
      <c r="M1383" s="275">
        <f t="shared" si="418"/>
        <v>240</v>
      </c>
      <c r="N1383" s="98"/>
      <c r="O1383" s="93">
        <f t="shared" si="420"/>
        <v>0</v>
      </c>
      <c r="ON1383" s="100">
        <f t="shared" si="417"/>
        <v>0</v>
      </c>
    </row>
    <row r="1384" spans="1:404" ht="23.25" customHeight="1">
      <c r="A1384" s="97" t="str">
        <f t="shared" si="423"/>
        <v>001/MOJAY-2166-70300-B3-01</v>
      </c>
      <c r="B1384" s="95">
        <v>44318</v>
      </c>
      <c r="C1384" s="97">
        <f t="shared" ca="1" si="421"/>
        <v>-746</v>
      </c>
      <c r="D1384" s="145" t="s">
        <v>742</v>
      </c>
      <c r="E1384" s="253" t="s">
        <v>744</v>
      </c>
      <c r="F1384" s="132" t="str">
        <f t="shared" si="422"/>
        <v>01</v>
      </c>
      <c r="G1384" s="130">
        <f ca="1">SUMIF($A:E,$A1384,K:K)</f>
        <v>40</v>
      </c>
      <c r="H1384" s="97" t="s">
        <v>584</v>
      </c>
      <c r="I1384" s="196">
        <v>40</v>
      </c>
      <c r="J1384" s="146">
        <v>40</v>
      </c>
      <c r="K1384" s="143">
        <f t="shared" si="416"/>
        <v>40</v>
      </c>
      <c r="L1384" s="144">
        <f t="shared" ref="L1384:L1441" si="424">J1384-K1384</f>
        <v>0</v>
      </c>
      <c r="M1384" s="275">
        <f t="shared" si="418"/>
        <v>120</v>
      </c>
      <c r="N1384" s="98">
        <v>2</v>
      </c>
      <c r="O1384" s="93">
        <f t="shared" ref="O1384:O1389" si="425">K1384/J1384*100</f>
        <v>100</v>
      </c>
      <c r="CM1384" s="101">
        <v>4</v>
      </c>
      <c r="CN1384" s="101">
        <v>8</v>
      </c>
      <c r="CP1384" s="101">
        <v>6</v>
      </c>
      <c r="CQ1384" s="101">
        <v>3</v>
      </c>
      <c r="CR1384" s="101">
        <v>5</v>
      </c>
      <c r="CS1384" s="101">
        <v>5</v>
      </c>
      <c r="CT1384" s="101">
        <v>7</v>
      </c>
      <c r="CU1384" s="101">
        <v>2</v>
      </c>
      <c r="ON1384" s="100">
        <f t="shared" si="417"/>
        <v>0</v>
      </c>
    </row>
    <row r="1385" spans="1:404" ht="23.25" customHeight="1">
      <c r="A1385" s="97" t="str">
        <f t="shared" si="423"/>
        <v>002/MOJAY-2166-70300-B3-01</v>
      </c>
      <c r="B1385" s="95">
        <v>44347</v>
      </c>
      <c r="C1385" s="97">
        <f t="shared" ca="1" si="421"/>
        <v>-717</v>
      </c>
      <c r="D1385" s="145" t="s">
        <v>735</v>
      </c>
      <c r="E1385" s="253" t="s">
        <v>744</v>
      </c>
      <c r="F1385" s="132" t="str">
        <f t="shared" si="422"/>
        <v>01</v>
      </c>
      <c r="G1385" s="130">
        <f ca="1">SUMIF($A:E,$A1385,K:K)</f>
        <v>40</v>
      </c>
      <c r="H1385" s="97" t="s">
        <v>584</v>
      </c>
      <c r="I1385" s="196">
        <v>40</v>
      </c>
      <c r="J1385" s="146">
        <v>40</v>
      </c>
      <c r="K1385" s="143">
        <f t="shared" si="416"/>
        <v>40</v>
      </c>
      <c r="L1385" s="144">
        <f t="shared" si="424"/>
        <v>0</v>
      </c>
      <c r="M1385" s="275">
        <f t="shared" si="418"/>
        <v>120</v>
      </c>
      <c r="N1385" s="98">
        <v>2</v>
      </c>
      <c r="O1385" s="93">
        <f t="shared" si="425"/>
        <v>100</v>
      </c>
      <c r="CU1385" s="101">
        <v>7</v>
      </c>
      <c r="CX1385" s="101">
        <v>8</v>
      </c>
      <c r="CZ1385" s="101">
        <v>16</v>
      </c>
      <c r="DA1385" s="101">
        <v>7</v>
      </c>
      <c r="DB1385" s="101">
        <v>2</v>
      </c>
      <c r="ON1385" s="100">
        <f t="shared" si="417"/>
        <v>0</v>
      </c>
    </row>
    <row r="1386" spans="1:404" ht="23.25" customHeight="1">
      <c r="A1386" s="97" t="str">
        <f t="shared" si="423"/>
        <v>003/MOJAY-2166-70300-B3-01</v>
      </c>
      <c r="B1386" s="95">
        <v>44347</v>
      </c>
      <c r="C1386" s="97">
        <f t="shared" ca="1" si="421"/>
        <v>-717</v>
      </c>
      <c r="D1386" s="145" t="s">
        <v>748</v>
      </c>
      <c r="E1386" s="253" t="s">
        <v>744</v>
      </c>
      <c r="F1386" s="132" t="str">
        <f t="shared" si="422"/>
        <v>01</v>
      </c>
      <c r="G1386" s="130">
        <f ca="1">SUMIF($A:E,$A1386,K:K)</f>
        <v>40</v>
      </c>
      <c r="H1386" s="97" t="s">
        <v>584</v>
      </c>
      <c r="I1386" s="196">
        <v>40</v>
      </c>
      <c r="J1386" s="146">
        <v>40</v>
      </c>
      <c r="K1386" s="143">
        <f t="shared" si="416"/>
        <v>40</v>
      </c>
      <c r="L1386" s="144">
        <f t="shared" si="424"/>
        <v>0</v>
      </c>
      <c r="M1386" s="275">
        <f t="shared" si="418"/>
        <v>120</v>
      </c>
      <c r="N1386" s="98">
        <v>2</v>
      </c>
      <c r="O1386" s="93">
        <f t="shared" si="425"/>
        <v>100</v>
      </c>
      <c r="DB1386" s="101">
        <v>6</v>
      </c>
      <c r="DD1386" s="101">
        <v>3</v>
      </c>
      <c r="DE1386" s="101">
        <v>11</v>
      </c>
      <c r="DO1386" s="101">
        <v>1</v>
      </c>
      <c r="DP1386" s="101">
        <v>12</v>
      </c>
      <c r="DR1386" s="101">
        <v>7</v>
      </c>
      <c r="ON1386" s="100">
        <f t="shared" si="417"/>
        <v>0</v>
      </c>
    </row>
    <row r="1387" spans="1:404" ht="23.25" customHeight="1">
      <c r="A1387" s="97" t="str">
        <f t="shared" si="423"/>
        <v>001/GREENPOT-VG-2166-70300-04-B</v>
      </c>
      <c r="B1387" s="95">
        <v>44656</v>
      </c>
      <c r="C1387" s="97">
        <f t="shared" ca="1" si="421"/>
        <v>-408</v>
      </c>
      <c r="D1387" s="112" t="s">
        <v>1451</v>
      </c>
      <c r="E1387" s="123" t="s">
        <v>1452</v>
      </c>
      <c r="F1387" s="132" t="str">
        <f t="shared" si="422"/>
        <v>B</v>
      </c>
      <c r="G1387" s="130">
        <f ca="1">SUMIF($A:E,$A1387,K:K)</f>
        <v>120</v>
      </c>
      <c r="H1387" s="97" t="s">
        <v>616</v>
      </c>
      <c r="I1387" s="98">
        <v>189</v>
      </c>
      <c r="J1387" s="99">
        <v>189</v>
      </c>
      <c r="K1387" s="143">
        <f t="shared" si="416"/>
        <v>120</v>
      </c>
      <c r="L1387" s="144">
        <f t="shared" si="424"/>
        <v>69</v>
      </c>
      <c r="M1387" s="275">
        <f t="shared" si="418"/>
        <v>189</v>
      </c>
      <c r="N1387" s="98">
        <v>6</v>
      </c>
      <c r="O1387" s="93">
        <f t="shared" si="425"/>
        <v>63.492063492063487</v>
      </c>
      <c r="OF1387" s="100">
        <v>15</v>
      </c>
      <c r="OG1387" s="100">
        <v>8</v>
      </c>
      <c r="OH1387" s="100">
        <v>8</v>
      </c>
      <c r="OI1387" s="100">
        <v>6</v>
      </c>
      <c r="OJ1387" s="100">
        <v>4</v>
      </c>
      <c r="OK1387" s="100">
        <v>14</v>
      </c>
      <c r="OM1387" s="100">
        <v>5</v>
      </c>
      <c r="ON1387" s="100">
        <f t="shared" si="417"/>
        <v>60</v>
      </c>
    </row>
    <row r="1388" spans="1:404" ht="23.25" customHeight="1">
      <c r="A1388" s="97" t="str">
        <f t="shared" si="423"/>
        <v>001/GREENPOT-VG_SR-2166-70300-04-B</v>
      </c>
      <c r="B1388" s="95">
        <v>44426</v>
      </c>
      <c r="C1388" s="97">
        <f t="shared" ca="1" si="421"/>
        <v>-638</v>
      </c>
      <c r="D1388" s="112" t="s">
        <v>1606</v>
      </c>
      <c r="E1388" s="123" t="s">
        <v>1452</v>
      </c>
      <c r="F1388" s="132" t="str">
        <f t="shared" si="422"/>
        <v>B</v>
      </c>
      <c r="G1388" s="130">
        <f ca="1">SUMIF($A:E,$A1388,K:K)</f>
        <v>5</v>
      </c>
      <c r="H1388" s="112" t="s">
        <v>1616</v>
      </c>
      <c r="I1388" s="175">
        <v>5</v>
      </c>
      <c r="J1388" s="115">
        <v>5</v>
      </c>
      <c r="K1388" s="143">
        <f t="shared" si="416"/>
        <v>5</v>
      </c>
      <c r="L1388" s="144">
        <f t="shared" si="424"/>
        <v>0</v>
      </c>
      <c r="M1388" s="275">
        <f t="shared" si="418"/>
        <v>5</v>
      </c>
      <c r="N1388" s="98">
        <v>3</v>
      </c>
      <c r="O1388" s="93">
        <f t="shared" si="425"/>
        <v>100</v>
      </c>
      <c r="HL1388" s="100">
        <v>5</v>
      </c>
      <c r="ON1388" s="100">
        <f t="shared" si="417"/>
        <v>0</v>
      </c>
    </row>
    <row r="1389" spans="1:404" ht="23.25" customHeight="1">
      <c r="A1389" s="97" t="str">
        <f t="shared" si="423"/>
        <v>001/ITIMASIA-VG_SR-2166-70300-04-B</v>
      </c>
      <c r="B1389" s="95">
        <v>44450</v>
      </c>
      <c r="C1389" s="97">
        <f t="shared" ca="1" si="421"/>
        <v>-614</v>
      </c>
      <c r="D1389" s="112" t="s">
        <v>1804</v>
      </c>
      <c r="E1389" s="123" t="s">
        <v>1452</v>
      </c>
      <c r="F1389" s="132" t="str">
        <f t="shared" si="422"/>
        <v>B</v>
      </c>
      <c r="G1389" s="130">
        <f ca="1">SUMIF($A:E,$A1389,K:K)</f>
        <v>1</v>
      </c>
      <c r="H1389" s="112" t="s">
        <v>1805</v>
      </c>
      <c r="I1389" s="98">
        <v>1</v>
      </c>
      <c r="J1389" s="99">
        <v>1</v>
      </c>
      <c r="K1389" s="143">
        <f t="shared" si="416"/>
        <v>1</v>
      </c>
      <c r="L1389" s="144">
        <f t="shared" si="424"/>
        <v>0</v>
      </c>
      <c r="M1389" s="275">
        <f t="shared" si="418"/>
        <v>1</v>
      </c>
      <c r="N1389" s="98">
        <v>1</v>
      </c>
      <c r="O1389" s="93">
        <f t="shared" si="425"/>
        <v>100</v>
      </c>
      <c r="IK1389" s="100">
        <v>1</v>
      </c>
      <c r="ON1389" s="100">
        <f t="shared" si="417"/>
        <v>0</v>
      </c>
    </row>
    <row r="1390" spans="1:404" ht="23.25" customHeight="1">
      <c r="A1390" s="97" t="str">
        <f t="shared" si="423"/>
        <v>001/GREENPOT-VG_SR-2166-70300-04-A</v>
      </c>
      <c r="B1390" s="95">
        <v>44426</v>
      </c>
      <c r="C1390" s="97">
        <f t="shared" ca="1" si="421"/>
        <v>-638</v>
      </c>
      <c r="D1390" s="112" t="s">
        <v>1606</v>
      </c>
      <c r="E1390" s="123" t="s">
        <v>858</v>
      </c>
      <c r="F1390" s="132" t="str">
        <f t="shared" si="422"/>
        <v>A</v>
      </c>
      <c r="G1390" s="130">
        <f ca="1">SUMIF($A:E,$A1390,K:K)</f>
        <v>1</v>
      </c>
      <c r="H1390" s="112" t="s">
        <v>1616</v>
      </c>
      <c r="I1390" s="175">
        <v>1</v>
      </c>
      <c r="J1390" s="115">
        <v>1</v>
      </c>
      <c r="K1390" s="143">
        <f t="shared" si="416"/>
        <v>1</v>
      </c>
      <c r="L1390" s="144">
        <f t="shared" si="424"/>
        <v>0</v>
      </c>
      <c r="M1390" s="275">
        <f t="shared" si="418"/>
        <v>1</v>
      </c>
      <c r="N1390" s="98">
        <v>3</v>
      </c>
      <c r="O1390" s="93">
        <f t="shared" ref="O1390:O1441" si="426">K1390/J1390*100</f>
        <v>100</v>
      </c>
      <c r="HL1390" s="100">
        <v>1</v>
      </c>
      <c r="ON1390" s="100">
        <f t="shared" si="417"/>
        <v>0</v>
      </c>
    </row>
    <row r="1391" spans="1:404" ht="23.25" customHeight="1">
      <c r="A1391" s="97" t="str">
        <f t="shared" si="423"/>
        <v>010T/WESTELM-2166-70300-03-B</v>
      </c>
      <c r="B1391" s="95">
        <v>44400</v>
      </c>
      <c r="C1391" s="97">
        <f t="shared" ca="1" si="421"/>
        <v>-664</v>
      </c>
      <c r="D1391" s="96" t="s">
        <v>849</v>
      </c>
      <c r="E1391" s="94" t="s">
        <v>25</v>
      </c>
      <c r="F1391" s="132" t="str">
        <f t="shared" si="422"/>
        <v>B</v>
      </c>
      <c r="G1391" s="130">
        <f ca="1">SUMIF($A:E,$A1391,K:K)</f>
        <v>1788</v>
      </c>
      <c r="H1391" s="97" t="s">
        <v>820</v>
      </c>
      <c r="I1391" s="98">
        <v>1780</v>
      </c>
      <c r="J1391" s="99">
        <v>200</v>
      </c>
      <c r="K1391" s="143">
        <f t="shared" si="416"/>
        <v>200</v>
      </c>
      <c r="L1391" s="144">
        <f t="shared" si="424"/>
        <v>0</v>
      </c>
      <c r="M1391" s="275">
        <f t="shared" si="418"/>
        <v>1780</v>
      </c>
      <c r="N1391" s="98">
        <v>2</v>
      </c>
      <c r="O1391" s="93">
        <f t="shared" si="426"/>
        <v>100</v>
      </c>
      <c r="DE1391" s="101">
        <v>10</v>
      </c>
      <c r="DF1391" s="101">
        <v>6</v>
      </c>
      <c r="DG1391" s="101">
        <v>6</v>
      </c>
      <c r="DK1391" s="101">
        <v>18</v>
      </c>
      <c r="DL1391" s="101">
        <v>15</v>
      </c>
      <c r="DN1391" s="101">
        <v>2</v>
      </c>
      <c r="DO1391" s="101">
        <v>31</v>
      </c>
      <c r="DR1391" s="101">
        <v>6</v>
      </c>
      <c r="DS1391" s="100">
        <v>4</v>
      </c>
      <c r="DT1391" s="100">
        <v>3</v>
      </c>
      <c r="DU1391" s="100">
        <v>24</v>
      </c>
      <c r="DV1391" s="100">
        <v>15</v>
      </c>
      <c r="DY1391" s="100">
        <v>30</v>
      </c>
      <c r="DZ1391" s="100">
        <v>7</v>
      </c>
      <c r="EA1391" s="100">
        <v>14</v>
      </c>
      <c r="EC1391" s="100">
        <v>8</v>
      </c>
      <c r="EF1391" s="100">
        <v>1</v>
      </c>
      <c r="ON1391" s="100">
        <f t="shared" si="417"/>
        <v>0</v>
      </c>
    </row>
    <row r="1392" spans="1:404" ht="23.25" customHeight="1">
      <c r="A1392" s="97" t="str">
        <f t="shared" si="423"/>
        <v>063/WESTELM-2166-70300-03-B</v>
      </c>
      <c r="B1392" s="95">
        <v>44454</v>
      </c>
      <c r="C1392" s="97">
        <f t="shared" ca="1" si="421"/>
        <v>-610</v>
      </c>
      <c r="D1392" s="96" t="s">
        <v>903</v>
      </c>
      <c r="E1392" s="94" t="s">
        <v>25</v>
      </c>
      <c r="F1392" s="132" t="str">
        <f t="shared" si="422"/>
        <v>B</v>
      </c>
      <c r="G1392" s="130">
        <f ca="1">SUMIF($A:E,$A1392,K:K)</f>
        <v>125</v>
      </c>
      <c r="H1392" s="97" t="s">
        <v>616</v>
      </c>
      <c r="I1392" s="98">
        <v>125</v>
      </c>
      <c r="J1392" s="99">
        <v>125</v>
      </c>
      <c r="K1392" s="143">
        <f t="shared" si="416"/>
        <v>125</v>
      </c>
      <c r="L1392" s="144">
        <f t="shared" si="424"/>
        <v>0</v>
      </c>
      <c r="M1392" s="275">
        <f t="shared" si="418"/>
        <v>125</v>
      </c>
      <c r="N1392" s="98">
        <v>2</v>
      </c>
      <c r="O1392" s="93">
        <f t="shared" si="426"/>
        <v>100</v>
      </c>
      <c r="GH1392" s="100">
        <v>18</v>
      </c>
      <c r="GI1392" s="100">
        <v>11</v>
      </c>
      <c r="GJ1392" s="100">
        <v>14</v>
      </c>
      <c r="GK1392" s="100">
        <v>8</v>
      </c>
      <c r="GL1392" s="100">
        <v>15</v>
      </c>
      <c r="GP1392" s="100">
        <v>11</v>
      </c>
      <c r="GQ1392" s="100">
        <v>33</v>
      </c>
      <c r="GR1392" s="100">
        <v>1</v>
      </c>
      <c r="GU1392" s="100">
        <v>3</v>
      </c>
      <c r="HJ1392" s="100">
        <v>11</v>
      </c>
      <c r="ON1392" s="100">
        <f t="shared" si="417"/>
        <v>0</v>
      </c>
    </row>
    <row r="1393" spans="1:404" ht="23.25" customHeight="1">
      <c r="A1393" s="97" t="str">
        <f t="shared" si="423"/>
        <v>072/WESTELM-2166-70300-03-B</v>
      </c>
      <c r="B1393" s="95">
        <v>44485</v>
      </c>
      <c r="C1393" s="97">
        <f t="shared" ca="1" si="421"/>
        <v>-579</v>
      </c>
      <c r="D1393" s="96" t="s">
        <v>909</v>
      </c>
      <c r="E1393" s="94" t="s">
        <v>25</v>
      </c>
      <c r="F1393" s="132" t="str">
        <f t="shared" si="422"/>
        <v>B</v>
      </c>
      <c r="G1393" s="130">
        <f ca="1">SUMIF($A:E,$A1393,K:K)</f>
        <v>100</v>
      </c>
      <c r="H1393" s="97" t="s">
        <v>616</v>
      </c>
      <c r="I1393" s="98">
        <v>100</v>
      </c>
      <c r="J1393" s="99">
        <v>100</v>
      </c>
      <c r="K1393" s="143">
        <f t="shared" si="416"/>
        <v>100</v>
      </c>
      <c r="L1393" s="144">
        <f t="shared" si="424"/>
        <v>0</v>
      </c>
      <c r="M1393" s="275">
        <f t="shared" si="418"/>
        <v>100</v>
      </c>
      <c r="N1393" s="98">
        <v>5</v>
      </c>
      <c r="O1393" s="93">
        <f t="shared" si="426"/>
        <v>100</v>
      </c>
      <c r="GL1393" s="100">
        <v>4</v>
      </c>
      <c r="GO1393" s="100">
        <v>28</v>
      </c>
      <c r="GP1393" s="100">
        <v>21</v>
      </c>
      <c r="GQ1393" s="100">
        <v>7</v>
      </c>
      <c r="GR1393" s="100">
        <v>11</v>
      </c>
      <c r="GS1393" s="100">
        <v>11</v>
      </c>
      <c r="GU1393" s="100">
        <v>11</v>
      </c>
      <c r="GV1393" s="100">
        <v>7</v>
      </c>
      <c r="ON1393" s="100">
        <f t="shared" si="417"/>
        <v>0</v>
      </c>
    </row>
    <row r="1394" spans="1:404" ht="23.25" customHeight="1">
      <c r="A1394" s="97" t="str">
        <f t="shared" si="423"/>
        <v>074/WESTELM-2166-70300-03-B</v>
      </c>
      <c r="B1394" s="95">
        <v>44527</v>
      </c>
      <c r="C1394" s="97">
        <f t="shared" ca="1" si="421"/>
        <v>-537</v>
      </c>
      <c r="D1394" s="96" t="s">
        <v>910</v>
      </c>
      <c r="E1394" s="94" t="s">
        <v>25</v>
      </c>
      <c r="F1394" s="132" t="str">
        <f t="shared" si="422"/>
        <v>B</v>
      </c>
      <c r="G1394" s="130">
        <f ca="1">SUMIF($A:E,$A1394,K:K)</f>
        <v>66</v>
      </c>
      <c r="H1394" s="97" t="s">
        <v>616</v>
      </c>
      <c r="I1394" s="98">
        <v>66</v>
      </c>
      <c r="J1394" s="99">
        <v>66</v>
      </c>
      <c r="K1394" s="143">
        <f t="shared" si="416"/>
        <v>66</v>
      </c>
      <c r="L1394" s="144">
        <f t="shared" si="424"/>
        <v>0</v>
      </c>
      <c r="M1394" s="275">
        <f t="shared" si="418"/>
        <v>66</v>
      </c>
      <c r="N1394" s="98">
        <v>3</v>
      </c>
      <c r="O1394" s="93">
        <f t="shared" si="426"/>
        <v>100</v>
      </c>
      <c r="HU1394" s="100">
        <v>5</v>
      </c>
      <c r="HW1394" s="100">
        <v>1</v>
      </c>
      <c r="HY1394" s="100">
        <v>15</v>
      </c>
      <c r="IB1394" s="100">
        <v>13</v>
      </c>
      <c r="IE1394" s="100">
        <v>14</v>
      </c>
      <c r="IG1394" s="100">
        <v>18</v>
      </c>
      <c r="ON1394" s="100">
        <f t="shared" si="417"/>
        <v>0</v>
      </c>
    </row>
    <row r="1395" spans="1:404" ht="23.25" customHeight="1">
      <c r="A1395" s="97" t="str">
        <f t="shared" si="423"/>
        <v>010T/WESTELM-2166-70300-03-B</v>
      </c>
      <c r="B1395" s="95">
        <v>44400</v>
      </c>
      <c r="C1395" s="97">
        <f t="shared" ca="1" si="421"/>
        <v>-664</v>
      </c>
      <c r="D1395" s="96" t="s">
        <v>849</v>
      </c>
      <c r="E1395" s="94" t="s">
        <v>25</v>
      </c>
      <c r="F1395" s="132" t="str">
        <f t="shared" si="422"/>
        <v>B</v>
      </c>
      <c r="G1395" s="130">
        <f ca="1">SUMIF($A:E,$A1395,K:K)</f>
        <v>1788</v>
      </c>
      <c r="H1395" s="97" t="s">
        <v>820</v>
      </c>
      <c r="I1395" s="98">
        <v>1780</v>
      </c>
      <c r="J1395" s="99">
        <v>500</v>
      </c>
      <c r="K1395" s="143">
        <f t="shared" si="416"/>
        <v>500</v>
      </c>
      <c r="L1395" s="144">
        <f t="shared" si="424"/>
        <v>0</v>
      </c>
      <c r="M1395" s="275">
        <f t="shared" si="418"/>
        <v>1780</v>
      </c>
      <c r="N1395" s="98">
        <v>3</v>
      </c>
      <c r="O1395" s="93">
        <f t="shared" si="426"/>
        <v>100</v>
      </c>
      <c r="DA1395" s="101">
        <v>15</v>
      </c>
      <c r="DB1395" s="101">
        <v>20</v>
      </c>
      <c r="DD1395" s="101">
        <v>19</v>
      </c>
      <c r="DE1395" s="101">
        <v>9</v>
      </c>
      <c r="DF1395" s="101">
        <v>17</v>
      </c>
      <c r="DG1395" s="101">
        <v>18</v>
      </c>
      <c r="DK1395" s="101">
        <v>19</v>
      </c>
      <c r="DL1395" s="101">
        <v>8</v>
      </c>
      <c r="DN1395" s="101">
        <v>34</v>
      </c>
      <c r="DP1395" s="101">
        <v>24</v>
      </c>
      <c r="DR1395" s="101">
        <v>5</v>
      </c>
      <c r="DS1395" s="100">
        <v>10</v>
      </c>
      <c r="DT1395" s="100">
        <v>5</v>
      </c>
      <c r="DU1395" s="100">
        <v>19</v>
      </c>
      <c r="DW1395" s="100">
        <v>10</v>
      </c>
      <c r="DY1395" s="100">
        <v>33</v>
      </c>
      <c r="DZ1395" s="100">
        <v>15</v>
      </c>
      <c r="EA1395" s="100">
        <v>10</v>
      </c>
      <c r="EC1395" s="100">
        <v>10</v>
      </c>
      <c r="ED1395" s="100">
        <v>9</v>
      </c>
      <c r="EF1395" s="100">
        <v>12</v>
      </c>
      <c r="EG1395" s="100">
        <v>10</v>
      </c>
      <c r="EH1395" s="100">
        <v>21</v>
      </c>
      <c r="EI1395" s="100">
        <v>20</v>
      </c>
      <c r="EK1395" s="100">
        <v>18</v>
      </c>
      <c r="EL1395" s="100">
        <v>20</v>
      </c>
      <c r="EM1395" s="100">
        <v>11</v>
      </c>
      <c r="EN1395" s="100">
        <v>10</v>
      </c>
      <c r="EO1395" s="100">
        <v>10</v>
      </c>
      <c r="EP1395" s="100">
        <v>3</v>
      </c>
      <c r="EQ1395" s="100">
        <v>16</v>
      </c>
      <c r="ER1395" s="100">
        <v>10</v>
      </c>
      <c r="EU1395" s="100">
        <v>10</v>
      </c>
      <c r="EV1395" s="100">
        <v>8</v>
      </c>
      <c r="EW1395" s="100">
        <v>9</v>
      </c>
      <c r="EX1395" s="100">
        <v>3</v>
      </c>
      <c r="ON1395" s="100">
        <f t="shared" si="417"/>
        <v>0</v>
      </c>
    </row>
    <row r="1396" spans="1:404" ht="23.25" customHeight="1">
      <c r="A1396" s="97" t="str">
        <f t="shared" si="423"/>
        <v>010T/WESTELM-2166-70300-03-B</v>
      </c>
      <c r="B1396" s="95">
        <v>44400</v>
      </c>
      <c r="C1396" s="97">
        <f t="shared" ca="1" si="421"/>
        <v>-664</v>
      </c>
      <c r="D1396" s="96" t="s">
        <v>849</v>
      </c>
      <c r="E1396" s="94" t="s">
        <v>25</v>
      </c>
      <c r="F1396" s="132" t="str">
        <f t="shared" si="422"/>
        <v>B</v>
      </c>
      <c r="G1396" s="130">
        <f ca="1">SUMIF($A:E,$A1396,K:K)</f>
        <v>1788</v>
      </c>
      <c r="H1396" s="97" t="s">
        <v>820</v>
      </c>
      <c r="I1396" s="98">
        <v>1780</v>
      </c>
      <c r="J1396" s="99">
        <v>300</v>
      </c>
      <c r="K1396" s="143">
        <f t="shared" si="416"/>
        <v>300</v>
      </c>
      <c r="L1396" s="144">
        <f t="shared" si="424"/>
        <v>0</v>
      </c>
      <c r="M1396" s="275">
        <f t="shared" si="418"/>
        <v>1780</v>
      </c>
      <c r="N1396" s="98">
        <v>1</v>
      </c>
      <c r="O1396" s="93">
        <f t="shared" si="426"/>
        <v>100</v>
      </c>
      <c r="DS1396" s="100">
        <v>3</v>
      </c>
      <c r="DT1396" s="100">
        <v>32</v>
      </c>
      <c r="DU1396" s="100">
        <v>23</v>
      </c>
      <c r="DW1396" s="100">
        <v>3</v>
      </c>
      <c r="DY1396" s="100">
        <v>12</v>
      </c>
      <c r="DZ1396" s="100">
        <v>13</v>
      </c>
      <c r="EA1396" s="100">
        <v>5</v>
      </c>
      <c r="ED1396" s="100">
        <v>1</v>
      </c>
      <c r="EF1396" s="100">
        <v>8</v>
      </c>
      <c r="EG1396" s="100">
        <v>19</v>
      </c>
      <c r="EH1396" s="100">
        <v>9</v>
      </c>
      <c r="EI1396" s="100">
        <v>12</v>
      </c>
      <c r="EK1396" s="100">
        <v>12</v>
      </c>
      <c r="EL1396" s="100">
        <v>29</v>
      </c>
      <c r="EM1396" s="176"/>
      <c r="EN1396" s="100">
        <v>34</v>
      </c>
      <c r="EO1396" s="100">
        <v>29</v>
      </c>
      <c r="EP1396" s="100">
        <v>31</v>
      </c>
      <c r="ER1396" s="100">
        <v>25</v>
      </c>
      <c r="ON1396" s="100">
        <f t="shared" si="417"/>
        <v>0</v>
      </c>
    </row>
    <row r="1397" spans="1:404" ht="23.25" customHeight="1">
      <c r="A1397" s="97" t="str">
        <f t="shared" si="423"/>
        <v>010T/WESTELM-2166-70300-03-B</v>
      </c>
      <c r="B1397" s="95">
        <v>44400</v>
      </c>
      <c r="C1397" s="97">
        <f t="shared" ca="1" si="421"/>
        <v>-664</v>
      </c>
      <c r="D1397" s="96" t="s">
        <v>849</v>
      </c>
      <c r="E1397" s="94" t="s">
        <v>25</v>
      </c>
      <c r="F1397" s="132" t="str">
        <f t="shared" si="422"/>
        <v>B</v>
      </c>
      <c r="G1397" s="130">
        <f ca="1">SUMIF($A:E,$A1397,K:K)</f>
        <v>1788</v>
      </c>
      <c r="H1397" s="97" t="s">
        <v>820</v>
      </c>
      <c r="I1397" s="98">
        <v>1780</v>
      </c>
      <c r="J1397" s="99">
        <v>380</v>
      </c>
      <c r="K1397" s="143">
        <f t="shared" si="416"/>
        <v>380</v>
      </c>
      <c r="L1397" s="144">
        <f t="shared" si="424"/>
        <v>0</v>
      </c>
      <c r="M1397" s="275">
        <f t="shared" si="418"/>
        <v>1780</v>
      </c>
      <c r="N1397" s="98">
        <v>4</v>
      </c>
      <c r="O1397" s="93">
        <f t="shared" si="426"/>
        <v>100</v>
      </c>
      <c r="EH1397" s="100">
        <v>9</v>
      </c>
      <c r="EI1397" s="100">
        <v>10</v>
      </c>
      <c r="EJ1397" s="100">
        <v>9</v>
      </c>
      <c r="EK1397" s="100">
        <v>12</v>
      </c>
      <c r="EL1397" s="100">
        <v>9</v>
      </c>
      <c r="EM1397" s="100">
        <v>8</v>
      </c>
      <c r="EN1397" s="100">
        <v>12</v>
      </c>
      <c r="EO1397" s="100">
        <v>11</v>
      </c>
      <c r="EP1397" s="100">
        <v>10</v>
      </c>
      <c r="EQ1397" s="100">
        <v>10</v>
      </c>
      <c r="ET1397" s="100">
        <v>21</v>
      </c>
      <c r="EU1397" s="100">
        <v>9</v>
      </c>
      <c r="EV1397" s="100">
        <v>20</v>
      </c>
      <c r="EW1397" s="100">
        <v>20</v>
      </c>
      <c r="EX1397" s="100">
        <v>9</v>
      </c>
      <c r="EY1397" s="100">
        <v>20</v>
      </c>
      <c r="FA1397" s="100">
        <v>17</v>
      </c>
      <c r="FB1397" s="100">
        <v>12</v>
      </c>
      <c r="FC1397" s="100">
        <v>20</v>
      </c>
      <c r="FD1397" s="100">
        <v>17</v>
      </c>
      <c r="FE1397" s="100">
        <v>19</v>
      </c>
      <c r="FF1397" s="100">
        <v>14</v>
      </c>
      <c r="FH1397" s="100">
        <v>23</v>
      </c>
      <c r="FI1397" s="100">
        <v>9</v>
      </c>
      <c r="FJ1397" s="100">
        <v>16</v>
      </c>
      <c r="FK1397" s="100">
        <v>22</v>
      </c>
      <c r="FL1397" s="100">
        <v>1</v>
      </c>
      <c r="FP1397" s="100">
        <v>2</v>
      </c>
      <c r="FU1397" s="100">
        <v>9</v>
      </c>
      <c r="ON1397" s="100">
        <f t="shared" si="417"/>
        <v>0</v>
      </c>
    </row>
    <row r="1398" spans="1:404" ht="23.25" customHeight="1">
      <c r="A1398" s="97" t="str">
        <f t="shared" si="423"/>
        <v>010T/WESTELM-2166-70300-03-B</v>
      </c>
      <c r="B1398" s="95">
        <v>44400</v>
      </c>
      <c r="C1398" s="97">
        <f t="shared" ca="1" si="421"/>
        <v>-664</v>
      </c>
      <c r="D1398" s="96" t="s">
        <v>849</v>
      </c>
      <c r="E1398" s="94" t="s">
        <v>25</v>
      </c>
      <c r="F1398" s="132" t="str">
        <f t="shared" si="422"/>
        <v>B</v>
      </c>
      <c r="G1398" s="130">
        <f ca="1">SUMIF($A:E,$A1398,K:K)</f>
        <v>1788</v>
      </c>
      <c r="H1398" s="97" t="s">
        <v>820</v>
      </c>
      <c r="I1398" s="98">
        <v>1780</v>
      </c>
      <c r="J1398" s="99">
        <v>408</v>
      </c>
      <c r="K1398" s="143">
        <f t="shared" si="416"/>
        <v>408</v>
      </c>
      <c r="L1398" s="144">
        <f t="shared" si="424"/>
        <v>0</v>
      </c>
      <c r="M1398" s="275">
        <f t="shared" si="418"/>
        <v>1780</v>
      </c>
      <c r="N1398" s="98">
        <v>2</v>
      </c>
      <c r="O1398" s="93">
        <f t="shared" si="426"/>
        <v>100</v>
      </c>
      <c r="ED1398" s="100">
        <v>14</v>
      </c>
      <c r="EF1398" s="100">
        <v>9</v>
      </c>
      <c r="EG1398" s="100">
        <v>10</v>
      </c>
      <c r="EH1398" s="100">
        <v>19</v>
      </c>
      <c r="EI1398" s="100">
        <v>16</v>
      </c>
      <c r="EJ1398" s="100">
        <v>12</v>
      </c>
      <c r="EK1398" s="100">
        <v>17</v>
      </c>
      <c r="EL1398" s="100">
        <v>16</v>
      </c>
      <c r="EM1398" s="100">
        <v>28</v>
      </c>
      <c r="EN1398" s="100">
        <v>11</v>
      </c>
      <c r="EO1398" s="100">
        <v>21</v>
      </c>
      <c r="EP1398" s="100">
        <v>21</v>
      </c>
      <c r="EQ1398" s="100">
        <v>22</v>
      </c>
      <c r="ER1398" s="100">
        <v>18</v>
      </c>
      <c r="ET1398" s="100">
        <v>8</v>
      </c>
      <c r="EU1398" s="100">
        <v>12</v>
      </c>
      <c r="EV1398" s="100">
        <v>22</v>
      </c>
      <c r="EW1398" s="100">
        <v>22</v>
      </c>
      <c r="EX1398" s="100">
        <v>9</v>
      </c>
      <c r="EY1398" s="100">
        <v>19</v>
      </c>
      <c r="FA1398" s="100">
        <v>20</v>
      </c>
      <c r="FB1398" s="100">
        <v>10</v>
      </c>
      <c r="FC1398" s="100">
        <v>22</v>
      </c>
      <c r="FD1398" s="100">
        <v>20</v>
      </c>
      <c r="FE1398" s="100">
        <v>2</v>
      </c>
      <c r="IU1398" s="100">
        <v>8</v>
      </c>
      <c r="ON1398" s="100">
        <f t="shared" si="417"/>
        <v>0</v>
      </c>
    </row>
    <row r="1399" spans="1:404" ht="23.25" customHeight="1">
      <c r="A1399" s="97" t="str">
        <f t="shared" si="423"/>
        <v>059/WESTELM-2166-70300-03-B</v>
      </c>
      <c r="B1399" s="95">
        <v>44425</v>
      </c>
      <c r="C1399" s="97">
        <f t="shared" ca="1" si="421"/>
        <v>-639</v>
      </c>
      <c r="D1399" s="96" t="s">
        <v>893</v>
      </c>
      <c r="E1399" s="94" t="s">
        <v>25</v>
      </c>
      <c r="F1399" s="132" t="str">
        <f t="shared" si="422"/>
        <v>B</v>
      </c>
      <c r="G1399" s="130">
        <f ca="1">SUMIF($A:E,$A1399,K:K)</f>
        <v>43</v>
      </c>
      <c r="H1399" s="97" t="s">
        <v>616</v>
      </c>
      <c r="I1399" s="98">
        <v>43</v>
      </c>
      <c r="J1399" s="99">
        <v>43</v>
      </c>
      <c r="K1399" s="143">
        <f t="shared" si="416"/>
        <v>43</v>
      </c>
      <c r="L1399" s="144">
        <f t="shared" si="424"/>
        <v>0</v>
      </c>
      <c r="M1399" s="275">
        <f t="shared" si="418"/>
        <v>43</v>
      </c>
      <c r="N1399" s="98">
        <v>3</v>
      </c>
      <c r="O1399" s="93">
        <f t="shared" si="426"/>
        <v>100</v>
      </c>
      <c r="EX1399" s="100">
        <v>12</v>
      </c>
      <c r="EY1399" s="100">
        <v>13</v>
      </c>
      <c r="FA1399" s="100">
        <v>10</v>
      </c>
      <c r="FB1399" s="100">
        <v>8</v>
      </c>
      <c r="ON1399" s="100">
        <f t="shared" si="417"/>
        <v>0</v>
      </c>
    </row>
    <row r="1400" spans="1:404" ht="23.25" customHeight="1">
      <c r="A1400" s="97" t="str">
        <f t="shared" si="423"/>
        <v>060/WESTELM-2166-70300-03-B</v>
      </c>
      <c r="B1400" s="95">
        <v>44425</v>
      </c>
      <c r="C1400" s="97">
        <f t="shared" ca="1" si="421"/>
        <v>-639</v>
      </c>
      <c r="D1400" s="96" t="s">
        <v>895</v>
      </c>
      <c r="E1400" s="94" t="s">
        <v>25</v>
      </c>
      <c r="F1400" s="132" t="str">
        <f t="shared" si="422"/>
        <v>B</v>
      </c>
      <c r="G1400" s="130">
        <f ca="1">SUMIF($A:E,$A1400,K:K)</f>
        <v>132</v>
      </c>
      <c r="H1400" s="97" t="s">
        <v>616</v>
      </c>
      <c r="I1400" s="98">
        <v>132</v>
      </c>
      <c r="J1400" s="99">
        <v>132</v>
      </c>
      <c r="K1400" s="143">
        <f t="shared" si="416"/>
        <v>132</v>
      </c>
      <c r="L1400" s="144">
        <f t="shared" si="424"/>
        <v>0</v>
      </c>
      <c r="M1400" s="275">
        <f t="shared" si="418"/>
        <v>132</v>
      </c>
      <c r="N1400" s="98">
        <v>1</v>
      </c>
      <c r="O1400" s="93">
        <f t="shared" si="426"/>
        <v>100</v>
      </c>
      <c r="ER1400" s="100">
        <v>19</v>
      </c>
      <c r="ET1400" s="100">
        <v>21</v>
      </c>
      <c r="EU1400" s="100">
        <v>11</v>
      </c>
      <c r="EV1400" s="100">
        <v>1</v>
      </c>
      <c r="EW1400" s="100">
        <v>39</v>
      </c>
      <c r="EX1400" s="100">
        <v>9</v>
      </c>
      <c r="EY1400" s="100">
        <v>5</v>
      </c>
      <c r="FA1400" s="100">
        <v>27</v>
      </c>
      <c r="ON1400" s="100">
        <f t="shared" si="417"/>
        <v>0</v>
      </c>
    </row>
    <row r="1401" spans="1:404" ht="23.25" customHeight="1">
      <c r="A1401" s="97" t="str">
        <f t="shared" si="423"/>
        <v>061/WESTELM-2166-70300-03-B</v>
      </c>
      <c r="B1401" s="95">
        <v>44425</v>
      </c>
      <c r="C1401" s="97">
        <f t="shared" ref="C1401:C1432" ca="1" si="427">B1401-TODAY()</f>
        <v>-639</v>
      </c>
      <c r="D1401" s="96" t="s">
        <v>896</v>
      </c>
      <c r="E1401" s="94" t="s">
        <v>25</v>
      </c>
      <c r="F1401" s="132" t="str">
        <f t="shared" ref="F1401:F1431" si="428">MID(E1401,13,2)</f>
        <v>B</v>
      </c>
      <c r="G1401" s="130">
        <f ca="1">SUMIF($A:E,$A1401,K:K)</f>
        <v>133</v>
      </c>
      <c r="H1401" s="97" t="s">
        <v>616</v>
      </c>
      <c r="I1401" s="98">
        <v>133</v>
      </c>
      <c r="J1401" s="99">
        <v>133</v>
      </c>
      <c r="K1401" s="143">
        <f t="shared" si="416"/>
        <v>133</v>
      </c>
      <c r="L1401" s="144">
        <f t="shared" si="424"/>
        <v>0</v>
      </c>
      <c r="M1401" s="275">
        <f t="shared" si="418"/>
        <v>133</v>
      </c>
      <c r="N1401" s="98">
        <v>1</v>
      </c>
      <c r="O1401" s="93">
        <f t="shared" si="426"/>
        <v>100</v>
      </c>
      <c r="FA1401" s="100">
        <v>9</v>
      </c>
      <c r="FB1401" s="100">
        <v>15</v>
      </c>
      <c r="FC1401" s="100">
        <v>11</v>
      </c>
      <c r="FD1401" s="100">
        <v>14</v>
      </c>
      <c r="FE1401" s="100">
        <v>22</v>
      </c>
      <c r="FF1401" s="100">
        <v>11</v>
      </c>
      <c r="FH1401" s="100">
        <v>10</v>
      </c>
      <c r="FI1401" s="100">
        <v>23</v>
      </c>
      <c r="FJ1401" s="100">
        <v>11</v>
      </c>
      <c r="FK1401" s="100">
        <v>7</v>
      </c>
      <c r="ON1401" s="100">
        <f t="shared" si="417"/>
        <v>0</v>
      </c>
    </row>
    <row r="1402" spans="1:404" ht="23.25" customHeight="1">
      <c r="A1402" s="97" t="str">
        <f t="shared" si="423"/>
        <v>062/WESTELM-2166-70300-03-B</v>
      </c>
      <c r="B1402" s="95">
        <v>44425</v>
      </c>
      <c r="C1402" s="97">
        <f t="shared" ca="1" si="427"/>
        <v>-639</v>
      </c>
      <c r="D1402" s="96" t="s">
        <v>897</v>
      </c>
      <c r="E1402" s="94" t="s">
        <v>25</v>
      </c>
      <c r="F1402" s="132" t="str">
        <f t="shared" si="428"/>
        <v>B</v>
      </c>
      <c r="G1402" s="130">
        <f ca="1">SUMIF($A:E,$A1402,K:K)</f>
        <v>54</v>
      </c>
      <c r="H1402" s="97" t="s">
        <v>616</v>
      </c>
      <c r="I1402" s="98">
        <v>54</v>
      </c>
      <c r="J1402" s="99">
        <v>54</v>
      </c>
      <c r="K1402" s="143">
        <f t="shared" si="416"/>
        <v>54</v>
      </c>
      <c r="L1402" s="144">
        <f t="shared" si="424"/>
        <v>0</v>
      </c>
      <c r="M1402" s="275">
        <f t="shared" si="418"/>
        <v>54</v>
      </c>
      <c r="N1402" s="98">
        <v>3</v>
      </c>
      <c r="O1402" s="93">
        <f t="shared" si="426"/>
        <v>100</v>
      </c>
      <c r="FB1402" s="100">
        <v>3</v>
      </c>
      <c r="FC1402" s="100">
        <v>9</v>
      </c>
      <c r="FD1402" s="100">
        <v>1</v>
      </c>
      <c r="FE1402" s="100">
        <v>13</v>
      </c>
      <c r="FF1402" s="100">
        <v>16</v>
      </c>
      <c r="FH1402" s="100">
        <v>12</v>
      </c>
      <c r="ON1402" s="100">
        <f t="shared" si="417"/>
        <v>0</v>
      </c>
    </row>
    <row r="1403" spans="1:404" ht="23.25" customHeight="1">
      <c r="A1403" s="97" t="str">
        <f t="shared" si="423"/>
        <v>064/WESTELM-2166-70300-03-B</v>
      </c>
      <c r="B1403" s="95">
        <v>44452</v>
      </c>
      <c r="C1403" s="97">
        <f t="shared" ca="1" si="427"/>
        <v>-612</v>
      </c>
      <c r="D1403" s="96" t="s">
        <v>898</v>
      </c>
      <c r="E1403" s="94" t="s">
        <v>25</v>
      </c>
      <c r="F1403" s="132" t="str">
        <f t="shared" si="428"/>
        <v>B</v>
      </c>
      <c r="G1403" s="130">
        <f ca="1">SUMIF($A:E,$A1403,K:K)</f>
        <v>85</v>
      </c>
      <c r="H1403" s="97" t="s">
        <v>616</v>
      </c>
      <c r="I1403" s="98">
        <v>85</v>
      </c>
      <c r="J1403" s="99">
        <v>85</v>
      </c>
      <c r="K1403" s="143">
        <f t="shared" si="416"/>
        <v>85</v>
      </c>
      <c r="L1403" s="144">
        <f t="shared" si="424"/>
        <v>0</v>
      </c>
      <c r="M1403" s="275">
        <f t="shared" si="418"/>
        <v>85</v>
      </c>
      <c r="N1403" s="98">
        <v>3</v>
      </c>
      <c r="O1403" s="93">
        <f t="shared" si="426"/>
        <v>100</v>
      </c>
      <c r="FH1403" s="100">
        <v>5</v>
      </c>
      <c r="FI1403" s="100">
        <v>8</v>
      </c>
      <c r="FJ1403" s="100">
        <v>9</v>
      </c>
      <c r="FK1403" s="100">
        <v>8</v>
      </c>
      <c r="FL1403" s="100">
        <v>9</v>
      </c>
      <c r="FM1403" s="100">
        <v>8</v>
      </c>
      <c r="FO1403" s="100">
        <v>10</v>
      </c>
      <c r="FP1403" s="100">
        <v>10</v>
      </c>
      <c r="FQ1403" s="100">
        <v>9</v>
      </c>
      <c r="FR1403" s="100">
        <v>9</v>
      </c>
      <c r="ON1403" s="100">
        <f t="shared" si="417"/>
        <v>0</v>
      </c>
    </row>
    <row r="1404" spans="1:404" ht="23.25" customHeight="1">
      <c r="A1404" s="97" t="str">
        <f t="shared" si="423"/>
        <v>065/WESTELM-2166-70300-03-B</v>
      </c>
      <c r="B1404" s="95">
        <v>44452</v>
      </c>
      <c r="C1404" s="97">
        <f t="shared" ca="1" si="427"/>
        <v>-612</v>
      </c>
      <c r="D1404" s="96" t="s">
        <v>899</v>
      </c>
      <c r="E1404" s="94" t="s">
        <v>25</v>
      </c>
      <c r="F1404" s="132" t="str">
        <f t="shared" si="428"/>
        <v>B</v>
      </c>
      <c r="G1404" s="130">
        <f ca="1">SUMIF($A:E,$A1404,K:K)</f>
        <v>65</v>
      </c>
      <c r="H1404" s="97" t="s">
        <v>616</v>
      </c>
      <c r="I1404" s="98">
        <v>65</v>
      </c>
      <c r="J1404" s="99">
        <v>65</v>
      </c>
      <c r="K1404" s="143">
        <f t="shared" si="416"/>
        <v>65</v>
      </c>
      <c r="L1404" s="144">
        <f t="shared" si="424"/>
        <v>0</v>
      </c>
      <c r="M1404" s="275">
        <f t="shared" si="418"/>
        <v>65</v>
      </c>
      <c r="N1404" s="98">
        <v>3</v>
      </c>
      <c r="O1404" s="93">
        <f t="shared" si="426"/>
        <v>100</v>
      </c>
      <c r="FR1404" s="100">
        <v>1</v>
      </c>
      <c r="FT1404" s="100">
        <v>21</v>
      </c>
      <c r="FU1404" s="100">
        <v>18</v>
      </c>
      <c r="FV1404" s="100">
        <v>18</v>
      </c>
      <c r="FW1404" s="100">
        <v>7</v>
      </c>
      <c r="ON1404" s="100">
        <f t="shared" si="417"/>
        <v>0</v>
      </c>
    </row>
    <row r="1405" spans="1:404" ht="23.25" customHeight="1">
      <c r="A1405" s="97" t="str">
        <f t="shared" si="423"/>
        <v>066/WESTELM-2166-70300-03-B</v>
      </c>
      <c r="B1405" s="95">
        <v>44452</v>
      </c>
      <c r="C1405" s="97">
        <f t="shared" ca="1" si="427"/>
        <v>-612</v>
      </c>
      <c r="D1405" s="96" t="s">
        <v>900</v>
      </c>
      <c r="E1405" s="94" t="s">
        <v>25</v>
      </c>
      <c r="F1405" s="132" t="str">
        <f t="shared" si="428"/>
        <v>B</v>
      </c>
      <c r="G1405" s="130">
        <f ca="1">SUMIF($A:E,$A1405,K:K)</f>
        <v>197</v>
      </c>
      <c r="H1405" s="97" t="s">
        <v>616</v>
      </c>
      <c r="I1405" s="98">
        <v>197</v>
      </c>
      <c r="J1405" s="99">
        <v>197</v>
      </c>
      <c r="K1405" s="143">
        <f t="shared" si="416"/>
        <v>197</v>
      </c>
      <c r="L1405" s="144">
        <f t="shared" si="424"/>
        <v>0</v>
      </c>
      <c r="M1405" s="275">
        <f t="shared" si="418"/>
        <v>197</v>
      </c>
      <c r="N1405" s="98">
        <v>3</v>
      </c>
      <c r="O1405" s="93">
        <f t="shared" si="426"/>
        <v>100</v>
      </c>
      <c r="FW1405" s="100">
        <v>13</v>
      </c>
      <c r="FX1405" s="100">
        <v>10</v>
      </c>
      <c r="FZ1405" s="100">
        <v>5</v>
      </c>
      <c r="GA1405" s="100">
        <v>15</v>
      </c>
      <c r="GB1405" s="100">
        <v>12</v>
      </c>
      <c r="GC1405" s="100">
        <v>10</v>
      </c>
      <c r="GD1405" s="100">
        <v>10</v>
      </c>
      <c r="GG1405" s="100">
        <v>9</v>
      </c>
      <c r="GH1405" s="100">
        <v>18</v>
      </c>
      <c r="GJ1405" s="100">
        <v>19</v>
      </c>
      <c r="GK1405" s="100">
        <v>17</v>
      </c>
      <c r="GL1405" s="100">
        <v>20</v>
      </c>
      <c r="GN1405" s="100">
        <v>16</v>
      </c>
      <c r="GO1405" s="100">
        <v>10</v>
      </c>
      <c r="GP1405" s="100">
        <v>13</v>
      </c>
      <c r="ON1405" s="100">
        <f t="shared" si="417"/>
        <v>0</v>
      </c>
    </row>
    <row r="1406" spans="1:404" ht="23.25" customHeight="1">
      <c r="A1406" s="97" t="str">
        <f t="shared" si="423"/>
        <v>068/WESTELM-2166-70300-03-B</v>
      </c>
      <c r="B1406" s="95">
        <v>44480</v>
      </c>
      <c r="C1406" s="97">
        <f t="shared" ca="1" si="427"/>
        <v>-584</v>
      </c>
      <c r="D1406" s="96" t="s">
        <v>905</v>
      </c>
      <c r="E1406" s="94" t="s">
        <v>25</v>
      </c>
      <c r="F1406" s="132" t="str">
        <f t="shared" si="428"/>
        <v>B</v>
      </c>
      <c r="G1406" s="130">
        <f ca="1">SUMIF($A:E,$A1406,K:K)</f>
        <v>281</v>
      </c>
      <c r="H1406" s="97" t="s">
        <v>616</v>
      </c>
      <c r="I1406" s="98">
        <v>281</v>
      </c>
      <c r="J1406" s="99">
        <v>281</v>
      </c>
      <c r="K1406" s="143">
        <f t="shared" si="416"/>
        <v>281</v>
      </c>
      <c r="L1406" s="144">
        <f t="shared" si="424"/>
        <v>0</v>
      </c>
      <c r="M1406" s="275">
        <f t="shared" si="418"/>
        <v>281</v>
      </c>
      <c r="N1406" s="98">
        <v>1</v>
      </c>
      <c r="O1406" s="93">
        <f t="shared" si="426"/>
        <v>100</v>
      </c>
      <c r="FK1406" s="100">
        <v>24</v>
      </c>
      <c r="FL1406" s="100">
        <v>24</v>
      </c>
      <c r="FM1406" s="100">
        <v>22</v>
      </c>
      <c r="FO1406" s="100">
        <v>20</v>
      </c>
      <c r="FP1406" s="100">
        <v>11</v>
      </c>
      <c r="FQ1406" s="100">
        <v>32</v>
      </c>
      <c r="FS1406" s="100">
        <v>22</v>
      </c>
      <c r="FT1406" s="100">
        <v>10</v>
      </c>
      <c r="FU1406" s="100">
        <v>23</v>
      </c>
      <c r="FW1406" s="100">
        <v>15</v>
      </c>
      <c r="FX1406" s="100">
        <v>31</v>
      </c>
      <c r="FZ1406" s="100">
        <v>10</v>
      </c>
      <c r="GA1406" s="100">
        <v>11</v>
      </c>
      <c r="GC1406" s="100">
        <v>17</v>
      </c>
      <c r="GD1406" s="100">
        <v>2</v>
      </c>
      <c r="GE1406" s="100">
        <v>7</v>
      </c>
      <c r="ON1406" s="100">
        <f t="shared" si="417"/>
        <v>0</v>
      </c>
    </row>
    <row r="1407" spans="1:404" ht="23.25" customHeight="1">
      <c r="A1407" s="97" t="str">
        <f t="shared" si="423"/>
        <v>069/WESTELM-2166-70300-03-B</v>
      </c>
      <c r="B1407" s="95">
        <v>44485</v>
      </c>
      <c r="C1407" s="97">
        <f t="shared" ca="1" si="427"/>
        <v>-579</v>
      </c>
      <c r="D1407" s="96" t="s">
        <v>907</v>
      </c>
      <c r="E1407" s="94" t="s">
        <v>25</v>
      </c>
      <c r="F1407" s="132" t="str">
        <f t="shared" si="428"/>
        <v>B</v>
      </c>
      <c r="G1407" s="130">
        <f ca="1">SUMIF($A:E,$A1407,K:K)</f>
        <v>126</v>
      </c>
      <c r="H1407" s="97" t="s">
        <v>616</v>
      </c>
      <c r="I1407" s="98">
        <v>126</v>
      </c>
      <c r="J1407" s="99">
        <v>126</v>
      </c>
      <c r="K1407" s="143">
        <f t="shared" si="416"/>
        <v>126</v>
      </c>
      <c r="L1407" s="144">
        <f t="shared" si="424"/>
        <v>0</v>
      </c>
      <c r="M1407" s="275">
        <f t="shared" si="418"/>
        <v>126</v>
      </c>
      <c r="N1407" s="98">
        <v>1</v>
      </c>
      <c r="O1407" s="93">
        <f t="shared" si="426"/>
        <v>100</v>
      </c>
      <c r="GE1407" s="100">
        <v>14</v>
      </c>
      <c r="GG1407" s="100">
        <v>11</v>
      </c>
      <c r="GH1407" s="100">
        <v>12</v>
      </c>
      <c r="GJ1407" s="100">
        <v>11</v>
      </c>
      <c r="GL1407" s="100">
        <v>10</v>
      </c>
      <c r="GN1407" s="100">
        <v>34</v>
      </c>
      <c r="GO1407" s="100">
        <v>11</v>
      </c>
      <c r="GQ1407" s="100">
        <v>15</v>
      </c>
      <c r="GR1407" s="100">
        <v>3</v>
      </c>
      <c r="GS1407" s="100">
        <v>5</v>
      </c>
      <c r="ON1407" s="100">
        <f t="shared" si="417"/>
        <v>0</v>
      </c>
    </row>
    <row r="1408" spans="1:404" ht="23.25" customHeight="1">
      <c r="A1408" s="97" t="str">
        <f t="shared" si="423"/>
        <v>070/WESTELM-2166-70300-03-B</v>
      </c>
      <c r="B1408" s="95">
        <v>44485</v>
      </c>
      <c r="C1408" s="97">
        <f t="shared" ca="1" si="427"/>
        <v>-579</v>
      </c>
      <c r="D1408" s="96" t="s">
        <v>908</v>
      </c>
      <c r="E1408" s="94" t="s">
        <v>25</v>
      </c>
      <c r="F1408" s="132" t="str">
        <f t="shared" si="428"/>
        <v>B</v>
      </c>
      <c r="G1408" s="130">
        <f ca="1">SUMIF($A:E,$A1408,K:K)</f>
        <v>113</v>
      </c>
      <c r="H1408" s="97" t="s">
        <v>616</v>
      </c>
      <c r="I1408" s="98">
        <v>113</v>
      </c>
      <c r="J1408" s="99">
        <v>113</v>
      </c>
      <c r="K1408" s="143">
        <f t="shared" si="416"/>
        <v>113</v>
      </c>
      <c r="L1408" s="144">
        <f t="shared" si="424"/>
        <v>0</v>
      </c>
      <c r="M1408" s="275">
        <f t="shared" si="418"/>
        <v>113</v>
      </c>
      <c r="N1408" s="98">
        <v>5</v>
      </c>
      <c r="O1408" s="93">
        <f t="shared" si="426"/>
        <v>100</v>
      </c>
      <c r="GE1408" s="100">
        <v>20</v>
      </c>
      <c r="GG1408" s="100">
        <v>20</v>
      </c>
      <c r="GH1408" s="100">
        <v>10</v>
      </c>
      <c r="GI1408" s="100">
        <v>19</v>
      </c>
      <c r="GJ1408" s="100">
        <v>18</v>
      </c>
      <c r="GK1408" s="100">
        <v>9</v>
      </c>
      <c r="GL1408" s="100">
        <v>17</v>
      </c>
      <c r="ON1408" s="100">
        <f t="shared" si="417"/>
        <v>0</v>
      </c>
    </row>
    <row r="1409" spans="1:404" ht="23.25" customHeight="1">
      <c r="A1409" s="97" t="str">
        <f t="shared" si="423"/>
        <v>075/WESTELM-2166-70300-03-B</v>
      </c>
      <c r="B1409" s="95">
        <v>44527</v>
      </c>
      <c r="C1409" s="97">
        <f t="shared" ca="1" si="427"/>
        <v>-537</v>
      </c>
      <c r="D1409" s="96" t="s">
        <v>911</v>
      </c>
      <c r="E1409" s="94" t="s">
        <v>25</v>
      </c>
      <c r="F1409" s="132" t="str">
        <f t="shared" si="428"/>
        <v>B</v>
      </c>
      <c r="G1409" s="130">
        <f ca="1">SUMIF($A:E,$A1409,K:K)</f>
        <v>55</v>
      </c>
      <c r="H1409" s="97" t="s">
        <v>616</v>
      </c>
      <c r="I1409" s="98">
        <v>55</v>
      </c>
      <c r="J1409" s="99">
        <v>55</v>
      </c>
      <c r="K1409" s="143">
        <f t="shared" si="416"/>
        <v>55</v>
      </c>
      <c r="L1409" s="144">
        <f t="shared" si="424"/>
        <v>0</v>
      </c>
      <c r="M1409" s="275">
        <f t="shared" si="418"/>
        <v>55</v>
      </c>
      <c r="N1409" s="98">
        <v>3</v>
      </c>
      <c r="O1409" s="93">
        <f t="shared" si="426"/>
        <v>100</v>
      </c>
      <c r="GP1409" s="100">
        <v>3</v>
      </c>
      <c r="GQ1409" s="100">
        <v>2</v>
      </c>
      <c r="GR1409" s="100">
        <v>23</v>
      </c>
      <c r="GS1409" s="100">
        <v>19</v>
      </c>
      <c r="GU1409" s="100">
        <v>8</v>
      </c>
      <c r="ON1409" s="100">
        <f t="shared" si="417"/>
        <v>0</v>
      </c>
    </row>
    <row r="1410" spans="1:404" ht="23.25" customHeight="1">
      <c r="A1410" s="97" t="str">
        <f t="shared" si="423"/>
        <v>076/WESTELM-2166-70300-03-B</v>
      </c>
      <c r="B1410" s="95">
        <v>44527</v>
      </c>
      <c r="C1410" s="97">
        <f t="shared" ca="1" si="427"/>
        <v>-537</v>
      </c>
      <c r="D1410" s="96" t="s">
        <v>921</v>
      </c>
      <c r="E1410" s="94" t="s">
        <v>25</v>
      </c>
      <c r="F1410" s="132" t="str">
        <f t="shared" si="428"/>
        <v>B</v>
      </c>
      <c r="G1410" s="130">
        <f ca="1">SUMIF($A:E,$A1410,K:K)</f>
        <v>72</v>
      </c>
      <c r="H1410" s="97" t="s">
        <v>616</v>
      </c>
      <c r="I1410" s="98">
        <v>72</v>
      </c>
      <c r="J1410" s="99">
        <v>72</v>
      </c>
      <c r="K1410" s="143">
        <f t="shared" si="416"/>
        <v>72</v>
      </c>
      <c r="L1410" s="144">
        <f t="shared" si="424"/>
        <v>0</v>
      </c>
      <c r="M1410" s="275">
        <f t="shared" si="418"/>
        <v>72</v>
      </c>
      <c r="N1410" s="98">
        <v>3</v>
      </c>
      <c r="O1410" s="93">
        <f t="shared" si="426"/>
        <v>100</v>
      </c>
      <c r="GU1410" s="100">
        <v>7</v>
      </c>
      <c r="GV1410" s="100">
        <v>23</v>
      </c>
      <c r="GW1410" s="100">
        <v>15</v>
      </c>
      <c r="GX1410" s="100">
        <v>19</v>
      </c>
      <c r="GY1410" s="100">
        <v>7</v>
      </c>
      <c r="HP1410" s="100">
        <v>1</v>
      </c>
      <c r="ON1410" s="100">
        <f t="shared" si="417"/>
        <v>0</v>
      </c>
    </row>
    <row r="1411" spans="1:404" ht="23.25" customHeight="1">
      <c r="A1411" s="97" t="str">
        <f t="shared" si="423"/>
        <v>077/WESTELM-2166-70300-03-B</v>
      </c>
      <c r="B1411" s="95">
        <v>44527</v>
      </c>
      <c r="C1411" s="97">
        <f t="shared" ca="1" si="427"/>
        <v>-537</v>
      </c>
      <c r="D1411" s="96" t="s">
        <v>923</v>
      </c>
      <c r="E1411" s="94" t="s">
        <v>25</v>
      </c>
      <c r="F1411" s="132" t="str">
        <f t="shared" si="428"/>
        <v>B</v>
      </c>
      <c r="G1411" s="130">
        <f ca="1">SUMIF($A:E,$A1411,K:K)</f>
        <v>73</v>
      </c>
      <c r="H1411" s="97" t="s">
        <v>616</v>
      </c>
      <c r="I1411" s="98">
        <v>73</v>
      </c>
      <c r="J1411" s="99">
        <v>73</v>
      </c>
      <c r="K1411" s="143">
        <f t="shared" si="416"/>
        <v>73</v>
      </c>
      <c r="L1411" s="144">
        <f t="shared" si="424"/>
        <v>0</v>
      </c>
      <c r="M1411" s="275">
        <f t="shared" si="418"/>
        <v>73</v>
      </c>
      <c r="N1411" s="98">
        <v>3</v>
      </c>
      <c r="O1411" s="93">
        <f t="shared" si="426"/>
        <v>100</v>
      </c>
      <c r="IG1411" s="100">
        <v>10</v>
      </c>
      <c r="IH1411" s="100">
        <v>16</v>
      </c>
      <c r="II1411" s="100">
        <v>13</v>
      </c>
      <c r="IK1411" s="100">
        <v>15</v>
      </c>
      <c r="IL1411" s="100">
        <v>15</v>
      </c>
      <c r="IP1411" s="100">
        <v>4</v>
      </c>
      <c r="ON1411" s="100">
        <f t="shared" si="417"/>
        <v>0</v>
      </c>
    </row>
    <row r="1412" spans="1:404" ht="23.25" customHeight="1">
      <c r="A1412" s="97" t="str">
        <f t="shared" si="423"/>
        <v>078/WESTELM-2166-70300-03-B</v>
      </c>
      <c r="B1412" s="95">
        <v>44548</v>
      </c>
      <c r="C1412" s="97">
        <f t="shared" ca="1" si="427"/>
        <v>-516</v>
      </c>
      <c r="D1412" s="96" t="s">
        <v>922</v>
      </c>
      <c r="E1412" s="94" t="s">
        <v>25</v>
      </c>
      <c r="F1412" s="132" t="str">
        <f t="shared" si="428"/>
        <v>B</v>
      </c>
      <c r="G1412" s="130">
        <f ca="1">SUMIF($A:E,$A1412,K:K)</f>
        <v>37</v>
      </c>
      <c r="H1412" s="97" t="s">
        <v>616</v>
      </c>
      <c r="I1412" s="98">
        <v>37</v>
      </c>
      <c r="J1412" s="99">
        <v>37</v>
      </c>
      <c r="K1412" s="143">
        <f t="shared" ref="K1412:K1475" si="429">SUM(P1412:BBC1412)</f>
        <v>37</v>
      </c>
      <c r="L1412" s="144">
        <f t="shared" si="424"/>
        <v>0</v>
      </c>
      <c r="M1412" s="275">
        <f t="shared" si="418"/>
        <v>37</v>
      </c>
      <c r="N1412" s="98">
        <v>3</v>
      </c>
      <c r="O1412" s="93">
        <f t="shared" si="426"/>
        <v>100</v>
      </c>
      <c r="LL1412" s="100">
        <v>8</v>
      </c>
      <c r="LN1412" s="100">
        <v>10</v>
      </c>
      <c r="LQ1412" s="100">
        <v>17</v>
      </c>
      <c r="LR1412" s="100">
        <v>2</v>
      </c>
      <c r="ON1412" s="100">
        <f t="shared" ref="ON1412:ON1475" si="430">SUM(NS1412:OM1412)</f>
        <v>0</v>
      </c>
    </row>
    <row r="1413" spans="1:404" ht="23.25" customHeight="1">
      <c r="A1413" s="97" t="str">
        <f t="shared" si="423"/>
        <v>022T/WESTELM-2166-70300-03-B</v>
      </c>
      <c r="B1413" s="95">
        <v>44457</v>
      </c>
      <c r="C1413" s="97">
        <f t="shared" ca="1" si="427"/>
        <v>-607</v>
      </c>
      <c r="D1413" s="96" t="s">
        <v>1079</v>
      </c>
      <c r="E1413" s="94" t="s">
        <v>25</v>
      </c>
      <c r="F1413" s="132" t="str">
        <f t="shared" si="428"/>
        <v>B</v>
      </c>
      <c r="G1413" s="130">
        <f ca="1">SUMIF($A:E,$A1413,K:K)</f>
        <v>356</v>
      </c>
      <c r="H1413" s="97" t="s">
        <v>508</v>
      </c>
      <c r="I1413" s="98">
        <v>356</v>
      </c>
      <c r="J1413" s="97">
        <v>356</v>
      </c>
      <c r="K1413" s="143">
        <f t="shared" si="429"/>
        <v>356</v>
      </c>
      <c r="L1413" s="144">
        <f t="shared" si="424"/>
        <v>0</v>
      </c>
      <c r="M1413" s="275">
        <f t="shared" si="418"/>
        <v>356</v>
      </c>
      <c r="N1413" s="98">
        <v>2</v>
      </c>
      <c r="O1413" s="93">
        <f t="shared" si="426"/>
        <v>100</v>
      </c>
      <c r="FE1413" s="100">
        <v>14</v>
      </c>
      <c r="FF1413" s="100">
        <v>14</v>
      </c>
      <c r="FH1413" s="100">
        <v>15</v>
      </c>
      <c r="FJ1413" s="100">
        <v>10</v>
      </c>
      <c r="FK1413" s="100">
        <v>23</v>
      </c>
      <c r="FL1413" s="100">
        <v>9</v>
      </c>
      <c r="FM1413" s="100">
        <v>21</v>
      </c>
      <c r="FO1413" s="100">
        <v>25</v>
      </c>
      <c r="FP1413" s="100">
        <v>15</v>
      </c>
      <c r="FQ1413" s="100">
        <v>22</v>
      </c>
      <c r="FR1413" s="100">
        <v>21</v>
      </c>
      <c r="FT1413" s="100">
        <v>9</v>
      </c>
      <c r="FU1413" s="100">
        <v>23</v>
      </c>
      <c r="FV1413" s="100">
        <v>12</v>
      </c>
      <c r="FW1413" s="100">
        <v>30</v>
      </c>
      <c r="FX1413" s="100">
        <v>17</v>
      </c>
      <c r="FZ1413" s="100">
        <v>2</v>
      </c>
      <c r="GA1413" s="100">
        <v>22</v>
      </c>
      <c r="GB1413" s="100">
        <v>19</v>
      </c>
      <c r="GC1413" s="100">
        <v>16</v>
      </c>
      <c r="GG1413" s="100">
        <v>15</v>
      </c>
      <c r="GH1413" s="100">
        <v>2</v>
      </c>
      <c r="ON1413" s="100">
        <f t="shared" si="430"/>
        <v>0</v>
      </c>
    </row>
    <row r="1414" spans="1:404" ht="23.25" customHeight="1">
      <c r="A1414" s="97" t="str">
        <f t="shared" si="423"/>
        <v>204/KHBS-2166-70300-03-B</v>
      </c>
      <c r="B1414" s="95">
        <v>44365</v>
      </c>
      <c r="C1414" s="97">
        <f t="shared" ca="1" si="427"/>
        <v>-699</v>
      </c>
      <c r="D1414" s="96" t="s">
        <v>1099</v>
      </c>
      <c r="E1414" s="94" t="s">
        <v>25</v>
      </c>
      <c r="F1414" s="132" t="str">
        <f t="shared" si="428"/>
        <v>B</v>
      </c>
      <c r="G1414" s="130">
        <f ca="1">SUMIF($A:E,$A1414,K:K)</f>
        <v>1</v>
      </c>
      <c r="H1414" s="97" t="s">
        <v>616</v>
      </c>
      <c r="I1414" s="98">
        <v>1</v>
      </c>
      <c r="J1414" s="97">
        <v>1</v>
      </c>
      <c r="K1414" s="143">
        <f t="shared" si="429"/>
        <v>1</v>
      </c>
      <c r="L1414" s="144">
        <f t="shared" si="424"/>
        <v>0</v>
      </c>
      <c r="M1414" s="275">
        <f t="shared" si="418"/>
        <v>1</v>
      </c>
      <c r="N1414" s="98">
        <v>3</v>
      </c>
      <c r="O1414" s="93">
        <f t="shared" si="426"/>
        <v>100</v>
      </c>
      <c r="FB1414" s="100">
        <v>1</v>
      </c>
      <c r="ON1414" s="100">
        <f t="shared" si="430"/>
        <v>0</v>
      </c>
    </row>
    <row r="1415" spans="1:404" ht="23.25" customHeight="1">
      <c r="A1415" s="97" t="str">
        <f>D1415&amp;E1416</f>
        <v>209/KHBS-2166-70300-03-B</v>
      </c>
      <c r="B1415" s="95">
        <v>44378</v>
      </c>
      <c r="C1415" s="97">
        <f t="shared" ca="1" si="427"/>
        <v>-686</v>
      </c>
      <c r="D1415" s="96" t="s">
        <v>1201</v>
      </c>
      <c r="E1415" s="94" t="s">
        <v>25</v>
      </c>
      <c r="F1415" s="132" t="str">
        <f t="shared" si="428"/>
        <v>B</v>
      </c>
      <c r="G1415" s="130">
        <f ca="1">SUMIF($A:E,$A1415,K:K)</f>
        <v>1</v>
      </c>
      <c r="H1415" s="97" t="s">
        <v>616</v>
      </c>
      <c r="I1415" s="98">
        <v>1</v>
      </c>
      <c r="J1415" s="99">
        <v>1</v>
      </c>
      <c r="K1415" s="143">
        <f t="shared" si="429"/>
        <v>1</v>
      </c>
      <c r="L1415" s="144">
        <f t="shared" si="424"/>
        <v>0</v>
      </c>
      <c r="M1415" s="275">
        <f t="shared" si="418"/>
        <v>1</v>
      </c>
      <c r="N1415" s="98">
        <v>1</v>
      </c>
      <c r="O1415" s="93">
        <f t="shared" si="426"/>
        <v>100</v>
      </c>
      <c r="FO1415" s="100">
        <v>1</v>
      </c>
      <c r="ON1415" s="100">
        <f t="shared" si="430"/>
        <v>0</v>
      </c>
    </row>
    <row r="1416" spans="1:404" ht="23.25" customHeight="1">
      <c r="A1416" s="97" t="str">
        <f>D1416&amp;E1417</f>
        <v>213/KHBS-2166-70300-03-B</v>
      </c>
      <c r="B1416" s="95">
        <v>44384</v>
      </c>
      <c r="C1416" s="97">
        <f t="shared" ca="1" si="427"/>
        <v>-680</v>
      </c>
      <c r="D1416" s="96" t="s">
        <v>1218</v>
      </c>
      <c r="E1416" s="94" t="s">
        <v>25</v>
      </c>
      <c r="F1416" s="132" t="str">
        <f t="shared" si="428"/>
        <v>B</v>
      </c>
      <c r="G1416" s="130">
        <f ca="1">SUMIF($A:E,$A1416,K:K)</f>
        <v>1</v>
      </c>
      <c r="H1416" s="97" t="s">
        <v>616</v>
      </c>
      <c r="I1416" s="98">
        <v>1</v>
      </c>
      <c r="J1416" s="97">
        <v>1</v>
      </c>
      <c r="K1416" s="143">
        <f t="shared" si="429"/>
        <v>1</v>
      </c>
      <c r="L1416" s="144">
        <f t="shared" si="424"/>
        <v>0</v>
      </c>
      <c r="M1416" s="275">
        <f t="shared" si="418"/>
        <v>1</v>
      </c>
      <c r="N1416" s="98">
        <v>1</v>
      </c>
      <c r="O1416" s="93">
        <f t="shared" si="426"/>
        <v>100</v>
      </c>
      <c r="FT1416" s="100">
        <v>1</v>
      </c>
      <c r="ON1416" s="100">
        <f t="shared" si="430"/>
        <v>0</v>
      </c>
    </row>
    <row r="1417" spans="1:404" ht="23.25" customHeight="1">
      <c r="A1417" s="97" t="str">
        <f t="shared" ref="A1417:A1431" si="431">D1417&amp;E1417</f>
        <v>214/KHBS-2166-70300-03-B</v>
      </c>
      <c r="B1417" s="95">
        <v>44387</v>
      </c>
      <c r="C1417" s="97">
        <f t="shared" ca="1" si="427"/>
        <v>-677</v>
      </c>
      <c r="D1417" s="96" t="s">
        <v>1294</v>
      </c>
      <c r="E1417" s="94" t="s">
        <v>25</v>
      </c>
      <c r="F1417" s="132" t="str">
        <f t="shared" si="428"/>
        <v>B</v>
      </c>
      <c r="G1417" s="130">
        <f ca="1">SUMIF($A:E,$A1417,K:K)</f>
        <v>3</v>
      </c>
      <c r="H1417" s="97" t="s">
        <v>508</v>
      </c>
      <c r="I1417" s="98">
        <v>3</v>
      </c>
      <c r="J1417" s="97">
        <v>3</v>
      </c>
      <c r="K1417" s="143">
        <f t="shared" si="429"/>
        <v>3</v>
      </c>
      <c r="L1417" s="144">
        <f t="shared" si="424"/>
        <v>0</v>
      </c>
      <c r="M1417" s="275">
        <f t="shared" si="418"/>
        <v>3</v>
      </c>
      <c r="N1417" s="98">
        <v>1</v>
      </c>
      <c r="O1417" s="93">
        <f t="shared" si="426"/>
        <v>100</v>
      </c>
      <c r="FW1417" s="100">
        <v>1</v>
      </c>
      <c r="FZ1417" s="100">
        <v>2</v>
      </c>
      <c r="ON1417" s="100">
        <f t="shared" si="430"/>
        <v>0</v>
      </c>
    </row>
    <row r="1418" spans="1:404" ht="23.25" customHeight="1">
      <c r="A1418" s="97" t="str">
        <f t="shared" si="431"/>
        <v>215/KHBS-2166-70300-03-B</v>
      </c>
      <c r="B1418" s="95">
        <v>44394</v>
      </c>
      <c r="C1418" s="97">
        <f t="shared" ca="1" si="427"/>
        <v>-670</v>
      </c>
      <c r="D1418" s="96" t="s">
        <v>1313</v>
      </c>
      <c r="E1418" s="258" t="s">
        <v>25</v>
      </c>
      <c r="F1418" s="132" t="str">
        <f t="shared" si="428"/>
        <v>B</v>
      </c>
      <c r="G1418" s="130">
        <f ca="1">SUMIF($A:E,$A1418,K:K)</f>
        <v>5</v>
      </c>
      <c r="H1418" s="97" t="s">
        <v>508</v>
      </c>
      <c r="I1418" s="212">
        <v>3</v>
      </c>
      <c r="J1418" s="213">
        <v>3</v>
      </c>
      <c r="K1418" s="143">
        <f t="shared" si="429"/>
        <v>3</v>
      </c>
      <c r="L1418" s="144">
        <f t="shared" si="424"/>
        <v>0</v>
      </c>
      <c r="M1418" s="275">
        <f t="shared" si="418"/>
        <v>3</v>
      </c>
      <c r="N1418" s="98">
        <v>1</v>
      </c>
      <c r="O1418" s="93">
        <f t="shared" si="426"/>
        <v>100</v>
      </c>
      <c r="GC1418" s="100">
        <v>3</v>
      </c>
      <c r="ON1418" s="100">
        <f t="shared" si="430"/>
        <v>0</v>
      </c>
    </row>
    <row r="1419" spans="1:404" ht="23.25" customHeight="1">
      <c r="A1419" s="97" t="str">
        <f t="shared" si="431"/>
        <v>215/KHBS-2166-70300-03-B</v>
      </c>
      <c r="B1419" s="95">
        <v>44394</v>
      </c>
      <c r="C1419" s="97">
        <f t="shared" ca="1" si="427"/>
        <v>-670</v>
      </c>
      <c r="D1419" s="96" t="s">
        <v>1313</v>
      </c>
      <c r="E1419" s="258" t="s">
        <v>25</v>
      </c>
      <c r="F1419" s="132" t="str">
        <f t="shared" si="428"/>
        <v>B</v>
      </c>
      <c r="G1419" s="130">
        <f ca="1">SUMIF($A:E,$A1419,K:K)</f>
        <v>5</v>
      </c>
      <c r="H1419" s="97" t="s">
        <v>508</v>
      </c>
      <c r="I1419" s="212">
        <v>2</v>
      </c>
      <c r="J1419" s="213">
        <v>2</v>
      </c>
      <c r="K1419" s="143">
        <f t="shared" si="429"/>
        <v>2</v>
      </c>
      <c r="L1419" s="144">
        <f t="shared" si="424"/>
        <v>0</v>
      </c>
      <c r="M1419" s="275">
        <f t="shared" si="418"/>
        <v>2</v>
      </c>
      <c r="N1419" s="98">
        <v>1</v>
      </c>
      <c r="O1419" s="93">
        <f t="shared" si="426"/>
        <v>100</v>
      </c>
      <c r="GC1419" s="100">
        <v>2</v>
      </c>
      <c r="ON1419" s="100">
        <f t="shared" si="430"/>
        <v>0</v>
      </c>
    </row>
    <row r="1420" spans="1:404" ht="23.25" customHeight="1">
      <c r="A1420" s="97" t="str">
        <f t="shared" si="431"/>
        <v>028T/WESTELM-2166-70300-03-B</v>
      </c>
      <c r="B1420" s="95">
        <v>44513</v>
      </c>
      <c r="C1420" s="97">
        <f t="shared" ca="1" si="427"/>
        <v>-551</v>
      </c>
      <c r="D1420" s="112" t="s">
        <v>1425</v>
      </c>
      <c r="E1420" s="123" t="s">
        <v>25</v>
      </c>
      <c r="F1420" s="132" t="str">
        <f t="shared" si="428"/>
        <v>B</v>
      </c>
      <c r="G1420" s="130">
        <f ca="1">SUMIF($A:E,$A1420,K:K)</f>
        <v>61</v>
      </c>
      <c r="H1420" s="97" t="s">
        <v>616</v>
      </c>
      <c r="I1420" s="175">
        <v>61</v>
      </c>
      <c r="J1420" s="115">
        <v>61</v>
      </c>
      <c r="K1420" s="143">
        <f t="shared" si="429"/>
        <v>61</v>
      </c>
      <c r="L1420" s="144">
        <f t="shared" si="424"/>
        <v>0</v>
      </c>
      <c r="M1420" s="275">
        <f t="shared" ref="M1420:M1477" si="432">IF(OR(MID(E1420,10,1)="0",MID(E1420,10,1)="F"),I1420,IF(OR(,MID(E1420,10,1)="S",MID(E1420,10,1)="L",MID(E1420,10,1)="B",MID(E1420,10,1)="X"),MID(E1420,11,1)*I1420,0))</f>
        <v>61</v>
      </c>
      <c r="N1420" s="98">
        <v>3</v>
      </c>
      <c r="O1420" s="93">
        <f t="shared" si="426"/>
        <v>100</v>
      </c>
      <c r="KO1420" s="100">
        <v>7</v>
      </c>
      <c r="KQ1420" s="100">
        <v>19</v>
      </c>
      <c r="KR1420" s="100">
        <v>10</v>
      </c>
      <c r="KV1420" s="100">
        <v>11</v>
      </c>
      <c r="KX1420" s="100">
        <v>10</v>
      </c>
      <c r="KY1420" s="100">
        <v>3</v>
      </c>
      <c r="KZ1420" s="100">
        <v>1</v>
      </c>
      <c r="ON1420" s="100">
        <f t="shared" si="430"/>
        <v>0</v>
      </c>
    </row>
    <row r="1421" spans="1:404" ht="23.25" customHeight="1">
      <c r="A1421" s="97" t="str">
        <f t="shared" si="431"/>
        <v>080/WESTELM-2166-70300-03-B</v>
      </c>
      <c r="B1421" s="95">
        <v>44555</v>
      </c>
      <c r="C1421" s="97">
        <f t="shared" ca="1" si="427"/>
        <v>-509</v>
      </c>
      <c r="D1421" s="96" t="s">
        <v>1427</v>
      </c>
      <c r="E1421" s="94" t="s">
        <v>25</v>
      </c>
      <c r="F1421" s="132" t="str">
        <f t="shared" si="428"/>
        <v>B</v>
      </c>
      <c r="G1421" s="130">
        <f ca="1">SUMIF($A:E,$A1421,K:K)</f>
        <v>280</v>
      </c>
      <c r="H1421" s="97" t="s">
        <v>616</v>
      </c>
      <c r="I1421" s="175">
        <v>280</v>
      </c>
      <c r="J1421" s="115">
        <v>280</v>
      </c>
      <c r="K1421" s="143">
        <f t="shared" si="429"/>
        <v>280</v>
      </c>
      <c r="L1421" s="144">
        <f t="shared" si="424"/>
        <v>0</v>
      </c>
      <c r="M1421" s="275">
        <f t="shared" si="432"/>
        <v>280</v>
      </c>
      <c r="N1421" s="98">
        <v>1</v>
      </c>
      <c r="O1421" s="93">
        <f t="shared" si="426"/>
        <v>100</v>
      </c>
      <c r="GS1421" s="100">
        <v>4</v>
      </c>
      <c r="GU1421" s="100">
        <v>17</v>
      </c>
      <c r="GV1421" s="100">
        <v>3</v>
      </c>
      <c r="GW1421" s="100">
        <v>20</v>
      </c>
      <c r="GX1421" s="100">
        <v>8</v>
      </c>
      <c r="GY1421" s="100">
        <v>2</v>
      </c>
      <c r="HW1421" s="100">
        <v>7</v>
      </c>
      <c r="JD1421" s="100">
        <v>6</v>
      </c>
      <c r="JF1421" s="100">
        <v>4</v>
      </c>
      <c r="JG1421" s="100">
        <v>22</v>
      </c>
      <c r="JH1421" s="100">
        <v>12</v>
      </c>
      <c r="JI1421" s="100">
        <v>21</v>
      </c>
      <c r="JJ1421" s="100">
        <v>10</v>
      </c>
      <c r="JK1421" s="100">
        <v>13</v>
      </c>
      <c r="JM1421" s="100">
        <v>35</v>
      </c>
      <c r="JN1421" s="100">
        <v>24</v>
      </c>
      <c r="JO1421" s="100">
        <v>14</v>
      </c>
      <c r="JP1421" s="100">
        <v>10</v>
      </c>
      <c r="JQ1421" s="100">
        <v>13</v>
      </c>
      <c r="JR1421" s="100">
        <v>2</v>
      </c>
      <c r="JU1421" s="100">
        <v>5</v>
      </c>
      <c r="JV1421" s="100">
        <v>5</v>
      </c>
      <c r="JX1421" s="100">
        <v>2</v>
      </c>
      <c r="JY1421" s="100">
        <v>6</v>
      </c>
      <c r="KA1421" s="100">
        <v>2</v>
      </c>
      <c r="KB1421" s="100">
        <v>1</v>
      </c>
      <c r="KC1421" s="100">
        <v>1</v>
      </c>
      <c r="KD1421" s="100">
        <v>2</v>
      </c>
      <c r="KE1421" s="100">
        <v>4</v>
      </c>
      <c r="KF1421" s="100">
        <v>2</v>
      </c>
      <c r="KG1421" s="100">
        <v>3</v>
      </c>
      <c r="ON1421" s="100">
        <f t="shared" si="430"/>
        <v>0</v>
      </c>
    </row>
    <row r="1422" spans="1:404" ht="23.25" customHeight="1">
      <c r="A1422" s="97" t="str">
        <f t="shared" si="431"/>
        <v>001/GREENPOT-VG-2166-70300-03-B</v>
      </c>
      <c r="B1422" s="95">
        <v>44656</v>
      </c>
      <c r="C1422" s="97">
        <f t="shared" ca="1" si="427"/>
        <v>-408</v>
      </c>
      <c r="D1422" s="112" t="s">
        <v>1451</v>
      </c>
      <c r="E1422" s="123" t="s">
        <v>25</v>
      </c>
      <c r="F1422" s="132" t="str">
        <f t="shared" si="428"/>
        <v>B</v>
      </c>
      <c r="G1422" s="130">
        <f ca="1">SUMIF($A:E,$A1422,K:K)</f>
        <v>120</v>
      </c>
      <c r="H1422" s="97" t="s">
        <v>616</v>
      </c>
      <c r="I1422" s="98">
        <v>60</v>
      </c>
      <c r="J1422" s="99">
        <v>60</v>
      </c>
      <c r="K1422" s="143">
        <f t="shared" si="429"/>
        <v>120</v>
      </c>
      <c r="L1422" s="144">
        <f t="shared" si="424"/>
        <v>-60</v>
      </c>
      <c r="M1422" s="275">
        <f t="shared" si="432"/>
        <v>60</v>
      </c>
      <c r="N1422" s="98">
        <v>6</v>
      </c>
      <c r="O1422" s="93">
        <f t="shared" si="426"/>
        <v>200</v>
      </c>
      <c r="NY1422" s="100">
        <v>4</v>
      </c>
      <c r="NZ1422" s="100">
        <v>23</v>
      </c>
      <c r="OB1422" s="100">
        <v>2</v>
      </c>
      <c r="OC1422" s="100">
        <v>22</v>
      </c>
      <c r="OD1422" s="100">
        <v>9</v>
      </c>
      <c r="ON1422" s="100">
        <f t="shared" si="430"/>
        <v>60</v>
      </c>
    </row>
    <row r="1423" spans="1:404" ht="23.25" customHeight="1">
      <c r="A1423" s="97" t="str">
        <f t="shared" si="431"/>
        <v>009T/EUROMARKET-2166-70300-03-B</v>
      </c>
      <c r="B1423" s="95">
        <v>44469</v>
      </c>
      <c r="C1423" s="97">
        <f t="shared" ca="1" si="427"/>
        <v>-595</v>
      </c>
      <c r="D1423" s="96" t="s">
        <v>1539</v>
      </c>
      <c r="E1423" s="94" t="s">
        <v>25</v>
      </c>
      <c r="F1423" s="132" t="str">
        <f t="shared" si="428"/>
        <v>B</v>
      </c>
      <c r="G1423" s="130">
        <f ca="1">SUMIF($A:E,$A1423,K:K)</f>
        <v>1233</v>
      </c>
      <c r="H1423" s="112" t="s">
        <v>1525</v>
      </c>
      <c r="I1423" s="98">
        <v>1233</v>
      </c>
      <c r="J1423" s="99">
        <v>400</v>
      </c>
      <c r="K1423" s="143">
        <f t="shared" si="429"/>
        <v>400</v>
      </c>
      <c r="L1423" s="144">
        <f t="shared" si="424"/>
        <v>0</v>
      </c>
      <c r="M1423" s="275">
        <f t="shared" si="432"/>
        <v>1233</v>
      </c>
      <c r="N1423" s="98">
        <v>1</v>
      </c>
      <c r="O1423" s="93">
        <f t="shared" si="426"/>
        <v>100</v>
      </c>
      <c r="HB1423" s="100">
        <v>11</v>
      </c>
      <c r="HC1423" s="100">
        <v>11</v>
      </c>
      <c r="HD1423" s="100">
        <v>4</v>
      </c>
      <c r="HE1423" s="100">
        <v>3</v>
      </c>
      <c r="HG1423" s="100">
        <v>4</v>
      </c>
      <c r="HI1423" s="100">
        <v>15</v>
      </c>
      <c r="HJ1423" s="100">
        <v>11</v>
      </c>
      <c r="HK1423" s="100">
        <v>11</v>
      </c>
      <c r="HL1423" s="100">
        <v>32</v>
      </c>
      <c r="HN1423" s="100">
        <v>11</v>
      </c>
      <c r="HP1423" s="100">
        <v>7</v>
      </c>
      <c r="HQ1423" s="100">
        <v>5</v>
      </c>
      <c r="HS1423" s="100">
        <v>17</v>
      </c>
      <c r="HT1423" s="100">
        <v>19</v>
      </c>
      <c r="HX1423" s="100">
        <v>6</v>
      </c>
      <c r="IB1423" s="100">
        <v>4</v>
      </c>
      <c r="IE1423" s="100">
        <v>18</v>
      </c>
      <c r="IF1423" s="100">
        <v>18</v>
      </c>
      <c r="IH1423" s="100">
        <v>8</v>
      </c>
      <c r="II1423" s="100">
        <v>10</v>
      </c>
      <c r="IK1423" s="100">
        <v>22</v>
      </c>
      <c r="IL1423" s="100">
        <v>18</v>
      </c>
      <c r="IM1423" s="100">
        <v>14</v>
      </c>
      <c r="IN1423" s="100">
        <v>11</v>
      </c>
      <c r="IO1423" s="100">
        <v>17</v>
      </c>
      <c r="IP1423" s="100">
        <v>14</v>
      </c>
      <c r="IR1423" s="100">
        <v>21</v>
      </c>
      <c r="IT1423" s="100">
        <v>12</v>
      </c>
      <c r="IU1423" s="100">
        <v>27</v>
      </c>
      <c r="IV1423" s="100">
        <v>19</v>
      </c>
      <c r="ON1423" s="100">
        <f t="shared" si="430"/>
        <v>0</v>
      </c>
    </row>
    <row r="1424" spans="1:404" ht="23.25" customHeight="1">
      <c r="A1424" s="97" t="str">
        <f t="shared" si="431"/>
        <v>009T/EUROMARKET-2166-70300-03-B</v>
      </c>
      <c r="B1424" s="95">
        <v>44469</v>
      </c>
      <c r="C1424" s="97">
        <f t="shared" ca="1" si="427"/>
        <v>-595</v>
      </c>
      <c r="D1424" s="96" t="s">
        <v>1539</v>
      </c>
      <c r="E1424" s="94" t="s">
        <v>25</v>
      </c>
      <c r="F1424" s="132" t="str">
        <f t="shared" si="428"/>
        <v>B</v>
      </c>
      <c r="G1424" s="130">
        <f ca="1">SUMIF($A:E,$A1424,K:K)</f>
        <v>1233</v>
      </c>
      <c r="H1424" s="112" t="s">
        <v>1525</v>
      </c>
      <c r="I1424" s="98">
        <v>1233</v>
      </c>
      <c r="J1424" s="99">
        <v>400</v>
      </c>
      <c r="K1424" s="143">
        <f t="shared" si="429"/>
        <v>400</v>
      </c>
      <c r="L1424" s="144">
        <f t="shared" si="424"/>
        <v>0</v>
      </c>
      <c r="M1424" s="275">
        <f t="shared" si="432"/>
        <v>1233</v>
      </c>
      <c r="N1424" s="98">
        <v>3</v>
      </c>
      <c r="O1424" s="93">
        <f t="shared" si="426"/>
        <v>100</v>
      </c>
      <c r="GZ1424" s="100">
        <v>20</v>
      </c>
      <c r="HC1424" s="100">
        <v>21</v>
      </c>
      <c r="HD1424" s="100">
        <v>29</v>
      </c>
      <c r="HE1424" s="100">
        <v>24</v>
      </c>
      <c r="HF1424" s="100">
        <v>50</v>
      </c>
      <c r="HG1424" s="100">
        <v>32</v>
      </c>
      <c r="HI1424" s="100">
        <v>9</v>
      </c>
      <c r="HJ1424" s="100">
        <v>15</v>
      </c>
      <c r="HK1424" s="100">
        <v>11</v>
      </c>
      <c r="HL1424" s="100">
        <v>22</v>
      </c>
      <c r="HM1424" s="100">
        <v>31</v>
      </c>
      <c r="HN1424" s="100">
        <v>33</v>
      </c>
      <c r="HP1424" s="100">
        <v>32</v>
      </c>
      <c r="HQ1424" s="100">
        <v>17</v>
      </c>
      <c r="HR1424" s="100">
        <v>2</v>
      </c>
      <c r="HS1424" s="100">
        <v>28</v>
      </c>
      <c r="HT1424" s="100">
        <v>15</v>
      </c>
      <c r="HU1424" s="100">
        <v>9</v>
      </c>
      <c r="ON1424" s="100">
        <f t="shared" si="430"/>
        <v>0</v>
      </c>
    </row>
    <row r="1425" spans="1:404" ht="23.25" customHeight="1">
      <c r="A1425" s="97" t="str">
        <f t="shared" si="431"/>
        <v>009T/EUROMARKET-2166-70300-03-B</v>
      </c>
      <c r="B1425" s="95">
        <v>44469</v>
      </c>
      <c r="C1425" s="97">
        <f t="shared" ca="1" si="427"/>
        <v>-595</v>
      </c>
      <c r="D1425" s="96" t="s">
        <v>1539</v>
      </c>
      <c r="E1425" s="94" t="s">
        <v>25</v>
      </c>
      <c r="F1425" s="132" t="str">
        <f t="shared" si="428"/>
        <v>B</v>
      </c>
      <c r="G1425" s="130">
        <f ca="1">SUMIF($A:E,$A1425,K:K)</f>
        <v>1233</v>
      </c>
      <c r="H1425" s="112" t="s">
        <v>1525</v>
      </c>
      <c r="I1425" s="98">
        <v>1233</v>
      </c>
      <c r="J1425" s="99">
        <f>1233-J1423-J1424</f>
        <v>433</v>
      </c>
      <c r="K1425" s="143">
        <f t="shared" si="429"/>
        <v>433</v>
      </c>
      <c r="L1425" s="144">
        <f t="shared" si="424"/>
        <v>0</v>
      </c>
      <c r="M1425" s="275">
        <f t="shared" si="432"/>
        <v>1233</v>
      </c>
      <c r="N1425" s="98">
        <v>2</v>
      </c>
      <c r="O1425" s="93">
        <f t="shared" si="426"/>
        <v>100</v>
      </c>
      <c r="HG1425" s="100">
        <v>11</v>
      </c>
      <c r="HJ1425" s="100">
        <v>11</v>
      </c>
      <c r="HL1425" s="100">
        <v>11</v>
      </c>
      <c r="HM1425" s="100">
        <v>11</v>
      </c>
      <c r="HN1425" s="100">
        <v>6</v>
      </c>
      <c r="HQ1425" s="100">
        <v>7</v>
      </c>
      <c r="HR1425" s="100">
        <v>23</v>
      </c>
      <c r="HT1425" s="100">
        <v>10</v>
      </c>
      <c r="HU1425" s="100">
        <v>6</v>
      </c>
      <c r="HW1425" s="100">
        <v>6</v>
      </c>
      <c r="HX1425" s="100">
        <v>10</v>
      </c>
      <c r="HY1425" s="100">
        <v>10</v>
      </c>
      <c r="IB1425" s="100">
        <v>9</v>
      </c>
      <c r="IF1425" s="100">
        <v>11</v>
      </c>
      <c r="IH1425" s="100">
        <v>12</v>
      </c>
      <c r="II1425" s="100">
        <v>9</v>
      </c>
      <c r="IK1425" s="100">
        <v>22</v>
      </c>
      <c r="IL1425" s="100">
        <v>30</v>
      </c>
      <c r="IM1425" s="100">
        <v>29</v>
      </c>
      <c r="IN1425" s="100">
        <v>21</v>
      </c>
      <c r="IO1425" s="100">
        <v>18</v>
      </c>
      <c r="IP1425" s="100">
        <v>2</v>
      </c>
      <c r="IW1425" s="100">
        <v>8</v>
      </c>
      <c r="IY1425" s="100">
        <v>11</v>
      </c>
      <c r="IZ1425" s="100">
        <v>25</v>
      </c>
      <c r="JA1425" s="100">
        <v>45</v>
      </c>
      <c r="JB1425" s="100">
        <v>21</v>
      </c>
      <c r="JD1425" s="100">
        <v>21</v>
      </c>
      <c r="JF1425" s="100">
        <v>17</v>
      </c>
      <c r="ON1425" s="100">
        <f t="shared" si="430"/>
        <v>0</v>
      </c>
    </row>
    <row r="1426" spans="1:404" ht="23.25" customHeight="1">
      <c r="A1426" s="97" t="str">
        <f t="shared" si="431"/>
        <v>029T/WESTELM-2166-70300-03-B</v>
      </c>
      <c r="B1426" s="95">
        <v>44515</v>
      </c>
      <c r="C1426" s="97">
        <f t="shared" ca="1" si="427"/>
        <v>-549</v>
      </c>
      <c r="D1426" s="112" t="s">
        <v>1544</v>
      </c>
      <c r="E1426" s="123" t="s">
        <v>25</v>
      </c>
      <c r="F1426" s="132" t="str">
        <f t="shared" si="428"/>
        <v>B</v>
      </c>
      <c r="G1426" s="130">
        <f ca="1">SUMIF($A:E,$A1426,K:K)</f>
        <v>251</v>
      </c>
      <c r="H1426" s="112" t="s">
        <v>1545</v>
      </c>
      <c r="I1426" s="175">
        <v>251</v>
      </c>
      <c r="J1426" s="115">
        <v>251</v>
      </c>
      <c r="K1426" s="143">
        <f t="shared" si="429"/>
        <v>251</v>
      </c>
      <c r="L1426" s="144">
        <f t="shared" si="424"/>
        <v>0</v>
      </c>
      <c r="M1426" s="275">
        <f t="shared" si="432"/>
        <v>251</v>
      </c>
      <c r="N1426" s="98">
        <v>4</v>
      </c>
      <c r="O1426" s="93">
        <f t="shared" si="426"/>
        <v>100</v>
      </c>
      <c r="KN1426" s="100">
        <v>32</v>
      </c>
      <c r="KO1426" s="100">
        <v>50</v>
      </c>
      <c r="KP1426" s="100">
        <v>45</v>
      </c>
      <c r="KQ1426" s="100">
        <v>42</v>
      </c>
      <c r="KR1426" s="100">
        <v>50</v>
      </c>
      <c r="KV1426" s="100">
        <v>32</v>
      </c>
      <c r="ON1426" s="100">
        <f t="shared" si="430"/>
        <v>0</v>
      </c>
    </row>
    <row r="1427" spans="1:404" ht="23.25" customHeight="1">
      <c r="A1427" s="97" t="str">
        <f t="shared" si="431"/>
        <v>051-VG_SR-21(EUROMARKET)66-70300-03-B</v>
      </c>
      <c r="B1427" s="126">
        <v>44426</v>
      </c>
      <c r="C1427" s="97">
        <f t="shared" ca="1" si="427"/>
        <v>-638</v>
      </c>
      <c r="D1427" s="208" t="s">
        <v>1546</v>
      </c>
      <c r="E1427" s="226" t="s">
        <v>25</v>
      </c>
      <c r="F1427" s="132" t="str">
        <f t="shared" si="428"/>
        <v>B</v>
      </c>
      <c r="G1427" s="130">
        <f ca="1">SUMIF($A:E,$A1427,K:K)</f>
        <v>5</v>
      </c>
      <c r="H1427" s="208" t="s">
        <v>1550</v>
      </c>
      <c r="I1427" s="132">
        <v>5</v>
      </c>
      <c r="J1427" s="131">
        <v>5</v>
      </c>
      <c r="K1427" s="160">
        <f t="shared" si="429"/>
        <v>5</v>
      </c>
      <c r="L1427" s="151">
        <f t="shared" si="424"/>
        <v>0</v>
      </c>
      <c r="M1427" s="275">
        <f t="shared" si="432"/>
        <v>5</v>
      </c>
      <c r="N1427" s="132">
        <v>1</v>
      </c>
      <c r="O1427" s="93">
        <f t="shared" si="426"/>
        <v>100</v>
      </c>
      <c r="HE1427" s="100">
        <v>5</v>
      </c>
      <c r="ON1427" s="100">
        <f t="shared" si="430"/>
        <v>0</v>
      </c>
    </row>
    <row r="1428" spans="1:404" ht="23.25" customHeight="1">
      <c r="A1428" s="97" t="str">
        <f t="shared" si="431"/>
        <v>001/EUROMARKET-VG_SR-2166-70300-03-B</v>
      </c>
      <c r="B1428" s="95">
        <v>44425</v>
      </c>
      <c r="C1428" s="97">
        <f t="shared" ca="1" si="427"/>
        <v>-639</v>
      </c>
      <c r="D1428" s="112" t="s">
        <v>1552</v>
      </c>
      <c r="E1428" s="123" t="s">
        <v>25</v>
      </c>
      <c r="F1428" s="132" t="str">
        <f t="shared" si="428"/>
        <v>B</v>
      </c>
      <c r="G1428" s="130">
        <f ca="1">SUMIF($A:E,$A1428,K:K)</f>
        <v>8</v>
      </c>
      <c r="H1428" s="112" t="s">
        <v>1553</v>
      </c>
      <c r="I1428" s="175">
        <v>8</v>
      </c>
      <c r="J1428" s="115">
        <v>8</v>
      </c>
      <c r="K1428" s="143">
        <f t="shared" si="429"/>
        <v>8</v>
      </c>
      <c r="L1428" s="144">
        <f t="shared" si="424"/>
        <v>0</v>
      </c>
      <c r="M1428" s="275">
        <f t="shared" si="432"/>
        <v>8</v>
      </c>
      <c r="N1428" s="98">
        <v>1</v>
      </c>
      <c r="O1428" s="93">
        <f t="shared" si="426"/>
        <v>100</v>
      </c>
      <c r="HD1428" s="100">
        <v>7</v>
      </c>
      <c r="HE1428" s="100">
        <v>1</v>
      </c>
      <c r="ON1428" s="100">
        <f t="shared" si="430"/>
        <v>0</v>
      </c>
    </row>
    <row r="1429" spans="1:404" ht="23.25" customHeight="1">
      <c r="A1429" s="97" t="str">
        <f t="shared" si="431"/>
        <v>030T/WESTELM-2166-70300-03-B</v>
      </c>
      <c r="B1429" s="95">
        <v>44524</v>
      </c>
      <c r="C1429" s="97">
        <f t="shared" ca="1" si="427"/>
        <v>-540</v>
      </c>
      <c r="D1429" s="112" t="s">
        <v>1592</v>
      </c>
      <c r="E1429" s="123" t="s">
        <v>25</v>
      </c>
      <c r="F1429" s="132" t="str">
        <f t="shared" si="428"/>
        <v>B</v>
      </c>
      <c r="G1429" s="130">
        <f ca="1">SUMIF($A:E,$A1429,K:K)</f>
        <v>49</v>
      </c>
      <c r="H1429" s="97" t="s">
        <v>1593</v>
      </c>
      <c r="I1429" s="175">
        <v>49</v>
      </c>
      <c r="J1429" s="115">
        <v>49</v>
      </c>
      <c r="K1429" s="143">
        <f t="shared" si="429"/>
        <v>49</v>
      </c>
      <c r="L1429" s="144">
        <f t="shared" si="424"/>
        <v>0</v>
      </c>
      <c r="M1429" s="275">
        <f t="shared" si="432"/>
        <v>49</v>
      </c>
      <c r="N1429" s="98">
        <v>3</v>
      </c>
      <c r="O1429" s="93">
        <f t="shared" si="426"/>
        <v>100</v>
      </c>
      <c r="KF1429" s="100">
        <v>8</v>
      </c>
      <c r="KG1429" s="100">
        <v>9</v>
      </c>
      <c r="KH1429" s="100">
        <v>4</v>
      </c>
      <c r="KI1429" s="100">
        <v>10</v>
      </c>
      <c r="KJ1429" s="100">
        <v>3</v>
      </c>
      <c r="KN1429" s="100">
        <v>11</v>
      </c>
      <c r="KO1429" s="100">
        <v>4</v>
      </c>
      <c r="ON1429" s="100">
        <f t="shared" si="430"/>
        <v>0</v>
      </c>
    </row>
    <row r="1430" spans="1:404" ht="23.25" customHeight="1">
      <c r="A1430" s="97" t="str">
        <f t="shared" si="431"/>
        <v>001/GREENPOT-VG_SR-2166-70300-03-B</v>
      </c>
      <c r="B1430" s="95">
        <v>44426</v>
      </c>
      <c r="C1430" s="97">
        <f t="shared" ca="1" si="427"/>
        <v>-638</v>
      </c>
      <c r="D1430" s="112" t="s">
        <v>1606</v>
      </c>
      <c r="E1430" s="123" t="s">
        <v>25</v>
      </c>
      <c r="F1430" s="132" t="str">
        <f t="shared" si="428"/>
        <v>B</v>
      </c>
      <c r="G1430" s="130">
        <f ca="1">SUMIF($A:E,$A1430,K:K)</f>
        <v>5</v>
      </c>
      <c r="H1430" s="112" t="s">
        <v>1616</v>
      </c>
      <c r="I1430" s="175">
        <v>5</v>
      </c>
      <c r="J1430" s="115">
        <v>5</v>
      </c>
      <c r="K1430" s="143">
        <f t="shared" si="429"/>
        <v>5</v>
      </c>
      <c r="L1430" s="144">
        <f t="shared" si="424"/>
        <v>0</v>
      </c>
      <c r="M1430" s="275">
        <f t="shared" si="432"/>
        <v>5</v>
      </c>
      <c r="N1430" s="98">
        <v>3</v>
      </c>
      <c r="O1430" s="93">
        <f t="shared" si="426"/>
        <v>100</v>
      </c>
      <c r="HI1430" s="100">
        <v>5</v>
      </c>
      <c r="ON1430" s="100">
        <f t="shared" si="430"/>
        <v>0</v>
      </c>
    </row>
    <row r="1431" spans="1:404" ht="23.25" customHeight="1">
      <c r="A1431" s="97" t="str">
        <f t="shared" si="431"/>
        <v>001A/EUROMARKET-VG_SR-2166-70300-03-B</v>
      </c>
      <c r="B1431" s="217">
        <v>44437</v>
      </c>
      <c r="C1431" s="97">
        <f t="shared" ca="1" si="427"/>
        <v>-627</v>
      </c>
      <c r="D1431" s="112" t="s">
        <v>1695</v>
      </c>
      <c r="E1431" s="123" t="s">
        <v>25</v>
      </c>
      <c r="F1431" s="132" t="str">
        <f t="shared" si="428"/>
        <v>B</v>
      </c>
      <c r="G1431" s="130">
        <f ca="1">SUMIF($A:E,$A1431,K:K)</f>
        <v>2</v>
      </c>
      <c r="H1431" s="112" t="s">
        <v>1696</v>
      </c>
      <c r="I1431" s="175">
        <v>2</v>
      </c>
      <c r="J1431" s="115">
        <v>2</v>
      </c>
      <c r="K1431" s="143">
        <f t="shared" si="429"/>
        <v>2</v>
      </c>
      <c r="L1431" s="144">
        <f t="shared" si="424"/>
        <v>0</v>
      </c>
      <c r="M1431" s="275">
        <f t="shared" si="432"/>
        <v>2</v>
      </c>
      <c r="N1431" s="211">
        <v>2</v>
      </c>
      <c r="O1431" s="93">
        <f t="shared" si="426"/>
        <v>100</v>
      </c>
      <c r="IB1431" s="100">
        <v>2</v>
      </c>
      <c r="ON1431" s="100">
        <f t="shared" si="430"/>
        <v>0</v>
      </c>
    </row>
    <row r="1432" spans="1:404" ht="23.25" customHeight="1">
      <c r="A1432" s="97" t="s">
        <v>1829</v>
      </c>
      <c r="B1432" s="95">
        <v>44480</v>
      </c>
      <c r="C1432" s="97">
        <f t="shared" ca="1" si="427"/>
        <v>-584</v>
      </c>
      <c r="D1432" s="112" t="s">
        <v>1734</v>
      </c>
      <c r="E1432" s="123" t="s">
        <v>25</v>
      </c>
      <c r="F1432" s="132" t="s">
        <v>561</v>
      </c>
      <c r="G1432" s="130">
        <v>0</v>
      </c>
      <c r="H1432" s="97" t="s">
        <v>1736</v>
      </c>
      <c r="I1432" s="175">
        <v>383</v>
      </c>
      <c r="J1432" s="115">
        <v>383</v>
      </c>
      <c r="K1432" s="143">
        <f t="shared" si="429"/>
        <v>383</v>
      </c>
      <c r="L1432" s="144">
        <f t="shared" si="424"/>
        <v>0</v>
      </c>
      <c r="M1432" s="275">
        <f t="shared" si="432"/>
        <v>383</v>
      </c>
      <c r="N1432" s="98">
        <v>3</v>
      </c>
      <c r="O1432" s="93">
        <f t="shared" si="426"/>
        <v>100</v>
      </c>
      <c r="IP1432" s="100">
        <v>20</v>
      </c>
      <c r="IR1432" s="100">
        <v>18</v>
      </c>
      <c r="IS1432" s="100">
        <v>12</v>
      </c>
      <c r="IT1432" s="100">
        <v>29</v>
      </c>
      <c r="IU1432" s="100">
        <v>13</v>
      </c>
      <c r="IV1432" s="100">
        <v>13</v>
      </c>
      <c r="IW1432" s="100">
        <v>14</v>
      </c>
      <c r="IZ1432" s="100">
        <v>28</v>
      </c>
      <c r="JA1432" s="100">
        <v>14</v>
      </c>
      <c r="JB1432" s="100">
        <v>17</v>
      </c>
      <c r="JC1432" s="100">
        <v>2</v>
      </c>
      <c r="JD1432" s="100">
        <f>29+11</f>
        <v>40</v>
      </c>
      <c r="JF1432" s="100">
        <v>13</v>
      </c>
      <c r="JG1432" s="100">
        <v>17</v>
      </c>
      <c r="JH1432" s="100">
        <v>16</v>
      </c>
      <c r="JI1432" s="100">
        <v>26</v>
      </c>
      <c r="JJ1432" s="100">
        <v>30</v>
      </c>
      <c r="JK1432" s="100">
        <v>13</v>
      </c>
      <c r="JM1432" s="100">
        <v>12</v>
      </c>
      <c r="JN1432" s="100">
        <v>29</v>
      </c>
      <c r="JO1432" s="100">
        <v>7</v>
      </c>
      <c r="ON1432" s="100">
        <f t="shared" si="430"/>
        <v>0</v>
      </c>
    </row>
    <row r="1433" spans="1:404" ht="23.25" customHeight="1">
      <c r="A1433" s="97" t="s">
        <v>1829</v>
      </c>
      <c r="B1433" s="95">
        <v>44480</v>
      </c>
      <c r="C1433" s="97">
        <f t="shared" ref="C1433:C1436" ca="1" si="433">B1433-TODAY()</f>
        <v>-584</v>
      </c>
      <c r="D1433" s="112" t="s">
        <v>1734</v>
      </c>
      <c r="E1433" s="123" t="s">
        <v>25</v>
      </c>
      <c r="F1433" s="132" t="s">
        <v>561</v>
      </c>
      <c r="G1433" s="130">
        <v>0</v>
      </c>
      <c r="H1433" s="97" t="s">
        <v>1736</v>
      </c>
      <c r="I1433" s="175">
        <v>383</v>
      </c>
      <c r="J1433" s="115">
        <v>150</v>
      </c>
      <c r="K1433" s="143">
        <f t="shared" si="429"/>
        <v>150</v>
      </c>
      <c r="L1433" s="144">
        <f t="shared" si="424"/>
        <v>0</v>
      </c>
      <c r="M1433" s="275">
        <f t="shared" si="432"/>
        <v>383</v>
      </c>
      <c r="N1433" s="98">
        <v>1</v>
      </c>
      <c r="O1433" s="93">
        <f t="shared" si="426"/>
        <v>100</v>
      </c>
      <c r="IV1433" s="100">
        <v>21</v>
      </c>
      <c r="IW1433" s="100">
        <v>10</v>
      </c>
      <c r="IY1433" s="100">
        <v>21</v>
      </c>
      <c r="IZ1433" s="100">
        <v>18</v>
      </c>
      <c r="JA1433" s="100">
        <v>13</v>
      </c>
      <c r="JB1433" s="100">
        <v>24</v>
      </c>
      <c r="JC1433" s="100">
        <v>1</v>
      </c>
      <c r="JD1433" s="100">
        <v>42</v>
      </c>
      <c r="ON1433" s="100">
        <f t="shared" si="430"/>
        <v>0</v>
      </c>
    </row>
    <row r="1434" spans="1:404" ht="23.25" customHeight="1">
      <c r="A1434" s="97" t="str">
        <f>D1434&amp;E1434</f>
        <v xml:space="preserve">	013T/EUROMARKET-2166-70300-03-B</v>
      </c>
      <c r="B1434" s="95">
        <v>44480</v>
      </c>
      <c r="C1434" s="97">
        <f t="shared" ca="1" si="433"/>
        <v>-584</v>
      </c>
      <c r="D1434" s="112" t="s">
        <v>1734</v>
      </c>
      <c r="E1434" s="123" t="s">
        <v>25</v>
      </c>
      <c r="F1434" s="132" t="str">
        <f>MID(E1434,13,2)</f>
        <v>B</v>
      </c>
      <c r="G1434" s="130">
        <f ca="1">SUMIF($A:E,$A1434,K:K)</f>
        <v>683</v>
      </c>
      <c r="H1434" s="97" t="s">
        <v>1736</v>
      </c>
      <c r="I1434" s="175">
        <v>683</v>
      </c>
      <c r="J1434" s="115">
        <f>683-J1432-J1433</f>
        <v>150</v>
      </c>
      <c r="K1434" s="143">
        <f t="shared" si="429"/>
        <v>150</v>
      </c>
      <c r="L1434" s="144">
        <f t="shared" si="424"/>
        <v>0</v>
      </c>
      <c r="M1434" s="275">
        <f t="shared" si="432"/>
        <v>683</v>
      </c>
      <c r="N1434" s="98">
        <v>2</v>
      </c>
      <c r="O1434" s="93">
        <f t="shared" si="426"/>
        <v>100</v>
      </c>
      <c r="JF1434" s="100">
        <v>7</v>
      </c>
      <c r="JG1434" s="100">
        <v>11</v>
      </c>
      <c r="JI1434" s="100">
        <v>43</v>
      </c>
      <c r="JJ1434" s="100">
        <v>41</v>
      </c>
      <c r="JK1434" s="100">
        <v>21</v>
      </c>
      <c r="JM1434" s="100">
        <v>22</v>
      </c>
      <c r="JN1434" s="100">
        <v>5</v>
      </c>
      <c r="ON1434" s="100">
        <f t="shared" si="430"/>
        <v>0</v>
      </c>
    </row>
    <row r="1435" spans="1:404" ht="23.25" customHeight="1">
      <c r="A1435" s="97" t="str">
        <f>D1435&amp;E1435</f>
        <v>035T/WESTELM-2166-70300-03-B</v>
      </c>
      <c r="B1435" s="95">
        <v>44546</v>
      </c>
      <c r="C1435" s="97">
        <f t="shared" ca="1" si="433"/>
        <v>-518</v>
      </c>
      <c r="D1435" s="112" t="s">
        <v>1773</v>
      </c>
      <c r="E1435" s="123" t="s">
        <v>25</v>
      </c>
      <c r="F1435" s="132" t="str">
        <f>MID(E1435,13,2)</f>
        <v>B</v>
      </c>
      <c r="G1435" s="130">
        <f ca="1">SUMIF($A:E,$A1435,K:K)</f>
        <v>620</v>
      </c>
      <c r="H1435" s="97" t="s">
        <v>616</v>
      </c>
      <c r="I1435" s="175">
        <v>620</v>
      </c>
      <c r="J1435" s="115">
        <v>620</v>
      </c>
      <c r="K1435" s="143">
        <f t="shared" si="429"/>
        <v>620</v>
      </c>
      <c r="L1435" s="144">
        <f t="shared" si="424"/>
        <v>0</v>
      </c>
      <c r="M1435" s="275">
        <f t="shared" si="432"/>
        <v>620</v>
      </c>
      <c r="N1435" s="98">
        <v>4</v>
      </c>
      <c r="O1435" s="93">
        <f t="shared" si="426"/>
        <v>100</v>
      </c>
      <c r="LD1435" s="100">
        <v>38</v>
      </c>
      <c r="LE1435" s="100">
        <v>25</v>
      </c>
      <c r="LF1435" s="100">
        <v>48</v>
      </c>
      <c r="LG1435" s="100">
        <v>49</v>
      </c>
      <c r="LI1435" s="100">
        <v>51</v>
      </c>
      <c r="LJ1435" s="100">
        <v>3</v>
      </c>
      <c r="LK1435" s="100">
        <v>19</v>
      </c>
      <c r="LL1435" s="100">
        <v>33</v>
      </c>
      <c r="LM1435" s="100">
        <v>61</v>
      </c>
      <c r="LN1435" s="100">
        <v>23</v>
      </c>
      <c r="LP1435" s="100">
        <v>14</v>
      </c>
      <c r="LQ1435" s="100">
        <v>59</v>
      </c>
      <c r="LR1435" s="100">
        <v>23</v>
      </c>
      <c r="LS1435" s="100">
        <v>48</v>
      </c>
      <c r="LT1435" s="100">
        <v>49</v>
      </c>
      <c r="LW1435" s="100">
        <v>77</v>
      </c>
      <c r="ON1435" s="100">
        <f t="shared" si="430"/>
        <v>0</v>
      </c>
    </row>
    <row r="1436" spans="1:404" ht="23.25" customHeight="1">
      <c r="A1436" s="97" t="str">
        <f>D1436&amp;E1436</f>
        <v>001/ITIMASIA-VG_SR-2166-70300-03-B</v>
      </c>
      <c r="B1436" s="95">
        <v>44450</v>
      </c>
      <c r="C1436" s="97">
        <f t="shared" ca="1" si="433"/>
        <v>-614</v>
      </c>
      <c r="D1436" s="112" t="s">
        <v>1804</v>
      </c>
      <c r="E1436" s="123" t="s">
        <v>25</v>
      </c>
      <c r="F1436" s="132" t="str">
        <f>MID(E1436,13,2)</f>
        <v>B</v>
      </c>
      <c r="G1436" s="130">
        <f ca="1">SUMIF($A:E,$A1436,K:K)</f>
        <v>1</v>
      </c>
      <c r="H1436" s="112" t="s">
        <v>1805</v>
      </c>
      <c r="I1436" s="98">
        <v>1</v>
      </c>
      <c r="J1436" s="99">
        <v>1</v>
      </c>
      <c r="K1436" s="143">
        <f t="shared" si="429"/>
        <v>1</v>
      </c>
      <c r="L1436" s="144">
        <f t="shared" si="424"/>
        <v>0</v>
      </c>
      <c r="M1436" s="275">
        <f t="shared" si="432"/>
        <v>1</v>
      </c>
      <c r="N1436" s="98">
        <v>1</v>
      </c>
      <c r="O1436" s="93">
        <f t="shared" si="426"/>
        <v>100</v>
      </c>
      <c r="IK1436" s="100">
        <v>1</v>
      </c>
      <c r="ON1436" s="100">
        <f t="shared" si="430"/>
        <v>0</v>
      </c>
    </row>
    <row r="1437" spans="1:404" ht="23.25" customHeight="1">
      <c r="A1437" s="97" t="s">
        <v>1984</v>
      </c>
      <c r="B1437" s="95">
        <v>44502</v>
      </c>
      <c r="C1437" s="97">
        <v>26</v>
      </c>
      <c r="D1437" s="112" t="s">
        <v>1806</v>
      </c>
      <c r="E1437" s="123" t="s">
        <v>25</v>
      </c>
      <c r="F1437" s="132" t="s">
        <v>561</v>
      </c>
      <c r="G1437" s="130">
        <v>0</v>
      </c>
      <c r="H1437" s="112" t="s">
        <v>1807</v>
      </c>
      <c r="I1437" s="175">
        <v>1030</v>
      </c>
      <c r="J1437" s="115">
        <v>800</v>
      </c>
      <c r="K1437" s="143">
        <f t="shared" si="429"/>
        <v>800</v>
      </c>
      <c r="L1437" s="144">
        <f t="shared" ref="L1437:L1438" si="434">J1437-K1437</f>
        <v>0</v>
      </c>
      <c r="M1437" s="275">
        <f t="shared" si="432"/>
        <v>1030</v>
      </c>
      <c r="N1437" s="98">
        <v>4</v>
      </c>
      <c r="O1437" s="93">
        <f t="shared" si="426"/>
        <v>100</v>
      </c>
      <c r="JP1437" s="100">
        <v>11</v>
      </c>
      <c r="JR1437" s="100">
        <f>37+19</f>
        <v>56</v>
      </c>
      <c r="JT1437" s="100">
        <v>20</v>
      </c>
      <c r="JU1437" s="100">
        <v>40</v>
      </c>
      <c r="JV1437" s="100">
        <v>45</v>
      </c>
      <c r="JW1437" s="100">
        <v>39</v>
      </c>
      <c r="JX1437" s="100">
        <v>55</v>
      </c>
      <c r="JY1437" s="100">
        <v>28</v>
      </c>
      <c r="KA1437" s="100">
        <v>100</v>
      </c>
      <c r="KB1437" s="100">
        <v>22</v>
      </c>
      <c r="KC1437" s="100">
        <v>48</v>
      </c>
      <c r="KD1437" s="100">
        <v>54</v>
      </c>
      <c r="KE1437" s="100">
        <v>42</v>
      </c>
      <c r="KF1437" s="100">
        <v>57</v>
      </c>
      <c r="KG1437" s="100">
        <v>46</v>
      </c>
      <c r="KH1437" s="100">
        <v>20</v>
      </c>
      <c r="KI1437" s="100">
        <v>24</v>
      </c>
      <c r="KJ1437" s="100">
        <v>77</v>
      </c>
      <c r="KN1437" s="100">
        <v>16</v>
      </c>
      <c r="ON1437" s="100">
        <f t="shared" si="430"/>
        <v>0</v>
      </c>
    </row>
    <row r="1438" spans="1:404" ht="23.25" customHeight="1">
      <c r="A1438" s="97" t="str">
        <f t="shared" ref="A1438:A1467" si="435">D1438&amp;E1438</f>
        <v>016T/EUROMARKET-2166-70300-03-B</v>
      </c>
      <c r="B1438" s="95">
        <v>44502</v>
      </c>
      <c r="C1438" s="97">
        <f t="shared" ref="C1438:C1472" ca="1" si="436">B1438-TODAY()</f>
        <v>-562</v>
      </c>
      <c r="D1438" s="112" t="s">
        <v>1806</v>
      </c>
      <c r="E1438" s="123" t="s">
        <v>25</v>
      </c>
      <c r="F1438" s="132" t="str">
        <f t="shared" ref="F1438:F1467" si="437">MID(E1438,13,2)</f>
        <v>B</v>
      </c>
      <c r="G1438" s="130">
        <f ca="1">SUMIF($A:E,$A1438,K:K)</f>
        <v>1030</v>
      </c>
      <c r="H1438" s="112" t="s">
        <v>1807</v>
      </c>
      <c r="I1438" s="175">
        <v>1030</v>
      </c>
      <c r="J1438" s="115">
        <f>1030-J1437</f>
        <v>230</v>
      </c>
      <c r="K1438" s="143">
        <f t="shared" si="429"/>
        <v>230</v>
      </c>
      <c r="L1438" s="144">
        <f t="shared" si="434"/>
        <v>0</v>
      </c>
      <c r="M1438" s="275">
        <f t="shared" si="432"/>
        <v>1030</v>
      </c>
      <c r="N1438" s="98">
        <v>3</v>
      </c>
      <c r="O1438" s="93">
        <f t="shared" si="426"/>
        <v>100</v>
      </c>
      <c r="JO1438" s="100">
        <v>21</v>
      </c>
      <c r="JP1438" s="100">
        <v>26</v>
      </c>
      <c r="JQ1438" s="100">
        <v>13</v>
      </c>
      <c r="JR1438" s="100">
        <v>28</v>
      </c>
      <c r="JT1438" s="100">
        <v>1</v>
      </c>
      <c r="JU1438" s="100">
        <v>19</v>
      </c>
      <c r="JV1438" s="100">
        <v>3</v>
      </c>
      <c r="JW1438" s="100">
        <v>26</v>
      </c>
      <c r="JX1438" s="100">
        <v>9</v>
      </c>
      <c r="JY1438" s="100">
        <v>12</v>
      </c>
      <c r="KA1438" s="100">
        <v>30</v>
      </c>
      <c r="KB1438" s="100">
        <v>10</v>
      </c>
      <c r="KD1438" s="100">
        <v>7</v>
      </c>
      <c r="KE1438" s="100">
        <v>13</v>
      </c>
      <c r="KF1438" s="100">
        <v>12</v>
      </c>
      <c r="ON1438" s="100">
        <f t="shared" si="430"/>
        <v>0</v>
      </c>
    </row>
    <row r="1439" spans="1:404" ht="23.25" customHeight="1">
      <c r="A1439" s="97" t="str">
        <f t="shared" si="435"/>
        <v>003/EUROMARKET-VG_SR-2166-70300-03-B</v>
      </c>
      <c r="B1439" s="95">
        <v>44458</v>
      </c>
      <c r="C1439" s="97">
        <f t="shared" ca="1" si="436"/>
        <v>-606</v>
      </c>
      <c r="D1439" s="96" t="s">
        <v>1839</v>
      </c>
      <c r="E1439" s="94" t="s">
        <v>25</v>
      </c>
      <c r="F1439" s="132" t="str">
        <f t="shared" si="437"/>
        <v>B</v>
      </c>
      <c r="G1439" s="130">
        <f ca="1">SUMIF($A:E,$A1439,K:K)</f>
        <v>1</v>
      </c>
      <c r="H1439" s="97" t="s">
        <v>1838</v>
      </c>
      <c r="I1439" s="98">
        <v>1</v>
      </c>
      <c r="J1439" s="99">
        <v>1</v>
      </c>
      <c r="K1439" s="143">
        <f t="shared" si="429"/>
        <v>1</v>
      </c>
      <c r="L1439" s="144">
        <f t="shared" si="424"/>
        <v>0</v>
      </c>
      <c r="M1439" s="275">
        <f t="shared" si="432"/>
        <v>1</v>
      </c>
      <c r="N1439" s="98">
        <v>1</v>
      </c>
      <c r="O1439" s="93">
        <f t="shared" si="426"/>
        <v>100</v>
      </c>
      <c r="IR1439" s="100">
        <v>1</v>
      </c>
      <c r="ON1439" s="100">
        <f t="shared" si="430"/>
        <v>0</v>
      </c>
    </row>
    <row r="1440" spans="1:404" ht="23.25" customHeight="1">
      <c r="A1440" s="97" t="str">
        <f t="shared" si="435"/>
        <v>037T/WESTELM-2166-70300-03-B</v>
      </c>
      <c r="B1440" s="95">
        <v>44462</v>
      </c>
      <c r="C1440" s="97">
        <f t="shared" ca="1" si="436"/>
        <v>-602</v>
      </c>
      <c r="D1440" s="112" t="s">
        <v>1860</v>
      </c>
      <c r="E1440" s="123" t="s">
        <v>25</v>
      </c>
      <c r="F1440" s="132" t="str">
        <f t="shared" si="437"/>
        <v>B</v>
      </c>
      <c r="G1440" s="130">
        <f ca="1">SUMIF($A:E,$A1440,K:K)</f>
        <v>69</v>
      </c>
      <c r="H1440" s="97" t="s">
        <v>616</v>
      </c>
      <c r="I1440" s="175">
        <v>69</v>
      </c>
      <c r="J1440" s="115">
        <v>69</v>
      </c>
      <c r="K1440" s="143">
        <f t="shared" si="429"/>
        <v>69</v>
      </c>
      <c r="L1440" s="144">
        <f t="shared" si="424"/>
        <v>0</v>
      </c>
      <c r="M1440" s="275">
        <f t="shared" si="432"/>
        <v>69</v>
      </c>
      <c r="N1440" s="98">
        <v>2</v>
      </c>
      <c r="O1440" s="93">
        <f t="shared" si="426"/>
        <v>100</v>
      </c>
      <c r="IS1440" s="100">
        <v>29</v>
      </c>
      <c r="IT1440" s="100">
        <v>20</v>
      </c>
      <c r="IU1440" s="100">
        <v>20</v>
      </c>
      <c r="ON1440" s="100">
        <f t="shared" si="430"/>
        <v>0</v>
      </c>
    </row>
    <row r="1441" spans="1:404" ht="23.25" customHeight="1">
      <c r="A1441" s="97" t="str">
        <f t="shared" si="435"/>
        <v>019T/EUROMARKET-2166-70300-03-B</v>
      </c>
      <c r="B1441" s="95">
        <v>44537</v>
      </c>
      <c r="C1441" s="97">
        <f t="shared" ca="1" si="436"/>
        <v>-527</v>
      </c>
      <c r="D1441" s="112" t="s">
        <v>1875</v>
      </c>
      <c r="E1441" s="257" t="s">
        <v>25</v>
      </c>
      <c r="F1441" s="132" t="str">
        <f t="shared" si="437"/>
        <v>B</v>
      </c>
      <c r="G1441" s="130">
        <f ca="1">SUMIF($A:E,$A1441,K:K)</f>
        <v>342</v>
      </c>
      <c r="H1441" s="112" t="s">
        <v>1807</v>
      </c>
      <c r="I1441" s="239">
        <v>342</v>
      </c>
      <c r="J1441" s="243">
        <v>342</v>
      </c>
      <c r="K1441" s="160">
        <f t="shared" si="429"/>
        <v>342</v>
      </c>
      <c r="L1441" s="151">
        <f t="shared" si="424"/>
        <v>0</v>
      </c>
      <c r="M1441" s="275">
        <f t="shared" si="432"/>
        <v>342</v>
      </c>
      <c r="N1441" s="132">
        <v>4</v>
      </c>
      <c r="O1441" s="93">
        <f t="shared" si="426"/>
        <v>100</v>
      </c>
      <c r="KV1441" s="100">
        <v>85</v>
      </c>
      <c r="KW1441" s="100">
        <v>33</v>
      </c>
      <c r="KX1441" s="100">
        <v>30</v>
      </c>
      <c r="KY1441" s="100">
        <v>50</v>
      </c>
      <c r="KZ1441" s="100">
        <v>24</v>
      </c>
      <c r="LB1441" s="100">
        <v>36</v>
      </c>
      <c r="LC1441" s="100">
        <v>71</v>
      </c>
      <c r="LD1441" s="100">
        <v>13</v>
      </c>
      <c r="ON1441" s="100">
        <f t="shared" si="430"/>
        <v>0</v>
      </c>
    </row>
    <row r="1442" spans="1:404" ht="23.25" customHeight="1">
      <c r="A1442" s="97" t="str">
        <f t="shared" si="435"/>
        <v>158/KHBS-2166-70300-03-A</v>
      </c>
      <c r="B1442" s="95">
        <v>44306</v>
      </c>
      <c r="C1442" s="97">
        <f t="shared" ca="1" si="436"/>
        <v>-758</v>
      </c>
      <c r="D1442" s="96" t="s">
        <v>886</v>
      </c>
      <c r="E1442" s="94" t="s">
        <v>836</v>
      </c>
      <c r="F1442" s="132" t="str">
        <f t="shared" si="437"/>
        <v>A</v>
      </c>
      <c r="G1442" s="130">
        <f ca="1">SUMIF($A:E,$A1442,K:K)</f>
        <v>1</v>
      </c>
      <c r="H1442" s="97" t="s">
        <v>882</v>
      </c>
      <c r="I1442" s="98">
        <v>1</v>
      </c>
      <c r="J1442" s="99">
        <v>1</v>
      </c>
      <c r="K1442" s="143">
        <f t="shared" si="429"/>
        <v>1</v>
      </c>
      <c r="L1442" s="144">
        <f t="shared" ref="L1442:L1497" si="438">J1442-K1442</f>
        <v>0</v>
      </c>
      <c r="M1442" s="275">
        <f t="shared" si="432"/>
        <v>1</v>
      </c>
      <c r="N1442" s="98">
        <v>2</v>
      </c>
      <c r="O1442" s="93">
        <f t="shared" ref="O1442:O1477" si="439">K1442/J1442*100</f>
        <v>100</v>
      </c>
      <c r="DA1442" s="101">
        <v>1</v>
      </c>
      <c r="ON1442" s="100">
        <f t="shared" si="430"/>
        <v>0</v>
      </c>
    </row>
    <row r="1443" spans="1:404" ht="23.25" customHeight="1">
      <c r="A1443" s="97" t="str">
        <f t="shared" si="435"/>
        <v>001/GREENPOT-VG_SR-2166-70300-03-A</v>
      </c>
      <c r="B1443" s="95">
        <v>44426</v>
      </c>
      <c r="C1443" s="97">
        <f t="shared" ca="1" si="436"/>
        <v>-638</v>
      </c>
      <c r="D1443" s="112" t="s">
        <v>1606</v>
      </c>
      <c r="E1443" s="123" t="s">
        <v>836</v>
      </c>
      <c r="F1443" s="132" t="str">
        <f t="shared" si="437"/>
        <v>A</v>
      </c>
      <c r="G1443" s="130">
        <f ca="1">SUMIF($A:E,$A1443,K:K)</f>
        <v>1</v>
      </c>
      <c r="H1443" s="112" t="s">
        <v>1616</v>
      </c>
      <c r="I1443" s="175">
        <v>1</v>
      </c>
      <c r="J1443" s="115">
        <v>1</v>
      </c>
      <c r="K1443" s="143">
        <f t="shared" si="429"/>
        <v>1</v>
      </c>
      <c r="L1443" s="144">
        <f t="shared" si="438"/>
        <v>0</v>
      </c>
      <c r="M1443" s="275">
        <f t="shared" si="432"/>
        <v>1</v>
      </c>
      <c r="N1443" s="98">
        <v>3</v>
      </c>
      <c r="O1443" s="93">
        <f t="shared" si="439"/>
        <v>100</v>
      </c>
      <c r="HL1443" s="100">
        <v>1</v>
      </c>
      <c r="ON1443" s="100">
        <f t="shared" si="430"/>
        <v>0</v>
      </c>
    </row>
    <row r="1444" spans="1:404" ht="23.25" customHeight="1">
      <c r="A1444" s="97" t="str">
        <f t="shared" si="435"/>
        <v>002T/REJUVENATION-2166-70300-03-39</v>
      </c>
      <c r="B1444" s="95">
        <v>44366</v>
      </c>
      <c r="C1444" s="97">
        <f t="shared" ca="1" si="436"/>
        <v>-698</v>
      </c>
      <c r="D1444" s="145" t="s">
        <v>755</v>
      </c>
      <c r="E1444" s="252" t="s">
        <v>580</v>
      </c>
      <c r="F1444" s="132" t="str">
        <f t="shared" si="437"/>
        <v>39</v>
      </c>
      <c r="G1444" s="130">
        <f ca="1">SUMIF($A:E,$A1444,K:K)</f>
        <v>120</v>
      </c>
      <c r="H1444" s="97" t="s">
        <v>505</v>
      </c>
      <c r="I1444" s="196">
        <v>120</v>
      </c>
      <c r="J1444" s="146">
        <v>120</v>
      </c>
      <c r="K1444" s="143">
        <f t="shared" si="429"/>
        <v>120</v>
      </c>
      <c r="L1444" s="144">
        <f t="shared" si="438"/>
        <v>0</v>
      </c>
      <c r="M1444" s="275">
        <f t="shared" si="432"/>
        <v>120</v>
      </c>
      <c r="N1444" s="98">
        <v>3</v>
      </c>
      <c r="O1444" s="93">
        <f t="shared" si="439"/>
        <v>100</v>
      </c>
      <c r="CK1444" s="101">
        <v>5</v>
      </c>
      <c r="CL1444" s="101">
        <v>10</v>
      </c>
      <c r="CM1444" s="101">
        <v>8</v>
      </c>
      <c r="CN1444" s="101">
        <v>5</v>
      </c>
      <c r="CP1444" s="101">
        <v>9</v>
      </c>
      <c r="CQ1444" s="101">
        <v>14</v>
      </c>
      <c r="CR1444" s="101">
        <v>11</v>
      </c>
      <c r="CS1444" s="101">
        <v>18</v>
      </c>
      <c r="CT1444" s="101">
        <v>10</v>
      </c>
      <c r="CU1444" s="101">
        <v>6</v>
      </c>
      <c r="CW1444" s="101">
        <v>8</v>
      </c>
      <c r="CX1444" s="101">
        <v>7</v>
      </c>
      <c r="CZ1444" s="101">
        <v>9</v>
      </c>
      <c r="ON1444" s="100">
        <f t="shared" si="430"/>
        <v>0</v>
      </c>
    </row>
    <row r="1445" spans="1:404" ht="23.25" customHeight="1">
      <c r="A1445" s="97" t="str">
        <f t="shared" si="435"/>
        <v>060/WESTELM-2166-70300-03-30</v>
      </c>
      <c r="B1445" s="95">
        <v>44438</v>
      </c>
      <c r="C1445" s="97">
        <f t="shared" ca="1" si="436"/>
        <v>-626</v>
      </c>
      <c r="D1445" s="96" t="s">
        <v>895</v>
      </c>
      <c r="E1445" s="116" t="s">
        <v>637</v>
      </c>
      <c r="F1445" s="132" t="str">
        <f t="shared" si="437"/>
        <v>30</v>
      </c>
      <c r="G1445" s="130">
        <f ca="1">SUMIF($A:E,$A1445,K:K)</f>
        <v>239</v>
      </c>
      <c r="H1445" s="97" t="s">
        <v>505</v>
      </c>
      <c r="I1445" s="98">
        <v>239</v>
      </c>
      <c r="J1445" s="99">
        <v>239</v>
      </c>
      <c r="K1445" s="143">
        <f t="shared" si="429"/>
        <v>239</v>
      </c>
      <c r="L1445" s="144">
        <f t="shared" si="438"/>
        <v>0</v>
      </c>
      <c r="M1445" s="275">
        <f t="shared" si="432"/>
        <v>239</v>
      </c>
      <c r="N1445" s="98">
        <v>5</v>
      </c>
      <c r="O1445" s="93">
        <f t="shared" si="439"/>
        <v>100</v>
      </c>
      <c r="EK1445" s="100">
        <v>6</v>
      </c>
      <c r="EL1445" s="100">
        <v>4</v>
      </c>
      <c r="EM1445" s="100">
        <v>8</v>
      </c>
      <c r="EN1445" s="100">
        <v>6</v>
      </c>
      <c r="EO1445" s="100">
        <v>5</v>
      </c>
      <c r="EQ1445" s="100">
        <v>3</v>
      </c>
      <c r="ER1445" s="100">
        <v>8</v>
      </c>
      <c r="ET1445" s="100">
        <v>2</v>
      </c>
      <c r="EU1445" s="100">
        <v>10</v>
      </c>
      <c r="EV1445" s="100">
        <v>5</v>
      </c>
      <c r="EW1445" s="100">
        <v>8</v>
      </c>
      <c r="EX1445" s="100">
        <v>2</v>
      </c>
      <c r="EY1445" s="100">
        <v>5</v>
      </c>
      <c r="FA1445" s="100">
        <v>4</v>
      </c>
      <c r="FB1445" s="100">
        <v>3</v>
      </c>
      <c r="FC1445" s="100">
        <v>5</v>
      </c>
      <c r="FD1445" s="100">
        <v>5</v>
      </c>
      <c r="FE1445" s="100">
        <v>8</v>
      </c>
      <c r="FH1445" s="100">
        <v>7</v>
      </c>
      <c r="FI1445" s="100">
        <v>8</v>
      </c>
      <c r="FJ1445" s="100">
        <v>3</v>
      </c>
      <c r="FK1445" s="100">
        <v>7</v>
      </c>
      <c r="FL1445" s="100">
        <v>15</v>
      </c>
      <c r="FM1445" s="100">
        <v>15</v>
      </c>
      <c r="FO1445" s="100">
        <v>29</v>
      </c>
      <c r="FP1445" s="100">
        <v>2</v>
      </c>
      <c r="FQ1445" s="100">
        <v>13</v>
      </c>
      <c r="FS1445" s="100">
        <v>42</v>
      </c>
      <c r="FT1445" s="100">
        <v>1</v>
      </c>
      <c r="ON1445" s="100">
        <f t="shared" si="430"/>
        <v>0</v>
      </c>
    </row>
    <row r="1446" spans="1:404" ht="23.25" customHeight="1">
      <c r="A1446" s="97" t="str">
        <f t="shared" si="435"/>
        <v>068/WESTELM-2166-70300-03-30</v>
      </c>
      <c r="B1446" s="95">
        <v>44491</v>
      </c>
      <c r="C1446" s="97">
        <f t="shared" ca="1" si="436"/>
        <v>-573</v>
      </c>
      <c r="D1446" s="96" t="s">
        <v>905</v>
      </c>
      <c r="E1446" s="116" t="s">
        <v>637</v>
      </c>
      <c r="F1446" s="132" t="str">
        <f t="shared" si="437"/>
        <v>30</v>
      </c>
      <c r="G1446" s="130">
        <f ca="1">SUMIF($A:E,$A1446,K:K)</f>
        <v>68</v>
      </c>
      <c r="H1446" s="97" t="s">
        <v>505</v>
      </c>
      <c r="I1446" s="98">
        <v>68</v>
      </c>
      <c r="J1446" s="99">
        <v>68</v>
      </c>
      <c r="K1446" s="143">
        <f t="shared" si="429"/>
        <v>68</v>
      </c>
      <c r="L1446" s="144">
        <f t="shared" si="438"/>
        <v>0</v>
      </c>
      <c r="M1446" s="275">
        <f t="shared" si="432"/>
        <v>68</v>
      </c>
      <c r="N1446" s="98">
        <v>2</v>
      </c>
      <c r="O1446" s="93">
        <f t="shared" si="439"/>
        <v>100</v>
      </c>
      <c r="GR1446" s="100">
        <v>10</v>
      </c>
      <c r="GS1446" s="100">
        <v>7</v>
      </c>
      <c r="GU1446" s="100">
        <v>15</v>
      </c>
      <c r="GV1446" s="100">
        <v>9</v>
      </c>
      <c r="GW1446" s="100">
        <v>11</v>
      </c>
      <c r="GX1446" s="100">
        <v>11</v>
      </c>
      <c r="GZ1446" s="100">
        <v>5</v>
      </c>
      <c r="ON1446" s="100">
        <f t="shared" si="430"/>
        <v>0</v>
      </c>
    </row>
    <row r="1447" spans="1:404" ht="23.25" customHeight="1">
      <c r="A1447" s="97" t="str">
        <f t="shared" si="435"/>
        <v>072/WESTELM-2166-70300-03-30</v>
      </c>
      <c r="B1447" s="95">
        <v>44491</v>
      </c>
      <c r="C1447" s="97">
        <f t="shared" ca="1" si="436"/>
        <v>-573</v>
      </c>
      <c r="D1447" s="96" t="s">
        <v>909</v>
      </c>
      <c r="E1447" s="116" t="s">
        <v>637</v>
      </c>
      <c r="F1447" s="132" t="str">
        <f t="shared" si="437"/>
        <v>30</v>
      </c>
      <c r="G1447" s="130">
        <f ca="1">SUMIF($A:E,$A1447,K:K)</f>
        <v>112</v>
      </c>
      <c r="H1447" s="97" t="s">
        <v>505</v>
      </c>
      <c r="I1447" s="98">
        <v>112</v>
      </c>
      <c r="J1447" s="99">
        <v>112</v>
      </c>
      <c r="K1447" s="143">
        <f t="shared" si="429"/>
        <v>112</v>
      </c>
      <c r="L1447" s="144">
        <f t="shared" si="438"/>
        <v>0</v>
      </c>
      <c r="M1447" s="275">
        <f t="shared" si="432"/>
        <v>112</v>
      </c>
      <c r="N1447" s="98">
        <v>2</v>
      </c>
      <c r="O1447" s="93">
        <f t="shared" si="439"/>
        <v>100</v>
      </c>
      <c r="GZ1447" s="100">
        <v>6</v>
      </c>
      <c r="HB1447" s="100">
        <v>15</v>
      </c>
      <c r="HC1447" s="100">
        <v>15</v>
      </c>
      <c r="HD1447" s="100">
        <v>2</v>
      </c>
      <c r="HE1447" s="100">
        <v>16</v>
      </c>
      <c r="HF1447" s="100">
        <v>25</v>
      </c>
      <c r="HY1447" s="100">
        <v>5</v>
      </c>
      <c r="IF1447" s="100">
        <v>18</v>
      </c>
      <c r="IK1447" s="100">
        <v>5</v>
      </c>
      <c r="IM1447" s="100">
        <v>5</v>
      </c>
      <c r="ON1447" s="100">
        <f t="shared" si="430"/>
        <v>0</v>
      </c>
    </row>
    <row r="1448" spans="1:404" ht="23.25" customHeight="1">
      <c r="A1448" s="97" t="str">
        <f t="shared" si="435"/>
        <v>069/WESTELM-2166-70300-02-B</v>
      </c>
      <c r="B1448" s="95">
        <v>44485</v>
      </c>
      <c r="C1448" s="97">
        <f t="shared" ca="1" si="436"/>
        <v>-579</v>
      </c>
      <c r="D1448" s="96" t="s">
        <v>907</v>
      </c>
      <c r="E1448" s="94" t="s">
        <v>47</v>
      </c>
      <c r="F1448" s="132" t="str">
        <f t="shared" si="437"/>
        <v>B</v>
      </c>
      <c r="G1448" s="130">
        <f ca="1">SUMIF($A:E,$A1448,K:K)</f>
        <v>18</v>
      </c>
      <c r="H1448" s="97" t="s">
        <v>616</v>
      </c>
      <c r="I1448" s="98">
        <v>18</v>
      </c>
      <c r="J1448" s="99">
        <v>18</v>
      </c>
      <c r="K1448" s="143">
        <f t="shared" si="429"/>
        <v>18</v>
      </c>
      <c r="L1448" s="144">
        <f t="shared" si="438"/>
        <v>0</v>
      </c>
      <c r="M1448" s="275">
        <f t="shared" si="432"/>
        <v>18</v>
      </c>
      <c r="N1448" s="98">
        <v>1</v>
      </c>
      <c r="O1448" s="93">
        <f t="shared" si="439"/>
        <v>100</v>
      </c>
      <c r="ER1448" s="100">
        <v>11</v>
      </c>
      <c r="ET1448" s="100">
        <v>6</v>
      </c>
      <c r="EU1448" s="100">
        <v>1</v>
      </c>
      <c r="ON1448" s="100">
        <f t="shared" si="430"/>
        <v>0</v>
      </c>
    </row>
    <row r="1449" spans="1:404" ht="23.25" customHeight="1">
      <c r="A1449" s="97" t="str">
        <f t="shared" si="435"/>
        <v>068/WESTELM-2166-70300-02-B</v>
      </c>
      <c r="B1449" s="95">
        <v>44480</v>
      </c>
      <c r="C1449" s="97">
        <f t="shared" ca="1" si="436"/>
        <v>-584</v>
      </c>
      <c r="D1449" s="96" t="s">
        <v>905</v>
      </c>
      <c r="E1449" s="94" t="s">
        <v>47</v>
      </c>
      <c r="F1449" s="132" t="str">
        <f t="shared" si="437"/>
        <v>B</v>
      </c>
      <c r="G1449" s="130">
        <f ca="1">SUMIF($A:E,$A1449,K:K)</f>
        <v>427</v>
      </c>
      <c r="H1449" s="97" t="s">
        <v>616</v>
      </c>
      <c r="I1449" s="98">
        <v>427</v>
      </c>
      <c r="J1449" s="99">
        <v>100</v>
      </c>
      <c r="K1449" s="143">
        <f t="shared" si="429"/>
        <v>100</v>
      </c>
      <c r="L1449" s="144">
        <f t="shared" si="438"/>
        <v>0</v>
      </c>
      <c r="M1449" s="275">
        <f t="shared" si="432"/>
        <v>427</v>
      </c>
      <c r="N1449" s="98">
        <v>5</v>
      </c>
      <c r="O1449" s="93">
        <f t="shared" si="439"/>
        <v>100</v>
      </c>
      <c r="EK1449" s="100">
        <v>21</v>
      </c>
      <c r="EL1449" s="100">
        <v>32</v>
      </c>
      <c r="EM1449" s="100">
        <v>28</v>
      </c>
      <c r="EN1449" s="100">
        <v>19</v>
      </c>
      <c r="ON1449" s="100">
        <f t="shared" si="430"/>
        <v>0</v>
      </c>
    </row>
    <row r="1450" spans="1:404" ht="23.25" customHeight="1">
      <c r="A1450" s="97" t="str">
        <f t="shared" si="435"/>
        <v>068/WESTELM-2166-70300-02-B</v>
      </c>
      <c r="B1450" s="95">
        <v>44480</v>
      </c>
      <c r="C1450" s="97">
        <f t="shared" ca="1" si="436"/>
        <v>-584</v>
      </c>
      <c r="D1450" s="96" t="s">
        <v>905</v>
      </c>
      <c r="E1450" s="94" t="s">
        <v>47</v>
      </c>
      <c r="F1450" s="132" t="str">
        <f t="shared" si="437"/>
        <v>B</v>
      </c>
      <c r="G1450" s="130">
        <f ca="1">SUMIF($A:E,$A1450,K:K)</f>
        <v>427</v>
      </c>
      <c r="H1450" s="97" t="s">
        <v>616</v>
      </c>
      <c r="I1450" s="98">
        <v>427</v>
      </c>
      <c r="J1450" s="99">
        <v>150</v>
      </c>
      <c r="K1450" s="143">
        <f t="shared" si="429"/>
        <v>150</v>
      </c>
      <c r="L1450" s="144">
        <f t="shared" si="438"/>
        <v>0</v>
      </c>
      <c r="M1450" s="275">
        <f t="shared" si="432"/>
        <v>427</v>
      </c>
      <c r="N1450" s="98">
        <v>2</v>
      </c>
      <c r="O1450" s="93">
        <f t="shared" si="439"/>
        <v>100</v>
      </c>
      <c r="EO1450" s="100">
        <v>1</v>
      </c>
      <c r="EP1450" s="100">
        <v>10</v>
      </c>
      <c r="EQ1450" s="100">
        <v>10</v>
      </c>
      <c r="ER1450" s="100">
        <v>12</v>
      </c>
      <c r="ET1450" s="100">
        <v>4</v>
      </c>
      <c r="EU1450" s="100">
        <v>6</v>
      </c>
      <c r="EV1450" s="100">
        <v>13</v>
      </c>
      <c r="EW1450" s="100">
        <v>14</v>
      </c>
      <c r="EX1450" s="100">
        <v>7</v>
      </c>
      <c r="EY1450" s="100">
        <v>13</v>
      </c>
      <c r="FD1450" s="100">
        <v>1</v>
      </c>
      <c r="FE1450" s="100">
        <v>11</v>
      </c>
      <c r="FF1450" s="100">
        <v>14</v>
      </c>
      <c r="FH1450" s="100">
        <v>5</v>
      </c>
      <c r="FJ1450" s="100">
        <v>19</v>
      </c>
      <c r="FL1450" s="100">
        <v>2</v>
      </c>
      <c r="FP1450" s="100">
        <v>7</v>
      </c>
      <c r="FQ1450" s="100">
        <v>1</v>
      </c>
      <c r="ON1450" s="100">
        <f t="shared" si="430"/>
        <v>0</v>
      </c>
    </row>
    <row r="1451" spans="1:404" ht="23.25" customHeight="1">
      <c r="A1451" s="97" t="str">
        <f t="shared" si="435"/>
        <v>068/WESTELM-2166-70300-02-B</v>
      </c>
      <c r="B1451" s="95">
        <v>44480</v>
      </c>
      <c r="C1451" s="97">
        <f t="shared" ca="1" si="436"/>
        <v>-584</v>
      </c>
      <c r="D1451" s="96" t="s">
        <v>905</v>
      </c>
      <c r="E1451" s="94" t="s">
        <v>47</v>
      </c>
      <c r="F1451" s="132" t="str">
        <f t="shared" si="437"/>
        <v>B</v>
      </c>
      <c r="G1451" s="130">
        <f ca="1">SUMIF($A:E,$A1451,K:K)</f>
        <v>427</v>
      </c>
      <c r="H1451" s="97" t="s">
        <v>616</v>
      </c>
      <c r="I1451" s="98">
        <v>427</v>
      </c>
      <c r="J1451" s="99">
        <v>177</v>
      </c>
      <c r="K1451" s="143">
        <f t="shared" si="429"/>
        <v>177</v>
      </c>
      <c r="L1451" s="144">
        <f t="shared" si="438"/>
        <v>0</v>
      </c>
      <c r="M1451" s="275">
        <f t="shared" si="432"/>
        <v>427</v>
      </c>
      <c r="N1451" s="98">
        <v>3</v>
      </c>
      <c r="O1451" s="93">
        <f t="shared" si="439"/>
        <v>100</v>
      </c>
      <c r="EK1451" s="100">
        <v>4</v>
      </c>
      <c r="EL1451" s="100">
        <v>2</v>
      </c>
      <c r="EM1451" s="100">
        <v>7</v>
      </c>
      <c r="EN1451" s="100">
        <v>7</v>
      </c>
      <c r="EO1451" s="100">
        <v>14</v>
      </c>
      <c r="EP1451" s="100">
        <v>12</v>
      </c>
      <c r="EQ1451" s="100">
        <v>14</v>
      </c>
      <c r="ER1451" s="100">
        <v>14</v>
      </c>
      <c r="EU1451" s="100">
        <v>14</v>
      </c>
      <c r="EV1451" s="100">
        <v>14</v>
      </c>
      <c r="EW1451" s="100">
        <v>14</v>
      </c>
      <c r="EX1451" s="100">
        <v>6</v>
      </c>
      <c r="EY1451" s="100">
        <v>17</v>
      </c>
      <c r="FA1451" s="100">
        <v>18</v>
      </c>
      <c r="FB1451" s="100">
        <v>9</v>
      </c>
      <c r="FC1451" s="100">
        <v>8</v>
      </c>
      <c r="FD1451" s="100">
        <v>3</v>
      </c>
      <c r="ON1451" s="100">
        <f t="shared" si="430"/>
        <v>0</v>
      </c>
    </row>
    <row r="1452" spans="1:404" ht="23.25" customHeight="1">
      <c r="A1452" s="97" t="str">
        <f t="shared" si="435"/>
        <v>070/WESTELM-2166-70300-02-B</v>
      </c>
      <c r="B1452" s="95">
        <v>44485</v>
      </c>
      <c r="C1452" s="97">
        <f t="shared" ca="1" si="436"/>
        <v>-579</v>
      </c>
      <c r="D1452" s="96" t="s">
        <v>908</v>
      </c>
      <c r="E1452" s="94" t="s">
        <v>47</v>
      </c>
      <c r="F1452" s="132" t="str">
        <f t="shared" si="437"/>
        <v>B</v>
      </c>
      <c r="G1452" s="130">
        <f ca="1">SUMIF($A:E,$A1452,K:K)</f>
        <v>140</v>
      </c>
      <c r="H1452" s="97" t="s">
        <v>616</v>
      </c>
      <c r="I1452" s="98">
        <v>140</v>
      </c>
      <c r="J1452" s="99">
        <v>140</v>
      </c>
      <c r="K1452" s="143">
        <f t="shared" si="429"/>
        <v>140</v>
      </c>
      <c r="L1452" s="144">
        <f t="shared" si="438"/>
        <v>0</v>
      </c>
      <c r="M1452" s="275">
        <f t="shared" si="432"/>
        <v>140</v>
      </c>
      <c r="N1452" s="98">
        <v>5</v>
      </c>
      <c r="O1452" s="93">
        <f t="shared" si="439"/>
        <v>100</v>
      </c>
      <c r="EN1452" s="100">
        <v>12</v>
      </c>
      <c r="EO1452" s="100">
        <v>30</v>
      </c>
      <c r="EP1452" s="100">
        <v>29</v>
      </c>
      <c r="EQ1452" s="100">
        <v>28</v>
      </c>
      <c r="ER1452" s="100">
        <v>27</v>
      </c>
      <c r="ET1452" s="100">
        <v>14</v>
      </c>
      <c r="ON1452" s="100">
        <f t="shared" si="430"/>
        <v>0</v>
      </c>
    </row>
    <row r="1453" spans="1:404" ht="23.25" customHeight="1">
      <c r="A1453" s="97" t="str">
        <f t="shared" si="435"/>
        <v>072/WESTELM-2166-70300-02-B</v>
      </c>
      <c r="B1453" s="95">
        <v>44485</v>
      </c>
      <c r="C1453" s="97">
        <f t="shared" ca="1" si="436"/>
        <v>-579</v>
      </c>
      <c r="D1453" s="96" t="s">
        <v>909</v>
      </c>
      <c r="E1453" s="94" t="s">
        <v>47</v>
      </c>
      <c r="F1453" s="132" t="str">
        <f t="shared" si="437"/>
        <v>B</v>
      </c>
      <c r="G1453" s="130">
        <f ca="1">SUMIF($A:E,$A1453,K:K)</f>
        <v>216</v>
      </c>
      <c r="H1453" s="97" t="s">
        <v>616</v>
      </c>
      <c r="I1453" s="98">
        <v>216</v>
      </c>
      <c r="J1453" s="99">
        <v>216</v>
      </c>
      <c r="K1453" s="143">
        <f t="shared" si="429"/>
        <v>216</v>
      </c>
      <c r="L1453" s="144">
        <f t="shared" si="438"/>
        <v>0</v>
      </c>
      <c r="M1453" s="275">
        <f t="shared" si="432"/>
        <v>216</v>
      </c>
      <c r="N1453" s="98">
        <v>1</v>
      </c>
      <c r="O1453" s="93">
        <f t="shared" si="439"/>
        <v>100</v>
      </c>
      <c r="EU1453" s="100">
        <v>6</v>
      </c>
      <c r="EV1453" s="100">
        <v>1</v>
      </c>
      <c r="EW1453" s="100">
        <v>7</v>
      </c>
      <c r="EX1453" s="100">
        <v>12</v>
      </c>
      <c r="FD1453" s="100">
        <v>10</v>
      </c>
      <c r="FE1453" s="100">
        <v>24</v>
      </c>
      <c r="FF1453" s="100">
        <v>14</v>
      </c>
      <c r="FH1453" s="100">
        <v>14</v>
      </c>
      <c r="FJ1453" s="100">
        <v>14</v>
      </c>
      <c r="FK1453" s="100">
        <v>10</v>
      </c>
      <c r="FL1453" s="100">
        <v>14</v>
      </c>
      <c r="FM1453" s="100">
        <v>20</v>
      </c>
      <c r="FO1453" s="100">
        <v>8</v>
      </c>
      <c r="FQ1453" s="100">
        <v>13</v>
      </c>
      <c r="FS1453" s="100">
        <v>14</v>
      </c>
      <c r="FT1453" s="100">
        <v>7</v>
      </c>
      <c r="FU1453" s="100">
        <v>13</v>
      </c>
      <c r="FW1453" s="100">
        <v>13</v>
      </c>
      <c r="GC1453" s="100">
        <v>1</v>
      </c>
      <c r="GE1453" s="100">
        <v>1</v>
      </c>
      <c r="ON1453" s="100">
        <f t="shared" si="430"/>
        <v>0</v>
      </c>
    </row>
    <row r="1454" spans="1:404" ht="23.25" customHeight="1">
      <c r="A1454" s="97" t="str">
        <f t="shared" si="435"/>
        <v>087/WESTELM-2166-70300-02-B</v>
      </c>
      <c r="B1454" s="95">
        <v>44429</v>
      </c>
      <c r="C1454" s="97">
        <f t="shared" ca="1" si="436"/>
        <v>-635</v>
      </c>
      <c r="D1454" s="96" t="s">
        <v>1001</v>
      </c>
      <c r="E1454" s="94" t="s">
        <v>47</v>
      </c>
      <c r="F1454" s="132" t="str">
        <f t="shared" si="437"/>
        <v>B</v>
      </c>
      <c r="G1454" s="130">
        <f ca="1">SUMIF($A:E,$A1454,K:K)</f>
        <v>20</v>
      </c>
      <c r="H1454" s="97" t="s">
        <v>508</v>
      </c>
      <c r="I1454" s="98">
        <v>20</v>
      </c>
      <c r="J1454" s="99">
        <v>20</v>
      </c>
      <c r="K1454" s="143">
        <f t="shared" si="429"/>
        <v>20</v>
      </c>
      <c r="L1454" s="144">
        <f t="shared" si="438"/>
        <v>0</v>
      </c>
      <c r="M1454" s="275">
        <f t="shared" si="432"/>
        <v>20</v>
      </c>
      <c r="N1454" s="98">
        <v>1</v>
      </c>
      <c r="O1454" s="93">
        <f t="shared" si="439"/>
        <v>100</v>
      </c>
      <c r="EY1454" s="100">
        <v>6</v>
      </c>
      <c r="FB1454" s="100">
        <v>12</v>
      </c>
      <c r="FD1454" s="100">
        <v>2</v>
      </c>
      <c r="ON1454" s="100">
        <f t="shared" si="430"/>
        <v>0</v>
      </c>
    </row>
    <row r="1455" spans="1:404" ht="23.25" customHeight="1">
      <c r="A1455" s="97" t="str">
        <f t="shared" si="435"/>
        <v>092/WESTELM-2166-70300-02-B</v>
      </c>
      <c r="B1455" s="95">
        <v>44424</v>
      </c>
      <c r="C1455" s="97">
        <f t="shared" ca="1" si="436"/>
        <v>-640</v>
      </c>
      <c r="D1455" s="96" t="s">
        <v>1109</v>
      </c>
      <c r="E1455" s="94" t="s">
        <v>47</v>
      </c>
      <c r="F1455" s="132" t="str">
        <f t="shared" si="437"/>
        <v>B</v>
      </c>
      <c r="G1455" s="130">
        <f ca="1">SUMIF($A:E,$A1455,K:K)</f>
        <v>24</v>
      </c>
      <c r="H1455" s="97" t="s">
        <v>616</v>
      </c>
      <c r="I1455" s="98">
        <v>24</v>
      </c>
      <c r="J1455" s="99">
        <v>24</v>
      </c>
      <c r="K1455" s="143">
        <f t="shared" si="429"/>
        <v>24</v>
      </c>
      <c r="L1455" s="144">
        <f t="shared" si="438"/>
        <v>0</v>
      </c>
      <c r="M1455" s="275">
        <f t="shared" si="432"/>
        <v>24</v>
      </c>
      <c r="N1455" s="98">
        <v>2</v>
      </c>
      <c r="O1455" s="93">
        <f t="shared" si="439"/>
        <v>100</v>
      </c>
      <c r="GA1455" s="100">
        <v>13</v>
      </c>
      <c r="GB1455" s="100">
        <v>11</v>
      </c>
      <c r="ON1455" s="100">
        <f t="shared" si="430"/>
        <v>0</v>
      </c>
    </row>
    <row r="1456" spans="1:404" ht="23.25" customHeight="1">
      <c r="A1456" s="97" t="str">
        <f t="shared" si="435"/>
        <v>103/WESTELM-2166-70300-02-B</v>
      </c>
      <c r="B1456" s="95">
        <v>44452</v>
      </c>
      <c r="C1456" s="97">
        <f t="shared" ca="1" si="436"/>
        <v>-612</v>
      </c>
      <c r="D1456" s="96" t="s">
        <v>1125</v>
      </c>
      <c r="E1456" s="94" t="s">
        <v>47</v>
      </c>
      <c r="F1456" s="132" t="str">
        <f t="shared" si="437"/>
        <v>B</v>
      </c>
      <c r="G1456" s="130">
        <f ca="1">SUMIF($A:E,$A1456,K:K)</f>
        <v>12</v>
      </c>
      <c r="H1456" s="97" t="s">
        <v>616</v>
      </c>
      <c r="I1456" s="98">
        <v>12</v>
      </c>
      <c r="J1456" s="99">
        <v>12</v>
      </c>
      <c r="K1456" s="143">
        <f t="shared" si="429"/>
        <v>12</v>
      </c>
      <c r="L1456" s="144">
        <f t="shared" si="438"/>
        <v>0</v>
      </c>
      <c r="M1456" s="275">
        <f t="shared" si="432"/>
        <v>12</v>
      </c>
      <c r="N1456" s="98">
        <v>2</v>
      </c>
      <c r="O1456" s="93">
        <f t="shared" si="439"/>
        <v>100</v>
      </c>
      <c r="GB1456" s="100">
        <v>3</v>
      </c>
      <c r="GC1456" s="100">
        <v>9</v>
      </c>
      <c r="ON1456" s="100">
        <f t="shared" si="430"/>
        <v>0</v>
      </c>
    </row>
    <row r="1457" spans="1:404" ht="23.25" customHeight="1">
      <c r="A1457" s="97" t="str">
        <f t="shared" si="435"/>
        <v>133/WESTELM-2166-70300-02-B</v>
      </c>
      <c r="B1457" s="95">
        <v>44444</v>
      </c>
      <c r="C1457" s="97">
        <f t="shared" ca="1" si="436"/>
        <v>-620</v>
      </c>
      <c r="D1457" s="96" t="s">
        <v>1267</v>
      </c>
      <c r="E1457" s="94" t="s">
        <v>47</v>
      </c>
      <c r="F1457" s="132" t="str">
        <f t="shared" si="437"/>
        <v>B</v>
      </c>
      <c r="G1457" s="130">
        <f ca="1">SUMIF($A:E,$A1457,K:K)</f>
        <v>28</v>
      </c>
      <c r="H1457" s="97" t="s">
        <v>1266</v>
      </c>
      <c r="I1457" s="98">
        <v>28</v>
      </c>
      <c r="J1457" s="99">
        <v>28</v>
      </c>
      <c r="K1457" s="143">
        <f t="shared" si="429"/>
        <v>28</v>
      </c>
      <c r="L1457" s="144">
        <f t="shared" si="438"/>
        <v>0</v>
      </c>
      <c r="M1457" s="275">
        <f t="shared" si="432"/>
        <v>28</v>
      </c>
      <c r="N1457" s="98">
        <v>2</v>
      </c>
      <c r="O1457" s="93">
        <f t="shared" si="439"/>
        <v>100</v>
      </c>
      <c r="HB1457" s="100">
        <v>3</v>
      </c>
      <c r="HC1457" s="100">
        <v>6</v>
      </c>
      <c r="HD1457" s="100">
        <v>6</v>
      </c>
      <c r="HJ1457" s="100">
        <v>13</v>
      </c>
      <c r="ON1457" s="100">
        <f t="shared" si="430"/>
        <v>0</v>
      </c>
    </row>
    <row r="1458" spans="1:404" ht="23.25" customHeight="1">
      <c r="A1458" s="97" t="str">
        <f t="shared" si="435"/>
        <v>144/WESTELM-2166-70300-02-B</v>
      </c>
      <c r="B1458" s="95">
        <v>44459</v>
      </c>
      <c r="C1458" s="97">
        <f t="shared" ca="1" si="436"/>
        <v>-605</v>
      </c>
      <c r="D1458" s="112" t="s">
        <v>1438</v>
      </c>
      <c r="E1458" s="123" t="s">
        <v>47</v>
      </c>
      <c r="F1458" s="132" t="str">
        <f t="shared" si="437"/>
        <v>B</v>
      </c>
      <c r="G1458" s="130">
        <f ca="1">SUMIF($A:E,$A1458,K:K)</f>
        <v>3</v>
      </c>
      <c r="H1458" s="97" t="s">
        <v>616</v>
      </c>
      <c r="I1458" s="98">
        <v>3</v>
      </c>
      <c r="J1458" s="99">
        <v>3</v>
      </c>
      <c r="K1458" s="143">
        <f t="shared" si="429"/>
        <v>3</v>
      </c>
      <c r="L1458" s="144">
        <f t="shared" si="438"/>
        <v>0</v>
      </c>
      <c r="M1458" s="275">
        <f t="shared" si="432"/>
        <v>3</v>
      </c>
      <c r="N1458" s="98">
        <v>2</v>
      </c>
      <c r="O1458" s="93">
        <f t="shared" si="439"/>
        <v>100</v>
      </c>
      <c r="HJ1458" s="100">
        <v>1</v>
      </c>
      <c r="HK1458" s="100">
        <v>2</v>
      </c>
      <c r="ON1458" s="100">
        <f t="shared" si="430"/>
        <v>0</v>
      </c>
    </row>
    <row r="1459" spans="1:404" ht="23.25" customHeight="1">
      <c r="A1459" s="97" t="str">
        <f t="shared" si="435"/>
        <v>050-VG_SR-21(EUROMARKKET)66-70300-02-B</v>
      </c>
      <c r="B1459" s="95">
        <v>44416</v>
      </c>
      <c r="C1459" s="97">
        <f t="shared" ca="1" si="436"/>
        <v>-648</v>
      </c>
      <c r="D1459" s="96" t="s">
        <v>1528</v>
      </c>
      <c r="E1459" s="94" t="s">
        <v>47</v>
      </c>
      <c r="F1459" s="132" t="str">
        <f t="shared" si="437"/>
        <v>B</v>
      </c>
      <c r="G1459" s="130">
        <f ca="1">SUMIF($A:E,$A1459,K:K)</f>
        <v>1</v>
      </c>
      <c r="H1459" s="112" t="s">
        <v>1525</v>
      </c>
      <c r="I1459" s="98">
        <v>1</v>
      </c>
      <c r="J1459" s="99">
        <v>1</v>
      </c>
      <c r="K1459" s="143">
        <f t="shared" si="429"/>
        <v>1</v>
      </c>
      <c r="L1459" s="144">
        <f t="shared" si="438"/>
        <v>0</v>
      </c>
      <c r="M1459" s="275">
        <f t="shared" si="432"/>
        <v>1</v>
      </c>
      <c r="N1459" s="98">
        <v>2</v>
      </c>
      <c r="O1459" s="93">
        <f t="shared" si="439"/>
        <v>100</v>
      </c>
      <c r="HB1459" s="100">
        <v>1</v>
      </c>
      <c r="ON1459" s="100">
        <f t="shared" si="430"/>
        <v>0</v>
      </c>
    </row>
    <row r="1460" spans="1:404" ht="23.25" customHeight="1">
      <c r="A1460" s="97" t="str">
        <f t="shared" si="435"/>
        <v xml:space="preserve"> 009T/EUROMARKET-2166-70300-02-B</v>
      </c>
      <c r="B1460" s="95">
        <v>44469</v>
      </c>
      <c r="C1460" s="97">
        <f t="shared" ca="1" si="436"/>
        <v>-595</v>
      </c>
      <c r="D1460" s="112" t="s">
        <v>1540</v>
      </c>
      <c r="E1460" s="123" t="s">
        <v>47</v>
      </c>
      <c r="F1460" s="132" t="str">
        <f t="shared" si="437"/>
        <v>B</v>
      </c>
      <c r="G1460" s="130">
        <f ca="1">SUMIF($A:E,$A1460,K:K)</f>
        <v>894</v>
      </c>
      <c r="H1460" s="112" t="s">
        <v>1525</v>
      </c>
      <c r="I1460" s="175">
        <v>894</v>
      </c>
      <c r="J1460" s="115">
        <v>394</v>
      </c>
      <c r="K1460" s="143">
        <f t="shared" si="429"/>
        <v>394</v>
      </c>
      <c r="L1460" s="144">
        <f t="shared" si="438"/>
        <v>0</v>
      </c>
      <c r="M1460" s="275">
        <f t="shared" si="432"/>
        <v>894</v>
      </c>
      <c r="N1460" s="98">
        <v>2</v>
      </c>
      <c r="O1460" s="93">
        <f t="shared" si="439"/>
        <v>100</v>
      </c>
      <c r="HK1460" s="100">
        <v>4</v>
      </c>
      <c r="HL1460" s="100">
        <v>24</v>
      </c>
      <c r="HN1460" s="100">
        <v>11</v>
      </c>
      <c r="HQ1460" s="100">
        <v>23</v>
      </c>
      <c r="HR1460" s="100">
        <v>3</v>
      </c>
      <c r="HS1460" s="100">
        <v>10</v>
      </c>
      <c r="HT1460" s="100">
        <v>13</v>
      </c>
      <c r="IF1460" s="100">
        <v>20</v>
      </c>
      <c r="IH1460" s="100">
        <v>9</v>
      </c>
      <c r="II1460" s="100">
        <v>9</v>
      </c>
      <c r="IK1460" s="100">
        <v>17</v>
      </c>
      <c r="IL1460" s="100">
        <v>23</v>
      </c>
      <c r="IM1460" s="100">
        <v>16</v>
      </c>
      <c r="IN1460" s="100">
        <v>8</v>
      </c>
      <c r="IO1460" s="100">
        <v>26</v>
      </c>
      <c r="IR1460" s="100">
        <v>9</v>
      </c>
      <c r="IT1460" s="100">
        <v>1</v>
      </c>
      <c r="IU1460" s="100">
        <v>2</v>
      </c>
      <c r="IW1460" s="100">
        <v>23</v>
      </c>
      <c r="IY1460" s="100">
        <v>14</v>
      </c>
      <c r="IZ1460" s="100">
        <v>12</v>
      </c>
      <c r="JA1460" s="100">
        <v>18</v>
      </c>
      <c r="JB1460" s="100">
        <v>28</v>
      </c>
      <c r="JC1460" s="100">
        <v>9</v>
      </c>
      <c r="JD1460" s="100">
        <v>16</v>
      </c>
      <c r="JF1460" s="100">
        <v>18</v>
      </c>
      <c r="JG1460" s="100">
        <v>9</v>
      </c>
      <c r="JI1460" s="100">
        <v>19</v>
      </c>
      <c r="ON1460" s="100">
        <f t="shared" si="430"/>
        <v>0</v>
      </c>
    </row>
    <row r="1461" spans="1:404" ht="23.25" customHeight="1">
      <c r="A1461" s="97" t="str">
        <f t="shared" si="435"/>
        <v xml:space="preserve"> 009T/EUROMARKET-2166-70300-02-B</v>
      </c>
      <c r="B1461" s="95">
        <v>44469</v>
      </c>
      <c r="C1461" s="97">
        <f t="shared" ca="1" si="436"/>
        <v>-595</v>
      </c>
      <c r="D1461" s="112" t="s">
        <v>1540</v>
      </c>
      <c r="E1461" s="123" t="s">
        <v>47</v>
      </c>
      <c r="F1461" s="132" t="str">
        <f t="shared" si="437"/>
        <v>B</v>
      </c>
      <c r="G1461" s="130">
        <f ca="1">SUMIF($A:E,$A1461,K:K)</f>
        <v>894</v>
      </c>
      <c r="H1461" s="112" t="s">
        <v>1525</v>
      </c>
      <c r="I1461" s="175">
        <v>894</v>
      </c>
      <c r="J1461" s="115">
        <v>300</v>
      </c>
      <c r="K1461" s="143">
        <f t="shared" si="429"/>
        <v>300</v>
      </c>
      <c r="L1461" s="144">
        <f t="shared" si="438"/>
        <v>0</v>
      </c>
      <c r="M1461" s="275">
        <f t="shared" si="432"/>
        <v>894</v>
      </c>
      <c r="N1461" s="98">
        <v>1</v>
      </c>
      <c r="O1461" s="93">
        <f t="shared" si="439"/>
        <v>100</v>
      </c>
      <c r="HN1461" s="100">
        <v>11</v>
      </c>
      <c r="HQ1461" s="100">
        <v>7</v>
      </c>
      <c r="HS1461" s="100">
        <v>23</v>
      </c>
      <c r="HT1461" s="100">
        <v>16</v>
      </c>
      <c r="HX1461" s="100">
        <v>3</v>
      </c>
      <c r="HY1461" s="100">
        <v>19</v>
      </c>
      <c r="IB1461" s="100">
        <v>5</v>
      </c>
      <c r="IE1461" s="100">
        <v>3</v>
      </c>
      <c r="IF1461" s="100">
        <v>7</v>
      </c>
      <c r="IH1461" s="100">
        <v>17</v>
      </c>
      <c r="II1461" s="100">
        <v>8</v>
      </c>
      <c r="IK1461" s="100">
        <v>14</v>
      </c>
      <c r="IM1461" s="100">
        <v>17</v>
      </c>
      <c r="IN1461" s="100">
        <v>11</v>
      </c>
      <c r="IO1461" s="100">
        <v>4</v>
      </c>
      <c r="IP1461" s="100">
        <v>9</v>
      </c>
      <c r="IR1461" s="100">
        <v>14</v>
      </c>
      <c r="IS1461" s="100">
        <v>23</v>
      </c>
      <c r="IT1461" s="100">
        <v>11</v>
      </c>
      <c r="IU1461" s="100">
        <v>6</v>
      </c>
      <c r="IW1461" s="100">
        <v>2</v>
      </c>
      <c r="IY1461" s="100">
        <v>26</v>
      </c>
      <c r="IZ1461" s="100">
        <v>19</v>
      </c>
      <c r="JA1461" s="100">
        <v>25</v>
      </c>
      <c r="ON1461" s="100">
        <f t="shared" si="430"/>
        <v>0</v>
      </c>
    </row>
    <row r="1462" spans="1:404" ht="23.25" customHeight="1">
      <c r="A1462" s="97" t="str">
        <f t="shared" si="435"/>
        <v xml:space="preserve"> 009T/EUROMARKET-2166-70300-02-B</v>
      </c>
      <c r="B1462" s="95">
        <v>44469</v>
      </c>
      <c r="C1462" s="97">
        <f t="shared" ca="1" si="436"/>
        <v>-595</v>
      </c>
      <c r="D1462" s="112" t="s">
        <v>1540</v>
      </c>
      <c r="E1462" s="123" t="s">
        <v>47</v>
      </c>
      <c r="F1462" s="132" t="str">
        <f t="shared" si="437"/>
        <v>B</v>
      </c>
      <c r="G1462" s="130">
        <f ca="1">SUMIF($A:E,$A1462,K:K)</f>
        <v>894</v>
      </c>
      <c r="H1462" s="112" t="s">
        <v>1525</v>
      </c>
      <c r="I1462" s="175">
        <v>894</v>
      </c>
      <c r="J1462" s="115">
        <f>894-J1460-J1461</f>
        <v>200</v>
      </c>
      <c r="K1462" s="143">
        <f t="shared" si="429"/>
        <v>200</v>
      </c>
      <c r="L1462" s="144">
        <f t="shared" si="438"/>
        <v>0</v>
      </c>
      <c r="M1462" s="275">
        <f t="shared" si="432"/>
        <v>894</v>
      </c>
      <c r="N1462" s="98">
        <v>3</v>
      </c>
      <c r="O1462" s="93">
        <f t="shared" si="439"/>
        <v>100</v>
      </c>
      <c r="HL1462" s="100">
        <v>6</v>
      </c>
      <c r="HM1462" s="100">
        <v>3</v>
      </c>
      <c r="HP1462" s="100">
        <v>12</v>
      </c>
      <c r="HQ1462" s="100">
        <v>15</v>
      </c>
      <c r="HR1462" s="100">
        <v>2</v>
      </c>
      <c r="HS1462" s="100">
        <v>11</v>
      </c>
      <c r="HT1462" s="100">
        <v>7</v>
      </c>
      <c r="HW1462" s="100">
        <v>7</v>
      </c>
      <c r="IB1462" s="100">
        <v>4</v>
      </c>
      <c r="ID1462" s="100">
        <v>6</v>
      </c>
      <c r="IE1462" s="100">
        <v>3</v>
      </c>
      <c r="IG1462" s="100">
        <v>10</v>
      </c>
      <c r="II1462" s="100">
        <v>5</v>
      </c>
      <c r="IM1462" s="100">
        <v>10</v>
      </c>
      <c r="IN1462" s="100">
        <v>5</v>
      </c>
      <c r="IP1462" s="100">
        <v>10</v>
      </c>
      <c r="IT1462" s="100">
        <v>9</v>
      </c>
      <c r="IU1462" s="100">
        <v>15</v>
      </c>
      <c r="IV1462" s="100">
        <v>12</v>
      </c>
      <c r="IW1462" s="100">
        <v>6</v>
      </c>
      <c r="IZ1462" s="100">
        <v>8</v>
      </c>
      <c r="JA1462" s="100">
        <v>12</v>
      </c>
      <c r="JB1462" s="100">
        <v>21</v>
      </c>
      <c r="JC1462" s="100">
        <v>1</v>
      </c>
      <c r="ON1462" s="100">
        <f t="shared" si="430"/>
        <v>0</v>
      </c>
    </row>
    <row r="1463" spans="1:404" ht="23.25" customHeight="1">
      <c r="A1463" s="97" t="str">
        <f t="shared" si="435"/>
        <v>029T/WESTELM-2166-70300-02-B</v>
      </c>
      <c r="B1463" s="95">
        <v>44515</v>
      </c>
      <c r="C1463" s="97">
        <f t="shared" ca="1" si="436"/>
        <v>-549</v>
      </c>
      <c r="D1463" s="112" t="s">
        <v>1544</v>
      </c>
      <c r="E1463" s="123" t="s">
        <v>47</v>
      </c>
      <c r="F1463" s="132" t="str">
        <f t="shared" si="437"/>
        <v>B</v>
      </c>
      <c r="G1463" s="130">
        <f ca="1">SUMIF($A:E,$A1463,K:K)</f>
        <v>292</v>
      </c>
      <c r="H1463" s="112" t="s">
        <v>1545</v>
      </c>
      <c r="I1463" s="175">
        <v>292</v>
      </c>
      <c r="J1463" s="115">
        <v>292</v>
      </c>
      <c r="K1463" s="143">
        <f t="shared" si="429"/>
        <v>292</v>
      </c>
      <c r="L1463" s="144">
        <f t="shared" si="438"/>
        <v>0</v>
      </c>
      <c r="M1463" s="275">
        <f t="shared" si="432"/>
        <v>292</v>
      </c>
      <c r="N1463" s="98">
        <v>1</v>
      </c>
      <c r="O1463" s="93">
        <f t="shared" si="439"/>
        <v>100</v>
      </c>
      <c r="KC1463" s="100">
        <v>13</v>
      </c>
      <c r="KE1463" s="100">
        <v>32</v>
      </c>
      <c r="KF1463" s="100">
        <v>26</v>
      </c>
      <c r="KG1463" s="100">
        <v>16</v>
      </c>
      <c r="KH1463" s="100">
        <v>5</v>
      </c>
      <c r="KI1463" s="100">
        <v>37</v>
      </c>
      <c r="KJ1463" s="100">
        <v>11</v>
      </c>
      <c r="KN1463" s="100">
        <v>64</v>
      </c>
      <c r="KO1463" s="100">
        <v>31</v>
      </c>
      <c r="KQ1463" s="100">
        <v>44</v>
      </c>
      <c r="KR1463" s="100">
        <v>13</v>
      </c>
      <c r="ON1463" s="100">
        <f t="shared" si="430"/>
        <v>0</v>
      </c>
    </row>
    <row r="1464" spans="1:404" ht="23.25" customHeight="1">
      <c r="A1464" s="97" t="str">
        <f t="shared" si="435"/>
        <v>051-VG_SR-21(EUROMARKET)66-70300-02-B</v>
      </c>
      <c r="B1464" s="95">
        <v>44426</v>
      </c>
      <c r="C1464" s="97">
        <f t="shared" ca="1" si="436"/>
        <v>-638</v>
      </c>
      <c r="D1464" s="112" t="s">
        <v>1546</v>
      </c>
      <c r="E1464" s="123" t="s">
        <v>47</v>
      </c>
      <c r="F1464" s="132" t="str">
        <f t="shared" si="437"/>
        <v>B</v>
      </c>
      <c r="G1464" s="130">
        <f ca="1">SUMIF($A:E,$A1464,K:K)</f>
        <v>5</v>
      </c>
      <c r="H1464" s="112" t="s">
        <v>1550</v>
      </c>
      <c r="I1464" s="98">
        <v>5</v>
      </c>
      <c r="J1464" s="99">
        <v>5</v>
      </c>
      <c r="K1464" s="143">
        <f t="shared" si="429"/>
        <v>5</v>
      </c>
      <c r="L1464" s="144">
        <f t="shared" si="438"/>
        <v>0</v>
      </c>
      <c r="M1464" s="275">
        <f t="shared" si="432"/>
        <v>5</v>
      </c>
      <c r="N1464" s="98">
        <v>2</v>
      </c>
      <c r="O1464" s="93">
        <f t="shared" si="439"/>
        <v>100</v>
      </c>
      <c r="HI1464" s="100">
        <v>5</v>
      </c>
      <c r="ON1464" s="100">
        <f t="shared" si="430"/>
        <v>0</v>
      </c>
    </row>
    <row r="1465" spans="1:404" ht="23.25" customHeight="1">
      <c r="A1465" s="97" t="str">
        <f t="shared" si="435"/>
        <v>001/EUROMARKET-VG_SR-2166-70300-02-B</v>
      </c>
      <c r="B1465" s="95">
        <v>44425</v>
      </c>
      <c r="C1465" s="97">
        <f t="shared" ca="1" si="436"/>
        <v>-639</v>
      </c>
      <c r="D1465" s="112" t="s">
        <v>1552</v>
      </c>
      <c r="E1465" s="123" t="s">
        <v>47</v>
      </c>
      <c r="F1465" s="132" t="str">
        <f t="shared" si="437"/>
        <v>B</v>
      </c>
      <c r="G1465" s="130">
        <f ca="1">SUMIF($A:E,$A1465,K:K)</f>
        <v>7</v>
      </c>
      <c r="H1465" s="112" t="s">
        <v>1553</v>
      </c>
      <c r="I1465" s="175">
        <v>7</v>
      </c>
      <c r="J1465" s="115">
        <v>7</v>
      </c>
      <c r="K1465" s="143">
        <f t="shared" si="429"/>
        <v>7</v>
      </c>
      <c r="L1465" s="144">
        <f t="shared" si="438"/>
        <v>0</v>
      </c>
      <c r="M1465" s="275">
        <f t="shared" si="432"/>
        <v>7</v>
      </c>
      <c r="N1465" s="98">
        <v>2</v>
      </c>
      <c r="O1465" s="93">
        <f t="shared" si="439"/>
        <v>100</v>
      </c>
      <c r="HF1465" s="100">
        <v>4</v>
      </c>
      <c r="HG1465" s="100">
        <v>2</v>
      </c>
      <c r="HI1465" s="100">
        <v>1</v>
      </c>
      <c r="ON1465" s="100">
        <f t="shared" si="430"/>
        <v>0</v>
      </c>
    </row>
    <row r="1466" spans="1:404" ht="23.25" customHeight="1">
      <c r="A1466" s="97" t="str">
        <f t="shared" si="435"/>
        <v>030T/WESTELM-2166-70300-02-B</v>
      </c>
      <c r="B1466" s="95">
        <v>44524</v>
      </c>
      <c r="C1466" s="97">
        <f t="shared" ca="1" si="436"/>
        <v>-540</v>
      </c>
      <c r="D1466" s="112" t="s">
        <v>1592</v>
      </c>
      <c r="E1466" s="123" t="s">
        <v>47</v>
      </c>
      <c r="F1466" s="132" t="str">
        <f t="shared" si="437"/>
        <v>B</v>
      </c>
      <c r="G1466" s="130">
        <f ca="1">SUMIF($A:E,$A1466,K:K)</f>
        <v>20</v>
      </c>
      <c r="H1466" s="97" t="s">
        <v>1593</v>
      </c>
      <c r="I1466" s="175">
        <v>20</v>
      </c>
      <c r="J1466" s="115">
        <v>20</v>
      </c>
      <c r="K1466" s="143">
        <f t="shared" si="429"/>
        <v>20</v>
      </c>
      <c r="L1466" s="144">
        <f t="shared" si="438"/>
        <v>0</v>
      </c>
      <c r="M1466" s="275">
        <f t="shared" si="432"/>
        <v>20</v>
      </c>
      <c r="N1466" s="98">
        <v>1</v>
      </c>
      <c r="O1466" s="93">
        <f t="shared" si="439"/>
        <v>100</v>
      </c>
      <c r="KR1466" s="100">
        <v>5</v>
      </c>
      <c r="KX1466" s="100">
        <v>15</v>
      </c>
      <c r="ON1466" s="100">
        <f t="shared" si="430"/>
        <v>0</v>
      </c>
    </row>
    <row r="1467" spans="1:404" ht="23.25" customHeight="1">
      <c r="A1467" s="97" t="str">
        <f t="shared" si="435"/>
        <v>001A/EUROMARKET-VG_SR-2166-70300-02-B</v>
      </c>
      <c r="B1467" s="217">
        <v>44437</v>
      </c>
      <c r="C1467" s="97">
        <f t="shared" ca="1" si="436"/>
        <v>-627</v>
      </c>
      <c r="D1467" s="112" t="s">
        <v>1695</v>
      </c>
      <c r="E1467" s="123" t="s">
        <v>47</v>
      </c>
      <c r="F1467" s="132" t="str">
        <f t="shared" si="437"/>
        <v>B</v>
      </c>
      <c r="G1467" s="130">
        <f ca="1">SUMIF($A:E,$A1467,K:K)</f>
        <v>2</v>
      </c>
      <c r="H1467" s="112" t="s">
        <v>1696</v>
      </c>
      <c r="I1467" s="175">
        <v>2</v>
      </c>
      <c r="J1467" s="115">
        <v>2</v>
      </c>
      <c r="K1467" s="143">
        <f t="shared" si="429"/>
        <v>2</v>
      </c>
      <c r="L1467" s="144">
        <f t="shared" si="438"/>
        <v>0</v>
      </c>
      <c r="M1467" s="275">
        <f t="shared" si="432"/>
        <v>2</v>
      </c>
      <c r="N1467" s="211">
        <v>2</v>
      </c>
      <c r="O1467" s="93">
        <f t="shared" si="439"/>
        <v>100</v>
      </c>
      <c r="IB1467" s="100">
        <v>2</v>
      </c>
      <c r="ON1467" s="100">
        <f t="shared" si="430"/>
        <v>0</v>
      </c>
    </row>
    <row r="1468" spans="1:404" ht="23.25" customHeight="1">
      <c r="A1468" s="97" t="s">
        <v>1918</v>
      </c>
      <c r="B1468" s="95">
        <v>44480</v>
      </c>
      <c r="C1468" s="97">
        <f t="shared" ca="1" si="436"/>
        <v>-584</v>
      </c>
      <c r="D1468" s="112" t="s">
        <v>1734</v>
      </c>
      <c r="E1468" s="123" t="s">
        <v>47</v>
      </c>
      <c r="F1468" s="132" t="s">
        <v>561</v>
      </c>
      <c r="G1468" s="130">
        <v>0</v>
      </c>
      <c r="H1468" s="97" t="s">
        <v>1736</v>
      </c>
      <c r="I1468" s="175">
        <v>463</v>
      </c>
      <c r="J1468" s="115">
        <v>100</v>
      </c>
      <c r="K1468" s="143">
        <f t="shared" si="429"/>
        <v>100</v>
      </c>
      <c r="L1468" s="144">
        <f t="shared" si="438"/>
        <v>0</v>
      </c>
      <c r="M1468" s="275">
        <f t="shared" si="432"/>
        <v>463</v>
      </c>
      <c r="N1468" s="98">
        <v>3</v>
      </c>
      <c r="O1468" s="93">
        <f t="shared" si="439"/>
        <v>100</v>
      </c>
      <c r="JC1468" s="100">
        <v>1</v>
      </c>
      <c r="JD1468" s="100">
        <v>16</v>
      </c>
      <c r="JF1468" s="100">
        <v>10</v>
      </c>
      <c r="JG1468" s="100">
        <v>8</v>
      </c>
      <c r="JH1468" s="100">
        <v>16</v>
      </c>
      <c r="JI1468" s="100">
        <v>7</v>
      </c>
      <c r="JJ1468" s="100">
        <v>13</v>
      </c>
      <c r="JK1468" s="100">
        <v>14</v>
      </c>
      <c r="JM1468" s="100">
        <v>15</v>
      </c>
      <c r="ON1468" s="100">
        <f t="shared" si="430"/>
        <v>0</v>
      </c>
    </row>
    <row r="1469" spans="1:404" ht="23.25" customHeight="1">
      <c r="A1469" s="97" t="s">
        <v>1918</v>
      </c>
      <c r="B1469" s="95">
        <v>44480</v>
      </c>
      <c r="C1469" s="97">
        <f t="shared" ca="1" si="436"/>
        <v>-584</v>
      </c>
      <c r="D1469" s="112" t="s">
        <v>1734</v>
      </c>
      <c r="E1469" s="123" t="s">
        <v>47</v>
      </c>
      <c r="F1469" s="132" t="s">
        <v>561</v>
      </c>
      <c r="G1469" s="130">
        <v>0</v>
      </c>
      <c r="H1469" s="97" t="s">
        <v>1736</v>
      </c>
      <c r="I1469" s="175">
        <v>463</v>
      </c>
      <c r="J1469" s="115">
        <v>263</v>
      </c>
      <c r="K1469" s="143">
        <f t="shared" si="429"/>
        <v>263</v>
      </c>
      <c r="L1469" s="144">
        <f t="shared" ref="L1469" si="440">J1469-K1469</f>
        <v>0</v>
      </c>
      <c r="M1469" s="275">
        <f t="shared" si="432"/>
        <v>463</v>
      </c>
      <c r="N1469" s="98">
        <v>1</v>
      </c>
      <c r="O1469" s="93">
        <f t="shared" si="439"/>
        <v>100</v>
      </c>
      <c r="JA1469" s="100">
        <v>7</v>
      </c>
      <c r="JB1469" s="100">
        <v>38</v>
      </c>
      <c r="JC1469" s="100">
        <v>2</v>
      </c>
      <c r="JD1469" s="100">
        <v>47</v>
      </c>
      <c r="JG1469" s="100">
        <v>25</v>
      </c>
      <c r="JH1469" s="100">
        <v>18</v>
      </c>
      <c r="JI1469" s="100">
        <v>32</v>
      </c>
      <c r="JJ1469" s="100">
        <v>39</v>
      </c>
      <c r="JK1469" s="100">
        <v>34</v>
      </c>
      <c r="JM1469" s="100">
        <v>21</v>
      </c>
      <c r="ON1469" s="100">
        <f t="shared" si="430"/>
        <v>0</v>
      </c>
    </row>
    <row r="1470" spans="1:404" ht="23.25" customHeight="1">
      <c r="A1470" s="97" t="str">
        <f>D1470&amp;E1470</f>
        <v xml:space="preserve">	013T/EUROMARKET-2166-70300-02-B</v>
      </c>
      <c r="B1470" s="95">
        <v>44480</v>
      </c>
      <c r="C1470" s="97">
        <f t="shared" ca="1" si="436"/>
        <v>-584</v>
      </c>
      <c r="D1470" s="112" t="s">
        <v>1734</v>
      </c>
      <c r="E1470" s="123" t="s">
        <v>47</v>
      </c>
      <c r="F1470" s="132" t="str">
        <f>MID(E1470,13,2)</f>
        <v>B</v>
      </c>
      <c r="G1470" s="130">
        <f ca="1">SUMIF($A:E,$A1470,K:K)</f>
        <v>463</v>
      </c>
      <c r="H1470" s="97" t="s">
        <v>1736</v>
      </c>
      <c r="I1470" s="175">
        <v>463</v>
      </c>
      <c r="J1470" s="115">
        <f>463-J1468-J1469</f>
        <v>100</v>
      </c>
      <c r="K1470" s="143">
        <f t="shared" si="429"/>
        <v>100</v>
      </c>
      <c r="L1470" s="144">
        <f t="shared" si="438"/>
        <v>0</v>
      </c>
      <c r="M1470" s="275">
        <f t="shared" si="432"/>
        <v>463</v>
      </c>
      <c r="N1470" s="98">
        <v>2</v>
      </c>
      <c r="O1470" s="93">
        <f t="shared" si="439"/>
        <v>100</v>
      </c>
      <c r="JI1470" s="100">
        <v>15</v>
      </c>
      <c r="JJ1470" s="100">
        <v>18</v>
      </c>
      <c r="JK1470" s="100">
        <v>18</v>
      </c>
      <c r="JM1470" s="100">
        <v>18</v>
      </c>
      <c r="JN1470" s="100">
        <v>6</v>
      </c>
      <c r="JO1470" s="100">
        <v>17</v>
      </c>
      <c r="JP1470" s="100">
        <v>8</v>
      </c>
      <c r="ON1470" s="100">
        <f t="shared" si="430"/>
        <v>0</v>
      </c>
    </row>
    <row r="1471" spans="1:404" ht="23.25" customHeight="1">
      <c r="A1471" s="97" t="str">
        <f>D1471&amp;E1471</f>
        <v>035T/WESTELM-2166-70300-02-B</v>
      </c>
      <c r="B1471" s="95">
        <v>44546</v>
      </c>
      <c r="C1471" s="97">
        <f t="shared" ca="1" si="436"/>
        <v>-518</v>
      </c>
      <c r="D1471" s="112" t="s">
        <v>1773</v>
      </c>
      <c r="E1471" s="123" t="s">
        <v>47</v>
      </c>
      <c r="F1471" s="132" t="str">
        <f>MID(E1471,13,2)</f>
        <v>B</v>
      </c>
      <c r="G1471" s="130">
        <f ca="1">SUMIF($A:E,$A1471,K:K)</f>
        <v>307</v>
      </c>
      <c r="H1471" s="97" t="s">
        <v>616</v>
      </c>
      <c r="I1471" s="175">
        <v>307</v>
      </c>
      <c r="J1471" s="115">
        <v>307</v>
      </c>
      <c r="K1471" s="143">
        <f t="shared" si="429"/>
        <v>307</v>
      </c>
      <c r="L1471" s="144">
        <f t="shared" si="438"/>
        <v>0</v>
      </c>
      <c r="M1471" s="275">
        <f t="shared" si="432"/>
        <v>307</v>
      </c>
      <c r="N1471" s="98">
        <v>1</v>
      </c>
      <c r="O1471" s="93">
        <f t="shared" si="439"/>
        <v>100</v>
      </c>
      <c r="KZ1471" s="100">
        <v>1</v>
      </c>
      <c r="LG1471" s="100">
        <v>42</v>
      </c>
      <c r="LI1471" s="100">
        <v>14</v>
      </c>
      <c r="LJ1471" s="100">
        <v>14</v>
      </c>
      <c r="LK1471" s="100">
        <v>25</v>
      </c>
      <c r="LM1471" s="100">
        <v>51</v>
      </c>
      <c r="LN1471" s="100">
        <v>17</v>
      </c>
      <c r="LP1471" s="100">
        <v>27</v>
      </c>
      <c r="LQ1471" s="100">
        <v>10</v>
      </c>
      <c r="LR1471" s="100">
        <v>41</v>
      </c>
      <c r="LT1471" s="100">
        <v>33</v>
      </c>
      <c r="LW1471" s="100">
        <v>32</v>
      </c>
      <c r="ON1471" s="100">
        <f t="shared" si="430"/>
        <v>0</v>
      </c>
    </row>
    <row r="1472" spans="1:404" ht="23.25" customHeight="1">
      <c r="A1472" s="97" t="s">
        <v>1991</v>
      </c>
      <c r="B1472" s="95">
        <v>44502</v>
      </c>
      <c r="C1472" s="97">
        <f t="shared" ca="1" si="436"/>
        <v>-562</v>
      </c>
      <c r="D1472" s="112" t="s">
        <v>1806</v>
      </c>
      <c r="E1472" s="123" t="s">
        <v>47</v>
      </c>
      <c r="F1472" s="132" t="s">
        <v>561</v>
      </c>
      <c r="G1472" s="130">
        <f ca="1">SUMIF($A:E,$A1472,K:K)</f>
        <v>698</v>
      </c>
      <c r="H1472" s="112" t="s">
        <v>1807</v>
      </c>
      <c r="I1472" s="175">
        <v>698</v>
      </c>
      <c r="J1472" s="115">
        <v>208</v>
      </c>
      <c r="K1472" s="143">
        <f t="shared" si="429"/>
        <v>208</v>
      </c>
      <c r="L1472" s="144">
        <f t="shared" ref="L1472:L1474" si="441">J1472-K1472</f>
        <v>0</v>
      </c>
      <c r="M1472" s="275">
        <f t="shared" si="432"/>
        <v>698</v>
      </c>
      <c r="N1472" s="98">
        <v>3</v>
      </c>
      <c r="O1472" s="93">
        <f t="shared" si="439"/>
        <v>100</v>
      </c>
      <c r="JM1472" s="100">
        <v>1</v>
      </c>
      <c r="JN1472" s="100">
        <v>5</v>
      </c>
      <c r="JO1472" s="100">
        <v>3</v>
      </c>
      <c r="JP1472" s="100">
        <v>12</v>
      </c>
      <c r="JR1472" s="100">
        <v>23</v>
      </c>
      <c r="JU1472" s="100">
        <v>10</v>
      </c>
      <c r="JW1472" s="100">
        <v>7</v>
      </c>
      <c r="JX1472" s="100">
        <v>7</v>
      </c>
      <c r="JY1472" s="100">
        <v>9</v>
      </c>
      <c r="KA1472" s="100">
        <v>27</v>
      </c>
      <c r="KB1472" s="100">
        <v>8</v>
      </c>
      <c r="KD1472" s="100">
        <v>17</v>
      </c>
      <c r="KE1472" s="100">
        <v>20</v>
      </c>
      <c r="KF1472" s="100">
        <v>24</v>
      </c>
      <c r="KH1472" s="100">
        <v>4</v>
      </c>
      <c r="KI1472" s="100">
        <v>9</v>
      </c>
      <c r="KJ1472" s="100">
        <v>7</v>
      </c>
      <c r="KN1472" s="100">
        <v>9</v>
      </c>
      <c r="KO1472" s="100">
        <v>6</v>
      </c>
      <c r="ON1472" s="100">
        <f t="shared" si="430"/>
        <v>0</v>
      </c>
    </row>
    <row r="1473" spans="1:404" ht="23.25" customHeight="1">
      <c r="A1473" s="97" t="s">
        <v>1991</v>
      </c>
      <c r="B1473" s="95">
        <v>44502</v>
      </c>
      <c r="C1473" s="97">
        <v>22</v>
      </c>
      <c r="D1473" s="112" t="s">
        <v>1806</v>
      </c>
      <c r="E1473" s="123" t="s">
        <v>47</v>
      </c>
      <c r="F1473" s="132" t="s">
        <v>561</v>
      </c>
      <c r="G1473" s="130">
        <f ca="1">SUMIF($A:E,$A1473,K:K)</f>
        <v>698</v>
      </c>
      <c r="H1473" s="112" t="s">
        <v>1807</v>
      </c>
      <c r="I1473" s="175">
        <v>698</v>
      </c>
      <c r="J1473" s="115">
        <f>200-18</f>
        <v>182</v>
      </c>
      <c r="K1473" s="143">
        <f t="shared" si="429"/>
        <v>182</v>
      </c>
      <c r="L1473" s="144">
        <f t="shared" ref="L1473" si="442">J1473-K1473</f>
        <v>0</v>
      </c>
      <c r="M1473" s="275">
        <f t="shared" si="432"/>
        <v>698</v>
      </c>
      <c r="N1473" s="98">
        <v>2</v>
      </c>
      <c r="O1473" s="93">
        <f t="shared" si="439"/>
        <v>100</v>
      </c>
      <c r="JP1473" s="100">
        <v>12</v>
      </c>
      <c r="JQ1473" s="100">
        <v>9</v>
      </c>
      <c r="JT1473" s="100">
        <v>27</v>
      </c>
      <c r="JU1473" s="100">
        <v>14</v>
      </c>
      <c r="JV1473" s="100">
        <v>6</v>
      </c>
      <c r="JX1473" s="100">
        <v>10</v>
      </c>
      <c r="JY1473" s="100">
        <v>16</v>
      </c>
      <c r="KA1473" s="100">
        <v>9</v>
      </c>
      <c r="KB1473" s="100">
        <v>10</v>
      </c>
      <c r="KC1473" s="100">
        <v>18</v>
      </c>
      <c r="KD1473" s="100">
        <v>18</v>
      </c>
      <c r="KE1473" s="100">
        <v>31</v>
      </c>
      <c r="KF1473" s="100">
        <v>2</v>
      </c>
      <c r="ON1473" s="100">
        <f t="shared" si="430"/>
        <v>0</v>
      </c>
    </row>
    <row r="1474" spans="1:404" ht="23.25" customHeight="1">
      <c r="A1474" s="97" t="str">
        <f t="shared" ref="A1474:A1481" si="443">D1474&amp;E1474</f>
        <v>016T/EUROMARKET-2166-70300-02-B</v>
      </c>
      <c r="B1474" s="95">
        <v>44502</v>
      </c>
      <c r="C1474" s="97">
        <f t="shared" ref="C1474:C1500" ca="1" si="444">B1474-TODAY()</f>
        <v>-562</v>
      </c>
      <c r="D1474" s="112" t="s">
        <v>1806</v>
      </c>
      <c r="E1474" s="123" t="s">
        <v>47</v>
      </c>
      <c r="F1474" s="132" t="str">
        <f t="shared" ref="F1474:F1481" si="445">MID(E1474,13,2)</f>
        <v>B</v>
      </c>
      <c r="G1474" s="130">
        <f ca="1">SUMIF($A:E,$A1474,K:K)</f>
        <v>698</v>
      </c>
      <c r="H1474" s="112" t="s">
        <v>1807</v>
      </c>
      <c r="I1474" s="175">
        <v>698</v>
      </c>
      <c r="J1474" s="115">
        <f>290+18</f>
        <v>308</v>
      </c>
      <c r="K1474" s="143">
        <f t="shared" si="429"/>
        <v>308</v>
      </c>
      <c r="L1474" s="144">
        <f t="shared" si="441"/>
        <v>0</v>
      </c>
      <c r="M1474" s="275">
        <f t="shared" si="432"/>
        <v>698</v>
      </c>
      <c r="N1474" s="98">
        <v>1</v>
      </c>
      <c r="O1474" s="93">
        <f t="shared" si="439"/>
        <v>100</v>
      </c>
      <c r="JM1474" s="100">
        <v>25</v>
      </c>
      <c r="JN1474" s="100">
        <v>15</v>
      </c>
      <c r="JO1474" s="100">
        <v>3</v>
      </c>
      <c r="JP1474" s="100">
        <v>24</v>
      </c>
      <c r="JQ1474" s="100">
        <v>20</v>
      </c>
      <c r="JR1474" s="100">
        <v>13</v>
      </c>
      <c r="JT1474" s="100">
        <v>14</v>
      </c>
      <c r="JU1474" s="100">
        <v>29</v>
      </c>
      <c r="JV1474" s="100">
        <v>18</v>
      </c>
      <c r="JW1474" s="100">
        <v>15</v>
      </c>
      <c r="JX1474" s="100">
        <v>12</v>
      </c>
      <c r="JY1474" s="100">
        <v>19</v>
      </c>
      <c r="KA1474" s="100">
        <v>26</v>
      </c>
      <c r="KB1474" s="100">
        <v>8</v>
      </c>
      <c r="KC1474" s="100">
        <v>32</v>
      </c>
      <c r="KD1474" s="100">
        <v>17</v>
      </c>
      <c r="KE1474" s="100">
        <v>18</v>
      </c>
      <c r="ON1474" s="100">
        <f t="shared" si="430"/>
        <v>0</v>
      </c>
    </row>
    <row r="1475" spans="1:404" ht="23.25" customHeight="1">
      <c r="A1475" s="97" t="str">
        <f t="shared" si="443"/>
        <v>037T/WESTELM-2166-70300-02-B</v>
      </c>
      <c r="B1475" s="95">
        <v>44462</v>
      </c>
      <c r="C1475" s="97">
        <f t="shared" ca="1" si="444"/>
        <v>-602</v>
      </c>
      <c r="D1475" s="112" t="s">
        <v>1860</v>
      </c>
      <c r="E1475" s="123" t="s">
        <v>47</v>
      </c>
      <c r="F1475" s="132" t="str">
        <f t="shared" si="445"/>
        <v>B</v>
      </c>
      <c r="G1475" s="130">
        <f ca="1">SUMIF($A:E,$A1475,K:K)</f>
        <v>41</v>
      </c>
      <c r="H1475" s="97" t="s">
        <v>616</v>
      </c>
      <c r="I1475" s="175">
        <v>41</v>
      </c>
      <c r="J1475" s="115">
        <v>41</v>
      </c>
      <c r="K1475" s="143">
        <f t="shared" si="429"/>
        <v>41</v>
      </c>
      <c r="L1475" s="144">
        <f t="shared" si="438"/>
        <v>0</v>
      </c>
      <c r="M1475" s="275">
        <f t="shared" si="432"/>
        <v>41</v>
      </c>
      <c r="N1475" s="98">
        <v>2</v>
      </c>
      <c r="O1475" s="93">
        <f t="shared" si="439"/>
        <v>100</v>
      </c>
      <c r="IS1475" s="100">
        <v>16</v>
      </c>
      <c r="IT1475" s="100">
        <v>25</v>
      </c>
      <c r="ON1475" s="100">
        <f t="shared" si="430"/>
        <v>0</v>
      </c>
    </row>
    <row r="1476" spans="1:404" ht="23.25" customHeight="1">
      <c r="A1476" s="97" t="str">
        <f t="shared" si="443"/>
        <v>019T/EUROMARKET-2166-70300-02-B</v>
      </c>
      <c r="B1476" s="95">
        <v>44537</v>
      </c>
      <c r="C1476" s="97">
        <f t="shared" ca="1" si="444"/>
        <v>-527</v>
      </c>
      <c r="D1476" s="112" t="s">
        <v>1875</v>
      </c>
      <c r="E1476" s="123" t="s">
        <v>47</v>
      </c>
      <c r="F1476" s="132" t="str">
        <f t="shared" si="445"/>
        <v>B</v>
      </c>
      <c r="G1476" s="130">
        <f ca="1">SUMIF($A:E,$A1476,K:K)</f>
        <v>231</v>
      </c>
      <c r="H1476" s="112" t="s">
        <v>1807</v>
      </c>
      <c r="I1476" s="175">
        <v>231</v>
      </c>
      <c r="J1476" s="115">
        <v>231</v>
      </c>
      <c r="K1476" s="143">
        <f t="shared" ref="K1476:K1539" si="446">SUM(P1476:BBC1476)</f>
        <v>231</v>
      </c>
      <c r="L1476" s="144">
        <f t="shared" si="438"/>
        <v>0</v>
      </c>
      <c r="M1476" s="275">
        <f t="shared" si="432"/>
        <v>231</v>
      </c>
      <c r="N1476" s="98">
        <v>2</v>
      </c>
      <c r="O1476" s="93">
        <f t="shared" si="439"/>
        <v>100</v>
      </c>
      <c r="KF1476" s="100">
        <v>4</v>
      </c>
      <c r="KG1476" s="100">
        <v>17</v>
      </c>
      <c r="KH1476" s="100">
        <v>8</v>
      </c>
      <c r="KI1476" s="100">
        <v>15</v>
      </c>
      <c r="KJ1476" s="100">
        <v>19</v>
      </c>
      <c r="KN1476" s="100">
        <v>13</v>
      </c>
      <c r="KP1476" s="100">
        <v>27</v>
      </c>
      <c r="KQ1476" s="100">
        <v>20</v>
      </c>
      <c r="KS1476" s="100">
        <v>15</v>
      </c>
      <c r="KY1476" s="100">
        <v>24</v>
      </c>
      <c r="KZ1476" s="100">
        <v>22</v>
      </c>
      <c r="LB1476" s="100">
        <v>9</v>
      </c>
      <c r="LC1476" s="100">
        <v>18</v>
      </c>
      <c r="LD1476" s="100">
        <v>20</v>
      </c>
      <c r="ON1476" s="100">
        <f t="shared" ref="ON1476:ON1539" si="447">SUM(NS1476:OM1476)</f>
        <v>0</v>
      </c>
    </row>
    <row r="1477" spans="1:404" ht="23.25" customHeight="1">
      <c r="A1477" s="127" t="str">
        <f t="shared" si="443"/>
        <v>036T/WESTELM-2166-70300-02-B</v>
      </c>
      <c r="B1477" s="95">
        <v>44554</v>
      </c>
      <c r="C1477" s="97">
        <f t="shared" ca="1" si="444"/>
        <v>-510</v>
      </c>
      <c r="D1477" s="208" t="s">
        <v>1888</v>
      </c>
      <c r="E1477" s="226" t="s">
        <v>47</v>
      </c>
      <c r="F1477" s="132" t="str">
        <f t="shared" si="445"/>
        <v>B</v>
      </c>
      <c r="G1477" s="130">
        <f ca="1">SUMIF($A:E,$A1477,K:K)</f>
        <v>80</v>
      </c>
      <c r="H1477" s="97" t="s">
        <v>1593</v>
      </c>
      <c r="I1477" s="98">
        <v>80</v>
      </c>
      <c r="J1477" s="99">
        <v>80</v>
      </c>
      <c r="K1477" s="160">
        <f t="shared" si="446"/>
        <v>80</v>
      </c>
      <c r="L1477" s="151">
        <f t="shared" si="438"/>
        <v>0</v>
      </c>
      <c r="M1477" s="275">
        <f t="shared" si="432"/>
        <v>80</v>
      </c>
      <c r="N1477" s="132">
        <v>3</v>
      </c>
      <c r="O1477" s="93">
        <f t="shared" si="439"/>
        <v>100</v>
      </c>
      <c r="LE1477" s="100">
        <v>5</v>
      </c>
      <c r="LF1477" s="100">
        <v>20</v>
      </c>
      <c r="LG1477" s="100">
        <v>8</v>
      </c>
      <c r="LI1477" s="100">
        <v>1</v>
      </c>
      <c r="LJ1477" s="100">
        <v>8</v>
      </c>
      <c r="LK1477" s="100">
        <v>5</v>
      </c>
      <c r="LM1477" s="100">
        <v>15</v>
      </c>
      <c r="LN1477" s="100">
        <v>12</v>
      </c>
      <c r="LP1477" s="100">
        <v>6</v>
      </c>
      <c r="ON1477" s="100">
        <f t="shared" si="447"/>
        <v>0</v>
      </c>
    </row>
    <row r="1478" spans="1:404" ht="23.25" customHeight="1">
      <c r="A1478" s="97" t="str">
        <f t="shared" si="443"/>
        <v>076/WESTELM-2166-70300-02-30</v>
      </c>
      <c r="B1478" s="95">
        <v>44534</v>
      </c>
      <c r="C1478" s="97">
        <f t="shared" ca="1" si="444"/>
        <v>-530</v>
      </c>
      <c r="D1478" s="96" t="s">
        <v>921</v>
      </c>
      <c r="E1478" s="116" t="s">
        <v>906</v>
      </c>
      <c r="F1478" s="132" t="str">
        <f t="shared" si="445"/>
        <v>30</v>
      </c>
      <c r="G1478" s="130">
        <f ca="1">SUMIF($A:E,$A1478,K:K)</f>
        <v>140</v>
      </c>
      <c r="H1478" s="97" t="s">
        <v>505</v>
      </c>
      <c r="I1478" s="98">
        <v>140</v>
      </c>
      <c r="J1478" s="99">
        <v>140</v>
      </c>
      <c r="K1478" s="143">
        <f t="shared" si="446"/>
        <v>140</v>
      </c>
      <c r="L1478" s="144">
        <f t="shared" si="438"/>
        <v>0</v>
      </c>
      <c r="M1478" s="275">
        <f t="shared" ref="M1478:M1490" si="448">IF(OR(MID(E1478,10,1)="0",MID(E1478,10,1)="F"),I1478,IF(OR(,MID(E1478,10,1)="S",MID(E1478,10,1)="L",MID(E1478,10,1)="B",MID(E1478,10,1)="X"),MID(E1478,11,1)*I1478,0))</f>
        <v>140</v>
      </c>
      <c r="N1478" s="98">
        <v>1</v>
      </c>
      <c r="O1478" s="93">
        <f t="shared" ref="O1478:O1488" si="449">K1478/J1478*100</f>
        <v>100</v>
      </c>
      <c r="KV1478" s="100">
        <v>58</v>
      </c>
      <c r="KW1478" s="100">
        <v>40</v>
      </c>
      <c r="KX1478" s="100">
        <v>19</v>
      </c>
      <c r="KY1478" s="100">
        <v>20</v>
      </c>
      <c r="KZ1478" s="100">
        <v>3</v>
      </c>
      <c r="ON1478" s="100">
        <f t="shared" si="447"/>
        <v>0</v>
      </c>
    </row>
    <row r="1479" spans="1:404" ht="23.25" customHeight="1">
      <c r="A1479" s="97" t="str">
        <f t="shared" si="443"/>
        <v>077/WESTELM-2166-70300-02-30</v>
      </c>
      <c r="B1479" s="95">
        <v>44534</v>
      </c>
      <c r="C1479" s="97">
        <f t="shared" ca="1" si="444"/>
        <v>-530</v>
      </c>
      <c r="D1479" s="96" t="s">
        <v>923</v>
      </c>
      <c r="E1479" s="116" t="s">
        <v>906</v>
      </c>
      <c r="F1479" s="132" t="str">
        <f t="shared" si="445"/>
        <v>30</v>
      </c>
      <c r="G1479" s="130">
        <f ca="1">SUMIF($A:E,$A1479,K:K)</f>
        <v>90</v>
      </c>
      <c r="H1479" s="97" t="s">
        <v>505</v>
      </c>
      <c r="I1479" s="98">
        <v>90</v>
      </c>
      <c r="J1479" s="99">
        <v>90</v>
      </c>
      <c r="K1479" s="143">
        <f t="shared" si="446"/>
        <v>90</v>
      </c>
      <c r="L1479" s="144">
        <f t="shared" si="438"/>
        <v>0</v>
      </c>
      <c r="M1479" s="275">
        <f t="shared" si="448"/>
        <v>90</v>
      </c>
      <c r="N1479" s="98">
        <v>1</v>
      </c>
      <c r="O1479" s="93">
        <f t="shared" si="449"/>
        <v>100</v>
      </c>
      <c r="KZ1479" s="100">
        <v>10</v>
      </c>
      <c r="LB1479" s="100">
        <v>43</v>
      </c>
      <c r="LC1479" s="100">
        <v>14</v>
      </c>
      <c r="LE1479" s="100">
        <v>9</v>
      </c>
      <c r="LF1479" s="100">
        <v>14</v>
      </c>
      <c r="ON1479" s="100">
        <f t="shared" si="447"/>
        <v>0</v>
      </c>
    </row>
    <row r="1480" spans="1:404" ht="23.25" customHeight="1">
      <c r="A1480" s="97" t="str">
        <f t="shared" si="443"/>
        <v>133/WESTELM-2166-70300-02-30</v>
      </c>
      <c r="B1480" s="95">
        <v>44442</v>
      </c>
      <c r="C1480" s="97">
        <f t="shared" ca="1" si="444"/>
        <v>-622</v>
      </c>
      <c r="D1480" s="96" t="s">
        <v>1267</v>
      </c>
      <c r="E1480" s="209" t="s">
        <v>906</v>
      </c>
      <c r="F1480" s="132" t="str">
        <f t="shared" si="445"/>
        <v>30</v>
      </c>
      <c r="G1480" s="130">
        <f ca="1">SUMIF($A:E,$A1480,K:K)</f>
        <v>20</v>
      </c>
      <c r="H1480" s="97" t="s">
        <v>1266</v>
      </c>
      <c r="I1480" s="98">
        <v>20</v>
      </c>
      <c r="J1480" s="99">
        <v>20</v>
      </c>
      <c r="K1480" s="143">
        <f t="shared" si="446"/>
        <v>20</v>
      </c>
      <c r="L1480" s="144">
        <f t="shared" si="438"/>
        <v>0</v>
      </c>
      <c r="M1480" s="275">
        <f t="shared" si="448"/>
        <v>20</v>
      </c>
      <c r="N1480" s="98">
        <v>2</v>
      </c>
      <c r="O1480" s="93">
        <f t="shared" si="449"/>
        <v>100</v>
      </c>
      <c r="GR1480" s="100">
        <v>5</v>
      </c>
      <c r="GS1480" s="100">
        <v>5</v>
      </c>
      <c r="GU1480" s="100">
        <v>7</v>
      </c>
      <c r="GV1480" s="100">
        <v>2</v>
      </c>
      <c r="GZ1480" s="100">
        <v>1</v>
      </c>
      <c r="ON1480" s="100">
        <f t="shared" si="447"/>
        <v>0</v>
      </c>
    </row>
    <row r="1481" spans="1:404" ht="23.25" customHeight="1">
      <c r="A1481" s="97" t="str">
        <f t="shared" si="443"/>
        <v>028T/WESTELM-2166-70300-01-B</v>
      </c>
      <c r="B1481" s="95">
        <v>44513</v>
      </c>
      <c r="C1481" s="97">
        <f t="shared" ca="1" si="444"/>
        <v>-551</v>
      </c>
      <c r="D1481" s="112" t="s">
        <v>1425</v>
      </c>
      <c r="E1481" s="123" t="s">
        <v>531</v>
      </c>
      <c r="F1481" s="132" t="str">
        <f t="shared" si="445"/>
        <v>B</v>
      </c>
      <c r="G1481" s="130">
        <f ca="1">SUMIF($A:E,$A1481,K:K)</f>
        <v>20</v>
      </c>
      <c r="H1481" s="97" t="s">
        <v>616</v>
      </c>
      <c r="I1481" s="175">
        <v>20</v>
      </c>
      <c r="J1481" s="115">
        <v>20</v>
      </c>
      <c r="K1481" s="143">
        <f t="shared" si="446"/>
        <v>20</v>
      </c>
      <c r="L1481" s="144">
        <f t="shared" si="438"/>
        <v>0</v>
      </c>
      <c r="M1481" s="275">
        <f t="shared" si="448"/>
        <v>20</v>
      </c>
      <c r="N1481" s="98">
        <v>3</v>
      </c>
      <c r="O1481" s="93">
        <f t="shared" si="449"/>
        <v>100</v>
      </c>
      <c r="IU1481" s="100">
        <v>5</v>
      </c>
      <c r="IY1481" s="100">
        <v>4</v>
      </c>
      <c r="IZ1481" s="100">
        <v>1</v>
      </c>
      <c r="JB1481" s="100">
        <v>10</v>
      </c>
      <c r="ON1481" s="100">
        <f t="shared" si="447"/>
        <v>0</v>
      </c>
    </row>
    <row r="1482" spans="1:404" ht="23.25" customHeight="1">
      <c r="A1482" s="97" t="s">
        <v>1795</v>
      </c>
      <c r="B1482" s="95">
        <v>44515</v>
      </c>
      <c r="C1482" s="97">
        <f t="shared" ca="1" si="444"/>
        <v>-549</v>
      </c>
      <c r="D1482" s="112" t="s">
        <v>1544</v>
      </c>
      <c r="E1482" s="279" t="s">
        <v>531</v>
      </c>
      <c r="F1482" s="132" t="s">
        <v>561</v>
      </c>
      <c r="G1482" s="130">
        <v>221</v>
      </c>
      <c r="H1482" s="112" t="s">
        <v>1545</v>
      </c>
      <c r="I1482" s="175">
        <v>467</v>
      </c>
      <c r="J1482" s="115">
        <v>70</v>
      </c>
      <c r="K1482" s="143">
        <f t="shared" si="446"/>
        <v>70</v>
      </c>
      <c r="L1482" s="144">
        <f t="shared" si="438"/>
        <v>0</v>
      </c>
      <c r="M1482" s="275">
        <f t="shared" si="448"/>
        <v>467</v>
      </c>
      <c r="N1482" s="98" t="s">
        <v>1776</v>
      </c>
      <c r="O1482" s="93">
        <f t="shared" si="449"/>
        <v>100</v>
      </c>
      <c r="IG1482" s="100">
        <v>5</v>
      </c>
      <c r="IH1482" s="100">
        <v>3</v>
      </c>
      <c r="II1482" s="100">
        <v>5</v>
      </c>
      <c r="IL1482" s="100">
        <v>4</v>
      </c>
      <c r="IM1482" s="100">
        <v>9</v>
      </c>
      <c r="IN1482" s="100">
        <v>5</v>
      </c>
      <c r="IP1482" s="100">
        <v>5</v>
      </c>
      <c r="IR1482" s="100">
        <v>5</v>
      </c>
      <c r="IS1482" s="100">
        <v>5</v>
      </c>
      <c r="IU1482" s="100">
        <v>5</v>
      </c>
      <c r="IV1482" s="100">
        <v>10</v>
      </c>
      <c r="IY1482" s="100">
        <v>7</v>
      </c>
      <c r="JA1482" s="100">
        <v>2</v>
      </c>
      <c r="ON1482" s="100">
        <f t="shared" si="447"/>
        <v>0</v>
      </c>
    </row>
    <row r="1483" spans="1:404" ht="23.25" customHeight="1">
      <c r="A1483" s="97" t="str">
        <f t="shared" ref="A1483:A1488" si="450">D1483&amp;E1483</f>
        <v>029T/WESTELM-2166-70300-01-B</v>
      </c>
      <c r="B1483" s="95">
        <v>44515</v>
      </c>
      <c r="C1483" s="97">
        <f t="shared" ca="1" si="444"/>
        <v>-549</v>
      </c>
      <c r="D1483" s="112" t="s">
        <v>1544</v>
      </c>
      <c r="E1483" s="123" t="s">
        <v>531</v>
      </c>
      <c r="F1483" s="132" t="str">
        <f t="shared" ref="F1483:F1508" si="451">MID(E1483,13,2)</f>
        <v>B</v>
      </c>
      <c r="G1483" s="130">
        <f ca="1">SUMIF($A:E,$A1483,K:K)</f>
        <v>467</v>
      </c>
      <c r="H1483" s="112" t="s">
        <v>1545</v>
      </c>
      <c r="I1483" s="175">
        <v>467</v>
      </c>
      <c r="J1483" s="115">
        <v>97</v>
      </c>
      <c r="K1483" s="143">
        <f t="shared" si="446"/>
        <v>97</v>
      </c>
      <c r="L1483" s="144">
        <f t="shared" si="438"/>
        <v>0</v>
      </c>
      <c r="M1483" s="275">
        <f t="shared" si="448"/>
        <v>467</v>
      </c>
      <c r="N1483" s="98">
        <v>5</v>
      </c>
      <c r="O1483" s="93">
        <f t="shared" si="449"/>
        <v>100</v>
      </c>
      <c r="HJ1483" s="100">
        <v>5</v>
      </c>
      <c r="HK1483" s="100">
        <v>4</v>
      </c>
      <c r="HM1483" s="100">
        <v>19</v>
      </c>
      <c r="HP1483" s="100">
        <v>15</v>
      </c>
      <c r="HQ1483" s="100">
        <v>5</v>
      </c>
      <c r="HS1483" s="100">
        <v>9</v>
      </c>
      <c r="HT1483" s="100">
        <v>5</v>
      </c>
      <c r="HU1483" s="100">
        <v>6</v>
      </c>
      <c r="HW1483" s="100">
        <v>14</v>
      </c>
      <c r="HY1483" s="100">
        <v>5</v>
      </c>
      <c r="IE1483" s="100">
        <v>10</v>
      </c>
      <c r="ON1483" s="100">
        <f t="shared" si="447"/>
        <v>0</v>
      </c>
    </row>
    <row r="1484" spans="1:404" ht="23.25" customHeight="1">
      <c r="A1484" s="97" t="str">
        <f t="shared" si="450"/>
        <v>029T/WESTELM-2166-70300-01-B</v>
      </c>
      <c r="B1484" s="95">
        <v>44515</v>
      </c>
      <c r="C1484" s="97">
        <f t="shared" ca="1" si="444"/>
        <v>-549</v>
      </c>
      <c r="D1484" s="112" t="s">
        <v>1544</v>
      </c>
      <c r="E1484" s="123" t="s">
        <v>531</v>
      </c>
      <c r="F1484" s="132" t="str">
        <f t="shared" si="451"/>
        <v>B</v>
      </c>
      <c r="G1484" s="130">
        <f ca="1">SUMIF($A:E,$A1484,K:K)</f>
        <v>467</v>
      </c>
      <c r="H1484" s="112" t="s">
        <v>1545</v>
      </c>
      <c r="I1484" s="175">
        <v>467</v>
      </c>
      <c r="J1484" s="115">
        <v>100</v>
      </c>
      <c r="K1484" s="143">
        <f t="shared" si="446"/>
        <v>100</v>
      </c>
      <c r="L1484" s="144">
        <f t="shared" si="438"/>
        <v>0</v>
      </c>
      <c r="M1484" s="275">
        <f t="shared" si="448"/>
        <v>467</v>
      </c>
      <c r="N1484" s="98">
        <v>2</v>
      </c>
      <c r="O1484" s="93">
        <f t="shared" si="449"/>
        <v>100</v>
      </c>
      <c r="HW1484" s="100">
        <v>16</v>
      </c>
      <c r="HX1484" s="100">
        <v>15</v>
      </c>
      <c r="ID1484" s="100">
        <v>16</v>
      </c>
      <c r="IE1484" s="100">
        <v>4</v>
      </c>
      <c r="IF1484" s="100">
        <v>10</v>
      </c>
      <c r="II1484" s="100">
        <v>7</v>
      </c>
      <c r="IK1484" s="100">
        <v>9</v>
      </c>
      <c r="IN1484" s="100">
        <v>5</v>
      </c>
      <c r="JJ1484" s="100">
        <v>5</v>
      </c>
      <c r="JK1484" s="100">
        <v>10</v>
      </c>
      <c r="JM1484" s="100">
        <v>3</v>
      </c>
      <c r="ON1484" s="100">
        <f t="shared" si="447"/>
        <v>0</v>
      </c>
    </row>
    <row r="1485" spans="1:404" ht="23.25" customHeight="1">
      <c r="A1485" s="97" t="str">
        <f t="shared" si="450"/>
        <v>029T/WESTELM-2166-70300-01-B</v>
      </c>
      <c r="B1485" s="95">
        <v>44515</v>
      </c>
      <c r="C1485" s="97">
        <f t="shared" ca="1" si="444"/>
        <v>-549</v>
      </c>
      <c r="D1485" s="112" t="s">
        <v>1544</v>
      </c>
      <c r="E1485" s="123" t="s">
        <v>531</v>
      </c>
      <c r="F1485" s="132" t="str">
        <f t="shared" si="451"/>
        <v>B</v>
      </c>
      <c r="G1485" s="130">
        <f ca="1">SUMIF($A:E,$A1485,K:K)</f>
        <v>467</v>
      </c>
      <c r="H1485" s="112" t="s">
        <v>1545</v>
      </c>
      <c r="I1485" s="175">
        <v>467</v>
      </c>
      <c r="J1485" s="115">
        <v>100</v>
      </c>
      <c r="K1485" s="143">
        <f t="shared" si="446"/>
        <v>100</v>
      </c>
      <c r="L1485" s="144">
        <f t="shared" si="438"/>
        <v>0</v>
      </c>
      <c r="M1485" s="275">
        <f t="shared" si="448"/>
        <v>467</v>
      </c>
      <c r="N1485" s="98">
        <v>1</v>
      </c>
      <c r="O1485" s="93">
        <f t="shared" si="449"/>
        <v>100</v>
      </c>
      <c r="II1485" s="100">
        <v>5</v>
      </c>
      <c r="IK1485" s="100">
        <v>2</v>
      </c>
      <c r="IM1485" s="100">
        <v>5</v>
      </c>
      <c r="IP1485" s="100">
        <v>3</v>
      </c>
      <c r="IS1485" s="100">
        <v>7</v>
      </c>
      <c r="IU1485" s="100">
        <v>1</v>
      </c>
      <c r="IW1485" s="100">
        <v>5</v>
      </c>
      <c r="IY1485" s="100">
        <v>6</v>
      </c>
      <c r="IZ1485" s="100">
        <v>4</v>
      </c>
      <c r="JA1485" s="100">
        <v>5</v>
      </c>
      <c r="JB1485" s="100">
        <v>3</v>
      </c>
      <c r="JC1485" s="100">
        <v>5</v>
      </c>
      <c r="JD1485" s="100">
        <v>3</v>
      </c>
      <c r="JF1485" s="100">
        <v>4</v>
      </c>
      <c r="JG1485" s="100">
        <v>6</v>
      </c>
      <c r="JH1485" s="100">
        <v>6</v>
      </c>
      <c r="JI1485" s="100">
        <v>5</v>
      </c>
      <c r="JJ1485" s="100">
        <v>5</v>
      </c>
      <c r="JK1485" s="100">
        <v>10</v>
      </c>
      <c r="JN1485" s="100">
        <v>5</v>
      </c>
      <c r="JP1485" s="100">
        <v>1</v>
      </c>
      <c r="KB1485" s="100">
        <v>1</v>
      </c>
      <c r="KC1485" s="100">
        <v>1</v>
      </c>
      <c r="KG1485" s="100">
        <v>2</v>
      </c>
      <c r="ON1485" s="100">
        <f t="shared" si="447"/>
        <v>0</v>
      </c>
    </row>
    <row r="1486" spans="1:404" ht="23.25" customHeight="1">
      <c r="A1486" s="97" t="str">
        <f t="shared" si="450"/>
        <v>029T/WESTELM-2166-70300-01-B</v>
      </c>
      <c r="B1486" s="95">
        <v>44515</v>
      </c>
      <c r="C1486" s="97">
        <f t="shared" ca="1" si="444"/>
        <v>-549</v>
      </c>
      <c r="D1486" s="112" t="s">
        <v>1544</v>
      </c>
      <c r="E1486" s="123" t="s">
        <v>531</v>
      </c>
      <c r="F1486" s="132" t="str">
        <f t="shared" si="451"/>
        <v>B</v>
      </c>
      <c r="G1486" s="130">
        <f ca="1">SUMIF($A:E,$A1486,K:K)</f>
        <v>467</v>
      </c>
      <c r="H1486" s="112" t="s">
        <v>1545</v>
      </c>
      <c r="I1486" s="175">
        <v>467</v>
      </c>
      <c r="J1486" s="115">
        <f>467-J1482-J1483-J1484-J1485</f>
        <v>100</v>
      </c>
      <c r="K1486" s="143">
        <f t="shared" si="446"/>
        <v>100</v>
      </c>
      <c r="L1486" s="144">
        <f t="shared" si="438"/>
        <v>0</v>
      </c>
      <c r="M1486" s="275">
        <f t="shared" si="448"/>
        <v>467</v>
      </c>
      <c r="N1486" s="98">
        <v>3</v>
      </c>
      <c r="O1486" s="93">
        <f t="shared" si="449"/>
        <v>100</v>
      </c>
      <c r="HL1486" s="100">
        <v>5</v>
      </c>
      <c r="HM1486" s="100">
        <v>4</v>
      </c>
      <c r="HP1486" s="100">
        <v>9</v>
      </c>
      <c r="HQ1486" s="100">
        <v>15</v>
      </c>
      <c r="HS1486" s="100">
        <v>10</v>
      </c>
      <c r="HT1486" s="100">
        <v>4</v>
      </c>
      <c r="HW1486" s="100">
        <v>5</v>
      </c>
      <c r="IB1486" s="100">
        <v>5</v>
      </c>
      <c r="ID1486" s="100">
        <v>5</v>
      </c>
      <c r="IE1486" s="100">
        <v>4</v>
      </c>
      <c r="IG1486" s="100">
        <v>10</v>
      </c>
      <c r="II1486" s="100">
        <v>5</v>
      </c>
      <c r="IL1486" s="100">
        <v>5</v>
      </c>
      <c r="IM1486" s="100">
        <v>5</v>
      </c>
      <c r="IN1486" s="100">
        <v>5</v>
      </c>
      <c r="IT1486" s="100">
        <v>4</v>
      </c>
      <c r="ON1486" s="100">
        <f t="shared" si="447"/>
        <v>0</v>
      </c>
    </row>
    <row r="1487" spans="1:404" ht="23.25" customHeight="1">
      <c r="A1487" s="97" t="str">
        <f t="shared" si="450"/>
        <v>030T/WESTELM-2166-70300-01-B</v>
      </c>
      <c r="B1487" s="95">
        <v>44524</v>
      </c>
      <c r="C1487" s="97">
        <f t="shared" ca="1" si="444"/>
        <v>-540</v>
      </c>
      <c r="D1487" s="112" t="s">
        <v>1592</v>
      </c>
      <c r="E1487" s="123" t="s">
        <v>531</v>
      </c>
      <c r="F1487" s="132" t="str">
        <f t="shared" si="451"/>
        <v>B</v>
      </c>
      <c r="G1487" s="130">
        <f ca="1">SUMIF($A:E,$A1487,K:K)</f>
        <v>133</v>
      </c>
      <c r="H1487" s="97" t="s">
        <v>1593</v>
      </c>
      <c r="I1487" s="175">
        <v>133</v>
      </c>
      <c r="J1487" s="115">
        <v>133</v>
      </c>
      <c r="K1487" s="143">
        <f t="shared" si="446"/>
        <v>133</v>
      </c>
      <c r="L1487" s="144">
        <f t="shared" si="438"/>
        <v>0</v>
      </c>
      <c r="M1487" s="275">
        <f t="shared" si="448"/>
        <v>133</v>
      </c>
      <c r="N1487" s="98">
        <v>3</v>
      </c>
      <c r="O1487" s="93">
        <f t="shared" si="449"/>
        <v>100</v>
      </c>
      <c r="JB1487" s="100">
        <v>11</v>
      </c>
      <c r="JC1487" s="100">
        <v>2</v>
      </c>
      <c r="JD1487" s="100">
        <v>8</v>
      </c>
      <c r="JF1487" s="100">
        <v>5</v>
      </c>
      <c r="JG1487" s="100">
        <v>6</v>
      </c>
      <c r="JH1487" s="100">
        <v>10</v>
      </c>
      <c r="JI1487" s="100">
        <v>10</v>
      </c>
      <c r="JJ1487" s="100">
        <v>10</v>
      </c>
      <c r="JK1487" s="100">
        <v>10</v>
      </c>
      <c r="JM1487" s="100">
        <v>5</v>
      </c>
      <c r="JN1487" s="100">
        <v>5</v>
      </c>
      <c r="JO1487" s="100">
        <v>6</v>
      </c>
      <c r="JP1487" s="100">
        <v>5</v>
      </c>
      <c r="JR1487" s="100">
        <v>5</v>
      </c>
      <c r="JT1487" s="100">
        <v>5</v>
      </c>
      <c r="JU1487" s="100">
        <v>5</v>
      </c>
      <c r="JV1487" s="100">
        <v>1</v>
      </c>
      <c r="JW1487" s="100">
        <v>2</v>
      </c>
      <c r="JY1487" s="100">
        <v>15</v>
      </c>
      <c r="KC1487" s="100">
        <v>5</v>
      </c>
      <c r="KD1487" s="100">
        <v>2</v>
      </c>
      <c r="ON1487" s="100">
        <f t="shared" si="447"/>
        <v>0</v>
      </c>
    </row>
    <row r="1488" spans="1:404" ht="23.25" customHeight="1">
      <c r="A1488" s="97" t="str">
        <f t="shared" si="450"/>
        <v>035T/WESTELM-2166-70300-01-B</v>
      </c>
      <c r="B1488" s="95">
        <v>44546</v>
      </c>
      <c r="C1488" s="97">
        <f t="shared" ca="1" si="444"/>
        <v>-518</v>
      </c>
      <c r="D1488" s="112" t="s">
        <v>1773</v>
      </c>
      <c r="E1488" s="279" t="s">
        <v>531</v>
      </c>
      <c r="F1488" s="132" t="str">
        <f t="shared" si="451"/>
        <v>B</v>
      </c>
      <c r="G1488" s="130">
        <f ca="1">SUMIF($A:E,$A1488,K:K)</f>
        <v>538</v>
      </c>
      <c r="H1488" s="97" t="s">
        <v>616</v>
      </c>
      <c r="I1488" s="175">
        <v>538</v>
      </c>
      <c r="J1488" s="115">
        <v>538</v>
      </c>
      <c r="K1488" s="143">
        <f t="shared" si="446"/>
        <v>538</v>
      </c>
      <c r="L1488" s="144">
        <f t="shared" si="438"/>
        <v>0</v>
      </c>
      <c r="M1488" s="275">
        <f t="shared" si="448"/>
        <v>538</v>
      </c>
      <c r="N1488" s="98" t="s">
        <v>1776</v>
      </c>
      <c r="O1488" s="93">
        <f t="shared" si="449"/>
        <v>100</v>
      </c>
      <c r="JA1488" s="100">
        <v>3</v>
      </c>
      <c r="JC1488" s="100">
        <v>22</v>
      </c>
      <c r="JF1488" s="100">
        <v>15</v>
      </c>
      <c r="JG1488" s="100">
        <v>16</v>
      </c>
      <c r="JH1488" s="100">
        <v>11</v>
      </c>
      <c r="JI1488" s="100">
        <v>11</v>
      </c>
      <c r="JJ1488" s="100">
        <v>11</v>
      </c>
      <c r="JK1488" s="100">
        <v>11</v>
      </c>
      <c r="JN1488" s="100">
        <v>10</v>
      </c>
      <c r="JO1488" s="100">
        <v>11</v>
      </c>
      <c r="JP1488" s="100">
        <v>11</v>
      </c>
      <c r="JT1488" s="100">
        <v>1</v>
      </c>
      <c r="JU1488" s="100">
        <v>11</v>
      </c>
      <c r="JV1488" s="100">
        <v>11</v>
      </c>
      <c r="JW1488" s="100">
        <v>18</v>
      </c>
      <c r="JX1488" s="100">
        <v>8</v>
      </c>
      <c r="JY1488" s="100">
        <v>3</v>
      </c>
      <c r="KA1488" s="100">
        <v>10</v>
      </c>
      <c r="KB1488" s="100">
        <v>11</v>
      </c>
      <c r="KC1488" s="100">
        <v>11</v>
      </c>
      <c r="KD1488" s="100">
        <v>11</v>
      </c>
      <c r="KE1488" s="100">
        <v>11</v>
      </c>
      <c r="KF1488" s="100">
        <v>11</v>
      </c>
      <c r="KG1488" s="100">
        <v>11</v>
      </c>
      <c r="KO1488" s="100">
        <v>32</v>
      </c>
      <c r="KP1488" s="100">
        <v>12</v>
      </c>
      <c r="KQ1488" s="100">
        <v>10</v>
      </c>
      <c r="KR1488" s="100">
        <v>12</v>
      </c>
      <c r="KV1488" s="100">
        <v>11</v>
      </c>
      <c r="KW1488" s="100">
        <v>11</v>
      </c>
      <c r="KX1488" s="100">
        <v>6</v>
      </c>
      <c r="KY1488" s="100">
        <v>10</v>
      </c>
      <c r="KZ1488" s="100">
        <v>10</v>
      </c>
      <c r="LB1488" s="100">
        <v>14</v>
      </c>
      <c r="LC1488" s="100">
        <v>11</v>
      </c>
      <c r="LD1488" s="100">
        <v>13</v>
      </c>
      <c r="LF1488" s="100">
        <v>16</v>
      </c>
      <c r="LI1488" s="100">
        <v>27</v>
      </c>
      <c r="LK1488" s="100">
        <v>10</v>
      </c>
      <c r="LL1488" s="100">
        <v>12</v>
      </c>
      <c r="LM1488" s="100">
        <v>11</v>
      </c>
      <c r="LN1488" s="100">
        <v>10</v>
      </c>
      <c r="LQ1488" s="100">
        <v>18</v>
      </c>
      <c r="LR1488" s="100">
        <v>3</v>
      </c>
      <c r="LS1488" s="100">
        <v>19</v>
      </c>
      <c r="ON1488" s="100">
        <f t="shared" si="447"/>
        <v>0</v>
      </c>
    </row>
    <row r="1489" spans="1:404" ht="23.25" customHeight="1">
      <c r="A1489" s="97" t="str">
        <f>D1489&amp;E1490</f>
        <v>008/P0TTERYPATCH-2166-68800-S2-B</v>
      </c>
      <c r="B1489" s="95">
        <v>44715</v>
      </c>
      <c r="C1489" s="97">
        <f t="shared" ca="1" si="444"/>
        <v>-349</v>
      </c>
      <c r="D1489" s="96" t="s">
        <v>1240</v>
      </c>
      <c r="E1489" s="94" t="s">
        <v>1243</v>
      </c>
      <c r="F1489" s="132" t="str">
        <f t="shared" si="451"/>
        <v>B</v>
      </c>
      <c r="G1489" s="130">
        <f ca="1">SUMIF($A:E,$A1489,K:K)</f>
        <v>0</v>
      </c>
      <c r="H1489" s="97" t="s">
        <v>508</v>
      </c>
      <c r="I1489" s="98">
        <v>64</v>
      </c>
      <c r="J1489" s="97">
        <v>64</v>
      </c>
      <c r="K1489" s="143">
        <f t="shared" si="446"/>
        <v>0</v>
      </c>
      <c r="L1489" s="144">
        <f t="shared" si="438"/>
        <v>64</v>
      </c>
      <c r="M1489" s="275">
        <f t="shared" si="448"/>
        <v>192</v>
      </c>
      <c r="N1489" s="98"/>
      <c r="O1489" s="93">
        <f t="shared" ref="O1489:O1517" si="452">K1489/J1489*100</f>
        <v>0</v>
      </c>
      <c r="ON1489" s="100">
        <f t="shared" si="447"/>
        <v>0</v>
      </c>
    </row>
    <row r="1490" spans="1:404" ht="23.25" customHeight="1">
      <c r="A1490" s="97" t="str">
        <f t="shared" ref="A1490:A1511" si="453">D1490&amp;E1490</f>
        <v>042/HACA-HK-2166-68800-S2-B</v>
      </c>
      <c r="B1490" s="95">
        <v>44551</v>
      </c>
      <c r="C1490" s="97">
        <f t="shared" ca="1" si="444"/>
        <v>-513</v>
      </c>
      <c r="D1490" s="96" t="s">
        <v>1144</v>
      </c>
      <c r="E1490" s="94" t="s">
        <v>1152</v>
      </c>
      <c r="F1490" s="132" t="str">
        <f t="shared" si="451"/>
        <v>B</v>
      </c>
      <c r="G1490" s="130">
        <f ca="1">SUMIF($A:E,$A1490,K:K)</f>
        <v>16</v>
      </c>
      <c r="H1490" s="97" t="s">
        <v>601</v>
      </c>
      <c r="I1490" s="98">
        <v>16</v>
      </c>
      <c r="J1490" s="97">
        <v>16</v>
      </c>
      <c r="K1490" s="143">
        <f t="shared" si="446"/>
        <v>16</v>
      </c>
      <c r="L1490" s="144">
        <f t="shared" si="438"/>
        <v>0</v>
      </c>
      <c r="M1490" s="275">
        <f t="shared" si="448"/>
        <v>32</v>
      </c>
      <c r="N1490" s="98">
        <v>1</v>
      </c>
      <c r="O1490" s="93">
        <f t="shared" si="452"/>
        <v>100</v>
      </c>
      <c r="LY1490" s="100">
        <v>8</v>
      </c>
      <c r="LZ1490" s="100">
        <v>2</v>
      </c>
      <c r="MA1490" s="100">
        <v>2</v>
      </c>
      <c r="MB1490" s="100">
        <v>2</v>
      </c>
      <c r="MD1490" s="100">
        <v>2</v>
      </c>
      <c r="ON1490" s="100">
        <f t="shared" si="447"/>
        <v>0</v>
      </c>
    </row>
    <row r="1491" spans="1:404" ht="23.25" customHeight="1">
      <c r="A1491" s="97" t="str">
        <f t="shared" si="453"/>
        <v>042/HACA-HK-2166-73100-S1-B</v>
      </c>
      <c r="B1491" s="95">
        <v>44551</v>
      </c>
      <c r="C1491" s="97">
        <f t="shared" ca="1" si="444"/>
        <v>-513</v>
      </c>
      <c r="D1491" s="96" t="s">
        <v>1144</v>
      </c>
      <c r="E1491" s="94" t="s">
        <v>1153</v>
      </c>
      <c r="F1491" s="132" t="str">
        <f t="shared" si="451"/>
        <v>B</v>
      </c>
      <c r="G1491" s="130">
        <f ca="1">SUMIF($A:E,$A1491,K:K)</f>
        <v>180</v>
      </c>
      <c r="H1491" s="97" t="s">
        <v>601</v>
      </c>
      <c r="I1491" s="98">
        <v>180</v>
      </c>
      <c r="J1491" s="97">
        <v>180</v>
      </c>
      <c r="K1491" s="143">
        <f t="shared" si="446"/>
        <v>180</v>
      </c>
      <c r="L1491" s="144">
        <f t="shared" ref="L1491" si="454">J1491-K1491</f>
        <v>0</v>
      </c>
      <c r="M1491" s="275"/>
      <c r="N1491" s="98">
        <v>4</v>
      </c>
      <c r="O1491" s="93">
        <f t="shared" si="452"/>
        <v>100</v>
      </c>
      <c r="KG1491" s="100">
        <v>13</v>
      </c>
      <c r="KH1491" s="100">
        <v>7</v>
      </c>
      <c r="KI1491" s="100">
        <v>7</v>
      </c>
      <c r="KN1491" s="100">
        <v>13</v>
      </c>
      <c r="KO1491" s="100">
        <v>15</v>
      </c>
      <c r="KP1491" s="100">
        <v>12</v>
      </c>
      <c r="KQ1491" s="100">
        <v>13</v>
      </c>
      <c r="KR1491" s="100">
        <v>7</v>
      </c>
      <c r="KU1491" s="100">
        <v>7</v>
      </c>
      <c r="KW1491" s="100">
        <v>14</v>
      </c>
      <c r="KX1491" s="100">
        <v>8</v>
      </c>
      <c r="KZ1491" s="100">
        <v>15</v>
      </c>
      <c r="LC1491" s="100">
        <v>14</v>
      </c>
      <c r="LD1491" s="100">
        <v>8</v>
      </c>
      <c r="LF1491" s="100">
        <v>14</v>
      </c>
      <c r="LG1491" s="100">
        <v>5</v>
      </c>
      <c r="LI1491" s="100">
        <v>8</v>
      </c>
      <c r="ON1491" s="100">
        <f t="shared" si="447"/>
        <v>0</v>
      </c>
    </row>
    <row r="1492" spans="1:404" ht="23.25" customHeight="1">
      <c r="A1492" s="97" t="str">
        <f t="shared" si="453"/>
        <v>042/HACA-HK-2166-68700-S2-B</v>
      </c>
      <c r="B1492" s="95">
        <v>44551</v>
      </c>
      <c r="C1492" s="97">
        <f t="shared" ca="1" si="444"/>
        <v>-513</v>
      </c>
      <c r="D1492" s="96" t="s">
        <v>1144</v>
      </c>
      <c r="E1492" s="94" t="s">
        <v>1151</v>
      </c>
      <c r="F1492" s="132" t="str">
        <f t="shared" si="451"/>
        <v>B</v>
      </c>
      <c r="G1492" s="130">
        <f ca="1">SUMIF($A:E,$A1492,K:K)</f>
        <v>15</v>
      </c>
      <c r="H1492" s="97" t="s">
        <v>601</v>
      </c>
      <c r="I1492" s="98">
        <v>15</v>
      </c>
      <c r="J1492" s="97">
        <v>15</v>
      </c>
      <c r="K1492" s="143">
        <f t="shared" si="446"/>
        <v>15</v>
      </c>
      <c r="L1492" s="144">
        <f t="shared" si="438"/>
        <v>0</v>
      </c>
      <c r="M1492" s="275">
        <f t="shared" ref="M1492:M1511" si="455">IF(OR(MID(E1492,10,1)="0",MID(E1492,10,1)="F"),I1492,IF(OR(,MID(E1492,10,1)="S",MID(E1492,10,1)="L",MID(E1492,10,1)="B",MID(E1492,10,1)="X"),MID(E1492,11,1)*I1492,0))</f>
        <v>30</v>
      </c>
      <c r="N1492" s="98">
        <v>1</v>
      </c>
      <c r="O1492" s="93">
        <f t="shared" si="452"/>
        <v>100</v>
      </c>
      <c r="LX1492" s="100">
        <v>8</v>
      </c>
      <c r="LY1492" s="100">
        <v>1</v>
      </c>
      <c r="LZ1492" s="100">
        <v>4</v>
      </c>
      <c r="ME1492" s="100">
        <v>2</v>
      </c>
      <c r="ON1492" s="100">
        <f t="shared" si="447"/>
        <v>0</v>
      </c>
    </row>
    <row r="1493" spans="1:404" ht="23.25" customHeight="1">
      <c r="A1493" s="97" t="str">
        <f t="shared" si="453"/>
        <v>042/HACA-HK-2166-68600-S2-B</v>
      </c>
      <c r="B1493" s="95">
        <v>44551</v>
      </c>
      <c r="C1493" s="97">
        <f t="shared" ca="1" si="444"/>
        <v>-513</v>
      </c>
      <c r="D1493" s="96" t="s">
        <v>1144</v>
      </c>
      <c r="E1493" s="94" t="s">
        <v>1150</v>
      </c>
      <c r="F1493" s="132" t="str">
        <f t="shared" si="451"/>
        <v>B</v>
      </c>
      <c r="G1493" s="130">
        <f ca="1">SUMIF($A:E,$A1493,K:K)</f>
        <v>28</v>
      </c>
      <c r="H1493" s="97" t="s">
        <v>601</v>
      </c>
      <c r="I1493" s="98">
        <v>28</v>
      </c>
      <c r="J1493" s="97">
        <v>28</v>
      </c>
      <c r="K1493" s="143">
        <f t="shared" si="446"/>
        <v>28</v>
      </c>
      <c r="L1493" s="144">
        <f t="shared" si="438"/>
        <v>0</v>
      </c>
      <c r="M1493" s="275">
        <f t="shared" si="455"/>
        <v>56</v>
      </c>
      <c r="N1493" s="98">
        <v>4</v>
      </c>
      <c r="O1493" s="93">
        <f t="shared" si="452"/>
        <v>100</v>
      </c>
      <c r="KZ1493" s="100">
        <v>5</v>
      </c>
      <c r="LB1493" s="100">
        <v>1</v>
      </c>
      <c r="LC1493" s="100">
        <v>7</v>
      </c>
      <c r="LD1493" s="100">
        <v>4</v>
      </c>
      <c r="LF1493" s="100">
        <v>2</v>
      </c>
      <c r="LG1493" s="100">
        <v>2</v>
      </c>
      <c r="LJ1493" s="100">
        <v>5</v>
      </c>
      <c r="LM1493" s="100">
        <v>2</v>
      </c>
      <c r="ON1493" s="100">
        <f t="shared" si="447"/>
        <v>0</v>
      </c>
    </row>
    <row r="1494" spans="1:404" ht="23.25" customHeight="1">
      <c r="A1494" s="97" t="str">
        <f t="shared" si="453"/>
        <v>042/HACA-HK-2166-68600-02-B</v>
      </c>
      <c r="B1494" s="95">
        <v>44551</v>
      </c>
      <c r="C1494" s="97">
        <f t="shared" ca="1" si="444"/>
        <v>-513</v>
      </c>
      <c r="D1494" s="96" t="s">
        <v>1144</v>
      </c>
      <c r="E1494" s="94" t="s">
        <v>1149</v>
      </c>
      <c r="F1494" s="132" t="str">
        <f t="shared" si="451"/>
        <v>B</v>
      </c>
      <c r="G1494" s="130">
        <f ca="1">SUMIF($A:E,$A1494,K:K)</f>
        <v>48</v>
      </c>
      <c r="H1494" s="97" t="s">
        <v>601</v>
      </c>
      <c r="I1494" s="98">
        <v>48</v>
      </c>
      <c r="J1494" s="97">
        <v>48</v>
      </c>
      <c r="K1494" s="143">
        <f t="shared" si="446"/>
        <v>48</v>
      </c>
      <c r="L1494" s="144">
        <f t="shared" si="438"/>
        <v>0</v>
      </c>
      <c r="M1494" s="275">
        <f t="shared" si="455"/>
        <v>48</v>
      </c>
      <c r="N1494" s="98">
        <v>4</v>
      </c>
      <c r="O1494" s="93">
        <f t="shared" si="452"/>
        <v>100</v>
      </c>
      <c r="KG1494" s="100">
        <v>7</v>
      </c>
      <c r="KH1494" s="100">
        <v>9</v>
      </c>
      <c r="KI1494" s="100">
        <v>4</v>
      </c>
      <c r="KN1494" s="100">
        <v>6</v>
      </c>
      <c r="KO1494" s="100">
        <v>10</v>
      </c>
      <c r="KP1494" s="100">
        <v>7</v>
      </c>
      <c r="KQ1494" s="100">
        <v>5</v>
      </c>
      <c r="ON1494" s="100">
        <f t="shared" si="447"/>
        <v>0</v>
      </c>
    </row>
    <row r="1495" spans="1:404" ht="23.25" customHeight="1">
      <c r="A1495" s="97" t="str">
        <f t="shared" si="453"/>
        <v>042/HACA-HK-2166-68500-S4-B</v>
      </c>
      <c r="B1495" s="95">
        <v>44551</v>
      </c>
      <c r="C1495" s="97">
        <f t="shared" ca="1" si="444"/>
        <v>-513</v>
      </c>
      <c r="D1495" s="96" t="s">
        <v>1144</v>
      </c>
      <c r="E1495" s="94" t="s">
        <v>1148</v>
      </c>
      <c r="F1495" s="132" t="str">
        <f t="shared" si="451"/>
        <v>B</v>
      </c>
      <c r="G1495" s="130">
        <f ca="1">SUMIF($A:E,$A1495,K:K)</f>
        <v>24</v>
      </c>
      <c r="H1495" s="97" t="s">
        <v>601</v>
      </c>
      <c r="I1495" s="98">
        <v>24</v>
      </c>
      <c r="J1495" s="97">
        <v>24</v>
      </c>
      <c r="K1495" s="143">
        <f t="shared" si="446"/>
        <v>24</v>
      </c>
      <c r="L1495" s="144">
        <f t="shared" si="438"/>
        <v>0</v>
      </c>
      <c r="M1495" s="275">
        <f t="shared" si="455"/>
        <v>96</v>
      </c>
      <c r="N1495" s="98">
        <v>2</v>
      </c>
      <c r="O1495" s="93">
        <f t="shared" si="452"/>
        <v>100</v>
      </c>
      <c r="LQ1495" s="100">
        <v>5</v>
      </c>
      <c r="LS1495" s="100">
        <v>9</v>
      </c>
      <c r="LU1495" s="100">
        <v>4</v>
      </c>
      <c r="LW1495" s="100">
        <v>2</v>
      </c>
      <c r="MK1495" s="100">
        <v>4</v>
      </c>
      <c r="ON1495" s="100">
        <f t="shared" si="447"/>
        <v>0</v>
      </c>
    </row>
    <row r="1496" spans="1:404" ht="23.25" customHeight="1">
      <c r="A1496" s="97" t="str">
        <f t="shared" si="453"/>
        <v>042/HACA-HK-2166-68500-B3-B</v>
      </c>
      <c r="B1496" s="95">
        <v>44551</v>
      </c>
      <c r="C1496" s="97">
        <f t="shared" ca="1" si="444"/>
        <v>-513</v>
      </c>
      <c r="D1496" s="96" t="s">
        <v>1144</v>
      </c>
      <c r="E1496" s="94" t="s">
        <v>1147</v>
      </c>
      <c r="F1496" s="132" t="str">
        <f t="shared" si="451"/>
        <v>B</v>
      </c>
      <c r="G1496" s="130">
        <f ca="1">SUMIF($A:E,$A1496,K:K)</f>
        <v>32</v>
      </c>
      <c r="H1496" s="97" t="s">
        <v>601</v>
      </c>
      <c r="I1496" s="98">
        <v>32</v>
      </c>
      <c r="J1496" s="97">
        <v>32</v>
      </c>
      <c r="K1496" s="143">
        <f t="shared" si="446"/>
        <v>32</v>
      </c>
      <c r="L1496" s="144">
        <f t="shared" si="438"/>
        <v>0</v>
      </c>
      <c r="M1496" s="275">
        <f t="shared" si="455"/>
        <v>96</v>
      </c>
      <c r="N1496" s="98">
        <v>2</v>
      </c>
      <c r="O1496" s="93">
        <f t="shared" si="452"/>
        <v>100</v>
      </c>
      <c r="LS1496" s="100">
        <v>5</v>
      </c>
      <c r="LU1496" s="100">
        <v>3</v>
      </c>
      <c r="LX1496" s="100">
        <v>4</v>
      </c>
      <c r="LY1496" s="100">
        <v>3</v>
      </c>
      <c r="LZ1496" s="100">
        <v>9</v>
      </c>
      <c r="MA1496" s="100">
        <v>4</v>
      </c>
      <c r="MB1496" s="100">
        <v>4</v>
      </c>
      <c r="ON1496" s="100">
        <f t="shared" si="447"/>
        <v>0</v>
      </c>
    </row>
    <row r="1497" spans="1:404" ht="23.25" customHeight="1">
      <c r="A1497" s="97" t="str">
        <f t="shared" si="453"/>
        <v>042/HACA-HK-2166-68500-B2-B</v>
      </c>
      <c r="B1497" s="95">
        <v>44551</v>
      </c>
      <c r="C1497" s="97">
        <f t="shared" ca="1" si="444"/>
        <v>-513</v>
      </c>
      <c r="D1497" s="96" t="s">
        <v>1144</v>
      </c>
      <c r="E1497" s="94" t="s">
        <v>1146</v>
      </c>
      <c r="F1497" s="132" t="str">
        <f t="shared" si="451"/>
        <v>B</v>
      </c>
      <c r="G1497" s="130">
        <f ca="1">SUMIF($A:E,$A1497,K:K)</f>
        <v>30</v>
      </c>
      <c r="H1497" s="97" t="s">
        <v>601</v>
      </c>
      <c r="I1497" s="98">
        <v>30</v>
      </c>
      <c r="J1497" s="97">
        <v>30</v>
      </c>
      <c r="K1497" s="143">
        <f t="shared" si="446"/>
        <v>30</v>
      </c>
      <c r="L1497" s="144">
        <f t="shared" si="438"/>
        <v>0</v>
      </c>
      <c r="M1497" s="275">
        <f t="shared" si="455"/>
        <v>60</v>
      </c>
      <c r="N1497" s="98">
        <v>4</v>
      </c>
      <c r="O1497" s="93">
        <f t="shared" si="452"/>
        <v>100</v>
      </c>
      <c r="KZ1497" s="100">
        <v>15</v>
      </c>
      <c r="LC1497" s="100">
        <v>10</v>
      </c>
      <c r="LD1497" s="100">
        <v>5</v>
      </c>
      <c r="ON1497" s="100">
        <f t="shared" si="447"/>
        <v>0</v>
      </c>
    </row>
    <row r="1498" spans="1:404" ht="23.25" customHeight="1">
      <c r="A1498" s="97" t="str">
        <f t="shared" si="453"/>
        <v>042/HACA-HK-2166-68500-04-B</v>
      </c>
      <c r="B1498" s="95">
        <v>44551</v>
      </c>
      <c r="C1498" s="97">
        <f t="shared" ca="1" si="444"/>
        <v>-513</v>
      </c>
      <c r="D1498" s="96" t="s">
        <v>1144</v>
      </c>
      <c r="E1498" s="94" t="s">
        <v>1145</v>
      </c>
      <c r="F1498" s="132" t="str">
        <f t="shared" si="451"/>
        <v>B</v>
      </c>
      <c r="G1498" s="130">
        <f ca="1">SUMIF($A:E,$A1498,K:K)</f>
        <v>126</v>
      </c>
      <c r="H1498" s="97" t="s">
        <v>601</v>
      </c>
      <c r="I1498" s="98">
        <v>126</v>
      </c>
      <c r="J1498" s="97">
        <v>126</v>
      </c>
      <c r="K1498" s="143">
        <f t="shared" si="446"/>
        <v>126</v>
      </c>
      <c r="L1498" s="144">
        <f t="shared" ref="L1498:L1521" si="456">J1498-K1498</f>
        <v>0</v>
      </c>
      <c r="M1498" s="275">
        <f t="shared" si="455"/>
        <v>126</v>
      </c>
      <c r="N1498" s="98">
        <v>4</v>
      </c>
      <c r="O1498" s="93">
        <f t="shared" si="452"/>
        <v>100</v>
      </c>
      <c r="KG1498" s="100">
        <v>13</v>
      </c>
      <c r="KH1498" s="100">
        <v>7</v>
      </c>
      <c r="KI1498" s="100">
        <v>5</v>
      </c>
      <c r="KN1498" s="100">
        <v>10</v>
      </c>
      <c r="KO1498" s="100">
        <v>10</v>
      </c>
      <c r="KP1498" s="100">
        <v>9</v>
      </c>
      <c r="KQ1498" s="100">
        <v>6</v>
      </c>
      <c r="KR1498" s="100">
        <v>5</v>
      </c>
      <c r="KU1498" s="100">
        <v>5</v>
      </c>
      <c r="KW1498" s="100">
        <v>9</v>
      </c>
      <c r="KX1498" s="100">
        <v>10</v>
      </c>
      <c r="KY1498" s="100">
        <v>4</v>
      </c>
      <c r="KZ1498" s="100">
        <v>5</v>
      </c>
      <c r="LC1498" s="100">
        <v>5</v>
      </c>
      <c r="LD1498" s="100">
        <v>3</v>
      </c>
      <c r="LE1498" s="100">
        <v>9</v>
      </c>
      <c r="LF1498" s="100">
        <v>8</v>
      </c>
      <c r="LG1498" s="100">
        <v>1</v>
      </c>
      <c r="LI1498" s="100">
        <v>1</v>
      </c>
      <c r="LP1498" s="100">
        <v>1</v>
      </c>
      <c r="ON1498" s="100">
        <f t="shared" si="447"/>
        <v>0</v>
      </c>
    </row>
    <row r="1499" spans="1:404" ht="23.25" customHeight="1">
      <c r="A1499" s="97" t="str">
        <f t="shared" si="453"/>
        <v>049/HACA-HK-VG-2166-68500-02-B</v>
      </c>
      <c r="B1499" s="95">
        <v>44560</v>
      </c>
      <c r="C1499" s="97">
        <f t="shared" ca="1" si="444"/>
        <v>-504</v>
      </c>
      <c r="D1499" s="112" t="s">
        <v>1502</v>
      </c>
      <c r="E1499" s="123" t="s">
        <v>1504</v>
      </c>
      <c r="F1499" s="132" t="str">
        <f t="shared" si="451"/>
        <v>B</v>
      </c>
      <c r="G1499" s="130">
        <f ca="1">SUMIF($A:E,$A1499,K:K)</f>
        <v>64</v>
      </c>
      <c r="H1499" s="112" t="s">
        <v>1494</v>
      </c>
      <c r="I1499" s="98">
        <v>64</v>
      </c>
      <c r="J1499" s="99">
        <v>64</v>
      </c>
      <c r="K1499" s="143">
        <f t="shared" si="446"/>
        <v>64</v>
      </c>
      <c r="L1499" s="144">
        <f t="shared" si="456"/>
        <v>0</v>
      </c>
      <c r="M1499" s="275">
        <f t="shared" si="455"/>
        <v>64</v>
      </c>
      <c r="N1499" s="98">
        <v>2</v>
      </c>
      <c r="O1499" s="93">
        <f t="shared" si="452"/>
        <v>100</v>
      </c>
      <c r="ME1499" s="100">
        <v>5</v>
      </c>
      <c r="MF1499" s="100">
        <v>3</v>
      </c>
      <c r="MG1499" s="100">
        <v>7</v>
      </c>
      <c r="MH1499" s="100">
        <v>1</v>
      </c>
      <c r="MK1499" s="100">
        <v>11</v>
      </c>
      <c r="ML1499" s="100">
        <v>9</v>
      </c>
      <c r="MM1499" s="100">
        <v>12</v>
      </c>
      <c r="MN1499" s="100">
        <v>13</v>
      </c>
      <c r="MO1499" s="100">
        <v>2</v>
      </c>
      <c r="MQ1499" s="100">
        <v>1</v>
      </c>
      <c r="ON1499" s="100">
        <f t="shared" si="447"/>
        <v>0</v>
      </c>
    </row>
    <row r="1500" spans="1:404" ht="23.25" customHeight="1">
      <c r="A1500" s="97" t="str">
        <f t="shared" si="453"/>
        <v>042/HACA-HK-2166-68400-S2-B</v>
      </c>
      <c r="B1500" s="95">
        <v>44551</v>
      </c>
      <c r="C1500" s="97">
        <f t="shared" ca="1" si="444"/>
        <v>-513</v>
      </c>
      <c r="D1500" s="96" t="s">
        <v>1144</v>
      </c>
      <c r="E1500" s="94" t="s">
        <v>2051</v>
      </c>
      <c r="F1500" s="132" t="str">
        <f t="shared" si="451"/>
        <v>B</v>
      </c>
      <c r="G1500" s="130">
        <f ca="1">SUMIF($A:E,$A1500,K:K)</f>
        <v>30</v>
      </c>
      <c r="H1500" s="97" t="s">
        <v>601</v>
      </c>
      <c r="I1500" s="98">
        <v>30</v>
      </c>
      <c r="J1500" s="97">
        <v>30</v>
      </c>
      <c r="K1500" s="143">
        <f t="shared" si="446"/>
        <v>30</v>
      </c>
      <c r="L1500" s="144">
        <f t="shared" si="456"/>
        <v>0</v>
      </c>
      <c r="M1500" s="275">
        <f t="shared" si="455"/>
        <v>60</v>
      </c>
      <c r="N1500" s="98">
        <v>2</v>
      </c>
      <c r="O1500" s="93">
        <f t="shared" si="452"/>
        <v>100</v>
      </c>
      <c r="LR1500" s="100">
        <v>2</v>
      </c>
      <c r="LS1500" s="100">
        <v>11</v>
      </c>
      <c r="LT1500" s="100">
        <v>4</v>
      </c>
      <c r="LX1500" s="100">
        <v>1</v>
      </c>
      <c r="LY1500" s="100">
        <v>3</v>
      </c>
      <c r="LZ1500" s="100">
        <v>6</v>
      </c>
      <c r="MA1500" s="100">
        <v>3</v>
      </c>
      <c r="ON1500" s="100">
        <f t="shared" si="447"/>
        <v>0</v>
      </c>
    </row>
    <row r="1501" spans="1:404" ht="23.25" customHeight="1">
      <c r="A1501" s="97" t="str">
        <f t="shared" si="453"/>
        <v>049/HACA-HK-VG-2166-68400-01-B</v>
      </c>
      <c r="B1501" s="95">
        <v>44560</v>
      </c>
      <c r="C1501" s="97">
        <f t="shared" ref="C1501:C1514" ca="1" si="457">B1501-TODAY()</f>
        <v>-504</v>
      </c>
      <c r="D1501" s="112" t="s">
        <v>1502</v>
      </c>
      <c r="E1501" s="123" t="s">
        <v>1503</v>
      </c>
      <c r="F1501" s="132" t="str">
        <f t="shared" si="451"/>
        <v>B</v>
      </c>
      <c r="G1501" s="130">
        <f ca="1">SUMIF($A:E,$A1501,K:K)</f>
        <v>60</v>
      </c>
      <c r="H1501" s="112" t="s">
        <v>1494</v>
      </c>
      <c r="I1501" s="98">
        <v>60</v>
      </c>
      <c r="J1501" s="99">
        <v>60</v>
      </c>
      <c r="K1501" s="143">
        <f t="shared" si="446"/>
        <v>60</v>
      </c>
      <c r="L1501" s="144">
        <f t="shared" si="456"/>
        <v>0</v>
      </c>
      <c r="M1501" s="275">
        <f t="shared" si="455"/>
        <v>60</v>
      </c>
      <c r="N1501" s="98">
        <v>2</v>
      </c>
      <c r="O1501" s="93">
        <f t="shared" si="452"/>
        <v>100</v>
      </c>
      <c r="LZ1501" s="100">
        <v>3</v>
      </c>
      <c r="MA1501" s="100">
        <v>3</v>
      </c>
      <c r="MB1501" s="100">
        <v>3</v>
      </c>
      <c r="MD1501" s="100">
        <v>3</v>
      </c>
      <c r="ME1501" s="100">
        <v>6</v>
      </c>
      <c r="MF1501" s="100">
        <v>3</v>
      </c>
      <c r="MG1501" s="100">
        <v>3</v>
      </c>
      <c r="MH1501" s="100">
        <v>3</v>
      </c>
      <c r="MK1501" s="100">
        <v>5</v>
      </c>
      <c r="ML1501" s="100">
        <v>6</v>
      </c>
      <c r="MM1501" s="100">
        <v>6</v>
      </c>
      <c r="MN1501" s="100">
        <v>6</v>
      </c>
      <c r="MO1501" s="100">
        <v>6</v>
      </c>
      <c r="MP1501" s="100">
        <v>2</v>
      </c>
      <c r="MQ1501" s="100">
        <v>2</v>
      </c>
      <c r="ON1501" s="100">
        <f t="shared" si="447"/>
        <v>0</v>
      </c>
    </row>
    <row r="1502" spans="1:404" ht="23.25" customHeight="1">
      <c r="A1502" s="97" t="str">
        <f t="shared" si="453"/>
        <v>001A/NEVE YARAK-VG-2166-66600-03-B</v>
      </c>
      <c r="B1502" s="218">
        <v>44661</v>
      </c>
      <c r="C1502" s="97">
        <f t="shared" ca="1" si="457"/>
        <v>-403</v>
      </c>
      <c r="D1502" s="112" t="s">
        <v>1709</v>
      </c>
      <c r="E1502" s="123" t="s">
        <v>1711</v>
      </c>
      <c r="F1502" s="132" t="str">
        <f t="shared" si="451"/>
        <v>B</v>
      </c>
      <c r="G1502" s="130">
        <f ca="1">SUMIF($A:E,$A1502,K:K)</f>
        <v>128</v>
      </c>
      <c r="H1502" s="97" t="s">
        <v>927</v>
      </c>
      <c r="I1502" s="175">
        <v>139</v>
      </c>
      <c r="J1502" s="115">
        <v>139</v>
      </c>
      <c r="K1502" s="143">
        <f t="shared" si="446"/>
        <v>128</v>
      </c>
      <c r="L1502" s="144">
        <f t="shared" si="456"/>
        <v>11</v>
      </c>
      <c r="M1502" s="275">
        <f t="shared" si="455"/>
        <v>139</v>
      </c>
      <c r="N1502" s="98">
        <v>6</v>
      </c>
      <c r="O1502" s="93">
        <f t="shared" si="452"/>
        <v>92.086330935251809</v>
      </c>
      <c r="OB1502" s="100">
        <v>18</v>
      </c>
      <c r="OD1502" s="100">
        <v>17</v>
      </c>
      <c r="OF1502" s="100">
        <v>6</v>
      </c>
      <c r="OG1502" s="100">
        <v>7</v>
      </c>
      <c r="OH1502" s="100">
        <v>5</v>
      </c>
      <c r="OI1502" s="100">
        <v>3</v>
      </c>
      <c r="OJ1502" s="100">
        <v>3</v>
      </c>
      <c r="OK1502" s="100">
        <v>3</v>
      </c>
      <c r="OM1502" s="100">
        <v>2</v>
      </c>
      <c r="ON1502" s="100">
        <f t="shared" si="447"/>
        <v>64</v>
      </c>
    </row>
    <row r="1503" spans="1:404" ht="23.25" customHeight="1">
      <c r="A1503" s="97" t="str">
        <f t="shared" si="453"/>
        <v>003/ANNA-VG-21(đ7)66-66600-03-A</v>
      </c>
      <c r="B1503" s="95">
        <v>44634</v>
      </c>
      <c r="C1503" s="97">
        <f t="shared" ca="1" si="457"/>
        <v>-430</v>
      </c>
      <c r="D1503" s="112" t="s">
        <v>1671</v>
      </c>
      <c r="E1503" s="279" t="s">
        <v>856</v>
      </c>
      <c r="F1503" s="132" t="str">
        <f t="shared" si="451"/>
        <v>A</v>
      </c>
      <c r="G1503" s="130">
        <f ca="1">SUMIF($A:E,$A1503,K:K)</f>
        <v>198</v>
      </c>
      <c r="H1503" s="112" t="s">
        <v>990</v>
      </c>
      <c r="I1503" s="175">
        <v>120</v>
      </c>
      <c r="J1503" s="115">
        <v>120</v>
      </c>
      <c r="K1503" s="143">
        <f t="shared" si="446"/>
        <v>198</v>
      </c>
      <c r="L1503" s="144">
        <f t="shared" si="456"/>
        <v>-78</v>
      </c>
      <c r="M1503" s="275">
        <f t="shared" si="455"/>
        <v>120</v>
      </c>
      <c r="N1503" s="98">
        <v>6</v>
      </c>
      <c r="O1503" s="93">
        <f t="shared" si="452"/>
        <v>165</v>
      </c>
      <c r="NA1503" s="100">
        <v>13</v>
      </c>
      <c r="ND1503" s="100">
        <v>5</v>
      </c>
      <c r="NE1503" s="100">
        <v>3</v>
      </c>
      <c r="NG1503" s="100">
        <v>8</v>
      </c>
      <c r="NI1503" s="100">
        <v>7</v>
      </c>
      <c r="NL1503" s="100">
        <v>6</v>
      </c>
      <c r="NS1503" s="100">
        <v>25</v>
      </c>
      <c r="NT1503" s="100">
        <v>13</v>
      </c>
      <c r="NY1503" s="100">
        <v>28</v>
      </c>
      <c r="NZ1503" s="100">
        <v>7</v>
      </c>
      <c r="OB1503" s="100">
        <v>5</v>
      </c>
      <c r="ON1503" s="100">
        <f t="shared" si="447"/>
        <v>78</v>
      </c>
    </row>
    <row r="1504" spans="1:404" ht="23.25" customHeight="1">
      <c r="A1504" s="97" t="str">
        <f t="shared" si="453"/>
        <v>001/AHOME-2166-66600-03-30</v>
      </c>
      <c r="B1504" s="95">
        <v>44379</v>
      </c>
      <c r="C1504" s="97">
        <f t="shared" ca="1" si="457"/>
        <v>-685</v>
      </c>
      <c r="D1504" s="145" t="s">
        <v>766</v>
      </c>
      <c r="E1504" s="252" t="s">
        <v>768</v>
      </c>
      <c r="F1504" s="132" t="str">
        <f t="shared" si="451"/>
        <v>30</v>
      </c>
      <c r="G1504" s="130">
        <f ca="1">SUMIF($A:E,$A1504,K:K)</f>
        <v>80</v>
      </c>
      <c r="H1504" s="97" t="s">
        <v>770</v>
      </c>
      <c r="I1504" s="98">
        <v>80</v>
      </c>
      <c r="J1504" s="97">
        <v>80</v>
      </c>
      <c r="K1504" s="143">
        <f t="shared" si="446"/>
        <v>80</v>
      </c>
      <c r="L1504" s="144">
        <f t="shared" si="456"/>
        <v>0</v>
      </c>
      <c r="M1504" s="275">
        <f t="shared" si="455"/>
        <v>80</v>
      </c>
      <c r="N1504" s="98">
        <v>4</v>
      </c>
      <c r="O1504" s="93">
        <f t="shared" si="452"/>
        <v>100</v>
      </c>
      <c r="DO1504" s="101">
        <v>5</v>
      </c>
      <c r="DP1504" s="101">
        <v>5</v>
      </c>
      <c r="DR1504" s="101">
        <v>10</v>
      </c>
      <c r="DT1504" s="100">
        <v>10</v>
      </c>
      <c r="DU1504" s="100">
        <v>4</v>
      </c>
      <c r="DV1504" s="100">
        <v>25</v>
      </c>
      <c r="DY1504" s="100">
        <v>11</v>
      </c>
      <c r="DZ1504" s="100">
        <v>2</v>
      </c>
      <c r="EA1504" s="100">
        <v>1</v>
      </c>
      <c r="EC1504" s="100">
        <v>1</v>
      </c>
      <c r="EF1504" s="100">
        <v>3</v>
      </c>
      <c r="EG1504" s="100">
        <v>2</v>
      </c>
      <c r="EM1504" s="100">
        <v>1</v>
      </c>
      <c r="ON1504" s="100">
        <f t="shared" si="447"/>
        <v>0</v>
      </c>
    </row>
    <row r="1505" spans="1:404" ht="23.25" customHeight="1">
      <c r="A1505" s="97" t="str">
        <f t="shared" si="453"/>
        <v>438/POTTERYPOT-2166-66600-02-A</v>
      </c>
      <c r="B1505" s="95">
        <v>44636</v>
      </c>
      <c r="C1505" s="97">
        <f t="shared" ca="1" si="457"/>
        <v>-428</v>
      </c>
      <c r="D1505" s="112" t="s">
        <v>1596</v>
      </c>
      <c r="E1505" s="279" t="s">
        <v>1599</v>
      </c>
      <c r="F1505" s="132" t="str">
        <f t="shared" si="451"/>
        <v>A</v>
      </c>
      <c r="G1505" s="130">
        <f ca="1">SUMIF($A:E,$A1505,K:K)</f>
        <v>172</v>
      </c>
      <c r="H1505" s="97" t="s">
        <v>1600</v>
      </c>
      <c r="I1505" s="98">
        <v>225</v>
      </c>
      <c r="J1505" s="97">
        <v>225</v>
      </c>
      <c r="K1505" s="143">
        <f t="shared" si="446"/>
        <v>172</v>
      </c>
      <c r="L1505" s="144">
        <f t="shared" si="456"/>
        <v>53</v>
      </c>
      <c r="M1505" s="275">
        <f t="shared" si="455"/>
        <v>225</v>
      </c>
      <c r="N1505" s="98" t="s">
        <v>1776</v>
      </c>
      <c r="O1505" s="93">
        <f t="shared" si="452"/>
        <v>76.444444444444443</v>
      </c>
      <c r="NZ1505" s="100">
        <v>5</v>
      </c>
      <c r="OA1505" s="100">
        <v>4</v>
      </c>
      <c r="OB1505" s="100">
        <v>5</v>
      </c>
      <c r="OC1505" s="100">
        <v>11</v>
      </c>
      <c r="OD1505" s="100">
        <v>10</v>
      </c>
      <c r="OG1505" s="100">
        <v>10</v>
      </c>
      <c r="OH1505" s="100">
        <v>10</v>
      </c>
      <c r="OI1505" s="100">
        <v>11</v>
      </c>
      <c r="OJ1505" s="100">
        <v>9</v>
      </c>
      <c r="OK1505" s="100">
        <v>11</v>
      </c>
      <c r="ON1505" s="100">
        <f t="shared" si="447"/>
        <v>86</v>
      </c>
    </row>
    <row r="1506" spans="1:404" ht="23.25" customHeight="1">
      <c r="A1506" s="97" t="str">
        <f t="shared" si="453"/>
        <v>003/ANNA-VG-21(đ1)66-66600-02-A</v>
      </c>
      <c r="B1506" s="95">
        <v>44547</v>
      </c>
      <c r="C1506" s="97">
        <f t="shared" ca="1" si="457"/>
        <v>-517</v>
      </c>
      <c r="D1506" s="112" t="s">
        <v>1622</v>
      </c>
      <c r="E1506" s="279" t="s">
        <v>1599</v>
      </c>
      <c r="F1506" s="132" t="str">
        <f t="shared" si="451"/>
        <v>A</v>
      </c>
      <c r="G1506" s="130">
        <f ca="1">SUMIF($A:E,$A1506,K:K)</f>
        <v>60</v>
      </c>
      <c r="H1506" s="112" t="s">
        <v>990</v>
      </c>
      <c r="I1506" s="175">
        <v>60</v>
      </c>
      <c r="J1506" s="115">
        <v>60</v>
      </c>
      <c r="K1506" s="143">
        <f t="shared" si="446"/>
        <v>60</v>
      </c>
      <c r="L1506" s="144">
        <f t="shared" si="456"/>
        <v>0</v>
      </c>
      <c r="M1506" s="275">
        <f t="shared" si="455"/>
        <v>60</v>
      </c>
      <c r="N1506" s="98">
        <v>4</v>
      </c>
      <c r="O1506" s="93">
        <f t="shared" si="452"/>
        <v>100</v>
      </c>
      <c r="LR1506" s="100">
        <v>3</v>
      </c>
      <c r="LS1506" s="100">
        <v>19</v>
      </c>
      <c r="LT1506" s="100">
        <v>9</v>
      </c>
      <c r="LU1506" s="100">
        <v>8</v>
      </c>
      <c r="LW1506" s="100">
        <v>9</v>
      </c>
      <c r="LX1506" s="100">
        <v>4</v>
      </c>
      <c r="LY1506" s="100">
        <v>4</v>
      </c>
      <c r="LZ1506" s="100">
        <v>2</v>
      </c>
      <c r="MA1506" s="100">
        <v>2</v>
      </c>
      <c r="ON1506" s="100">
        <f t="shared" si="447"/>
        <v>0</v>
      </c>
    </row>
    <row r="1507" spans="1:404" ht="23.25" customHeight="1">
      <c r="A1507" s="97" t="str">
        <f t="shared" si="453"/>
        <v>001/AHOME-2166-66600-02-30</v>
      </c>
      <c r="B1507" s="95">
        <v>44379</v>
      </c>
      <c r="C1507" s="97">
        <f t="shared" ca="1" si="457"/>
        <v>-685</v>
      </c>
      <c r="D1507" s="145" t="s">
        <v>766</v>
      </c>
      <c r="E1507" s="252" t="s">
        <v>767</v>
      </c>
      <c r="F1507" s="132" t="str">
        <f t="shared" si="451"/>
        <v>30</v>
      </c>
      <c r="G1507" s="130">
        <f ca="1">SUMIF($A:E,$A1507,K:K)</f>
        <v>80</v>
      </c>
      <c r="H1507" s="97" t="s">
        <v>770</v>
      </c>
      <c r="I1507" s="98">
        <v>80</v>
      </c>
      <c r="J1507" s="97">
        <v>80</v>
      </c>
      <c r="K1507" s="143">
        <f t="shared" si="446"/>
        <v>80</v>
      </c>
      <c r="L1507" s="144">
        <f t="shared" si="456"/>
        <v>0</v>
      </c>
      <c r="M1507" s="275">
        <f t="shared" si="455"/>
        <v>80</v>
      </c>
      <c r="N1507" s="98">
        <v>4</v>
      </c>
      <c r="O1507" s="93">
        <f t="shared" si="452"/>
        <v>100</v>
      </c>
      <c r="DO1507" s="101">
        <v>5</v>
      </c>
      <c r="DP1507" s="101">
        <v>3</v>
      </c>
      <c r="DR1507" s="101">
        <v>12</v>
      </c>
      <c r="DT1507" s="100">
        <v>7</v>
      </c>
      <c r="DU1507" s="100">
        <v>2</v>
      </c>
      <c r="DV1507" s="100">
        <v>30</v>
      </c>
      <c r="DY1507" s="100">
        <v>8</v>
      </c>
      <c r="EA1507" s="100">
        <v>3</v>
      </c>
      <c r="EC1507" s="100">
        <v>2</v>
      </c>
      <c r="EF1507" s="100">
        <v>4</v>
      </c>
      <c r="EG1507" s="100">
        <v>2</v>
      </c>
      <c r="EM1507" s="100">
        <v>1</v>
      </c>
      <c r="EN1507" s="100">
        <v>1</v>
      </c>
      <c r="ON1507" s="100">
        <f t="shared" si="447"/>
        <v>0</v>
      </c>
    </row>
    <row r="1508" spans="1:404" ht="23.25" customHeight="1">
      <c r="A1508" s="97" t="str">
        <f t="shared" si="453"/>
        <v>046/PTSP-PT-2166-66500-02-A</v>
      </c>
      <c r="B1508" s="95">
        <v>44416</v>
      </c>
      <c r="C1508" s="97">
        <f t="shared" ca="1" si="457"/>
        <v>-648</v>
      </c>
      <c r="D1508" s="96" t="s">
        <v>1530</v>
      </c>
      <c r="E1508" s="94" t="s">
        <v>1531</v>
      </c>
      <c r="F1508" s="132" t="str">
        <f t="shared" si="451"/>
        <v>A</v>
      </c>
      <c r="G1508" s="130">
        <f ca="1">SUMIF($A:E,$A1508,K:K)</f>
        <v>5</v>
      </c>
      <c r="H1508" s="167" t="s">
        <v>1532</v>
      </c>
      <c r="I1508" s="98">
        <v>5</v>
      </c>
      <c r="J1508" s="99">
        <v>5</v>
      </c>
      <c r="K1508" s="143">
        <f t="shared" si="446"/>
        <v>5</v>
      </c>
      <c r="L1508" s="144">
        <f t="shared" si="456"/>
        <v>0</v>
      </c>
      <c r="M1508" s="275">
        <f t="shared" si="455"/>
        <v>5</v>
      </c>
      <c r="N1508" s="98">
        <v>2</v>
      </c>
      <c r="O1508" s="93">
        <f t="shared" si="452"/>
        <v>100</v>
      </c>
      <c r="HB1508" s="100">
        <v>5</v>
      </c>
      <c r="ON1508" s="100">
        <f t="shared" si="447"/>
        <v>0</v>
      </c>
    </row>
    <row r="1509" spans="1:404" ht="23.25" customHeight="1">
      <c r="A1509" s="97" t="str">
        <f t="shared" si="453"/>
        <v>002T/REJUVENATION-2166-66420-03-39</v>
      </c>
      <c r="B1509" s="95">
        <v>44366</v>
      </c>
      <c r="C1509" s="97">
        <f t="shared" ca="1" si="457"/>
        <v>-698</v>
      </c>
      <c r="D1509" s="145" t="s">
        <v>755</v>
      </c>
      <c r="E1509" s="252" t="s">
        <v>757</v>
      </c>
      <c r="F1509" s="132" t="str">
        <f t="shared" ref="F1509:F1517" si="458">MID(E1509,13,2)</f>
        <v>39</v>
      </c>
      <c r="G1509" s="130">
        <f ca="1">SUMIF($A:E,$A1509,K:K)</f>
        <v>150</v>
      </c>
      <c r="H1509" s="97" t="s">
        <v>505</v>
      </c>
      <c r="I1509" s="196">
        <v>150</v>
      </c>
      <c r="J1509" s="146">
        <v>150</v>
      </c>
      <c r="K1509" s="143">
        <f t="shared" si="446"/>
        <v>150</v>
      </c>
      <c r="L1509" s="144">
        <f t="shared" si="456"/>
        <v>0</v>
      </c>
      <c r="M1509" s="275">
        <f t="shared" si="455"/>
        <v>150</v>
      </c>
      <c r="N1509" s="98">
        <v>3</v>
      </c>
      <c r="O1509" s="93">
        <f t="shared" si="452"/>
        <v>100</v>
      </c>
      <c r="DM1509" s="101">
        <v>9</v>
      </c>
      <c r="DN1509" s="101">
        <v>9</v>
      </c>
      <c r="DO1509" s="101">
        <v>7</v>
      </c>
      <c r="DP1509" s="101">
        <v>10</v>
      </c>
      <c r="DR1509" s="101">
        <v>9</v>
      </c>
      <c r="DS1509" s="100">
        <v>6</v>
      </c>
      <c r="DU1509" s="100">
        <v>9</v>
      </c>
      <c r="DV1509" s="100">
        <v>9</v>
      </c>
      <c r="DW1509" s="100">
        <v>9</v>
      </c>
      <c r="DZ1509" s="100">
        <v>14</v>
      </c>
      <c r="EA1509" s="100">
        <v>5</v>
      </c>
      <c r="EC1509" s="100">
        <v>8</v>
      </c>
      <c r="EF1509" s="100">
        <v>10</v>
      </c>
      <c r="EG1509" s="100">
        <v>5</v>
      </c>
      <c r="EI1509" s="100">
        <v>20</v>
      </c>
      <c r="EJ1509" s="100">
        <v>10</v>
      </c>
      <c r="EM1509" s="100">
        <v>1</v>
      </c>
      <c r="ON1509" s="100">
        <f t="shared" si="447"/>
        <v>0</v>
      </c>
    </row>
    <row r="1510" spans="1:404" ht="23.25" customHeight="1">
      <c r="A1510" s="97" t="str">
        <f t="shared" si="453"/>
        <v>002T/REJUVENATION-2166-66420-03-30</v>
      </c>
      <c r="B1510" s="95">
        <v>44366</v>
      </c>
      <c r="C1510" s="97">
        <f t="shared" ca="1" si="457"/>
        <v>-698</v>
      </c>
      <c r="D1510" s="145" t="s">
        <v>755</v>
      </c>
      <c r="E1510" s="252" t="s">
        <v>756</v>
      </c>
      <c r="F1510" s="132" t="str">
        <f t="shared" si="458"/>
        <v>30</v>
      </c>
      <c r="G1510" s="130">
        <f ca="1">SUMIF($A:E,$A1510,K:K)</f>
        <v>50</v>
      </c>
      <c r="H1510" s="97" t="s">
        <v>505</v>
      </c>
      <c r="I1510" s="196">
        <v>50</v>
      </c>
      <c r="J1510" s="146">
        <v>50</v>
      </c>
      <c r="K1510" s="143">
        <f t="shared" si="446"/>
        <v>50</v>
      </c>
      <c r="L1510" s="144">
        <f t="shared" si="456"/>
        <v>0</v>
      </c>
      <c r="M1510" s="275">
        <f t="shared" si="455"/>
        <v>50</v>
      </c>
      <c r="N1510" s="98">
        <v>3</v>
      </c>
      <c r="O1510" s="93">
        <f t="shared" si="452"/>
        <v>100</v>
      </c>
      <c r="CX1510" s="101">
        <v>22</v>
      </c>
      <c r="CZ1510" s="101">
        <v>6</v>
      </c>
      <c r="DA1510" s="101">
        <v>5</v>
      </c>
      <c r="DB1510" s="101">
        <v>5</v>
      </c>
      <c r="DD1510" s="101">
        <v>5</v>
      </c>
      <c r="DE1510" s="101">
        <v>5</v>
      </c>
      <c r="DO1510" s="101">
        <v>2</v>
      </c>
      <c r="ON1510" s="100">
        <f t="shared" si="447"/>
        <v>0</v>
      </c>
    </row>
    <row r="1511" spans="1:404" ht="23.25" customHeight="1">
      <c r="A1511" s="97" t="str">
        <f t="shared" si="453"/>
        <v>002/HACA-HK-2166-66400-S3-39</v>
      </c>
      <c r="B1511" s="95">
        <v>44350</v>
      </c>
      <c r="C1511" s="97">
        <f t="shared" ca="1" si="457"/>
        <v>-714</v>
      </c>
      <c r="D1511" s="145" t="s">
        <v>785</v>
      </c>
      <c r="E1511" s="252" t="s">
        <v>788</v>
      </c>
      <c r="F1511" s="132" t="str">
        <f t="shared" si="458"/>
        <v>39</v>
      </c>
      <c r="G1511" s="130">
        <f ca="1">SUMIF($A:E,$A1511,K:K)</f>
        <v>20</v>
      </c>
      <c r="H1511" s="97" t="s">
        <v>790</v>
      </c>
      <c r="I1511" s="98">
        <v>20</v>
      </c>
      <c r="J1511" s="99">
        <v>20</v>
      </c>
      <c r="K1511" s="143">
        <f t="shared" si="446"/>
        <v>20</v>
      </c>
      <c r="L1511" s="144">
        <f t="shared" si="456"/>
        <v>0</v>
      </c>
      <c r="M1511" s="275">
        <f t="shared" si="455"/>
        <v>60</v>
      </c>
      <c r="N1511" s="98">
        <v>1</v>
      </c>
      <c r="O1511" s="93">
        <f t="shared" si="452"/>
        <v>100</v>
      </c>
      <c r="DY1511" s="100">
        <v>1</v>
      </c>
      <c r="DZ1511" s="100">
        <v>3</v>
      </c>
      <c r="EA1511" s="100">
        <v>3</v>
      </c>
      <c r="EC1511" s="100">
        <v>1</v>
      </c>
      <c r="ED1511" s="100">
        <v>2</v>
      </c>
      <c r="EF1511" s="100">
        <v>5</v>
      </c>
      <c r="EG1511" s="100">
        <v>1</v>
      </c>
      <c r="EI1511" s="100">
        <v>1</v>
      </c>
      <c r="EJ1511" s="100">
        <v>2</v>
      </c>
      <c r="EN1511" s="100">
        <v>1</v>
      </c>
      <c r="ON1511" s="100">
        <f t="shared" si="447"/>
        <v>0</v>
      </c>
    </row>
    <row r="1512" spans="1:404" ht="23.25" customHeight="1">
      <c r="A1512" s="97" t="str">
        <f t="shared" ref="A1512:A1519" si="459">D1512&amp;E1512</f>
        <v>438/POTTERYPOT-2166-66400-02-A</v>
      </c>
      <c r="B1512" s="95">
        <v>44636</v>
      </c>
      <c r="C1512" s="97">
        <f t="shared" ca="1" si="457"/>
        <v>-428</v>
      </c>
      <c r="D1512" s="112" t="s">
        <v>1596</v>
      </c>
      <c r="E1512" s="279" t="s">
        <v>1598</v>
      </c>
      <c r="F1512" s="132" t="str">
        <f t="shared" si="458"/>
        <v>A</v>
      </c>
      <c r="G1512" s="130">
        <f ca="1">SUMIF($A:E,$A1512,K:K)</f>
        <v>230</v>
      </c>
      <c r="H1512" s="97" t="s">
        <v>1600</v>
      </c>
      <c r="I1512" s="98">
        <v>210</v>
      </c>
      <c r="J1512" s="97">
        <v>210</v>
      </c>
      <c r="K1512" s="143">
        <f t="shared" si="446"/>
        <v>230</v>
      </c>
      <c r="L1512" s="144">
        <f t="shared" si="456"/>
        <v>-20</v>
      </c>
      <c r="M1512" s="275">
        <f t="shared" ref="M1512:M1519" si="460">IF(OR(MID(E1512,10,1)="0",MID(E1512,10,1)="F"),I1512,IF(OR(,MID(E1512,10,1)="S",MID(E1512,10,1)="L",MID(E1512,10,1)="B",MID(E1512,10,1)="X"),MID(E1512,11,1)*I1512,0))</f>
        <v>210</v>
      </c>
      <c r="N1512" s="98" t="s">
        <v>1776</v>
      </c>
      <c r="O1512" s="93">
        <f t="shared" si="452"/>
        <v>109.52380952380953</v>
      </c>
      <c r="NK1512" s="100">
        <v>4</v>
      </c>
      <c r="NL1512" s="100">
        <v>4</v>
      </c>
      <c r="NM1512" s="100">
        <v>4</v>
      </c>
      <c r="NN1512" s="100">
        <v>2</v>
      </c>
      <c r="NS1512" s="100">
        <v>4</v>
      </c>
      <c r="NU1512" s="100">
        <v>9</v>
      </c>
      <c r="NV1512" s="100">
        <v>5</v>
      </c>
      <c r="NY1512" s="100">
        <v>8</v>
      </c>
      <c r="NZ1512" s="100">
        <v>7</v>
      </c>
      <c r="OA1512" s="100">
        <v>8</v>
      </c>
      <c r="OB1512" s="100">
        <v>7</v>
      </c>
      <c r="OC1512" s="100">
        <v>9</v>
      </c>
      <c r="OD1512" s="100">
        <v>7</v>
      </c>
      <c r="OG1512" s="100">
        <v>12</v>
      </c>
      <c r="OH1512" s="100">
        <v>8</v>
      </c>
      <c r="OI1512" s="100">
        <v>6</v>
      </c>
      <c r="OJ1512" s="100">
        <v>9</v>
      </c>
      <c r="OK1512" s="100">
        <v>9</v>
      </c>
      <c r="ON1512" s="100">
        <f t="shared" si="447"/>
        <v>108</v>
      </c>
    </row>
    <row r="1513" spans="1:404" ht="23.25" customHeight="1">
      <c r="A1513" s="97" t="str">
        <f t="shared" si="459"/>
        <v>438/POTTERYPOT-2166-66400-01-A</v>
      </c>
      <c r="B1513" s="95">
        <v>44636</v>
      </c>
      <c r="C1513" s="97">
        <f t="shared" ca="1" si="457"/>
        <v>-428</v>
      </c>
      <c r="D1513" s="112" t="s">
        <v>1596</v>
      </c>
      <c r="E1513" s="288" t="s">
        <v>1597</v>
      </c>
      <c r="F1513" s="132" t="str">
        <f t="shared" si="458"/>
        <v>A</v>
      </c>
      <c r="G1513" s="130">
        <f ca="1">SUMIF($A:E,$A1513,K:K)</f>
        <v>228</v>
      </c>
      <c r="H1513" s="97" t="s">
        <v>1600</v>
      </c>
      <c r="I1513" s="237">
        <v>216</v>
      </c>
      <c r="J1513" s="241">
        <v>216</v>
      </c>
      <c r="K1513" s="143">
        <f t="shared" si="446"/>
        <v>228</v>
      </c>
      <c r="L1513" s="144">
        <f t="shared" si="456"/>
        <v>-12</v>
      </c>
      <c r="M1513" s="275">
        <f t="shared" si="460"/>
        <v>216</v>
      </c>
      <c r="N1513" s="98" t="s">
        <v>1776</v>
      </c>
      <c r="O1513" s="93">
        <f t="shared" si="452"/>
        <v>105.55555555555556</v>
      </c>
      <c r="NK1513" s="100">
        <v>4</v>
      </c>
      <c r="NL1513" s="100">
        <v>4</v>
      </c>
      <c r="NM1513" s="100">
        <v>4</v>
      </c>
      <c r="NN1513" s="100">
        <v>2</v>
      </c>
      <c r="NS1513" s="100">
        <v>4</v>
      </c>
      <c r="NU1513" s="100">
        <v>9</v>
      </c>
      <c r="NV1513" s="100">
        <v>5</v>
      </c>
      <c r="NY1513" s="100">
        <v>8</v>
      </c>
      <c r="NZ1513" s="100">
        <v>8</v>
      </c>
      <c r="OA1513" s="100">
        <v>8</v>
      </c>
      <c r="OB1513" s="100">
        <v>4</v>
      </c>
      <c r="OC1513" s="100">
        <v>12</v>
      </c>
      <c r="OD1513" s="100">
        <v>6</v>
      </c>
      <c r="OG1513" s="100">
        <v>12</v>
      </c>
      <c r="OH1513" s="100">
        <v>8</v>
      </c>
      <c r="OI1513" s="100">
        <v>5</v>
      </c>
      <c r="OJ1513" s="100">
        <v>9</v>
      </c>
      <c r="OK1513" s="100">
        <v>9</v>
      </c>
      <c r="ON1513" s="100">
        <f t="shared" si="447"/>
        <v>107</v>
      </c>
    </row>
    <row r="1514" spans="1:404" ht="23.25" customHeight="1">
      <c r="A1514" s="97" t="str">
        <f t="shared" si="459"/>
        <v>007/YAMATEI-2166-65109-02-B</v>
      </c>
      <c r="B1514" s="95">
        <v>44641</v>
      </c>
      <c r="C1514" s="97">
        <f t="shared" ca="1" si="457"/>
        <v>-423</v>
      </c>
      <c r="D1514" s="112" t="s">
        <v>1569</v>
      </c>
      <c r="E1514" s="256" t="s">
        <v>1582</v>
      </c>
      <c r="F1514" s="132" t="str">
        <f t="shared" si="458"/>
        <v>B</v>
      </c>
      <c r="G1514" s="130">
        <f ca="1">SUMIF($A:E,$A1514,K:K)</f>
        <v>58</v>
      </c>
      <c r="H1514" s="97" t="s">
        <v>927</v>
      </c>
      <c r="I1514" s="238">
        <v>30</v>
      </c>
      <c r="J1514" s="244">
        <v>30</v>
      </c>
      <c r="K1514" s="143">
        <f t="shared" si="446"/>
        <v>58</v>
      </c>
      <c r="L1514" s="144">
        <f t="shared" si="456"/>
        <v>-28</v>
      </c>
      <c r="M1514" s="275">
        <f t="shared" si="460"/>
        <v>30</v>
      </c>
      <c r="N1514" s="98">
        <v>4</v>
      </c>
      <c r="O1514" s="93">
        <f t="shared" si="452"/>
        <v>193.33333333333334</v>
      </c>
      <c r="NV1514" s="100">
        <v>4</v>
      </c>
      <c r="NZ1514" s="100">
        <v>7</v>
      </c>
      <c r="OC1514" s="100">
        <v>2</v>
      </c>
      <c r="OD1514" s="100">
        <v>4</v>
      </c>
      <c r="OG1514" s="100">
        <v>5</v>
      </c>
      <c r="OH1514" s="100">
        <v>1</v>
      </c>
      <c r="OI1514" s="100">
        <v>3</v>
      </c>
      <c r="OJ1514" s="100">
        <v>3</v>
      </c>
      <c r="ON1514" s="100">
        <f t="shared" si="447"/>
        <v>29</v>
      </c>
    </row>
    <row r="1515" spans="1:404" ht="23.25" customHeight="1">
      <c r="A1515" s="97" t="str">
        <f t="shared" si="459"/>
        <v>016T/EUROMARKET-2166-64700-S1-B</v>
      </c>
      <c r="B1515" s="95">
        <v>44505</v>
      </c>
      <c r="C1515" s="97">
        <f t="shared" ref="C1515:C1519" ca="1" si="461">B1515-TODAY()</f>
        <v>-559</v>
      </c>
      <c r="D1515" s="112" t="s">
        <v>1806</v>
      </c>
      <c r="E1515" s="123" t="s">
        <v>635</v>
      </c>
      <c r="F1515" s="132" t="str">
        <f t="shared" si="458"/>
        <v>B</v>
      </c>
      <c r="G1515" s="130">
        <f ca="1">SUMIF($A:E,$A1515,K:K)</f>
        <v>500</v>
      </c>
      <c r="H1515" s="112" t="s">
        <v>1809</v>
      </c>
      <c r="I1515" s="175">
        <v>500</v>
      </c>
      <c r="J1515" s="115">
        <v>500</v>
      </c>
      <c r="K1515" s="143">
        <f t="shared" si="446"/>
        <v>500</v>
      </c>
      <c r="L1515" s="144">
        <f t="shared" si="456"/>
        <v>0</v>
      </c>
      <c r="M1515" s="275">
        <f t="shared" si="460"/>
        <v>500</v>
      </c>
      <c r="N1515" s="98">
        <v>1</v>
      </c>
      <c r="O1515" s="93">
        <f t="shared" si="452"/>
        <v>100</v>
      </c>
      <c r="JA1515" s="100">
        <v>1</v>
      </c>
      <c r="JB1515" s="100">
        <v>7</v>
      </c>
      <c r="JF1515" s="100">
        <v>6</v>
      </c>
      <c r="JG1515" s="100">
        <v>27</v>
      </c>
      <c r="JH1515" s="100">
        <v>9</v>
      </c>
      <c r="JI1515" s="100">
        <v>20</v>
      </c>
      <c r="JJ1515" s="100">
        <v>12</v>
      </c>
      <c r="JK1515" s="100">
        <v>13</v>
      </c>
      <c r="JM1515" s="100">
        <v>20</v>
      </c>
      <c r="JN1515" s="100">
        <v>10</v>
      </c>
      <c r="JO1515" s="100">
        <v>11</v>
      </c>
      <c r="JQ1515" s="100">
        <f>26+13</f>
        <v>39</v>
      </c>
      <c r="JR1515" s="100">
        <v>18</v>
      </c>
      <c r="JU1515" s="100">
        <v>10</v>
      </c>
      <c r="JV1515" s="100">
        <v>10</v>
      </c>
      <c r="JW1515" s="100">
        <v>22</v>
      </c>
      <c r="JX1515" s="100">
        <v>11</v>
      </c>
      <c r="JY1515" s="100">
        <v>30</v>
      </c>
      <c r="KA1515" s="100">
        <v>26</v>
      </c>
      <c r="KB1515" s="100">
        <v>9</v>
      </c>
      <c r="KC1515" s="100">
        <v>30</v>
      </c>
      <c r="KD1515" s="100">
        <v>20</v>
      </c>
      <c r="KE1515" s="100">
        <v>18</v>
      </c>
      <c r="KF1515" s="100">
        <v>30</v>
      </c>
      <c r="KG1515" s="100">
        <v>12</v>
      </c>
      <c r="KH1515" s="100">
        <v>17</v>
      </c>
      <c r="KI1515" s="100">
        <v>6</v>
      </c>
      <c r="KJ1515" s="100">
        <v>24</v>
      </c>
      <c r="KN1515" s="100">
        <v>32</v>
      </c>
      <c r="ON1515" s="100">
        <f t="shared" si="447"/>
        <v>0</v>
      </c>
    </row>
    <row r="1516" spans="1:404" ht="23.25" customHeight="1">
      <c r="A1516" s="97" t="str">
        <f t="shared" si="459"/>
        <v>016/EUROMARKET-VG-2166-64700-S1-B</v>
      </c>
      <c r="B1516" s="95">
        <v>44569</v>
      </c>
      <c r="C1516" s="97">
        <f t="shared" ca="1" si="461"/>
        <v>-495</v>
      </c>
      <c r="D1516" s="112" t="s">
        <v>1810</v>
      </c>
      <c r="E1516" s="215" t="s">
        <v>635</v>
      </c>
      <c r="F1516" s="132" t="str">
        <f t="shared" si="458"/>
        <v>B</v>
      </c>
      <c r="G1516" s="130">
        <f ca="1">SUMIF($A:E,$A1516,K:K)</f>
        <v>56</v>
      </c>
      <c r="H1516" s="97" t="s">
        <v>1811</v>
      </c>
      <c r="I1516" s="98">
        <v>56</v>
      </c>
      <c r="J1516" s="99">
        <v>56</v>
      </c>
      <c r="K1516" s="143">
        <f t="shared" si="446"/>
        <v>56</v>
      </c>
      <c r="L1516" s="144">
        <f>J1516-K1516</f>
        <v>0</v>
      </c>
      <c r="M1516" s="275">
        <f t="shared" si="460"/>
        <v>56</v>
      </c>
      <c r="N1516" s="98">
        <v>1</v>
      </c>
      <c r="O1516" s="93">
        <f t="shared" si="452"/>
        <v>100</v>
      </c>
      <c r="KQ1516" s="100">
        <v>5</v>
      </c>
      <c r="KR1516" s="100">
        <v>9</v>
      </c>
      <c r="KU1516" s="100">
        <v>7</v>
      </c>
      <c r="KV1516" s="100">
        <v>4</v>
      </c>
      <c r="KW1516" s="100">
        <v>19</v>
      </c>
      <c r="KX1516" s="100">
        <v>1</v>
      </c>
      <c r="KZ1516" s="100">
        <v>10</v>
      </c>
      <c r="LD1516" s="100">
        <v>1</v>
      </c>
      <c r="ON1516" s="100">
        <f t="shared" si="447"/>
        <v>0</v>
      </c>
    </row>
    <row r="1517" spans="1:404" ht="23.25" customHeight="1">
      <c r="A1517" s="97" t="str">
        <f t="shared" si="459"/>
        <v>003/EUROMARKET-VG_SR-2166-64700-S1-B</v>
      </c>
      <c r="B1517" s="95">
        <v>44458</v>
      </c>
      <c r="C1517" s="97">
        <f t="shared" ca="1" si="461"/>
        <v>-606</v>
      </c>
      <c r="D1517" s="96" t="s">
        <v>1839</v>
      </c>
      <c r="E1517" s="94" t="s">
        <v>635</v>
      </c>
      <c r="F1517" s="132" t="str">
        <f t="shared" si="458"/>
        <v>B</v>
      </c>
      <c r="G1517" s="130">
        <f ca="1">SUMIF($A:E,$A1517,K:K)</f>
        <v>2</v>
      </c>
      <c r="H1517" s="97" t="s">
        <v>1838</v>
      </c>
      <c r="I1517" s="98">
        <v>2</v>
      </c>
      <c r="J1517" s="99">
        <v>2</v>
      </c>
      <c r="K1517" s="143">
        <f t="shared" si="446"/>
        <v>2</v>
      </c>
      <c r="L1517" s="144">
        <f t="shared" si="456"/>
        <v>0</v>
      </c>
      <c r="M1517" s="275">
        <f t="shared" si="460"/>
        <v>2</v>
      </c>
      <c r="N1517" s="98">
        <v>1</v>
      </c>
      <c r="O1517" s="93">
        <f t="shared" si="452"/>
        <v>100</v>
      </c>
      <c r="IR1517" s="100">
        <v>2</v>
      </c>
      <c r="ON1517" s="100">
        <f t="shared" si="447"/>
        <v>0</v>
      </c>
    </row>
    <row r="1518" spans="1:404" ht="23.25" customHeight="1">
      <c r="A1518" s="97" t="str">
        <f t="shared" si="459"/>
        <v>001/HANKKIJA-2166-61337-S3-B4</v>
      </c>
      <c r="B1518" s="95">
        <v>44478</v>
      </c>
      <c r="C1518" s="97">
        <f t="shared" ca="1" si="461"/>
        <v>-586</v>
      </c>
      <c r="D1518" s="112" t="s">
        <v>1041</v>
      </c>
      <c r="E1518" s="123" t="s">
        <v>1044</v>
      </c>
      <c r="F1518" s="132" t="str">
        <f t="shared" ref="F1518:F1525" si="462">MID(E1518,13,2)</f>
        <v>B4</v>
      </c>
      <c r="G1518" s="130">
        <f ca="1">SUMIF($A:E,$A1518,K:K)</f>
        <v>224</v>
      </c>
      <c r="H1518" s="97" t="s">
        <v>616</v>
      </c>
      <c r="I1518" s="98">
        <v>224</v>
      </c>
      <c r="J1518" s="97">
        <v>224</v>
      </c>
      <c r="K1518" s="143">
        <f t="shared" si="446"/>
        <v>224</v>
      </c>
      <c r="L1518" s="144">
        <f t="shared" si="456"/>
        <v>0</v>
      </c>
      <c r="M1518" s="275">
        <f t="shared" si="460"/>
        <v>672</v>
      </c>
      <c r="N1518" s="98">
        <v>1</v>
      </c>
      <c r="O1518" s="93">
        <f t="shared" ref="O1518:O1542" si="463">K1518/J1518*100</f>
        <v>100</v>
      </c>
      <c r="FM1518" s="100">
        <v>1</v>
      </c>
      <c r="FO1518" s="100">
        <v>1</v>
      </c>
      <c r="FQ1518" s="100">
        <v>1</v>
      </c>
      <c r="FT1518" s="100">
        <v>1</v>
      </c>
      <c r="FU1518" s="100">
        <v>1</v>
      </c>
      <c r="FV1518" s="100">
        <v>1</v>
      </c>
      <c r="FW1518" s="100">
        <v>5</v>
      </c>
      <c r="FX1518" s="100">
        <v>2</v>
      </c>
      <c r="GA1518" s="100">
        <v>1</v>
      </c>
      <c r="GE1518" s="100">
        <v>11</v>
      </c>
      <c r="GG1518" s="100">
        <v>2</v>
      </c>
      <c r="GH1518" s="100">
        <v>4</v>
      </c>
      <c r="GI1518" s="100">
        <v>2</v>
      </c>
      <c r="GJ1518" s="100">
        <v>1</v>
      </c>
      <c r="GN1518" s="100">
        <v>3</v>
      </c>
      <c r="GO1518" s="100">
        <v>4</v>
      </c>
      <c r="GP1518" s="100">
        <v>1</v>
      </c>
      <c r="GQ1518" s="100">
        <v>2</v>
      </c>
      <c r="GR1518" s="100">
        <v>4</v>
      </c>
      <c r="GS1518" s="100">
        <v>7</v>
      </c>
      <c r="GU1518" s="100">
        <v>4</v>
      </c>
      <c r="GV1518" s="100">
        <v>3</v>
      </c>
      <c r="GW1518" s="100">
        <v>6</v>
      </c>
      <c r="GX1518" s="100">
        <v>3</v>
      </c>
      <c r="GY1518" s="100">
        <v>6</v>
      </c>
      <c r="GZ1518" s="100">
        <v>6</v>
      </c>
      <c r="HB1518" s="100">
        <v>3</v>
      </c>
      <c r="HC1518" s="100">
        <v>6</v>
      </c>
      <c r="HD1518" s="100">
        <v>3</v>
      </c>
      <c r="HE1518" s="100">
        <v>11</v>
      </c>
      <c r="HG1518" s="100">
        <v>14</v>
      </c>
      <c r="HI1518" s="100">
        <v>28</v>
      </c>
      <c r="HJ1518" s="100">
        <v>19</v>
      </c>
      <c r="HK1518" s="100">
        <v>17</v>
      </c>
      <c r="HL1518" s="100">
        <v>13</v>
      </c>
      <c r="HM1518" s="100">
        <v>26</v>
      </c>
      <c r="HN1518" s="100">
        <v>1</v>
      </c>
      <c r="ON1518" s="100">
        <f t="shared" si="447"/>
        <v>0</v>
      </c>
    </row>
    <row r="1519" spans="1:404" ht="23.25" customHeight="1">
      <c r="A1519" s="97" t="str">
        <f t="shared" si="459"/>
        <v>002/VANDER-2166-61337-S3-B4</v>
      </c>
      <c r="B1519" s="95">
        <v>44524</v>
      </c>
      <c r="C1519" s="97">
        <f t="shared" ca="1" si="461"/>
        <v>-540</v>
      </c>
      <c r="D1519" s="112" t="s">
        <v>1100</v>
      </c>
      <c r="E1519" s="112" t="s">
        <v>1044</v>
      </c>
      <c r="F1519" s="132" t="str">
        <f t="shared" si="462"/>
        <v>B4</v>
      </c>
      <c r="G1519" s="130">
        <f ca="1">SUMIF($A:E,$A1519,K:K)</f>
        <v>144</v>
      </c>
      <c r="H1519" s="97" t="s">
        <v>616</v>
      </c>
      <c r="I1519" s="98">
        <v>144</v>
      </c>
      <c r="J1519" s="97">
        <v>144</v>
      </c>
      <c r="K1519" s="143">
        <f t="shared" si="446"/>
        <v>144</v>
      </c>
      <c r="L1519" s="144">
        <f t="shared" si="456"/>
        <v>0</v>
      </c>
      <c r="M1519" s="275">
        <f t="shared" si="460"/>
        <v>432</v>
      </c>
      <c r="N1519" s="98">
        <v>1</v>
      </c>
      <c r="O1519" s="93">
        <f t="shared" si="463"/>
        <v>100</v>
      </c>
      <c r="IE1519" s="100">
        <v>1</v>
      </c>
      <c r="IO1519" s="100">
        <v>1</v>
      </c>
      <c r="IP1519" s="100">
        <v>7</v>
      </c>
      <c r="IR1519" s="100">
        <v>10</v>
      </c>
      <c r="IS1519" s="100">
        <v>8</v>
      </c>
      <c r="IU1519" s="100">
        <v>14</v>
      </c>
      <c r="IV1519" s="100">
        <v>1</v>
      </c>
      <c r="IW1519" s="100">
        <v>13</v>
      </c>
      <c r="IY1519" s="100">
        <v>9</v>
      </c>
      <c r="IZ1519" s="100">
        <v>7</v>
      </c>
      <c r="JA1519" s="100">
        <v>3</v>
      </c>
      <c r="JC1519" s="100">
        <v>4</v>
      </c>
      <c r="JD1519" s="100">
        <v>4</v>
      </c>
      <c r="JF1519" s="100">
        <v>5</v>
      </c>
      <c r="JG1519" s="100">
        <v>4</v>
      </c>
      <c r="JH1519" s="100">
        <v>4</v>
      </c>
      <c r="JI1519" s="100">
        <v>10</v>
      </c>
      <c r="JK1519" s="100">
        <v>8</v>
      </c>
      <c r="JM1519" s="100">
        <v>9</v>
      </c>
      <c r="JN1519" s="100">
        <v>7</v>
      </c>
      <c r="JP1519" s="100">
        <v>3</v>
      </c>
      <c r="JQ1519" s="100">
        <v>6</v>
      </c>
      <c r="JR1519" s="100">
        <v>3</v>
      </c>
      <c r="JT1519" s="100">
        <v>2</v>
      </c>
      <c r="JU1519" s="100">
        <v>1</v>
      </c>
      <c r="ON1519" s="100">
        <f t="shared" si="447"/>
        <v>0</v>
      </c>
    </row>
    <row r="1520" spans="1:404" ht="23.25" customHeight="1">
      <c r="A1520" s="97" t="s">
        <v>2371</v>
      </c>
      <c r="B1520" s="95">
        <v>44569</v>
      </c>
      <c r="C1520" s="97">
        <v>11</v>
      </c>
      <c r="D1520" s="96" t="s">
        <v>1224</v>
      </c>
      <c r="E1520" s="94" t="s">
        <v>1044</v>
      </c>
      <c r="F1520" s="98" t="str">
        <f t="shared" si="462"/>
        <v>B4</v>
      </c>
      <c r="G1520" s="110">
        <f ca="1">SUMIF($A:E,$A1520,K:K)</f>
        <v>160</v>
      </c>
      <c r="H1520" s="97" t="s">
        <v>508</v>
      </c>
      <c r="I1520" s="98">
        <v>160</v>
      </c>
      <c r="J1520" s="97">
        <v>80</v>
      </c>
      <c r="K1520" s="143">
        <f t="shared" si="446"/>
        <v>80</v>
      </c>
      <c r="L1520" s="144">
        <f t="shared" si="456"/>
        <v>0</v>
      </c>
      <c r="M1520" s="98"/>
      <c r="N1520" s="98">
        <v>1</v>
      </c>
      <c r="O1520" s="93">
        <f t="shared" si="463"/>
        <v>100</v>
      </c>
      <c r="MN1520" s="100">
        <v>10</v>
      </c>
      <c r="MO1520" s="100">
        <v>10</v>
      </c>
      <c r="MP1520" s="100">
        <v>10</v>
      </c>
      <c r="MQ1520" s="100">
        <v>10</v>
      </c>
      <c r="MR1520" s="100">
        <v>5</v>
      </c>
      <c r="MS1520" s="100">
        <v>9</v>
      </c>
      <c r="MT1520" s="100">
        <v>17</v>
      </c>
      <c r="MU1520" s="100">
        <v>2</v>
      </c>
      <c r="MW1520" s="100">
        <v>3</v>
      </c>
      <c r="MX1520" s="100">
        <v>4</v>
      </c>
      <c r="ON1520" s="100">
        <f t="shared" si="447"/>
        <v>0</v>
      </c>
    </row>
    <row r="1521" spans="1:404" ht="23.25" customHeight="1">
      <c r="A1521" s="97" t="str">
        <f>D1521&amp;E1522</f>
        <v>002/HOMESENSE-2166-61337-S3-B4</v>
      </c>
      <c r="B1521" s="95">
        <v>44569</v>
      </c>
      <c r="C1521" s="97">
        <f t="shared" ref="C1521:C1542" ca="1" si="464">B1521-TODAY()</f>
        <v>-495</v>
      </c>
      <c r="D1521" s="96" t="s">
        <v>1224</v>
      </c>
      <c r="E1521" s="94" t="s">
        <v>1044</v>
      </c>
      <c r="F1521" s="132" t="str">
        <f t="shared" si="462"/>
        <v>B4</v>
      </c>
      <c r="G1521" s="130">
        <f ca="1">SUMIF($A:E,$A1521,K:K)</f>
        <v>160</v>
      </c>
      <c r="H1521" s="97" t="s">
        <v>508</v>
      </c>
      <c r="I1521" s="98">
        <v>160</v>
      </c>
      <c r="J1521" s="97">
        <v>80</v>
      </c>
      <c r="K1521" s="143">
        <f t="shared" si="446"/>
        <v>80</v>
      </c>
      <c r="L1521" s="144">
        <f t="shared" si="456"/>
        <v>0</v>
      </c>
      <c r="M1521" s="275">
        <f t="shared" ref="M1521:M1542" si="465">IF(OR(MID(E1521,10,1)="0",MID(E1521,10,1)="F"),I1521,IF(OR(,MID(E1521,10,1)="S",MID(E1521,10,1)="L",MID(E1521,10,1)="B",MID(E1521,10,1)="X"),MID(E1521,11,1)*I1521,0))</f>
        <v>480</v>
      </c>
      <c r="N1521" s="98">
        <v>2</v>
      </c>
      <c r="O1521" s="93">
        <f t="shared" si="463"/>
        <v>100</v>
      </c>
      <c r="MN1521" s="100">
        <v>9</v>
      </c>
      <c r="MO1521" s="100">
        <v>8</v>
      </c>
      <c r="MP1521" s="100">
        <v>12</v>
      </c>
      <c r="MQ1521" s="100">
        <v>10</v>
      </c>
      <c r="MR1521" s="100">
        <v>10</v>
      </c>
      <c r="MS1521" s="100">
        <v>9</v>
      </c>
      <c r="MT1521" s="100">
        <v>5</v>
      </c>
      <c r="MU1521" s="100">
        <v>10</v>
      </c>
      <c r="MW1521" s="100">
        <v>6</v>
      </c>
      <c r="NF1521" s="100">
        <v>1</v>
      </c>
      <c r="ON1521" s="100">
        <f t="shared" si="447"/>
        <v>0</v>
      </c>
    </row>
    <row r="1522" spans="1:404" ht="23.25" customHeight="1">
      <c r="A1522" s="97" t="str">
        <f>D1522&amp;E1522</f>
        <v>038/VG_SR-21( TJX)66-61337-S3-B4</v>
      </c>
      <c r="B1522" s="95">
        <v>44392</v>
      </c>
      <c r="C1522" s="97">
        <f t="shared" ca="1" si="464"/>
        <v>-672</v>
      </c>
      <c r="D1522" s="112" t="s">
        <v>1297</v>
      </c>
      <c r="E1522" s="123" t="s">
        <v>1044</v>
      </c>
      <c r="F1522" s="132" t="str">
        <f t="shared" si="462"/>
        <v>B4</v>
      </c>
      <c r="G1522" s="130">
        <f ca="1">SUMIF($A:E,$A1522,K:K)</f>
        <v>2</v>
      </c>
      <c r="H1522" s="97" t="s">
        <v>508</v>
      </c>
      <c r="I1522" s="98">
        <v>2</v>
      </c>
      <c r="J1522" s="99">
        <v>2</v>
      </c>
      <c r="K1522" s="143">
        <f t="shared" si="446"/>
        <v>2</v>
      </c>
      <c r="L1522" s="144">
        <f t="shared" ref="L1522:L1565" si="466">J1522-K1522</f>
        <v>0</v>
      </c>
      <c r="M1522" s="275">
        <f t="shared" si="465"/>
        <v>6</v>
      </c>
      <c r="N1522" s="211">
        <v>1</v>
      </c>
      <c r="O1522" s="93">
        <f t="shared" si="463"/>
        <v>100</v>
      </c>
      <c r="GD1522" s="100">
        <v>2</v>
      </c>
      <c r="ON1522" s="100">
        <f t="shared" si="447"/>
        <v>0</v>
      </c>
    </row>
    <row r="1523" spans="1:404" ht="23.25" customHeight="1">
      <c r="A1523" s="97" t="str">
        <f>D1523&amp;E1523</f>
        <v xml:space="preserve">	001/AL-FARES-VG-2166-61337-S3-B4</v>
      </c>
      <c r="B1523" s="95">
        <v>44686</v>
      </c>
      <c r="C1523" s="97">
        <f t="shared" ca="1" si="464"/>
        <v>-378</v>
      </c>
      <c r="D1523" s="112" t="s">
        <v>1814</v>
      </c>
      <c r="E1523" s="123" t="s">
        <v>1044</v>
      </c>
      <c r="F1523" s="132" t="str">
        <f t="shared" si="462"/>
        <v>B4</v>
      </c>
      <c r="G1523" s="130">
        <f ca="1">SUMIF($A:E,$A1523,K:K)</f>
        <v>86</v>
      </c>
      <c r="H1523" s="112" t="s">
        <v>1561</v>
      </c>
      <c r="I1523" s="175">
        <v>48</v>
      </c>
      <c r="J1523" s="115">
        <v>48</v>
      </c>
      <c r="K1523" s="143">
        <f t="shared" si="446"/>
        <v>86</v>
      </c>
      <c r="L1523" s="144">
        <f t="shared" si="466"/>
        <v>-38</v>
      </c>
      <c r="M1523" s="275">
        <f t="shared" si="465"/>
        <v>144</v>
      </c>
      <c r="N1523" s="98">
        <v>2</v>
      </c>
      <c r="O1523" s="93">
        <f t="shared" si="463"/>
        <v>179.16666666666669</v>
      </c>
      <c r="OD1523" s="100">
        <v>3</v>
      </c>
      <c r="OF1523" s="100">
        <v>6</v>
      </c>
      <c r="OG1523" s="100">
        <v>6</v>
      </c>
      <c r="OH1523" s="100">
        <v>5</v>
      </c>
      <c r="OI1523" s="100">
        <v>3</v>
      </c>
      <c r="OJ1523" s="100">
        <v>6</v>
      </c>
      <c r="OK1523" s="100">
        <v>5</v>
      </c>
      <c r="OM1523" s="100">
        <v>9</v>
      </c>
      <c r="ON1523" s="100">
        <f t="shared" si="447"/>
        <v>43</v>
      </c>
    </row>
    <row r="1524" spans="1:404" ht="23.25" customHeight="1">
      <c r="A1524" s="97" t="str">
        <f>D1524&amp;E1524</f>
        <v>003/CANADIAN_SR-2166-61337-03-B4</v>
      </c>
      <c r="B1524" s="95">
        <v>44372</v>
      </c>
      <c r="C1524" s="97">
        <f t="shared" ca="1" si="464"/>
        <v>-692</v>
      </c>
      <c r="D1524" s="96" t="s">
        <v>1110</v>
      </c>
      <c r="E1524" s="94" t="s">
        <v>1113</v>
      </c>
      <c r="F1524" s="132" t="str">
        <f t="shared" si="462"/>
        <v>B4</v>
      </c>
      <c r="G1524" s="130">
        <f ca="1">SUMIF($A:E,$A1524,K:K)</f>
        <v>1</v>
      </c>
      <c r="H1524" s="97" t="s">
        <v>601</v>
      </c>
      <c r="I1524" s="98">
        <v>1</v>
      </c>
      <c r="J1524" s="99">
        <v>1</v>
      </c>
      <c r="K1524" s="143">
        <f t="shared" si="446"/>
        <v>1</v>
      </c>
      <c r="L1524" s="144">
        <f t="shared" si="466"/>
        <v>0</v>
      </c>
      <c r="M1524" s="275">
        <f t="shared" si="465"/>
        <v>1</v>
      </c>
      <c r="N1524" s="98">
        <v>2</v>
      </c>
      <c r="O1524" s="93">
        <f t="shared" si="463"/>
        <v>100</v>
      </c>
      <c r="FL1524" s="100">
        <v>1</v>
      </c>
      <c r="ON1524" s="100">
        <f t="shared" si="447"/>
        <v>0</v>
      </c>
    </row>
    <row r="1525" spans="1:404" ht="23.25" customHeight="1">
      <c r="A1525" s="97" t="s">
        <v>1370</v>
      </c>
      <c r="B1525" s="95">
        <v>44453</v>
      </c>
      <c r="C1525" s="97">
        <f t="shared" ca="1" si="464"/>
        <v>-611</v>
      </c>
      <c r="D1525" s="112" t="s">
        <v>1391</v>
      </c>
      <c r="E1525" s="123" t="s">
        <v>1113</v>
      </c>
      <c r="F1525" s="132" t="str">
        <f t="shared" si="462"/>
        <v>B4</v>
      </c>
      <c r="G1525" s="130">
        <f ca="1">SUMIF($A:E,$A1525,K:K)</f>
        <v>5654</v>
      </c>
      <c r="H1525" s="97" t="s">
        <v>1402</v>
      </c>
      <c r="I1525" s="175">
        <v>376</v>
      </c>
      <c r="J1525" s="115">
        <v>376</v>
      </c>
      <c r="K1525" s="143">
        <f t="shared" si="446"/>
        <v>376</v>
      </c>
      <c r="L1525" s="144">
        <f t="shared" si="466"/>
        <v>0</v>
      </c>
      <c r="M1525" s="275">
        <f t="shared" si="465"/>
        <v>376</v>
      </c>
      <c r="N1525" s="98">
        <v>1</v>
      </c>
      <c r="O1525" s="93">
        <f t="shared" si="463"/>
        <v>100</v>
      </c>
      <c r="HN1525" s="100">
        <v>41</v>
      </c>
      <c r="HP1525" s="100">
        <v>31</v>
      </c>
      <c r="HQ1525" s="100">
        <v>38</v>
      </c>
      <c r="HR1525" s="100">
        <v>21</v>
      </c>
      <c r="HS1525" s="100">
        <v>32</v>
      </c>
      <c r="HT1525" s="100">
        <v>21</v>
      </c>
      <c r="HU1525" s="100">
        <v>38</v>
      </c>
      <c r="HW1525" s="100">
        <v>39</v>
      </c>
      <c r="HX1525" s="100">
        <v>31</v>
      </c>
      <c r="HY1525" s="100">
        <v>20</v>
      </c>
      <c r="ID1525" s="100">
        <v>53</v>
      </c>
      <c r="IE1525" s="100">
        <v>11</v>
      </c>
      <c r="ON1525" s="100">
        <f t="shared" si="447"/>
        <v>0</v>
      </c>
    </row>
    <row r="1526" spans="1:404" ht="23.25" customHeight="1">
      <c r="A1526" s="97" t="s">
        <v>1370</v>
      </c>
      <c r="B1526" s="95">
        <v>44465</v>
      </c>
      <c r="C1526" s="97">
        <f t="shared" ca="1" si="464"/>
        <v>-599</v>
      </c>
      <c r="D1526" s="112" t="s">
        <v>1394</v>
      </c>
      <c r="E1526" s="279" t="s">
        <v>1113</v>
      </c>
      <c r="F1526" s="132" t="s">
        <v>1772</v>
      </c>
      <c r="G1526" s="130">
        <v>2248</v>
      </c>
      <c r="H1526" s="97" t="s">
        <v>1402</v>
      </c>
      <c r="I1526" s="175">
        <v>264</v>
      </c>
      <c r="J1526" s="115">
        <v>66</v>
      </c>
      <c r="K1526" s="143">
        <f t="shared" si="446"/>
        <v>66</v>
      </c>
      <c r="L1526" s="144">
        <f t="shared" si="466"/>
        <v>0</v>
      </c>
      <c r="M1526" s="275">
        <f t="shared" si="465"/>
        <v>264</v>
      </c>
      <c r="N1526" s="98" t="s">
        <v>1776</v>
      </c>
      <c r="O1526" s="93">
        <f t="shared" si="463"/>
        <v>100</v>
      </c>
      <c r="IF1526" s="100">
        <v>8</v>
      </c>
      <c r="IG1526" s="100">
        <v>4</v>
      </c>
      <c r="IH1526" s="100">
        <v>4</v>
      </c>
      <c r="IK1526" s="100">
        <v>4</v>
      </c>
      <c r="IL1526" s="100">
        <v>4</v>
      </c>
      <c r="IM1526" s="100">
        <v>4</v>
      </c>
      <c r="IN1526" s="100">
        <v>4</v>
      </c>
      <c r="IP1526" s="100">
        <v>4</v>
      </c>
      <c r="IS1526" s="100">
        <v>8</v>
      </c>
      <c r="IT1526" s="100">
        <v>4</v>
      </c>
      <c r="IU1526" s="100">
        <v>8</v>
      </c>
      <c r="IV1526" s="100">
        <v>4</v>
      </c>
      <c r="IW1526" s="100">
        <v>4</v>
      </c>
      <c r="IY1526" s="100">
        <v>2</v>
      </c>
      <c r="ON1526" s="100">
        <f t="shared" si="447"/>
        <v>0</v>
      </c>
    </row>
    <row r="1527" spans="1:404" ht="23.25" customHeight="1">
      <c r="A1527" s="97" t="s">
        <v>1370</v>
      </c>
      <c r="B1527" s="95">
        <v>44465</v>
      </c>
      <c r="C1527" s="97">
        <f t="shared" ca="1" si="464"/>
        <v>-599</v>
      </c>
      <c r="D1527" s="112" t="s">
        <v>1394</v>
      </c>
      <c r="E1527" s="123" t="s">
        <v>1113</v>
      </c>
      <c r="F1527" s="132" t="str">
        <f>MID(E1527,13,2)</f>
        <v>B4</v>
      </c>
      <c r="G1527" s="130">
        <f ca="1">SUMIF($A:E,$A1527,K:K)</f>
        <v>5654</v>
      </c>
      <c r="H1527" s="97" t="s">
        <v>1402</v>
      </c>
      <c r="I1527" s="175">
        <v>264</v>
      </c>
      <c r="J1527" s="115">
        <v>54</v>
      </c>
      <c r="K1527" s="143">
        <f t="shared" si="446"/>
        <v>54</v>
      </c>
      <c r="L1527" s="144">
        <f t="shared" si="466"/>
        <v>0</v>
      </c>
      <c r="M1527" s="275">
        <f t="shared" si="465"/>
        <v>264</v>
      </c>
      <c r="N1527" s="98">
        <v>5</v>
      </c>
      <c r="O1527" s="93">
        <f t="shared" si="463"/>
        <v>100</v>
      </c>
      <c r="HM1527" s="100">
        <v>4</v>
      </c>
      <c r="HP1527" s="100">
        <v>7</v>
      </c>
      <c r="HQ1527" s="100">
        <v>4</v>
      </c>
      <c r="HR1527" s="100">
        <v>3</v>
      </c>
      <c r="HS1527" s="100">
        <v>1</v>
      </c>
      <c r="HT1527" s="100">
        <v>8</v>
      </c>
      <c r="HU1527" s="100">
        <v>4</v>
      </c>
      <c r="HW1527" s="100">
        <v>8</v>
      </c>
      <c r="HX1527" s="100">
        <v>8</v>
      </c>
      <c r="IE1527" s="100">
        <v>7</v>
      </c>
      <c r="ON1527" s="100">
        <f t="shared" si="447"/>
        <v>0</v>
      </c>
    </row>
    <row r="1528" spans="1:404" ht="23.25" customHeight="1">
      <c r="A1528" s="97" t="s">
        <v>1370</v>
      </c>
      <c r="B1528" s="95">
        <v>44465</v>
      </c>
      <c r="C1528" s="97">
        <f t="shared" ca="1" si="464"/>
        <v>-599</v>
      </c>
      <c r="D1528" s="112" t="s">
        <v>1394</v>
      </c>
      <c r="E1528" s="123" t="s">
        <v>1113</v>
      </c>
      <c r="F1528" s="132" t="str">
        <f>MID(E1528,13,2)</f>
        <v>B4</v>
      </c>
      <c r="G1528" s="130">
        <f ca="1">SUMIF($A:E,$A1528,K:K)</f>
        <v>5654</v>
      </c>
      <c r="H1528" s="97" t="s">
        <v>1402</v>
      </c>
      <c r="I1528" s="175">
        <v>264</v>
      </c>
      <c r="J1528" s="115">
        <v>144</v>
      </c>
      <c r="K1528" s="143">
        <f t="shared" si="446"/>
        <v>144</v>
      </c>
      <c r="L1528" s="144">
        <f t="shared" si="466"/>
        <v>0</v>
      </c>
      <c r="M1528" s="275">
        <f t="shared" si="465"/>
        <v>264</v>
      </c>
      <c r="N1528" s="98">
        <v>1</v>
      </c>
      <c r="O1528" s="93">
        <f t="shared" si="463"/>
        <v>100</v>
      </c>
      <c r="IF1528" s="100">
        <v>25</v>
      </c>
      <c r="IG1528" s="100">
        <v>32</v>
      </c>
      <c r="IK1528" s="100">
        <v>20</v>
      </c>
      <c r="IL1528" s="100">
        <v>18</v>
      </c>
      <c r="IM1528" s="100">
        <v>24</v>
      </c>
      <c r="IN1528" s="100">
        <v>10</v>
      </c>
      <c r="IO1528" s="100">
        <v>15</v>
      </c>
      <c r="ON1528" s="100">
        <f t="shared" si="447"/>
        <v>0</v>
      </c>
    </row>
    <row r="1529" spans="1:404" ht="23.25" customHeight="1">
      <c r="A1529" s="97" t="str">
        <f>D1529&amp;E1529</f>
        <v>001/OBI-VG_SR-2166-61337-03-B4</v>
      </c>
      <c r="B1529" s="95">
        <v>44434</v>
      </c>
      <c r="C1529" s="97">
        <f t="shared" ca="1" si="464"/>
        <v>-630</v>
      </c>
      <c r="D1529" s="96" t="s">
        <v>1738</v>
      </c>
      <c r="E1529" s="94" t="s">
        <v>1113</v>
      </c>
      <c r="F1529" s="132" t="str">
        <f>MID(E1529,13,2)</f>
        <v>B4</v>
      </c>
      <c r="G1529" s="130">
        <f ca="1">SUMIF($A:E,$A1529,K:K)</f>
        <v>3</v>
      </c>
      <c r="H1529" s="97" t="s">
        <v>1739</v>
      </c>
      <c r="I1529" s="98">
        <v>3</v>
      </c>
      <c r="J1529" s="99">
        <v>3</v>
      </c>
      <c r="K1529" s="143">
        <f t="shared" si="446"/>
        <v>3</v>
      </c>
      <c r="L1529" s="144">
        <f t="shared" si="466"/>
        <v>0</v>
      </c>
      <c r="M1529" s="275">
        <f t="shared" si="465"/>
        <v>3</v>
      </c>
      <c r="N1529" s="98">
        <v>1</v>
      </c>
      <c r="O1529" s="93">
        <f t="shared" si="463"/>
        <v>100</v>
      </c>
      <c r="HP1529" s="100">
        <v>3</v>
      </c>
      <c r="ON1529" s="100">
        <f t="shared" si="447"/>
        <v>0</v>
      </c>
    </row>
    <row r="1530" spans="1:404" ht="23.25" customHeight="1">
      <c r="A1530" s="97" t="str">
        <f>D1530&amp;E1530</f>
        <v xml:space="preserve">	001/AL-FARES-VG-2166-61337-03-B4</v>
      </c>
      <c r="B1530" s="95">
        <v>44686</v>
      </c>
      <c r="C1530" s="97">
        <f t="shared" ca="1" si="464"/>
        <v>-378</v>
      </c>
      <c r="D1530" s="112" t="s">
        <v>1814</v>
      </c>
      <c r="E1530" s="123" t="s">
        <v>1113</v>
      </c>
      <c r="F1530" s="132" t="str">
        <f>MID(E1530,13,2)</f>
        <v>B4</v>
      </c>
      <c r="G1530" s="130">
        <f ca="1">SUMIF($A:E,$A1530,K:K)</f>
        <v>0</v>
      </c>
      <c r="H1530" s="112" t="s">
        <v>1561</v>
      </c>
      <c r="I1530" s="175">
        <v>84</v>
      </c>
      <c r="J1530" s="115">
        <v>84</v>
      </c>
      <c r="K1530" s="143">
        <f t="shared" si="446"/>
        <v>0</v>
      </c>
      <c r="L1530" s="144">
        <f t="shared" si="466"/>
        <v>84</v>
      </c>
      <c r="M1530" s="275">
        <f t="shared" si="465"/>
        <v>84</v>
      </c>
      <c r="N1530" s="98">
        <v>2</v>
      </c>
      <c r="O1530" s="93">
        <f t="shared" si="463"/>
        <v>0</v>
      </c>
      <c r="ON1530" s="100">
        <f t="shared" si="447"/>
        <v>0</v>
      </c>
    </row>
    <row r="1531" spans="1:404" ht="23.25" customHeight="1">
      <c r="A1531" s="97" t="s">
        <v>1370</v>
      </c>
      <c r="B1531" s="95">
        <v>44453</v>
      </c>
      <c r="C1531" s="97">
        <f t="shared" ca="1" si="464"/>
        <v>-611</v>
      </c>
      <c r="D1531" s="112" t="s">
        <v>1391</v>
      </c>
      <c r="E1531" s="123" t="s">
        <v>1393</v>
      </c>
      <c r="F1531" s="132" t="str">
        <f>MID(E1531,13,2)</f>
        <v>B4</v>
      </c>
      <c r="G1531" s="130">
        <f ca="1">SUMIF($A:E,$A1531,K:K)</f>
        <v>5654</v>
      </c>
      <c r="H1531" s="97" t="s">
        <v>1402</v>
      </c>
      <c r="I1531" s="175">
        <v>376</v>
      </c>
      <c r="J1531" s="115">
        <v>376</v>
      </c>
      <c r="K1531" s="143">
        <f t="shared" si="446"/>
        <v>376</v>
      </c>
      <c r="L1531" s="144">
        <f t="shared" si="466"/>
        <v>0</v>
      </c>
      <c r="M1531" s="275">
        <f t="shared" si="465"/>
        <v>376</v>
      </c>
      <c r="N1531" s="98">
        <v>1</v>
      </c>
      <c r="O1531" s="93">
        <f t="shared" si="463"/>
        <v>100</v>
      </c>
      <c r="HN1531" s="100">
        <v>41</v>
      </c>
      <c r="HP1531" s="100">
        <v>31</v>
      </c>
      <c r="HQ1531" s="100">
        <v>38</v>
      </c>
      <c r="HR1531" s="100">
        <v>21</v>
      </c>
      <c r="HS1531" s="100">
        <v>32</v>
      </c>
      <c r="HT1531" s="100">
        <v>21</v>
      </c>
      <c r="HU1531" s="100">
        <v>38</v>
      </c>
      <c r="HW1531" s="100">
        <v>39</v>
      </c>
      <c r="HX1531" s="100">
        <v>31</v>
      </c>
      <c r="HY1531" s="100">
        <v>20</v>
      </c>
      <c r="ID1531" s="100">
        <v>53</v>
      </c>
      <c r="IE1531" s="100">
        <v>11</v>
      </c>
      <c r="ON1531" s="100">
        <f t="shared" si="447"/>
        <v>0</v>
      </c>
    </row>
    <row r="1532" spans="1:404" ht="23.25" customHeight="1">
      <c r="A1532" s="97" t="s">
        <v>1370</v>
      </c>
      <c r="B1532" s="95">
        <v>44465</v>
      </c>
      <c r="C1532" s="97">
        <f t="shared" ca="1" si="464"/>
        <v>-599</v>
      </c>
      <c r="D1532" s="112" t="s">
        <v>1394</v>
      </c>
      <c r="E1532" s="279" t="s">
        <v>1393</v>
      </c>
      <c r="F1532" s="132" t="s">
        <v>1772</v>
      </c>
      <c r="G1532" s="130">
        <v>2302</v>
      </c>
      <c r="H1532" s="97" t="s">
        <v>1402</v>
      </c>
      <c r="I1532" s="175">
        <v>264</v>
      </c>
      <c r="J1532" s="115">
        <v>66</v>
      </c>
      <c r="K1532" s="143">
        <f t="shared" si="446"/>
        <v>66</v>
      </c>
      <c r="L1532" s="144">
        <f t="shared" si="466"/>
        <v>0</v>
      </c>
      <c r="M1532" s="275">
        <f t="shared" si="465"/>
        <v>264</v>
      </c>
      <c r="N1532" s="98" t="s">
        <v>1776</v>
      </c>
      <c r="O1532" s="93">
        <f t="shared" si="463"/>
        <v>100</v>
      </c>
      <c r="IF1532" s="100">
        <v>8</v>
      </c>
      <c r="IG1532" s="100">
        <v>4</v>
      </c>
      <c r="IH1532" s="100">
        <v>4</v>
      </c>
      <c r="IK1532" s="100">
        <v>4</v>
      </c>
      <c r="IL1532" s="100">
        <v>4</v>
      </c>
      <c r="IM1532" s="100">
        <v>4</v>
      </c>
      <c r="IN1532" s="100">
        <v>4</v>
      </c>
      <c r="IP1532" s="100">
        <v>4</v>
      </c>
      <c r="IS1532" s="100">
        <v>8</v>
      </c>
      <c r="IT1532" s="100">
        <v>4</v>
      </c>
      <c r="IU1532" s="100">
        <v>8</v>
      </c>
      <c r="IV1532" s="100">
        <v>4</v>
      </c>
      <c r="IW1532" s="100">
        <v>4</v>
      </c>
      <c r="IY1532" s="100">
        <v>2</v>
      </c>
      <c r="ON1532" s="100">
        <f t="shared" si="447"/>
        <v>0</v>
      </c>
    </row>
    <row r="1533" spans="1:404" ht="23.25" customHeight="1">
      <c r="A1533" s="97" t="s">
        <v>1370</v>
      </c>
      <c r="B1533" s="95">
        <v>44465</v>
      </c>
      <c r="C1533" s="97">
        <f t="shared" ca="1" si="464"/>
        <v>-599</v>
      </c>
      <c r="D1533" s="112" t="s">
        <v>1394</v>
      </c>
      <c r="E1533" s="123" t="s">
        <v>1393</v>
      </c>
      <c r="F1533" s="132" t="str">
        <f t="shared" ref="F1533:F1552" si="467">MID(E1533,13,2)</f>
        <v>B4</v>
      </c>
      <c r="G1533" s="130">
        <f ca="1">SUMIF($A:E,$A1533,K:K)</f>
        <v>5654</v>
      </c>
      <c r="H1533" s="97" t="s">
        <v>1402</v>
      </c>
      <c r="I1533" s="175">
        <v>264</v>
      </c>
      <c r="J1533" s="115">
        <v>54</v>
      </c>
      <c r="K1533" s="143">
        <f t="shared" si="446"/>
        <v>54</v>
      </c>
      <c r="L1533" s="144">
        <f t="shared" si="466"/>
        <v>0</v>
      </c>
      <c r="M1533" s="275">
        <f t="shared" si="465"/>
        <v>264</v>
      </c>
      <c r="N1533" s="98">
        <v>5</v>
      </c>
      <c r="O1533" s="93">
        <f t="shared" si="463"/>
        <v>100</v>
      </c>
      <c r="HM1533" s="100">
        <v>4</v>
      </c>
      <c r="HP1533" s="100">
        <v>7</v>
      </c>
      <c r="HQ1533" s="100">
        <v>4</v>
      </c>
      <c r="HR1533" s="100">
        <v>3</v>
      </c>
      <c r="HS1533" s="100">
        <v>1</v>
      </c>
      <c r="HT1533" s="100">
        <v>8</v>
      </c>
      <c r="HU1533" s="100">
        <v>4</v>
      </c>
      <c r="HW1533" s="100">
        <v>8</v>
      </c>
      <c r="HX1533" s="100">
        <v>8</v>
      </c>
      <c r="IE1533" s="100">
        <v>7</v>
      </c>
      <c r="ON1533" s="100">
        <f t="shared" si="447"/>
        <v>0</v>
      </c>
    </row>
    <row r="1534" spans="1:404" ht="23.25" customHeight="1">
      <c r="A1534" s="97" t="s">
        <v>1370</v>
      </c>
      <c r="B1534" s="95">
        <v>44465</v>
      </c>
      <c r="C1534" s="97">
        <f t="shared" ca="1" si="464"/>
        <v>-599</v>
      </c>
      <c r="D1534" s="112" t="s">
        <v>1394</v>
      </c>
      <c r="E1534" s="123" t="s">
        <v>1393</v>
      </c>
      <c r="F1534" s="132" t="str">
        <f t="shared" si="467"/>
        <v>B4</v>
      </c>
      <c r="G1534" s="130">
        <f ca="1">SUMIF($A:E,$A1534,K:K)</f>
        <v>5654</v>
      </c>
      <c r="H1534" s="97" t="s">
        <v>1402</v>
      </c>
      <c r="I1534" s="175">
        <v>264</v>
      </c>
      <c r="J1534" s="115">
        <v>144</v>
      </c>
      <c r="K1534" s="143">
        <f t="shared" si="446"/>
        <v>144</v>
      </c>
      <c r="L1534" s="144">
        <f t="shared" si="466"/>
        <v>0</v>
      </c>
      <c r="M1534" s="275">
        <f t="shared" si="465"/>
        <v>264</v>
      </c>
      <c r="N1534" s="98">
        <v>1</v>
      </c>
      <c r="O1534" s="93">
        <f t="shared" si="463"/>
        <v>100</v>
      </c>
      <c r="IF1534" s="100">
        <v>25</v>
      </c>
      <c r="IG1534" s="100">
        <v>32</v>
      </c>
      <c r="II1534" s="100">
        <v>9</v>
      </c>
      <c r="IK1534" s="100">
        <v>11</v>
      </c>
      <c r="IL1534" s="100">
        <v>18</v>
      </c>
      <c r="IM1534" s="100">
        <v>24</v>
      </c>
      <c r="IN1534" s="100">
        <v>10</v>
      </c>
      <c r="IO1534" s="100">
        <v>15</v>
      </c>
      <c r="ON1534" s="100">
        <f t="shared" si="447"/>
        <v>0</v>
      </c>
    </row>
    <row r="1535" spans="1:404" ht="23.25" customHeight="1">
      <c r="A1535" s="97" t="s">
        <v>1370</v>
      </c>
      <c r="B1535" s="95">
        <v>44453</v>
      </c>
      <c r="C1535" s="97">
        <f t="shared" ca="1" si="464"/>
        <v>-611</v>
      </c>
      <c r="D1535" s="112" t="s">
        <v>1391</v>
      </c>
      <c r="E1535" s="123" t="s">
        <v>1392</v>
      </c>
      <c r="F1535" s="132" t="str">
        <f t="shared" si="467"/>
        <v>B4</v>
      </c>
      <c r="G1535" s="130">
        <f ca="1">SUMIF($A:E,$A1535,K:K)</f>
        <v>5654</v>
      </c>
      <c r="H1535" s="97" t="s">
        <v>1402</v>
      </c>
      <c r="I1535" s="175">
        <v>376</v>
      </c>
      <c r="J1535" s="115">
        <v>376</v>
      </c>
      <c r="K1535" s="143">
        <f t="shared" si="446"/>
        <v>376</v>
      </c>
      <c r="L1535" s="144">
        <f t="shared" si="466"/>
        <v>0</v>
      </c>
      <c r="M1535" s="275">
        <f t="shared" si="465"/>
        <v>376</v>
      </c>
      <c r="N1535" s="98">
        <v>1</v>
      </c>
      <c r="O1535" s="93">
        <f t="shared" si="463"/>
        <v>100</v>
      </c>
      <c r="HN1535" s="100">
        <v>41</v>
      </c>
      <c r="HP1535" s="100">
        <v>31</v>
      </c>
      <c r="HQ1535" s="100">
        <v>38</v>
      </c>
      <c r="HR1535" s="100">
        <v>21</v>
      </c>
      <c r="HS1535" s="100">
        <v>32</v>
      </c>
      <c r="HT1535" s="100">
        <v>21</v>
      </c>
      <c r="HU1535" s="100">
        <v>38</v>
      </c>
      <c r="HW1535" s="100">
        <v>39</v>
      </c>
      <c r="HX1535" s="100">
        <v>31</v>
      </c>
      <c r="HY1535" s="100">
        <v>20</v>
      </c>
      <c r="ID1535" s="100">
        <v>53</v>
      </c>
      <c r="IE1535" s="100">
        <v>11</v>
      </c>
      <c r="ON1535" s="100">
        <f t="shared" si="447"/>
        <v>0</v>
      </c>
    </row>
    <row r="1536" spans="1:404" ht="23.25" customHeight="1">
      <c r="A1536" s="97" t="s">
        <v>1370</v>
      </c>
      <c r="B1536" s="95">
        <v>44465</v>
      </c>
      <c r="C1536" s="97">
        <f t="shared" ca="1" si="464"/>
        <v>-599</v>
      </c>
      <c r="D1536" s="112" t="s">
        <v>1394</v>
      </c>
      <c r="E1536" s="279" t="s">
        <v>1392</v>
      </c>
      <c r="F1536" s="132" t="str">
        <f t="shared" si="467"/>
        <v>B4</v>
      </c>
      <c r="G1536" s="130">
        <f ca="1">SUMIF($A:E,$A1536,K:K)</f>
        <v>5654</v>
      </c>
      <c r="H1536" s="97" t="s">
        <v>1402</v>
      </c>
      <c r="I1536" s="175">
        <v>264</v>
      </c>
      <c r="J1536" s="115">
        <v>66</v>
      </c>
      <c r="K1536" s="143">
        <f t="shared" si="446"/>
        <v>66</v>
      </c>
      <c r="L1536" s="144">
        <f t="shared" si="466"/>
        <v>0</v>
      </c>
      <c r="M1536" s="275">
        <f t="shared" si="465"/>
        <v>264</v>
      </c>
      <c r="N1536" s="98" t="s">
        <v>1776</v>
      </c>
      <c r="O1536" s="93">
        <f t="shared" si="463"/>
        <v>100</v>
      </c>
      <c r="IF1536" s="100">
        <v>8</v>
      </c>
      <c r="IG1536" s="100">
        <v>4</v>
      </c>
      <c r="IH1536" s="100">
        <v>4</v>
      </c>
      <c r="IK1536" s="100">
        <v>4</v>
      </c>
      <c r="IL1536" s="100">
        <v>4</v>
      </c>
      <c r="IM1536" s="100">
        <v>4</v>
      </c>
      <c r="IN1536" s="100">
        <v>4</v>
      </c>
      <c r="IP1536" s="100">
        <v>4</v>
      </c>
      <c r="IS1536" s="100">
        <v>8</v>
      </c>
      <c r="IT1536" s="100">
        <v>4</v>
      </c>
      <c r="IU1536" s="100">
        <v>8</v>
      </c>
      <c r="IV1536" s="100">
        <v>4</v>
      </c>
      <c r="IW1536" s="100">
        <v>4</v>
      </c>
      <c r="IY1536" s="100">
        <v>2</v>
      </c>
      <c r="ON1536" s="100">
        <f t="shared" si="447"/>
        <v>0</v>
      </c>
    </row>
    <row r="1537" spans="1:404" ht="23.25" customHeight="1">
      <c r="A1537" s="97" t="s">
        <v>1370</v>
      </c>
      <c r="B1537" s="95">
        <v>44465</v>
      </c>
      <c r="C1537" s="97">
        <f t="shared" ca="1" si="464"/>
        <v>-599</v>
      </c>
      <c r="D1537" s="112" t="s">
        <v>1394</v>
      </c>
      <c r="E1537" s="123" t="s">
        <v>1392</v>
      </c>
      <c r="F1537" s="132" t="str">
        <f t="shared" si="467"/>
        <v>B4</v>
      </c>
      <c r="G1537" s="130">
        <f ca="1">SUMIF($A:E,$A1537,K:K)</f>
        <v>5654</v>
      </c>
      <c r="H1537" s="97" t="s">
        <v>1402</v>
      </c>
      <c r="I1537" s="175">
        <v>264</v>
      </c>
      <c r="J1537" s="115">
        <v>54</v>
      </c>
      <c r="K1537" s="143">
        <f t="shared" si="446"/>
        <v>54</v>
      </c>
      <c r="L1537" s="144">
        <f t="shared" si="466"/>
        <v>0</v>
      </c>
      <c r="M1537" s="275">
        <f t="shared" si="465"/>
        <v>264</v>
      </c>
      <c r="N1537" s="98">
        <v>5</v>
      </c>
      <c r="O1537" s="93">
        <f t="shared" si="463"/>
        <v>100</v>
      </c>
      <c r="HM1537" s="100">
        <v>4</v>
      </c>
      <c r="HP1537" s="100">
        <v>7</v>
      </c>
      <c r="HQ1537" s="100">
        <v>4</v>
      </c>
      <c r="HR1537" s="100">
        <v>3</v>
      </c>
      <c r="HS1537" s="100">
        <v>1</v>
      </c>
      <c r="HT1537" s="100">
        <v>8</v>
      </c>
      <c r="HU1537" s="100">
        <v>4</v>
      </c>
      <c r="HW1537" s="100">
        <v>8</v>
      </c>
      <c r="HX1537" s="100">
        <v>8</v>
      </c>
      <c r="IE1537" s="100">
        <v>7</v>
      </c>
      <c r="ON1537" s="100">
        <f t="shared" si="447"/>
        <v>0</v>
      </c>
    </row>
    <row r="1538" spans="1:404" ht="23.25" customHeight="1">
      <c r="A1538" s="97" t="s">
        <v>1370</v>
      </c>
      <c r="B1538" s="95">
        <v>44465</v>
      </c>
      <c r="C1538" s="97">
        <f t="shared" ca="1" si="464"/>
        <v>-599</v>
      </c>
      <c r="D1538" s="112" t="s">
        <v>1394</v>
      </c>
      <c r="E1538" s="123" t="s">
        <v>1392</v>
      </c>
      <c r="F1538" s="132" t="str">
        <f t="shared" si="467"/>
        <v>B4</v>
      </c>
      <c r="G1538" s="130">
        <f ca="1">SUMIF($A:E,$A1538,K:K)</f>
        <v>5654</v>
      </c>
      <c r="H1538" s="97" t="s">
        <v>1402</v>
      </c>
      <c r="I1538" s="175">
        <v>264</v>
      </c>
      <c r="J1538" s="115">
        <v>144</v>
      </c>
      <c r="K1538" s="143">
        <f t="shared" si="446"/>
        <v>144</v>
      </c>
      <c r="L1538" s="144">
        <f t="shared" si="466"/>
        <v>0</v>
      </c>
      <c r="M1538" s="275">
        <f t="shared" si="465"/>
        <v>264</v>
      </c>
      <c r="N1538" s="98">
        <v>1</v>
      </c>
      <c r="O1538" s="93">
        <f t="shared" si="463"/>
        <v>100</v>
      </c>
      <c r="IF1538" s="100">
        <v>25</v>
      </c>
      <c r="IG1538" s="100">
        <v>32</v>
      </c>
      <c r="II1538" s="100">
        <v>9</v>
      </c>
      <c r="IK1538" s="100">
        <v>11</v>
      </c>
      <c r="IL1538" s="100">
        <v>18</v>
      </c>
      <c r="IM1538" s="100">
        <v>24</v>
      </c>
      <c r="IN1538" s="100">
        <v>10</v>
      </c>
      <c r="IO1538" s="100">
        <v>15</v>
      </c>
      <c r="ON1538" s="100">
        <f t="shared" si="447"/>
        <v>0</v>
      </c>
    </row>
    <row r="1539" spans="1:404" ht="23.25" customHeight="1">
      <c r="A1539" s="97" t="str">
        <f t="shared" ref="A1539:A1543" si="468">D1539&amp;E1539</f>
        <v>001/OBI-VG_SR-2166-61337-01-B4</v>
      </c>
      <c r="B1539" s="95">
        <v>44434</v>
      </c>
      <c r="C1539" s="97">
        <f t="shared" ca="1" si="464"/>
        <v>-630</v>
      </c>
      <c r="D1539" s="96" t="s">
        <v>1738</v>
      </c>
      <c r="E1539" s="94" t="s">
        <v>1392</v>
      </c>
      <c r="F1539" s="132" t="str">
        <f t="shared" si="467"/>
        <v>B4</v>
      </c>
      <c r="G1539" s="130">
        <f ca="1">SUMIF($A:E,$A1539,K:K)</f>
        <v>3</v>
      </c>
      <c r="H1539" s="97" t="s">
        <v>1739</v>
      </c>
      <c r="I1539" s="98">
        <v>3</v>
      </c>
      <c r="J1539" s="99">
        <v>3</v>
      </c>
      <c r="K1539" s="143">
        <f t="shared" si="446"/>
        <v>3</v>
      </c>
      <c r="L1539" s="144">
        <f t="shared" si="466"/>
        <v>0</v>
      </c>
      <c r="M1539" s="275">
        <f t="shared" si="465"/>
        <v>3</v>
      </c>
      <c r="N1539" s="98">
        <v>1</v>
      </c>
      <c r="O1539" s="93">
        <f t="shared" si="463"/>
        <v>100</v>
      </c>
      <c r="HP1539" s="100">
        <v>3</v>
      </c>
      <c r="ON1539" s="100">
        <f t="shared" si="447"/>
        <v>0</v>
      </c>
    </row>
    <row r="1540" spans="1:404" ht="23.25" customHeight="1">
      <c r="A1540" s="97" t="str">
        <f t="shared" si="468"/>
        <v>006/BOTANICO-2166-61320-S3-B4</v>
      </c>
      <c r="B1540" s="95">
        <v>44642</v>
      </c>
      <c r="C1540" s="97">
        <f t="shared" ca="1" si="464"/>
        <v>-422</v>
      </c>
      <c r="D1540" s="112" t="s">
        <v>1511</v>
      </c>
      <c r="E1540" s="123" t="s">
        <v>1512</v>
      </c>
      <c r="F1540" s="132" t="str">
        <f t="shared" si="467"/>
        <v>B4</v>
      </c>
      <c r="G1540" s="130">
        <f ca="1">SUMIF($A:E,$A1540,K:K)</f>
        <v>68</v>
      </c>
      <c r="H1540" s="97" t="s">
        <v>1593</v>
      </c>
      <c r="I1540" s="175">
        <v>48</v>
      </c>
      <c r="J1540" s="115">
        <v>48</v>
      </c>
      <c r="K1540" s="143">
        <f t="shared" ref="K1540:K1603" si="469">SUM(P1540:BBC1540)</f>
        <v>68</v>
      </c>
      <c r="L1540" s="144">
        <f t="shared" si="466"/>
        <v>-20</v>
      </c>
      <c r="M1540" s="275">
        <f t="shared" si="465"/>
        <v>144</v>
      </c>
      <c r="N1540" s="98">
        <v>2</v>
      </c>
      <c r="O1540" s="93">
        <f t="shared" si="463"/>
        <v>141.66666666666669</v>
      </c>
      <c r="OC1540" s="100">
        <v>4</v>
      </c>
      <c r="OD1540" s="100">
        <v>2</v>
      </c>
      <c r="OF1540" s="100">
        <v>4</v>
      </c>
      <c r="OG1540" s="100">
        <v>6</v>
      </c>
      <c r="OH1540" s="100">
        <v>3</v>
      </c>
      <c r="OI1540" s="100">
        <v>2</v>
      </c>
      <c r="OJ1540" s="100">
        <v>4</v>
      </c>
      <c r="OK1540" s="100">
        <v>5</v>
      </c>
      <c r="OM1540" s="100">
        <v>4</v>
      </c>
      <c r="ON1540" s="100">
        <f t="shared" ref="ON1540:ON1603" si="470">SUM(NS1540:OM1540)</f>
        <v>34</v>
      </c>
    </row>
    <row r="1541" spans="1:404" ht="23.25" customHeight="1">
      <c r="A1541" s="97" t="str">
        <f t="shared" si="468"/>
        <v>003/ANNA-VG-21(đ7)66-61320-S3-B4</v>
      </c>
      <c r="B1541" s="95">
        <v>44634</v>
      </c>
      <c r="C1541" s="97">
        <f t="shared" ca="1" si="464"/>
        <v>-430</v>
      </c>
      <c r="D1541" s="112" t="s">
        <v>1671</v>
      </c>
      <c r="E1541" s="123" t="s">
        <v>1512</v>
      </c>
      <c r="F1541" s="132" t="str">
        <f t="shared" si="467"/>
        <v>B4</v>
      </c>
      <c r="G1541" s="130">
        <f ca="1">SUMIF($A:E,$A1541,K:K)</f>
        <v>32</v>
      </c>
      <c r="H1541" s="112" t="s">
        <v>990</v>
      </c>
      <c r="I1541" s="175">
        <v>16</v>
      </c>
      <c r="J1541" s="115">
        <v>16</v>
      </c>
      <c r="K1541" s="143">
        <f t="shared" si="469"/>
        <v>32</v>
      </c>
      <c r="L1541" s="144">
        <f t="shared" si="466"/>
        <v>-16</v>
      </c>
      <c r="M1541" s="275">
        <f t="shared" si="465"/>
        <v>48</v>
      </c>
      <c r="N1541" s="98">
        <v>2</v>
      </c>
      <c r="O1541" s="93">
        <f t="shared" si="463"/>
        <v>200</v>
      </c>
      <c r="NU1541" s="100">
        <v>1</v>
      </c>
      <c r="NV1541" s="100">
        <v>3</v>
      </c>
      <c r="NY1541" s="100">
        <v>2</v>
      </c>
      <c r="NZ1541" s="100">
        <v>9</v>
      </c>
      <c r="OA1541" s="100">
        <v>1</v>
      </c>
      <c r="ON1541" s="100">
        <f t="shared" si="470"/>
        <v>16</v>
      </c>
    </row>
    <row r="1542" spans="1:404" ht="23.25" customHeight="1">
      <c r="A1542" s="97" t="str">
        <f t="shared" si="468"/>
        <v>002/FLOWER POWER-VG-2166-61320-S3-B</v>
      </c>
      <c r="B1542" s="95">
        <v>44670</v>
      </c>
      <c r="C1542" s="97">
        <f t="shared" ca="1" si="464"/>
        <v>-394</v>
      </c>
      <c r="D1542" s="112" t="s">
        <v>1714</v>
      </c>
      <c r="E1542" s="123" t="s">
        <v>1721</v>
      </c>
      <c r="F1542" s="132" t="str">
        <f t="shared" si="467"/>
        <v>B</v>
      </c>
      <c r="G1542" s="130">
        <f ca="1">SUMIF($A:E,$A1542,K:K)</f>
        <v>0</v>
      </c>
      <c r="H1542" s="112" t="s">
        <v>1725</v>
      </c>
      <c r="I1542" s="175">
        <v>80</v>
      </c>
      <c r="J1542" s="115">
        <v>80</v>
      </c>
      <c r="K1542" s="143">
        <f t="shared" si="469"/>
        <v>0</v>
      </c>
      <c r="L1542" s="144">
        <f t="shared" si="466"/>
        <v>80</v>
      </c>
      <c r="M1542" s="275">
        <f t="shared" si="465"/>
        <v>240</v>
      </c>
      <c r="N1542" s="98"/>
      <c r="O1542" s="93">
        <f t="shared" si="463"/>
        <v>0</v>
      </c>
      <c r="ON1542" s="100">
        <f t="shared" si="470"/>
        <v>0</v>
      </c>
    </row>
    <row r="1543" spans="1:404" ht="23.25" customHeight="1">
      <c r="A1543" s="97" t="str">
        <f t="shared" si="468"/>
        <v>001/ANNA-2166-61318-S3-B1</v>
      </c>
      <c r="B1543" s="95">
        <v>44395</v>
      </c>
      <c r="C1543" s="97">
        <f t="shared" ref="C1543:C1568" ca="1" si="471">B1543-TODAY()</f>
        <v>-669</v>
      </c>
      <c r="D1543" s="159" t="s">
        <v>862</v>
      </c>
      <c r="E1543" s="123" t="s">
        <v>634</v>
      </c>
      <c r="F1543" s="132" t="str">
        <f t="shared" si="467"/>
        <v>B1</v>
      </c>
      <c r="G1543" s="130">
        <f ca="1">SUMIF($A:E,$A1543,K:K)</f>
        <v>48</v>
      </c>
      <c r="H1543" s="97" t="s">
        <v>882</v>
      </c>
      <c r="I1543" s="175">
        <v>48</v>
      </c>
      <c r="J1543" s="115">
        <v>48</v>
      </c>
      <c r="K1543" s="143">
        <f t="shared" si="469"/>
        <v>48</v>
      </c>
      <c r="L1543" s="144">
        <f t="shared" si="466"/>
        <v>0</v>
      </c>
      <c r="M1543" s="275">
        <f t="shared" ref="M1543:M1568" si="472">IF(OR(MID(E1543,10,1)="0",MID(E1543,10,1)="F"),I1543,IF(OR(,MID(E1543,10,1)="S",MID(E1543,10,1)="L",MID(E1543,10,1)="B",MID(E1543,10,1)="X"),MID(E1543,11,1)*I1543,0))</f>
        <v>144</v>
      </c>
      <c r="N1543" s="98">
        <v>2</v>
      </c>
      <c r="O1543" s="93">
        <f t="shared" ref="O1543:O1565" si="473">K1543/J1543*100</f>
        <v>100</v>
      </c>
      <c r="DM1543" s="101">
        <v>2</v>
      </c>
      <c r="DN1543" s="101">
        <v>4</v>
      </c>
      <c r="DO1543" s="101">
        <v>2</v>
      </c>
      <c r="DP1543" s="101">
        <v>3</v>
      </c>
      <c r="DR1543" s="101">
        <v>4</v>
      </c>
      <c r="DS1543" s="100">
        <v>4</v>
      </c>
      <c r="DT1543" s="100">
        <v>2</v>
      </c>
      <c r="DU1543" s="100">
        <v>2</v>
      </c>
      <c r="DV1543" s="100">
        <v>9</v>
      </c>
      <c r="DW1543" s="100">
        <v>4</v>
      </c>
      <c r="DY1543" s="100">
        <v>4</v>
      </c>
      <c r="DZ1543" s="100">
        <v>3</v>
      </c>
      <c r="EA1543" s="100">
        <v>4</v>
      </c>
      <c r="EC1543" s="100">
        <v>1</v>
      </c>
      <c r="ON1543" s="100">
        <f t="shared" si="470"/>
        <v>0</v>
      </c>
    </row>
    <row r="1544" spans="1:404" ht="23.25" customHeight="1">
      <c r="A1544" s="97" t="str">
        <f>D1544&amp;E1545</f>
        <v>009/COMERZIA-2166-61318-S3-B1</v>
      </c>
      <c r="B1544" s="95">
        <v>44569</v>
      </c>
      <c r="C1544" s="97">
        <f t="shared" ca="1" si="471"/>
        <v>-495</v>
      </c>
      <c r="D1544" s="141" t="s">
        <v>1232</v>
      </c>
      <c r="E1544" s="356" t="s">
        <v>634</v>
      </c>
      <c r="F1544" s="98" t="str">
        <f t="shared" si="467"/>
        <v>B1</v>
      </c>
      <c r="G1544" s="110">
        <f ca="1">SUMIF($A:E,$A1544,K:K)</f>
        <v>16</v>
      </c>
      <c r="H1544" s="97" t="s">
        <v>508</v>
      </c>
      <c r="I1544" s="98">
        <v>16</v>
      </c>
      <c r="J1544" s="97">
        <v>16</v>
      </c>
      <c r="K1544" s="143">
        <f t="shared" si="469"/>
        <v>16</v>
      </c>
      <c r="L1544" s="144">
        <f t="shared" si="466"/>
        <v>0</v>
      </c>
      <c r="M1544" s="275">
        <f t="shared" si="472"/>
        <v>48</v>
      </c>
      <c r="N1544" s="98">
        <v>1</v>
      </c>
      <c r="O1544" s="93">
        <f t="shared" si="473"/>
        <v>100</v>
      </c>
      <c r="LZ1544" s="100">
        <v>2</v>
      </c>
      <c r="MD1544" s="100">
        <v>3</v>
      </c>
      <c r="ME1544" s="100">
        <v>2</v>
      </c>
      <c r="MF1544" s="100">
        <v>2</v>
      </c>
      <c r="MG1544" s="100">
        <v>1</v>
      </c>
      <c r="MK1544" s="100">
        <v>4</v>
      </c>
      <c r="MN1544" s="100">
        <v>2</v>
      </c>
      <c r="ON1544" s="100">
        <f t="shared" si="470"/>
        <v>0</v>
      </c>
    </row>
    <row r="1545" spans="1:404" ht="23.25" customHeight="1">
      <c r="A1545" s="97" t="str">
        <f>D1545&amp;E1545</f>
        <v>001/ERMITAZAS-2166-61318-S3-B1</v>
      </c>
      <c r="B1545" s="95">
        <v>44649</v>
      </c>
      <c r="C1545" s="97">
        <f t="shared" ca="1" si="471"/>
        <v>-415</v>
      </c>
      <c r="D1545" s="112" t="s">
        <v>1495</v>
      </c>
      <c r="E1545" s="279" t="s">
        <v>634</v>
      </c>
      <c r="F1545" s="132" t="str">
        <f t="shared" si="467"/>
        <v>B1</v>
      </c>
      <c r="G1545" s="130">
        <f ca="1">SUMIF($A:E,$A1545,K:K)</f>
        <v>64</v>
      </c>
      <c r="H1545" s="112" t="s">
        <v>1494</v>
      </c>
      <c r="I1545" s="175">
        <v>32</v>
      </c>
      <c r="J1545" s="115">
        <v>32</v>
      </c>
      <c r="K1545" s="143">
        <f t="shared" si="469"/>
        <v>64</v>
      </c>
      <c r="L1545" s="144">
        <f t="shared" si="466"/>
        <v>-32</v>
      </c>
      <c r="M1545" s="275">
        <f t="shared" si="472"/>
        <v>96</v>
      </c>
      <c r="N1545" s="98">
        <v>3</v>
      </c>
      <c r="O1545" s="93">
        <f t="shared" si="473"/>
        <v>200</v>
      </c>
      <c r="OB1545" s="100">
        <v>4</v>
      </c>
      <c r="OF1545" s="100">
        <v>4</v>
      </c>
      <c r="OG1545" s="100">
        <v>2</v>
      </c>
      <c r="OH1545" s="100">
        <v>8</v>
      </c>
      <c r="OJ1545" s="100">
        <v>7</v>
      </c>
      <c r="OK1545" s="100">
        <v>5</v>
      </c>
      <c r="OM1545" s="100">
        <v>2</v>
      </c>
      <c r="ON1545" s="100">
        <f t="shared" si="470"/>
        <v>32</v>
      </c>
    </row>
    <row r="1546" spans="1:404" ht="23.25" customHeight="1">
      <c r="A1546" s="97" t="str">
        <f>D1546&amp;E1546</f>
        <v>001/ANNA-2166-61318-B2-B1</v>
      </c>
      <c r="B1546" s="95">
        <v>44395</v>
      </c>
      <c r="C1546" s="97">
        <f t="shared" ca="1" si="471"/>
        <v>-669</v>
      </c>
      <c r="D1546" s="159" t="s">
        <v>862</v>
      </c>
      <c r="E1546" s="123" t="s">
        <v>868</v>
      </c>
      <c r="F1546" s="132" t="str">
        <f t="shared" si="467"/>
        <v>B1</v>
      </c>
      <c r="G1546" s="130">
        <f ca="1">SUMIF($A:E,$A1546,K:K)</f>
        <v>180</v>
      </c>
      <c r="H1546" s="97" t="s">
        <v>882</v>
      </c>
      <c r="I1546" s="175">
        <v>180</v>
      </c>
      <c r="J1546" s="115">
        <v>180</v>
      </c>
      <c r="K1546" s="143">
        <f t="shared" si="469"/>
        <v>180</v>
      </c>
      <c r="L1546" s="144">
        <f t="shared" si="466"/>
        <v>0</v>
      </c>
      <c r="M1546" s="275">
        <f t="shared" si="472"/>
        <v>360</v>
      </c>
      <c r="N1546" s="98">
        <v>2</v>
      </c>
      <c r="O1546" s="93">
        <f t="shared" si="473"/>
        <v>100</v>
      </c>
      <c r="EC1546" s="100">
        <v>3</v>
      </c>
      <c r="ED1546" s="100">
        <v>4</v>
      </c>
      <c r="EF1546" s="100">
        <v>4</v>
      </c>
      <c r="EG1546" s="100">
        <v>3</v>
      </c>
      <c r="EH1546" s="100">
        <v>2</v>
      </c>
      <c r="EI1546" s="100">
        <v>5</v>
      </c>
      <c r="EJ1546" s="100">
        <v>4</v>
      </c>
      <c r="EK1546" s="100">
        <v>6</v>
      </c>
      <c r="EL1546" s="100">
        <v>4</v>
      </c>
      <c r="EM1546" s="100">
        <v>4</v>
      </c>
      <c r="EN1546" s="100">
        <v>2</v>
      </c>
      <c r="EO1546" s="100">
        <v>2</v>
      </c>
      <c r="EP1546" s="100">
        <v>4</v>
      </c>
      <c r="EQ1546" s="100">
        <v>4</v>
      </c>
      <c r="ET1546" s="100">
        <v>6</v>
      </c>
      <c r="EU1546" s="100">
        <v>2</v>
      </c>
      <c r="EW1546" s="100">
        <v>7</v>
      </c>
      <c r="EY1546" s="100">
        <v>8</v>
      </c>
      <c r="FA1546" s="100">
        <v>4</v>
      </c>
      <c r="FB1546" s="100">
        <v>2</v>
      </c>
      <c r="FC1546" s="100">
        <v>4</v>
      </c>
      <c r="FD1546" s="100">
        <v>2</v>
      </c>
      <c r="FE1546" s="100">
        <v>2</v>
      </c>
      <c r="FF1546" s="100">
        <v>4</v>
      </c>
      <c r="FI1546" s="100">
        <v>6</v>
      </c>
      <c r="FJ1546" s="100">
        <v>4</v>
      </c>
      <c r="FL1546" s="100">
        <v>8</v>
      </c>
      <c r="FO1546" s="100">
        <v>8</v>
      </c>
      <c r="FP1546" s="100">
        <v>4</v>
      </c>
      <c r="FQ1546" s="100">
        <v>4</v>
      </c>
      <c r="FT1546" s="100">
        <v>10</v>
      </c>
      <c r="FU1546" s="100">
        <v>4</v>
      </c>
      <c r="FV1546" s="100">
        <v>5</v>
      </c>
      <c r="FW1546" s="100">
        <v>2</v>
      </c>
      <c r="FZ1546" s="100">
        <v>3</v>
      </c>
      <c r="GA1546" s="100">
        <v>6</v>
      </c>
      <c r="GB1546" s="100">
        <v>3</v>
      </c>
      <c r="GC1546" s="100">
        <v>3</v>
      </c>
      <c r="GD1546" s="100">
        <v>2</v>
      </c>
      <c r="GE1546" s="100">
        <v>7</v>
      </c>
      <c r="GG1546" s="100">
        <v>2</v>
      </c>
      <c r="GH1546" s="100">
        <v>7</v>
      </c>
      <c r="ON1546" s="100">
        <f t="shared" si="470"/>
        <v>0</v>
      </c>
    </row>
    <row r="1547" spans="1:404" ht="23.25" customHeight="1">
      <c r="A1547" s="97" t="e">
        <f>D1547&amp;#REF!</f>
        <v>#REF!</v>
      </c>
      <c r="B1547" s="95">
        <v>44382</v>
      </c>
      <c r="C1547" s="97">
        <f t="shared" ca="1" si="471"/>
        <v>-682</v>
      </c>
      <c r="D1547" s="96" t="s">
        <v>1202</v>
      </c>
      <c r="E1547" s="94" t="s">
        <v>1203</v>
      </c>
      <c r="F1547" s="132" t="str">
        <f t="shared" si="467"/>
        <v>B1</v>
      </c>
      <c r="G1547" s="130">
        <f ca="1">SUMIF($A:E,$A1547,K:K)</f>
        <v>1754</v>
      </c>
      <c r="H1547" s="97" t="s">
        <v>1205</v>
      </c>
      <c r="I1547" s="98">
        <v>1</v>
      </c>
      <c r="J1547" s="99">
        <v>1</v>
      </c>
      <c r="K1547" s="143">
        <f t="shared" si="469"/>
        <v>1</v>
      </c>
      <c r="L1547" s="144">
        <f t="shared" si="466"/>
        <v>0</v>
      </c>
      <c r="M1547" s="275">
        <f t="shared" si="472"/>
        <v>1</v>
      </c>
      <c r="N1547" s="98">
        <v>2</v>
      </c>
      <c r="O1547" s="93">
        <f t="shared" si="473"/>
        <v>100</v>
      </c>
      <c r="FV1547" s="100">
        <v>1</v>
      </c>
      <c r="ON1547" s="100">
        <f t="shared" si="470"/>
        <v>0</v>
      </c>
    </row>
    <row r="1548" spans="1:404" ht="23.25" customHeight="1">
      <c r="A1548" s="97" t="str">
        <f>D1548&amp;E1548</f>
        <v>002/HACA-HK-2166-61312-S3-B</v>
      </c>
      <c r="B1548" s="95">
        <v>44338</v>
      </c>
      <c r="C1548" s="97">
        <f t="shared" ca="1" si="471"/>
        <v>-726</v>
      </c>
      <c r="D1548" s="145" t="s">
        <v>785</v>
      </c>
      <c r="E1548" s="253" t="s">
        <v>425</v>
      </c>
      <c r="F1548" s="132" t="str">
        <f t="shared" si="467"/>
        <v>B</v>
      </c>
      <c r="G1548" s="130">
        <f ca="1">SUMIF($A:E,$A1548,K:K)</f>
        <v>32</v>
      </c>
      <c r="H1548" s="97" t="s">
        <v>791</v>
      </c>
      <c r="I1548" s="98">
        <v>32</v>
      </c>
      <c r="J1548" s="99">
        <v>32</v>
      </c>
      <c r="K1548" s="143">
        <f t="shared" si="469"/>
        <v>32</v>
      </c>
      <c r="L1548" s="144">
        <f t="shared" si="466"/>
        <v>0</v>
      </c>
      <c r="M1548" s="275">
        <f t="shared" si="472"/>
        <v>96</v>
      </c>
      <c r="N1548" s="98">
        <v>2</v>
      </c>
      <c r="O1548" s="93">
        <f t="shared" si="473"/>
        <v>100</v>
      </c>
      <c r="DU1548" s="100">
        <v>4</v>
      </c>
      <c r="DV1548" s="100">
        <v>4</v>
      </c>
      <c r="DY1548" s="100">
        <v>7</v>
      </c>
      <c r="DZ1548" s="100">
        <v>5</v>
      </c>
      <c r="EA1548" s="100">
        <v>3</v>
      </c>
      <c r="EC1548" s="100">
        <v>4</v>
      </c>
      <c r="ED1548" s="100">
        <v>4</v>
      </c>
      <c r="EF1548" s="100">
        <v>1</v>
      </c>
      <c r="ON1548" s="100">
        <f t="shared" si="470"/>
        <v>0</v>
      </c>
    </row>
    <row r="1549" spans="1:404" ht="23.25" customHeight="1">
      <c r="A1549" s="97" t="str">
        <f>D1549&amp;E1549</f>
        <v>003/HACA-HK-2166-61312-S3-B</v>
      </c>
      <c r="B1549" s="95">
        <v>44378</v>
      </c>
      <c r="C1549" s="97">
        <f t="shared" ca="1" si="471"/>
        <v>-686</v>
      </c>
      <c r="D1549" s="145" t="s">
        <v>803</v>
      </c>
      <c r="E1549" s="253" t="s">
        <v>425</v>
      </c>
      <c r="F1549" s="132" t="str">
        <f t="shared" si="467"/>
        <v>B</v>
      </c>
      <c r="G1549" s="130">
        <f ca="1">SUMIF($A:E,$A1549,K:K)</f>
        <v>32</v>
      </c>
      <c r="H1549" s="97" t="s">
        <v>791</v>
      </c>
      <c r="I1549" s="196">
        <v>32</v>
      </c>
      <c r="J1549" s="146">
        <v>32</v>
      </c>
      <c r="K1549" s="143">
        <f t="shared" si="469"/>
        <v>32</v>
      </c>
      <c r="L1549" s="144">
        <f t="shared" si="466"/>
        <v>0</v>
      </c>
      <c r="M1549" s="275">
        <f t="shared" si="472"/>
        <v>96</v>
      </c>
      <c r="N1549" s="98">
        <v>2</v>
      </c>
      <c r="O1549" s="93">
        <f t="shared" si="473"/>
        <v>100</v>
      </c>
      <c r="EF1549" s="100">
        <v>3</v>
      </c>
      <c r="EG1549" s="100">
        <v>4</v>
      </c>
      <c r="EH1549" s="100">
        <v>4</v>
      </c>
      <c r="EI1549" s="100">
        <v>4</v>
      </c>
      <c r="EJ1549" s="100">
        <v>4</v>
      </c>
      <c r="EK1549" s="100">
        <v>4</v>
      </c>
      <c r="EL1549" s="100">
        <v>4</v>
      </c>
      <c r="EM1549" s="100">
        <v>4</v>
      </c>
      <c r="EN1549" s="100">
        <v>1</v>
      </c>
      <c r="ON1549" s="100">
        <f t="shared" si="470"/>
        <v>0</v>
      </c>
    </row>
    <row r="1550" spans="1:404" ht="23.25" customHeight="1">
      <c r="A1550" s="97" t="str">
        <f>D1550&amp;E1550</f>
        <v>004/HACA-HK-2166-61312-S3-B</v>
      </c>
      <c r="B1550" s="95">
        <v>44378</v>
      </c>
      <c r="C1550" s="97">
        <f t="shared" ca="1" si="471"/>
        <v>-686</v>
      </c>
      <c r="D1550" s="145" t="s">
        <v>815</v>
      </c>
      <c r="E1550" s="253" t="s">
        <v>425</v>
      </c>
      <c r="F1550" s="132" t="str">
        <f t="shared" si="467"/>
        <v>B</v>
      </c>
      <c r="G1550" s="130">
        <f ca="1">SUMIF($A:E,$A1550,K:K)</f>
        <v>16</v>
      </c>
      <c r="H1550" s="97" t="s">
        <v>601</v>
      </c>
      <c r="I1550" s="196">
        <v>16</v>
      </c>
      <c r="J1550" s="146">
        <v>16</v>
      </c>
      <c r="K1550" s="143">
        <f t="shared" si="469"/>
        <v>16</v>
      </c>
      <c r="L1550" s="144">
        <f t="shared" si="466"/>
        <v>0</v>
      </c>
      <c r="M1550" s="275">
        <f t="shared" si="472"/>
        <v>48</v>
      </c>
      <c r="N1550" s="98">
        <v>2</v>
      </c>
      <c r="O1550" s="93">
        <f t="shared" si="473"/>
        <v>100</v>
      </c>
      <c r="EN1550" s="100">
        <v>1</v>
      </c>
      <c r="EP1550" s="100">
        <v>6</v>
      </c>
      <c r="EQ1550" s="100">
        <v>3</v>
      </c>
      <c r="FJ1550" s="100">
        <v>2</v>
      </c>
      <c r="FL1550" s="100">
        <v>4</v>
      </c>
      <c r="ON1550" s="100">
        <f t="shared" si="470"/>
        <v>0</v>
      </c>
    </row>
    <row r="1551" spans="1:404" ht="23.25" customHeight="1">
      <c r="A1551" s="97" t="str">
        <f>D1551&amp;E1552</f>
        <v>008/P0TTERYPATCH-2166-61312-S3-B</v>
      </c>
      <c r="B1551" s="95">
        <v>44715</v>
      </c>
      <c r="C1551" s="97">
        <f t="shared" ca="1" si="471"/>
        <v>-349</v>
      </c>
      <c r="D1551" s="96" t="s">
        <v>1240</v>
      </c>
      <c r="E1551" s="94" t="s">
        <v>425</v>
      </c>
      <c r="F1551" s="132" t="str">
        <f t="shared" si="467"/>
        <v>B</v>
      </c>
      <c r="G1551" s="130">
        <f ca="1">SUMIF($A:E,$A1551,K:K)</f>
        <v>0</v>
      </c>
      <c r="H1551" s="97" t="s">
        <v>508</v>
      </c>
      <c r="I1551" s="98">
        <v>16</v>
      </c>
      <c r="J1551" s="97">
        <v>16</v>
      </c>
      <c r="K1551" s="143">
        <f t="shared" si="469"/>
        <v>0</v>
      </c>
      <c r="L1551" s="144">
        <f t="shared" si="466"/>
        <v>16</v>
      </c>
      <c r="M1551" s="275">
        <f t="shared" si="472"/>
        <v>48</v>
      </c>
      <c r="N1551" s="98"/>
      <c r="O1551" s="93">
        <f t="shared" si="473"/>
        <v>0</v>
      </c>
      <c r="ON1551" s="100">
        <f t="shared" si="470"/>
        <v>0</v>
      </c>
    </row>
    <row r="1552" spans="1:404" ht="23.25" customHeight="1">
      <c r="A1552" s="97" t="str">
        <f t="shared" ref="A1552:A1558" si="474">D1552&amp;E1552</f>
        <v>001/ERMITAZAS-2166-61312-S3-B</v>
      </c>
      <c r="B1552" s="95">
        <v>44649</v>
      </c>
      <c r="C1552" s="97">
        <f t="shared" ca="1" si="471"/>
        <v>-415</v>
      </c>
      <c r="D1552" s="112" t="s">
        <v>1495</v>
      </c>
      <c r="E1552" s="123" t="s">
        <v>425</v>
      </c>
      <c r="F1552" s="132" t="str">
        <f t="shared" si="467"/>
        <v>B</v>
      </c>
      <c r="G1552" s="130">
        <f ca="1">SUMIF($A:E,$A1552,K:K)</f>
        <v>0</v>
      </c>
      <c r="H1552" s="112" t="s">
        <v>1494</v>
      </c>
      <c r="I1552" s="175">
        <v>32</v>
      </c>
      <c r="J1552" s="115">
        <v>32</v>
      </c>
      <c r="K1552" s="143">
        <f t="shared" si="469"/>
        <v>0</v>
      </c>
      <c r="L1552" s="144">
        <f t="shared" si="466"/>
        <v>32</v>
      </c>
      <c r="M1552" s="275">
        <f t="shared" si="472"/>
        <v>96</v>
      </c>
      <c r="N1552" s="98"/>
      <c r="O1552" s="93">
        <f t="shared" si="473"/>
        <v>0</v>
      </c>
      <c r="ON1552" s="100">
        <f t="shared" si="470"/>
        <v>0</v>
      </c>
    </row>
    <row r="1553" spans="1:404" ht="23.25" customHeight="1">
      <c r="A1553" s="97" t="str">
        <f t="shared" si="474"/>
        <v>006/BOTANICO-2166-61312-S3-B</v>
      </c>
      <c r="B1553" s="95">
        <v>44642</v>
      </c>
      <c r="C1553" s="97">
        <f t="shared" ca="1" si="471"/>
        <v>-422</v>
      </c>
      <c r="D1553" s="112" t="s">
        <v>1511</v>
      </c>
      <c r="E1553" s="123" t="s">
        <v>425</v>
      </c>
      <c r="F1553" s="132" t="str">
        <f t="shared" ref="F1553:F1573" si="475">MID(E1553,13,2)</f>
        <v>B</v>
      </c>
      <c r="G1553" s="130">
        <f ca="1">SUMIF($A:E,$A1553,K:K)</f>
        <v>64</v>
      </c>
      <c r="H1553" s="97" t="s">
        <v>508</v>
      </c>
      <c r="I1553" s="175">
        <v>48</v>
      </c>
      <c r="J1553" s="115">
        <v>48</v>
      </c>
      <c r="K1553" s="143">
        <f t="shared" si="469"/>
        <v>64</v>
      </c>
      <c r="L1553" s="144">
        <f t="shared" si="466"/>
        <v>-16</v>
      </c>
      <c r="M1553" s="275">
        <f t="shared" si="472"/>
        <v>144</v>
      </c>
      <c r="N1553" s="98">
        <v>2</v>
      </c>
      <c r="O1553" s="93">
        <f t="shared" si="473"/>
        <v>133.33333333333331</v>
      </c>
      <c r="OA1553" s="100">
        <v>1</v>
      </c>
      <c r="OC1553" s="100">
        <v>4</v>
      </c>
      <c r="OD1553" s="100">
        <v>4</v>
      </c>
      <c r="OG1553" s="100">
        <v>4</v>
      </c>
      <c r="OH1553" s="100">
        <v>4</v>
      </c>
      <c r="OI1553" s="100">
        <v>2</v>
      </c>
      <c r="OJ1553" s="100">
        <v>3</v>
      </c>
      <c r="OK1553" s="100">
        <v>4</v>
      </c>
      <c r="OM1553" s="100">
        <v>6</v>
      </c>
      <c r="ON1553" s="100">
        <f t="shared" si="470"/>
        <v>32</v>
      </c>
    </row>
    <row r="1554" spans="1:404" ht="23.25" customHeight="1">
      <c r="A1554" s="97" t="str">
        <f t="shared" si="474"/>
        <v>001/POTTERY PATCH-VG-2166-61312-S3-B</v>
      </c>
      <c r="B1554" s="95">
        <v>44468</v>
      </c>
      <c r="C1554" s="97">
        <f t="shared" ca="1" si="471"/>
        <v>-596</v>
      </c>
      <c r="D1554" s="112" t="s">
        <v>1767</v>
      </c>
      <c r="E1554" s="123" t="s">
        <v>425</v>
      </c>
      <c r="F1554" s="132" t="str">
        <f t="shared" si="475"/>
        <v>B</v>
      </c>
      <c r="G1554" s="130">
        <f ca="1">SUMIF($A:E,$A1554,K:K)</f>
        <v>16</v>
      </c>
      <c r="H1554" s="97" t="s">
        <v>616</v>
      </c>
      <c r="I1554" s="98">
        <v>16</v>
      </c>
      <c r="J1554" s="99">
        <v>16</v>
      </c>
      <c r="K1554" s="143">
        <f t="shared" si="469"/>
        <v>16</v>
      </c>
      <c r="L1554" s="144">
        <f t="shared" si="466"/>
        <v>0</v>
      </c>
      <c r="M1554" s="275">
        <f t="shared" si="472"/>
        <v>48</v>
      </c>
      <c r="N1554" s="98">
        <v>2</v>
      </c>
      <c r="O1554" s="93">
        <f t="shared" si="473"/>
        <v>100</v>
      </c>
      <c r="IU1554" s="100">
        <v>8</v>
      </c>
      <c r="IY1554" s="100">
        <v>4</v>
      </c>
      <c r="IZ1554" s="100">
        <v>4</v>
      </c>
      <c r="ON1554" s="100">
        <f t="shared" si="470"/>
        <v>0</v>
      </c>
    </row>
    <row r="1555" spans="1:404" ht="23.25" customHeight="1">
      <c r="A1555" s="97" t="str">
        <f t="shared" si="474"/>
        <v>002A/POTTERYPATCH-2166-61312-S3-B</v>
      </c>
      <c r="B1555" s="95">
        <v>44475</v>
      </c>
      <c r="C1555" s="97">
        <f t="shared" ca="1" si="471"/>
        <v>-589</v>
      </c>
      <c r="D1555" s="111" t="s">
        <v>1848</v>
      </c>
      <c r="E1555" s="225" t="s">
        <v>425</v>
      </c>
      <c r="F1555" s="132" t="str">
        <f t="shared" si="475"/>
        <v>B</v>
      </c>
      <c r="G1555" s="130">
        <f ca="1">SUMIF($A:E,$A1555,K:K)</f>
        <v>16</v>
      </c>
      <c r="H1555" s="97" t="s">
        <v>820</v>
      </c>
      <c r="I1555" s="98">
        <v>16</v>
      </c>
      <c r="J1555" s="99">
        <v>16</v>
      </c>
      <c r="K1555" s="143">
        <f t="shared" si="469"/>
        <v>16</v>
      </c>
      <c r="L1555" s="144">
        <f t="shared" si="466"/>
        <v>0</v>
      </c>
      <c r="M1555" s="275">
        <f t="shared" si="472"/>
        <v>48</v>
      </c>
      <c r="N1555" s="98">
        <v>2</v>
      </c>
      <c r="O1555" s="93">
        <f t="shared" si="473"/>
        <v>100</v>
      </c>
      <c r="JA1555" s="100">
        <v>7</v>
      </c>
      <c r="JB1555" s="100">
        <v>4</v>
      </c>
      <c r="JD1555" s="100">
        <v>2</v>
      </c>
      <c r="JH1555" s="100">
        <v>2</v>
      </c>
      <c r="JI1555" s="100">
        <v>1</v>
      </c>
      <c r="ON1555" s="100">
        <f t="shared" si="470"/>
        <v>0</v>
      </c>
    </row>
    <row r="1556" spans="1:404" ht="23.25" customHeight="1">
      <c r="A1556" s="97" t="str">
        <f t="shared" si="474"/>
        <v>003/HACA-HK-2166-61312-B2-B</v>
      </c>
      <c r="B1556" s="95">
        <v>44378</v>
      </c>
      <c r="C1556" s="97">
        <f t="shared" ca="1" si="471"/>
        <v>-686</v>
      </c>
      <c r="D1556" s="145" t="s">
        <v>803</v>
      </c>
      <c r="E1556" s="253" t="s">
        <v>805</v>
      </c>
      <c r="F1556" s="132" t="str">
        <f t="shared" si="475"/>
        <v>B</v>
      </c>
      <c r="G1556" s="130">
        <f ca="1">SUMIF($A:E,$A1556,K:K)</f>
        <v>60</v>
      </c>
      <c r="H1556" s="97" t="s">
        <v>791</v>
      </c>
      <c r="I1556" s="196">
        <v>60</v>
      </c>
      <c r="J1556" s="146">
        <v>60</v>
      </c>
      <c r="K1556" s="143">
        <f t="shared" si="469"/>
        <v>60</v>
      </c>
      <c r="L1556" s="144">
        <f t="shared" si="466"/>
        <v>0</v>
      </c>
      <c r="M1556" s="275">
        <f t="shared" si="472"/>
        <v>120</v>
      </c>
      <c r="N1556" s="98">
        <v>2</v>
      </c>
      <c r="O1556" s="93">
        <f t="shared" si="473"/>
        <v>100</v>
      </c>
      <c r="ET1556" s="100">
        <v>6</v>
      </c>
      <c r="EU1556" s="100">
        <v>3</v>
      </c>
      <c r="EV1556" s="100">
        <v>4</v>
      </c>
      <c r="EW1556" s="100">
        <v>4</v>
      </c>
      <c r="EX1556" s="100">
        <v>4</v>
      </c>
      <c r="EY1556" s="100">
        <v>2</v>
      </c>
      <c r="FA1556" s="100">
        <v>4</v>
      </c>
      <c r="FB1556" s="100">
        <v>4</v>
      </c>
      <c r="FC1556" s="100">
        <v>4</v>
      </c>
      <c r="FD1556" s="100">
        <v>3</v>
      </c>
      <c r="FE1556" s="100">
        <v>2</v>
      </c>
      <c r="FF1556" s="100">
        <v>4</v>
      </c>
      <c r="FI1556" s="100">
        <v>6</v>
      </c>
      <c r="FJ1556" s="100">
        <v>2</v>
      </c>
      <c r="FL1556" s="100">
        <v>4</v>
      </c>
      <c r="FM1556" s="100">
        <v>3</v>
      </c>
      <c r="FP1556" s="100">
        <v>1</v>
      </c>
      <c r="ON1556" s="100">
        <f t="shared" si="470"/>
        <v>0</v>
      </c>
    </row>
    <row r="1557" spans="1:404" ht="23.25" customHeight="1">
      <c r="A1557" s="97" t="str">
        <f t="shared" si="474"/>
        <v>003/HACA-HK-2166-61312-03-B</v>
      </c>
      <c r="B1557" s="95">
        <v>44378</v>
      </c>
      <c r="C1557" s="97">
        <f t="shared" ca="1" si="471"/>
        <v>-686</v>
      </c>
      <c r="D1557" s="145" t="s">
        <v>803</v>
      </c>
      <c r="E1557" s="253" t="s">
        <v>804</v>
      </c>
      <c r="F1557" s="132" t="str">
        <f t="shared" si="475"/>
        <v>B</v>
      </c>
      <c r="G1557" s="130">
        <f ca="1">SUMIF($A:E,$A1557,K:K)</f>
        <v>84</v>
      </c>
      <c r="H1557" s="97" t="s">
        <v>791</v>
      </c>
      <c r="I1557" s="196">
        <v>84</v>
      </c>
      <c r="J1557" s="146">
        <v>84</v>
      </c>
      <c r="K1557" s="143">
        <f t="shared" si="469"/>
        <v>84</v>
      </c>
      <c r="L1557" s="144">
        <f t="shared" si="466"/>
        <v>0</v>
      </c>
      <c r="M1557" s="275">
        <f t="shared" si="472"/>
        <v>84</v>
      </c>
      <c r="N1557" s="98">
        <v>2</v>
      </c>
      <c r="O1557" s="93">
        <f t="shared" si="473"/>
        <v>100</v>
      </c>
      <c r="DT1557" s="100">
        <v>3</v>
      </c>
      <c r="DU1557" s="100">
        <v>2</v>
      </c>
      <c r="DY1557" s="100">
        <v>5</v>
      </c>
      <c r="DZ1557" s="100">
        <v>2</v>
      </c>
      <c r="EA1557" s="100">
        <v>1</v>
      </c>
      <c r="EC1557" s="100">
        <v>2</v>
      </c>
      <c r="ED1557" s="100">
        <v>1</v>
      </c>
      <c r="EF1557" s="100">
        <v>2</v>
      </c>
      <c r="EG1557" s="100">
        <v>2</v>
      </c>
      <c r="EH1557" s="100">
        <v>2</v>
      </c>
      <c r="EI1557" s="100">
        <v>1</v>
      </c>
      <c r="EJ1557" s="100">
        <v>2</v>
      </c>
      <c r="EL1557" s="100">
        <v>2</v>
      </c>
      <c r="EM1557" s="100">
        <v>2</v>
      </c>
      <c r="EN1557" s="100">
        <v>1</v>
      </c>
      <c r="EP1557" s="100">
        <v>1</v>
      </c>
      <c r="EQ1557" s="100">
        <v>3</v>
      </c>
      <c r="ET1557" s="100">
        <v>1</v>
      </c>
      <c r="EV1557" s="100">
        <v>2</v>
      </c>
      <c r="EX1557" s="100">
        <v>1</v>
      </c>
      <c r="EY1557" s="100">
        <v>2</v>
      </c>
      <c r="FA1557" s="100">
        <v>2</v>
      </c>
      <c r="FC1557" s="100">
        <v>2</v>
      </c>
      <c r="FD1557" s="100">
        <v>3</v>
      </c>
      <c r="FE1557" s="100">
        <v>1</v>
      </c>
      <c r="FF1557" s="100">
        <v>2</v>
      </c>
      <c r="FI1557" s="100">
        <v>2</v>
      </c>
      <c r="FJ1557" s="100">
        <v>3</v>
      </c>
      <c r="FL1557" s="100">
        <v>2</v>
      </c>
      <c r="FM1557" s="100">
        <v>5</v>
      </c>
      <c r="FO1557" s="100">
        <v>6</v>
      </c>
      <c r="FP1557" s="100">
        <v>9</v>
      </c>
      <c r="FQ1557" s="100">
        <v>7</v>
      </c>
      <c r="ON1557" s="100">
        <f t="shared" si="470"/>
        <v>0</v>
      </c>
    </row>
    <row r="1558" spans="1:404" ht="23.25" customHeight="1">
      <c r="A1558" s="97" t="str">
        <f t="shared" si="474"/>
        <v>001/TK MAXX-USA-2166-61310-S3-B</v>
      </c>
      <c r="B1558" s="95">
        <v>44602</v>
      </c>
      <c r="C1558" s="97">
        <f t="shared" ca="1" si="471"/>
        <v>-462</v>
      </c>
      <c r="D1558" s="112" t="s">
        <v>1363</v>
      </c>
      <c r="E1558" s="123" t="s">
        <v>1365</v>
      </c>
      <c r="F1558" s="132" t="str">
        <f t="shared" si="475"/>
        <v>B</v>
      </c>
      <c r="G1558" s="130">
        <f ca="1">SUMIF($A:E,$A1558,K:K)</f>
        <v>91</v>
      </c>
      <c r="H1558" s="97" t="s">
        <v>508</v>
      </c>
      <c r="I1558" s="175">
        <v>56</v>
      </c>
      <c r="J1558" s="115">
        <v>56</v>
      </c>
      <c r="K1558" s="143">
        <f t="shared" si="469"/>
        <v>91</v>
      </c>
      <c r="L1558" s="144">
        <f t="shared" si="466"/>
        <v>-35</v>
      </c>
      <c r="M1558" s="275">
        <f t="shared" si="472"/>
        <v>168</v>
      </c>
      <c r="N1558" s="98">
        <v>4</v>
      </c>
      <c r="O1558" s="93">
        <f t="shared" si="473"/>
        <v>162.5</v>
      </c>
      <c r="NK1558" s="100">
        <v>3</v>
      </c>
      <c r="NL1558" s="100">
        <v>11</v>
      </c>
      <c r="NM1558" s="100">
        <v>6</v>
      </c>
      <c r="NN1558" s="100">
        <v>1</v>
      </c>
      <c r="NS1558" s="100">
        <v>6</v>
      </c>
      <c r="NT1558" s="100">
        <v>3</v>
      </c>
      <c r="NU1558" s="100">
        <v>3</v>
      </c>
      <c r="NV1558" s="100">
        <v>2</v>
      </c>
      <c r="NY1558" s="100">
        <v>2</v>
      </c>
      <c r="NZ1558" s="100">
        <v>5</v>
      </c>
      <c r="OB1558" s="100">
        <v>6</v>
      </c>
      <c r="OC1558" s="100">
        <v>6</v>
      </c>
      <c r="OF1558" s="100">
        <v>2</v>
      </c>
      <c r="ON1558" s="100">
        <f t="shared" si="470"/>
        <v>35</v>
      </c>
    </row>
    <row r="1559" spans="1:404" ht="23.25" customHeight="1">
      <c r="A1559" s="97" t="s">
        <v>1370</v>
      </c>
      <c r="B1559" s="206">
        <v>44532</v>
      </c>
      <c r="C1559" s="97">
        <f t="shared" ca="1" si="471"/>
        <v>-532</v>
      </c>
      <c r="D1559" s="112" t="s">
        <v>1369</v>
      </c>
      <c r="E1559" s="255" t="s">
        <v>1365</v>
      </c>
      <c r="F1559" s="132" t="str">
        <f t="shared" si="475"/>
        <v>B</v>
      </c>
      <c r="G1559" s="130">
        <f ca="1">SUMIF($A:E,$A1559,K:K)</f>
        <v>5654</v>
      </c>
      <c r="H1559" s="97" t="s">
        <v>508</v>
      </c>
      <c r="I1559" s="175">
        <v>136</v>
      </c>
      <c r="J1559" s="115">
        <v>136</v>
      </c>
      <c r="K1559" s="143">
        <f t="shared" si="469"/>
        <v>136</v>
      </c>
      <c r="L1559" s="144">
        <f t="shared" si="466"/>
        <v>0</v>
      </c>
      <c r="M1559" s="275">
        <f t="shared" si="472"/>
        <v>408</v>
      </c>
      <c r="N1559" s="98">
        <v>3</v>
      </c>
      <c r="O1559" s="93">
        <f t="shared" si="473"/>
        <v>100</v>
      </c>
      <c r="JT1559" s="100">
        <v>6</v>
      </c>
      <c r="JV1559" s="100">
        <v>3</v>
      </c>
      <c r="JX1559" s="100">
        <v>1</v>
      </c>
      <c r="JY1559" s="100">
        <v>4</v>
      </c>
      <c r="KA1559" s="100">
        <v>8</v>
      </c>
      <c r="KB1559" s="100">
        <v>2</v>
      </c>
      <c r="KE1559" s="100">
        <v>7</v>
      </c>
      <c r="KF1559" s="100">
        <v>7</v>
      </c>
      <c r="KG1559" s="100">
        <v>5</v>
      </c>
      <c r="KH1559" s="100">
        <v>2</v>
      </c>
      <c r="KI1559" s="100">
        <v>2</v>
      </c>
      <c r="KJ1559" s="100">
        <v>5</v>
      </c>
      <c r="KN1559" s="100">
        <v>1</v>
      </c>
      <c r="KO1559" s="100">
        <v>4</v>
      </c>
      <c r="KP1559" s="100">
        <v>4</v>
      </c>
      <c r="KQ1559" s="100">
        <v>2</v>
      </c>
      <c r="KR1559" s="100">
        <v>3</v>
      </c>
      <c r="KS1559" s="100">
        <v>3</v>
      </c>
      <c r="KU1559" s="100">
        <v>4</v>
      </c>
      <c r="KV1559" s="100">
        <v>6</v>
      </c>
      <c r="KW1559" s="100">
        <v>2</v>
      </c>
      <c r="KX1559" s="100">
        <v>4</v>
      </c>
      <c r="KY1559" s="100">
        <v>4</v>
      </c>
      <c r="KZ1559" s="100">
        <v>4</v>
      </c>
      <c r="LB1559" s="100">
        <v>4</v>
      </c>
      <c r="LC1559" s="100">
        <v>4</v>
      </c>
      <c r="LE1559" s="100">
        <v>8</v>
      </c>
      <c r="LF1559" s="100">
        <v>4</v>
      </c>
      <c r="LI1559" s="100">
        <v>6</v>
      </c>
      <c r="LJ1559" s="100">
        <v>1</v>
      </c>
      <c r="LK1559" s="100">
        <v>7</v>
      </c>
      <c r="LL1559" s="100">
        <v>9</v>
      </c>
      <c r="ON1559" s="100">
        <f t="shared" si="470"/>
        <v>0</v>
      </c>
    </row>
    <row r="1560" spans="1:404" ht="23.25" customHeight="1">
      <c r="A1560" s="97" t="s">
        <v>1370</v>
      </c>
      <c r="B1560" s="95">
        <v>44398</v>
      </c>
      <c r="C1560" s="97">
        <f t="shared" ca="1" si="471"/>
        <v>-666</v>
      </c>
      <c r="D1560" s="112" t="s">
        <v>1406</v>
      </c>
      <c r="E1560" s="123" t="s">
        <v>1365</v>
      </c>
      <c r="F1560" s="132" t="str">
        <f t="shared" si="475"/>
        <v>B</v>
      </c>
      <c r="G1560" s="130">
        <f ca="1">SUMIF($A:E,$A1560,K:K)</f>
        <v>5654</v>
      </c>
      <c r="H1560" s="112" t="s">
        <v>1405</v>
      </c>
      <c r="I1560" s="175">
        <v>2</v>
      </c>
      <c r="J1560" s="115">
        <v>2</v>
      </c>
      <c r="K1560" s="143">
        <f t="shared" si="469"/>
        <v>2</v>
      </c>
      <c r="L1560" s="144">
        <f t="shared" si="466"/>
        <v>0</v>
      </c>
      <c r="M1560" s="275">
        <f t="shared" si="472"/>
        <v>6</v>
      </c>
      <c r="N1560" s="98">
        <v>3</v>
      </c>
      <c r="O1560" s="93">
        <f t="shared" si="473"/>
        <v>100</v>
      </c>
      <c r="GK1560" s="100">
        <v>2</v>
      </c>
      <c r="ON1560" s="100">
        <f t="shared" si="470"/>
        <v>0</v>
      </c>
    </row>
    <row r="1561" spans="1:404" ht="23.25" customHeight="1">
      <c r="A1561" s="97" t="str">
        <f t="shared" ref="A1561:A1581" si="476">D1561&amp;E1561</f>
        <v>003/CANADIAN_SR-2166-61310-03-B</v>
      </c>
      <c r="B1561" s="95">
        <v>44372</v>
      </c>
      <c r="C1561" s="97">
        <f t="shared" ca="1" si="471"/>
        <v>-692</v>
      </c>
      <c r="D1561" s="96" t="s">
        <v>1110</v>
      </c>
      <c r="E1561" s="94" t="s">
        <v>1112</v>
      </c>
      <c r="F1561" s="132" t="str">
        <f t="shared" si="475"/>
        <v>B</v>
      </c>
      <c r="G1561" s="130">
        <f ca="1">SUMIF($A:E,$A1561,K:K)</f>
        <v>3</v>
      </c>
      <c r="H1561" s="97" t="s">
        <v>601</v>
      </c>
      <c r="I1561" s="98">
        <v>3</v>
      </c>
      <c r="J1561" s="99">
        <v>3</v>
      </c>
      <c r="K1561" s="143">
        <f t="shared" si="469"/>
        <v>3</v>
      </c>
      <c r="L1561" s="144">
        <f t="shared" si="466"/>
        <v>0</v>
      </c>
      <c r="M1561" s="275">
        <f t="shared" si="472"/>
        <v>3</v>
      </c>
      <c r="N1561" s="98">
        <v>2</v>
      </c>
      <c r="O1561" s="93">
        <f t="shared" si="473"/>
        <v>100</v>
      </c>
      <c r="FJ1561" s="100">
        <v>2</v>
      </c>
      <c r="FL1561" s="100">
        <v>1</v>
      </c>
      <c r="ON1561" s="100">
        <f t="shared" si="470"/>
        <v>0</v>
      </c>
    </row>
    <row r="1562" spans="1:404" ht="23.25" customHeight="1">
      <c r="A1562" s="97" t="str">
        <f t="shared" si="476"/>
        <v>001/YAMATEI_SR-2166-61310-02-B</v>
      </c>
      <c r="B1562" s="95">
        <v>44397</v>
      </c>
      <c r="C1562" s="97">
        <f t="shared" ca="1" si="471"/>
        <v>-667</v>
      </c>
      <c r="D1562" s="112" t="s">
        <v>1408</v>
      </c>
      <c r="E1562" s="123" t="s">
        <v>1412</v>
      </c>
      <c r="F1562" s="132" t="str">
        <f t="shared" si="475"/>
        <v>B</v>
      </c>
      <c r="G1562" s="130">
        <f ca="1">SUMIF($A:E,$A1562,K:K)</f>
        <v>1</v>
      </c>
      <c r="H1562" s="97" t="s">
        <v>507</v>
      </c>
      <c r="I1562" s="98">
        <v>1</v>
      </c>
      <c r="J1562" s="99">
        <v>1</v>
      </c>
      <c r="K1562" s="143">
        <f t="shared" si="469"/>
        <v>1</v>
      </c>
      <c r="L1562" s="144">
        <f t="shared" si="466"/>
        <v>0</v>
      </c>
      <c r="M1562" s="275">
        <f t="shared" si="472"/>
        <v>1</v>
      </c>
      <c r="N1562" s="98">
        <v>3</v>
      </c>
      <c r="O1562" s="93">
        <f t="shared" si="473"/>
        <v>100</v>
      </c>
      <c r="GN1562" s="100">
        <v>1</v>
      </c>
      <c r="ON1562" s="100">
        <f t="shared" si="470"/>
        <v>0</v>
      </c>
    </row>
    <row r="1563" spans="1:404" ht="23.25" customHeight="1">
      <c r="A1563" s="97" t="str">
        <f t="shared" si="476"/>
        <v>001/YAMATEI_SR-2166-61310-01-B</v>
      </c>
      <c r="B1563" s="95">
        <v>44397</v>
      </c>
      <c r="C1563" s="97">
        <f t="shared" ca="1" si="471"/>
        <v>-667</v>
      </c>
      <c r="D1563" s="112" t="s">
        <v>1408</v>
      </c>
      <c r="E1563" s="123" t="s">
        <v>1411</v>
      </c>
      <c r="F1563" s="132" t="str">
        <f t="shared" si="475"/>
        <v>B</v>
      </c>
      <c r="G1563" s="130">
        <f ca="1">SUMIF($A:E,$A1563,K:K)</f>
        <v>1</v>
      </c>
      <c r="H1563" s="97" t="s">
        <v>507</v>
      </c>
      <c r="I1563" s="98">
        <v>1</v>
      </c>
      <c r="J1563" s="99">
        <v>1</v>
      </c>
      <c r="K1563" s="143">
        <f t="shared" si="469"/>
        <v>1</v>
      </c>
      <c r="L1563" s="144">
        <f t="shared" si="466"/>
        <v>0</v>
      </c>
      <c r="M1563" s="275">
        <f t="shared" si="472"/>
        <v>1</v>
      </c>
      <c r="N1563" s="98">
        <v>3</v>
      </c>
      <c r="O1563" s="93">
        <f t="shared" si="473"/>
        <v>100</v>
      </c>
      <c r="GN1563" s="100">
        <v>1</v>
      </c>
      <c r="ON1563" s="100">
        <f t="shared" si="470"/>
        <v>0</v>
      </c>
    </row>
    <row r="1564" spans="1:404" ht="23.25" customHeight="1">
      <c r="A1564" s="97" t="str">
        <f t="shared" si="476"/>
        <v>001/LH IMPORTS-VG_SR-2166-61309-03-B</v>
      </c>
      <c r="B1564" s="95">
        <v>44408</v>
      </c>
      <c r="C1564" s="97">
        <f t="shared" ca="1" si="471"/>
        <v>-656</v>
      </c>
      <c r="D1564" s="112" t="s">
        <v>1505</v>
      </c>
      <c r="E1564" s="123" t="s">
        <v>1509</v>
      </c>
      <c r="F1564" s="132" t="str">
        <f t="shared" si="475"/>
        <v>B</v>
      </c>
      <c r="G1564" s="130">
        <f ca="1">SUMIF($A:E,$A1564,K:K)</f>
        <v>1</v>
      </c>
      <c r="H1564" s="97" t="s">
        <v>1510</v>
      </c>
      <c r="I1564" s="98">
        <v>1</v>
      </c>
      <c r="J1564" s="99">
        <v>1</v>
      </c>
      <c r="K1564" s="143">
        <f t="shared" si="469"/>
        <v>1</v>
      </c>
      <c r="L1564" s="144">
        <f t="shared" si="466"/>
        <v>0</v>
      </c>
      <c r="M1564" s="275">
        <f t="shared" si="472"/>
        <v>1</v>
      </c>
      <c r="N1564" s="98">
        <v>1</v>
      </c>
      <c r="O1564" s="93">
        <f t="shared" si="473"/>
        <v>100</v>
      </c>
      <c r="GS1564" s="100">
        <v>1</v>
      </c>
      <c r="ON1564" s="100">
        <f t="shared" si="470"/>
        <v>0</v>
      </c>
    </row>
    <row r="1565" spans="1:404" ht="23.25" customHeight="1">
      <c r="A1565" s="97" t="str">
        <f t="shared" si="476"/>
        <v>001/LH IMPORTS-VG_SR-2166-61309-02-B</v>
      </c>
      <c r="B1565" s="95">
        <v>44408</v>
      </c>
      <c r="C1565" s="97">
        <f t="shared" ca="1" si="471"/>
        <v>-656</v>
      </c>
      <c r="D1565" s="112" t="s">
        <v>1505</v>
      </c>
      <c r="E1565" s="123" t="s">
        <v>1508</v>
      </c>
      <c r="F1565" s="132" t="str">
        <f t="shared" si="475"/>
        <v>B</v>
      </c>
      <c r="G1565" s="130">
        <f ca="1">SUMIF($A:E,$A1565,K:K)</f>
        <v>1</v>
      </c>
      <c r="H1565" s="97" t="s">
        <v>1510</v>
      </c>
      <c r="I1565" s="98">
        <v>1</v>
      </c>
      <c r="J1565" s="99">
        <v>1</v>
      </c>
      <c r="K1565" s="143">
        <f t="shared" si="469"/>
        <v>1</v>
      </c>
      <c r="L1565" s="144">
        <f t="shared" si="466"/>
        <v>0</v>
      </c>
      <c r="M1565" s="275">
        <f t="shared" si="472"/>
        <v>1</v>
      </c>
      <c r="N1565" s="98">
        <v>1</v>
      </c>
      <c r="O1565" s="93">
        <f t="shared" si="473"/>
        <v>100</v>
      </c>
      <c r="GS1565" s="100">
        <v>1</v>
      </c>
      <c r="ON1565" s="100">
        <f t="shared" si="470"/>
        <v>0</v>
      </c>
    </row>
    <row r="1566" spans="1:404" ht="23.25" customHeight="1">
      <c r="A1566" s="97" t="str">
        <f t="shared" si="476"/>
        <v>003/ANNA-VG-21(đ6)66-61300-S3-A</v>
      </c>
      <c r="B1566" s="95">
        <v>44607</v>
      </c>
      <c r="C1566" s="97">
        <f t="shared" ca="1" si="471"/>
        <v>-457</v>
      </c>
      <c r="D1566" s="112" t="s">
        <v>1668</v>
      </c>
      <c r="E1566" s="279" t="s">
        <v>703</v>
      </c>
      <c r="F1566" s="132" t="str">
        <f t="shared" si="475"/>
        <v>A</v>
      </c>
      <c r="G1566" s="130">
        <f ca="1">SUMIF($A:E,$A1566,K:K)</f>
        <v>53</v>
      </c>
      <c r="H1566" s="112" t="s">
        <v>990</v>
      </c>
      <c r="I1566" s="175">
        <v>48</v>
      </c>
      <c r="J1566" s="115">
        <v>48</v>
      </c>
      <c r="K1566" s="143">
        <f t="shared" si="469"/>
        <v>53</v>
      </c>
      <c r="L1566" s="144">
        <f t="shared" ref="L1566:L1605" si="477">J1566-K1566</f>
        <v>-5</v>
      </c>
      <c r="M1566" s="275">
        <f t="shared" si="472"/>
        <v>144</v>
      </c>
      <c r="N1566" s="98">
        <v>1</v>
      </c>
      <c r="O1566" s="93">
        <f t="shared" ref="O1566:O1573" si="478">K1566/J1566*100</f>
        <v>110.41666666666667</v>
      </c>
      <c r="MY1566" s="100">
        <v>1</v>
      </c>
      <c r="MZ1566" s="100">
        <v>6</v>
      </c>
      <c r="NA1566" s="100">
        <v>3</v>
      </c>
      <c r="NE1566" s="100">
        <v>2</v>
      </c>
      <c r="NF1566" s="100">
        <v>5</v>
      </c>
      <c r="NG1566" s="100">
        <v>5</v>
      </c>
      <c r="NI1566" s="100">
        <v>10</v>
      </c>
      <c r="NK1566" s="100">
        <v>11</v>
      </c>
      <c r="NS1566" s="100">
        <v>1</v>
      </c>
      <c r="NT1566" s="100">
        <v>3</v>
      </c>
      <c r="NV1566" s="100">
        <v>1</v>
      </c>
      <c r="ON1566" s="100">
        <f t="shared" si="470"/>
        <v>5</v>
      </c>
    </row>
    <row r="1567" spans="1:404" ht="23.25" customHeight="1">
      <c r="A1567" s="97" t="str">
        <f t="shared" si="476"/>
        <v>001/SQUARE-2166-61300-B2-B</v>
      </c>
      <c r="B1567" s="95">
        <v>44378</v>
      </c>
      <c r="C1567" s="97">
        <f t="shared" ca="1" si="471"/>
        <v>-686</v>
      </c>
      <c r="D1567" s="96" t="s">
        <v>932</v>
      </c>
      <c r="E1567" s="97" t="s">
        <v>702</v>
      </c>
      <c r="F1567" s="132" t="str">
        <f t="shared" si="475"/>
        <v>B</v>
      </c>
      <c r="G1567" s="130">
        <f ca="1">SUMIF($A:E,$A1567,K:K)</f>
        <v>1190</v>
      </c>
      <c r="H1567" s="97" t="s">
        <v>933</v>
      </c>
      <c r="I1567" s="98">
        <v>1190</v>
      </c>
      <c r="J1567" s="99">
        <v>350</v>
      </c>
      <c r="K1567" s="143">
        <f t="shared" si="469"/>
        <v>350</v>
      </c>
      <c r="L1567" s="144">
        <f t="shared" si="477"/>
        <v>0</v>
      </c>
      <c r="M1567" s="275">
        <f t="shared" si="472"/>
        <v>2380</v>
      </c>
      <c r="N1567" s="98">
        <v>1</v>
      </c>
      <c r="O1567" s="93">
        <f t="shared" si="478"/>
        <v>100</v>
      </c>
      <c r="DP1567" s="101">
        <v>5</v>
      </c>
      <c r="DR1567" s="101">
        <v>18</v>
      </c>
      <c r="DS1567" s="100">
        <v>1</v>
      </c>
      <c r="DT1567" s="100">
        <v>15</v>
      </c>
      <c r="DU1567" s="100">
        <v>8</v>
      </c>
      <c r="DV1567" s="100">
        <v>10</v>
      </c>
      <c r="DW1567" s="100">
        <v>17</v>
      </c>
      <c r="DY1567" s="100">
        <v>12</v>
      </c>
      <c r="DZ1567" s="100">
        <v>7</v>
      </c>
      <c r="EA1567" s="100">
        <v>17</v>
      </c>
      <c r="EC1567" s="100">
        <v>3</v>
      </c>
      <c r="ED1567" s="100">
        <v>5</v>
      </c>
      <c r="EF1567" s="100">
        <v>15</v>
      </c>
      <c r="EG1567" s="100">
        <v>6</v>
      </c>
      <c r="EH1567" s="100">
        <v>10</v>
      </c>
      <c r="EI1567" s="100">
        <v>15</v>
      </c>
      <c r="EJ1567" s="100">
        <v>18</v>
      </c>
      <c r="EK1567" s="100">
        <v>1</v>
      </c>
      <c r="EL1567" s="100">
        <v>13</v>
      </c>
      <c r="EM1567" s="100">
        <v>15</v>
      </c>
      <c r="EN1567" s="100">
        <v>13</v>
      </c>
      <c r="EO1567" s="100">
        <v>14</v>
      </c>
      <c r="EP1567" s="100">
        <v>14</v>
      </c>
      <c r="EQ1567" s="100">
        <v>6</v>
      </c>
      <c r="ER1567" s="100">
        <v>8</v>
      </c>
      <c r="ET1567" s="100">
        <v>12</v>
      </c>
      <c r="EU1567" s="100">
        <f>9+14</f>
        <v>23</v>
      </c>
      <c r="EW1567" s="100">
        <v>28</v>
      </c>
      <c r="EY1567" s="100">
        <v>7</v>
      </c>
      <c r="FA1567" s="100">
        <v>6</v>
      </c>
      <c r="FB1567" s="100">
        <v>3</v>
      </c>
      <c r="FD1567" s="100">
        <v>2</v>
      </c>
      <c r="FK1567" s="100">
        <v>3</v>
      </c>
      <c r="ON1567" s="100">
        <f t="shared" si="470"/>
        <v>0</v>
      </c>
    </row>
    <row r="1568" spans="1:404" ht="23.25" customHeight="1">
      <c r="A1568" s="97" t="str">
        <f t="shared" si="476"/>
        <v>001/SQUARE-2166-61300-B2-B</v>
      </c>
      <c r="B1568" s="95">
        <v>44378</v>
      </c>
      <c r="C1568" s="97">
        <f t="shared" ca="1" si="471"/>
        <v>-686</v>
      </c>
      <c r="D1568" s="96" t="s">
        <v>932</v>
      </c>
      <c r="E1568" s="97" t="s">
        <v>702</v>
      </c>
      <c r="F1568" s="132" t="str">
        <f t="shared" si="475"/>
        <v>B</v>
      </c>
      <c r="G1568" s="130">
        <f ca="1">SUMIF($A:E,$A1568,K:K)</f>
        <v>1190</v>
      </c>
      <c r="H1568" s="97" t="s">
        <v>933</v>
      </c>
      <c r="I1568" s="98">
        <v>1190</v>
      </c>
      <c r="J1568" s="99">
        <v>350</v>
      </c>
      <c r="K1568" s="143">
        <f t="shared" si="469"/>
        <v>350</v>
      </c>
      <c r="L1568" s="144">
        <f t="shared" si="477"/>
        <v>0</v>
      </c>
      <c r="M1568" s="275">
        <f t="shared" si="472"/>
        <v>2380</v>
      </c>
      <c r="N1568" s="98">
        <v>2</v>
      </c>
      <c r="O1568" s="93">
        <f t="shared" si="478"/>
        <v>100</v>
      </c>
      <c r="DO1568" s="101">
        <v>5</v>
      </c>
      <c r="DP1568" s="101">
        <v>1</v>
      </c>
      <c r="DR1568" s="101">
        <v>10</v>
      </c>
      <c r="DS1568" s="100">
        <v>17</v>
      </c>
      <c r="DT1568" s="100">
        <v>7</v>
      </c>
      <c r="DU1568" s="100">
        <v>18</v>
      </c>
      <c r="DV1568" s="100">
        <v>14</v>
      </c>
      <c r="DW1568" s="100">
        <v>13</v>
      </c>
      <c r="DY1568" s="100">
        <v>8</v>
      </c>
      <c r="DZ1568" s="100">
        <v>13</v>
      </c>
      <c r="EA1568" s="100">
        <v>13</v>
      </c>
      <c r="EC1568" s="100">
        <v>7</v>
      </c>
      <c r="ED1568" s="100">
        <v>14</v>
      </c>
      <c r="EF1568" s="100">
        <v>13</v>
      </c>
      <c r="EG1568" s="100">
        <v>12</v>
      </c>
      <c r="EH1568" s="100">
        <v>15</v>
      </c>
      <c r="EI1568" s="100">
        <v>15</v>
      </c>
      <c r="EJ1568" s="100">
        <v>13</v>
      </c>
      <c r="EK1568" s="100">
        <v>15</v>
      </c>
      <c r="EL1568" s="100">
        <v>12</v>
      </c>
      <c r="EM1568" s="100">
        <v>16</v>
      </c>
      <c r="EN1568" s="100">
        <v>7</v>
      </c>
      <c r="EO1568" s="100">
        <v>7</v>
      </c>
      <c r="EP1568" s="100">
        <v>14</v>
      </c>
      <c r="EQ1568" s="100">
        <v>8</v>
      </c>
      <c r="ET1568" s="100">
        <v>21</v>
      </c>
      <c r="EU1568" s="100">
        <v>13</v>
      </c>
      <c r="EV1568" s="100">
        <v>14</v>
      </c>
      <c r="EW1568" s="100">
        <v>3</v>
      </c>
      <c r="FA1568" s="100">
        <v>5</v>
      </c>
      <c r="FB1568" s="100">
        <v>5</v>
      </c>
      <c r="FE1568" s="100">
        <v>1</v>
      </c>
      <c r="FL1568" s="100">
        <v>1</v>
      </c>
      <c r="ON1568" s="100">
        <f t="shared" si="470"/>
        <v>0</v>
      </c>
    </row>
    <row r="1569" spans="1:404" ht="23.25" customHeight="1">
      <c r="A1569" s="97" t="str">
        <f t="shared" si="476"/>
        <v>001/SQUARE-2166-61300-B2-B</v>
      </c>
      <c r="B1569" s="95">
        <v>44378</v>
      </c>
      <c r="C1569" s="97">
        <f t="shared" ref="C1569:C1592" ca="1" si="479">B1569-TODAY()</f>
        <v>-686</v>
      </c>
      <c r="D1569" s="96" t="s">
        <v>932</v>
      </c>
      <c r="E1569" s="97" t="s">
        <v>702</v>
      </c>
      <c r="F1569" s="132" t="str">
        <f t="shared" si="475"/>
        <v>B</v>
      </c>
      <c r="G1569" s="130">
        <f ca="1">SUMIF($A:E,$A1569,K:K)</f>
        <v>1190</v>
      </c>
      <c r="H1569" s="97" t="s">
        <v>933</v>
      </c>
      <c r="I1569" s="98">
        <v>1190</v>
      </c>
      <c r="J1569" s="99">
        <f>250+12</f>
        <v>262</v>
      </c>
      <c r="K1569" s="143">
        <f t="shared" si="469"/>
        <v>262</v>
      </c>
      <c r="L1569" s="144">
        <f t="shared" si="477"/>
        <v>0</v>
      </c>
      <c r="M1569" s="275">
        <f t="shared" ref="M1569:M1592" si="480">IF(OR(MID(E1569,10,1)="0",MID(E1569,10,1)="F"),I1569,IF(OR(,MID(E1569,10,1)="S",MID(E1569,10,1)="L",MID(E1569,10,1)="B",MID(E1569,10,1)="X"),MID(E1569,11,1)*I1569,0))</f>
        <v>2380</v>
      </c>
      <c r="N1569" s="98">
        <v>3</v>
      </c>
      <c r="O1569" s="93">
        <f t="shared" si="478"/>
        <v>100</v>
      </c>
      <c r="DU1569" s="100">
        <v>10</v>
      </c>
      <c r="DV1569" s="100">
        <v>8</v>
      </c>
      <c r="DW1569" s="100">
        <v>1</v>
      </c>
      <c r="DY1569" s="100">
        <v>20</v>
      </c>
      <c r="DZ1569" s="100">
        <v>6</v>
      </c>
      <c r="EA1569" s="100">
        <v>5</v>
      </c>
      <c r="EC1569" s="100">
        <v>10</v>
      </c>
      <c r="ED1569" s="100">
        <v>10</v>
      </c>
      <c r="EF1569" s="100">
        <v>9</v>
      </c>
      <c r="EG1569" s="100">
        <v>5</v>
      </c>
      <c r="EH1569" s="100">
        <v>10</v>
      </c>
      <c r="EJ1569" s="100">
        <v>11</v>
      </c>
      <c r="EK1569" s="100">
        <v>10</v>
      </c>
      <c r="EL1569" s="100">
        <v>9</v>
      </c>
      <c r="EM1569" s="100">
        <v>16</v>
      </c>
      <c r="EN1569" s="100">
        <v>5</v>
      </c>
      <c r="EO1569" s="100">
        <v>4</v>
      </c>
      <c r="EP1569" s="100">
        <v>8</v>
      </c>
      <c r="EQ1569" s="100">
        <v>10</v>
      </c>
      <c r="ER1569" s="100">
        <v>10</v>
      </c>
      <c r="EU1569" s="100">
        <v>18</v>
      </c>
      <c r="EV1569" s="100">
        <v>10</v>
      </c>
      <c r="EW1569" s="100">
        <v>14</v>
      </c>
      <c r="EX1569" s="100">
        <v>6</v>
      </c>
      <c r="EY1569" s="100">
        <v>5</v>
      </c>
      <c r="FA1569" s="100">
        <v>10</v>
      </c>
      <c r="FB1569" s="100">
        <v>8</v>
      </c>
      <c r="FC1569" s="100">
        <v>9</v>
      </c>
      <c r="FD1569" s="100">
        <v>5</v>
      </c>
      <c r="ON1569" s="100">
        <f t="shared" si="470"/>
        <v>0</v>
      </c>
    </row>
    <row r="1570" spans="1:404" ht="23.25" customHeight="1">
      <c r="A1570" s="97" t="str">
        <f t="shared" si="476"/>
        <v>001/SQUARE-2166-61300-B2-B</v>
      </c>
      <c r="B1570" s="95">
        <v>44378</v>
      </c>
      <c r="C1570" s="97">
        <f t="shared" ca="1" si="479"/>
        <v>-686</v>
      </c>
      <c r="D1570" s="96" t="s">
        <v>932</v>
      </c>
      <c r="E1570" s="97" t="s">
        <v>702</v>
      </c>
      <c r="F1570" s="132" t="str">
        <f t="shared" si="475"/>
        <v>B</v>
      </c>
      <c r="G1570" s="130">
        <f ca="1">SUMIF($A:E,$A1570,K:K)</f>
        <v>1190</v>
      </c>
      <c r="H1570" s="97" t="s">
        <v>933</v>
      </c>
      <c r="I1570" s="98">
        <v>1190</v>
      </c>
      <c r="J1570" s="99">
        <f>240-12</f>
        <v>228</v>
      </c>
      <c r="K1570" s="143">
        <f t="shared" si="469"/>
        <v>228</v>
      </c>
      <c r="L1570" s="144">
        <f t="shared" si="477"/>
        <v>0</v>
      </c>
      <c r="M1570" s="275">
        <f t="shared" si="480"/>
        <v>2380</v>
      </c>
      <c r="N1570" s="98">
        <v>5</v>
      </c>
      <c r="O1570" s="93">
        <f t="shared" si="478"/>
        <v>100</v>
      </c>
      <c r="EJ1570" s="100">
        <v>4</v>
      </c>
      <c r="EK1570" s="100">
        <v>4</v>
      </c>
      <c r="EM1570" s="100">
        <v>9</v>
      </c>
      <c r="EN1570" s="100">
        <v>15</v>
      </c>
      <c r="EO1570" s="100">
        <v>8</v>
      </c>
      <c r="EP1570" s="100">
        <v>8</v>
      </c>
      <c r="EQ1570" s="100">
        <v>8</v>
      </c>
      <c r="ER1570" s="100">
        <v>8</v>
      </c>
      <c r="ET1570" s="100">
        <v>6</v>
      </c>
      <c r="EU1570" s="100">
        <v>9</v>
      </c>
      <c r="EV1570" s="100">
        <v>6</v>
      </c>
      <c r="EW1570" s="100">
        <v>6</v>
      </c>
      <c r="EX1570" s="100">
        <v>6</v>
      </c>
      <c r="EY1570" s="100">
        <v>6</v>
      </c>
      <c r="FA1570" s="100">
        <v>6</v>
      </c>
      <c r="FB1570" s="100">
        <v>3</v>
      </c>
      <c r="FC1570" s="100">
        <v>7</v>
      </c>
      <c r="FD1570" s="100">
        <v>8</v>
      </c>
      <c r="FE1570" s="100">
        <v>4</v>
      </c>
      <c r="FF1570" s="100">
        <v>12</v>
      </c>
      <c r="FH1570" s="100">
        <v>11</v>
      </c>
      <c r="FI1570" s="100">
        <v>6</v>
      </c>
      <c r="FJ1570" s="100">
        <v>12</v>
      </c>
      <c r="FK1570" s="100">
        <v>12</v>
      </c>
      <c r="FL1570" s="100">
        <v>12</v>
      </c>
      <c r="FM1570" s="100">
        <v>6</v>
      </c>
      <c r="FO1570" s="100">
        <v>12</v>
      </c>
      <c r="FP1570" s="100">
        <v>9</v>
      </c>
      <c r="FQ1570" s="100">
        <v>5</v>
      </c>
      <c r="ON1570" s="100">
        <f t="shared" si="470"/>
        <v>0</v>
      </c>
    </row>
    <row r="1571" spans="1:404" ht="23.25" customHeight="1">
      <c r="A1571" s="97" t="s">
        <v>2519</v>
      </c>
      <c r="B1571" s="95">
        <v>44657</v>
      </c>
      <c r="C1571" s="97">
        <v>56</v>
      </c>
      <c r="D1571" s="96" t="s">
        <v>1877</v>
      </c>
      <c r="E1571" s="94" t="s">
        <v>702</v>
      </c>
      <c r="F1571" s="132" t="s">
        <v>561</v>
      </c>
      <c r="G1571" s="130">
        <v>1190</v>
      </c>
      <c r="H1571" s="97" t="s">
        <v>508</v>
      </c>
      <c r="I1571" s="98">
        <v>1190</v>
      </c>
      <c r="J1571" s="99">
        <v>550</v>
      </c>
      <c r="K1571" s="143">
        <f t="shared" si="469"/>
        <v>468</v>
      </c>
      <c r="L1571" s="144">
        <f t="shared" si="477"/>
        <v>82</v>
      </c>
      <c r="M1571" s="98"/>
      <c r="N1571" s="98">
        <v>4</v>
      </c>
      <c r="O1571" s="93">
        <f t="shared" si="478"/>
        <v>85.090909090909093</v>
      </c>
      <c r="NU1571" s="100">
        <v>5</v>
      </c>
      <c r="NV1571" s="100">
        <v>7</v>
      </c>
      <c r="NY1571" s="100">
        <v>10</v>
      </c>
      <c r="NZ1571" s="100">
        <v>13</v>
      </c>
      <c r="OA1571" s="100">
        <v>13</v>
      </c>
      <c r="OB1571" s="100">
        <v>16</v>
      </c>
      <c r="OC1571" s="100">
        <v>20</v>
      </c>
      <c r="OF1571" s="100">
        <v>20</v>
      </c>
      <c r="OG1571" s="100">
        <v>38</v>
      </c>
      <c r="OH1571" s="100">
        <v>18</v>
      </c>
      <c r="OI1571" s="100">
        <v>17</v>
      </c>
      <c r="OJ1571" s="100">
        <v>18</v>
      </c>
      <c r="OK1571" s="100">
        <v>19</v>
      </c>
      <c r="OM1571" s="100">
        <v>20</v>
      </c>
      <c r="ON1571" s="100">
        <f t="shared" si="470"/>
        <v>234</v>
      </c>
    </row>
    <row r="1572" spans="1:404" ht="23.25" customHeight="1">
      <c r="A1572" s="97" t="s">
        <v>2519</v>
      </c>
      <c r="B1572" s="95">
        <v>44657</v>
      </c>
      <c r="C1572" s="97">
        <v>56</v>
      </c>
      <c r="D1572" s="96" t="s">
        <v>1877</v>
      </c>
      <c r="E1572" s="94" t="s">
        <v>702</v>
      </c>
      <c r="F1572" s="132" t="s">
        <v>561</v>
      </c>
      <c r="G1572" s="130">
        <v>1190</v>
      </c>
      <c r="H1572" s="97" t="s">
        <v>508</v>
      </c>
      <c r="I1572" s="98">
        <v>1190</v>
      </c>
      <c r="J1572" s="99">
        <v>340</v>
      </c>
      <c r="K1572" s="143">
        <f t="shared" ref="K1572" si="481">SUM(P1572:BBC1572)</f>
        <v>0</v>
      </c>
      <c r="L1572" s="144">
        <f t="shared" ref="L1572" si="482">J1572-K1572</f>
        <v>340</v>
      </c>
      <c r="M1572" s="98"/>
      <c r="N1572" s="98">
        <v>2</v>
      </c>
      <c r="O1572" s="93"/>
      <c r="ON1572" s="100">
        <f t="shared" si="470"/>
        <v>0</v>
      </c>
    </row>
    <row r="1573" spans="1:404" ht="23.25" customHeight="1">
      <c r="A1573" s="97" t="str">
        <f t="shared" si="476"/>
        <v>004/SQUARE-VG-2166-61300-B2-B</v>
      </c>
      <c r="B1573" s="95">
        <v>44657</v>
      </c>
      <c r="C1573" s="97">
        <f t="shared" ca="1" si="479"/>
        <v>-407</v>
      </c>
      <c r="D1573" s="96" t="s">
        <v>1877</v>
      </c>
      <c r="E1573" s="94" t="s">
        <v>702</v>
      </c>
      <c r="F1573" s="132" t="str">
        <f t="shared" si="475"/>
        <v>B</v>
      </c>
      <c r="G1573" s="130">
        <f ca="1">SUMIF($A:E,$A1573,K:K)</f>
        <v>468</v>
      </c>
      <c r="H1573" s="97" t="s">
        <v>508</v>
      </c>
      <c r="I1573" s="98">
        <v>1190</v>
      </c>
      <c r="J1573" s="99">
        <f>1190-J1571-J1572</f>
        <v>300</v>
      </c>
      <c r="K1573" s="143">
        <f t="shared" si="469"/>
        <v>0</v>
      </c>
      <c r="L1573" s="144">
        <f t="shared" si="477"/>
        <v>300</v>
      </c>
      <c r="M1573" s="275">
        <f t="shared" si="480"/>
        <v>2380</v>
      </c>
      <c r="N1573" s="98"/>
      <c r="O1573" s="93">
        <f t="shared" si="478"/>
        <v>0</v>
      </c>
      <c r="ON1573" s="100">
        <f t="shared" si="470"/>
        <v>0</v>
      </c>
    </row>
    <row r="1574" spans="1:404" ht="23.25" customHeight="1">
      <c r="A1574" s="97" t="str">
        <f t="shared" si="476"/>
        <v>002/FLOWER POWER-VG-2166-61300-03-A</v>
      </c>
      <c r="B1574" s="95">
        <v>44670</v>
      </c>
      <c r="C1574" s="97">
        <f t="shared" ca="1" si="479"/>
        <v>-394</v>
      </c>
      <c r="D1574" s="112" t="s">
        <v>1714</v>
      </c>
      <c r="E1574" s="279" t="s">
        <v>1720</v>
      </c>
      <c r="F1574" s="132" t="str">
        <f t="shared" ref="F1574:F1597" si="483">MID(E1574,13,2)</f>
        <v>A</v>
      </c>
      <c r="G1574" s="130">
        <f ca="1">SUMIF($A:E,$A1574,K:K)</f>
        <v>0</v>
      </c>
      <c r="H1574" s="112" t="s">
        <v>1725</v>
      </c>
      <c r="I1574" s="175">
        <v>84</v>
      </c>
      <c r="J1574" s="115">
        <v>84</v>
      </c>
      <c r="K1574" s="143">
        <f t="shared" si="469"/>
        <v>0</v>
      </c>
      <c r="L1574" s="144">
        <f t="shared" si="477"/>
        <v>84</v>
      </c>
      <c r="M1574" s="275">
        <f t="shared" si="480"/>
        <v>84</v>
      </c>
      <c r="N1574" s="98"/>
      <c r="O1574" s="93">
        <f t="shared" ref="O1574:O1593" si="484">K1574/J1574*100</f>
        <v>0</v>
      </c>
      <c r="ON1574" s="100">
        <f t="shared" si="470"/>
        <v>0</v>
      </c>
    </row>
    <row r="1575" spans="1:404" ht="23.25" customHeight="1">
      <c r="A1575" s="97" t="str">
        <f t="shared" si="476"/>
        <v>226/KHBS-2166-61300-02-B</v>
      </c>
      <c r="B1575" s="95">
        <v>44402</v>
      </c>
      <c r="C1575" s="97">
        <f t="shared" ca="1" si="479"/>
        <v>-662</v>
      </c>
      <c r="D1575" s="96" t="s">
        <v>1413</v>
      </c>
      <c r="E1575" s="94" t="s">
        <v>624</v>
      </c>
      <c r="F1575" s="132" t="str">
        <f t="shared" si="483"/>
        <v>B</v>
      </c>
      <c r="G1575" s="130">
        <f ca="1">SUMIF($A:E,$A1575,K:K)</f>
        <v>4</v>
      </c>
      <c r="H1575" s="97" t="s">
        <v>616</v>
      </c>
      <c r="I1575" s="98">
        <v>4</v>
      </c>
      <c r="J1575" s="99">
        <v>4</v>
      </c>
      <c r="K1575" s="143">
        <f t="shared" si="469"/>
        <v>4</v>
      </c>
      <c r="L1575" s="144">
        <f t="shared" si="477"/>
        <v>0</v>
      </c>
      <c r="M1575" s="275">
        <f t="shared" si="480"/>
        <v>4</v>
      </c>
      <c r="N1575" s="98">
        <v>5</v>
      </c>
      <c r="O1575" s="93">
        <f t="shared" si="484"/>
        <v>100</v>
      </c>
      <c r="GJ1575" s="100">
        <v>4</v>
      </c>
      <c r="ON1575" s="100">
        <f t="shared" si="470"/>
        <v>0</v>
      </c>
    </row>
    <row r="1576" spans="1:404" ht="23.25" customHeight="1">
      <c r="A1576" s="97" t="str">
        <f t="shared" si="476"/>
        <v>002T/OBI-2166-60124-03-B</v>
      </c>
      <c r="B1576" s="95">
        <v>44416</v>
      </c>
      <c r="C1576" s="97">
        <f t="shared" ca="1" si="479"/>
        <v>-648</v>
      </c>
      <c r="D1576" s="112" t="s">
        <v>1047</v>
      </c>
      <c r="E1576" s="123" t="s">
        <v>1061</v>
      </c>
      <c r="F1576" s="132" t="str">
        <f t="shared" si="483"/>
        <v>B</v>
      </c>
      <c r="G1576" s="130">
        <f ca="1">SUMIF($A:E,$A1576,K:K)</f>
        <v>80</v>
      </c>
      <c r="H1576" s="97" t="s">
        <v>616</v>
      </c>
      <c r="I1576" s="175">
        <v>80</v>
      </c>
      <c r="J1576" s="115">
        <v>80</v>
      </c>
      <c r="K1576" s="143">
        <f t="shared" si="469"/>
        <v>80</v>
      </c>
      <c r="L1576" s="144">
        <f t="shared" si="477"/>
        <v>0</v>
      </c>
      <c r="M1576" s="275">
        <f t="shared" si="480"/>
        <v>80</v>
      </c>
      <c r="N1576" s="98">
        <v>3</v>
      </c>
      <c r="O1576" s="93">
        <f t="shared" si="484"/>
        <v>100</v>
      </c>
      <c r="EW1576" s="100">
        <v>7</v>
      </c>
      <c r="EX1576" s="100">
        <v>7</v>
      </c>
      <c r="EY1576" s="100">
        <v>6</v>
      </c>
      <c r="FD1576" s="100">
        <v>9</v>
      </c>
      <c r="FF1576" s="100">
        <v>4</v>
      </c>
      <c r="FH1576" s="100">
        <v>8</v>
      </c>
      <c r="FI1576" s="100">
        <v>4</v>
      </c>
      <c r="FJ1576" s="100" t="s">
        <v>1216</v>
      </c>
      <c r="FK1576" s="100">
        <v>5</v>
      </c>
      <c r="FL1576" s="100">
        <v>9</v>
      </c>
      <c r="FM1576" s="100">
        <v>4</v>
      </c>
      <c r="FO1576" s="100">
        <v>3</v>
      </c>
      <c r="FP1576" s="100">
        <v>9</v>
      </c>
      <c r="FQ1576" s="100">
        <v>2</v>
      </c>
      <c r="FX1576" s="100">
        <v>3</v>
      </c>
      <c r="ON1576" s="100">
        <f t="shared" si="470"/>
        <v>0</v>
      </c>
    </row>
    <row r="1577" spans="1:404" ht="23.25" customHeight="1">
      <c r="A1577" s="97" t="str">
        <f t="shared" si="476"/>
        <v>004/OBI-2166-60124-03-B</v>
      </c>
      <c r="B1577" s="95">
        <v>44448</v>
      </c>
      <c r="C1577" s="97">
        <f t="shared" ca="1" si="479"/>
        <v>-616</v>
      </c>
      <c r="D1577" s="96" t="s">
        <v>1137</v>
      </c>
      <c r="E1577" s="94" t="s">
        <v>1061</v>
      </c>
      <c r="F1577" s="132" t="str">
        <f t="shared" si="483"/>
        <v>B</v>
      </c>
      <c r="G1577" s="130">
        <f ca="1">SUMIF($A:E,$A1577,K:K)</f>
        <v>144</v>
      </c>
      <c r="H1577" s="97" t="s">
        <v>616</v>
      </c>
      <c r="I1577" s="98">
        <f>224-80</f>
        <v>144</v>
      </c>
      <c r="J1577" s="97">
        <v>144</v>
      </c>
      <c r="K1577" s="143">
        <f t="shared" si="469"/>
        <v>144</v>
      </c>
      <c r="L1577" s="144">
        <f t="shared" si="477"/>
        <v>0</v>
      </c>
      <c r="M1577" s="275">
        <f t="shared" si="480"/>
        <v>144</v>
      </c>
      <c r="N1577" s="98">
        <v>3</v>
      </c>
      <c r="O1577" s="93">
        <f t="shared" si="484"/>
        <v>100</v>
      </c>
      <c r="FQ1577" s="100">
        <v>2</v>
      </c>
      <c r="FR1577" s="100">
        <v>8</v>
      </c>
      <c r="FS1577" s="100">
        <v>9</v>
      </c>
      <c r="FT1577" s="100">
        <v>4</v>
      </c>
      <c r="FU1577" s="100">
        <v>8</v>
      </c>
      <c r="FV1577" s="100">
        <v>7</v>
      </c>
      <c r="FX1577" s="100">
        <v>3</v>
      </c>
      <c r="GA1577" s="100">
        <v>14</v>
      </c>
      <c r="GB1577" s="100">
        <v>5</v>
      </c>
      <c r="GC1577" s="100">
        <v>8</v>
      </c>
      <c r="GD1577" s="100">
        <v>6</v>
      </c>
      <c r="GE1577" s="100">
        <v>1</v>
      </c>
      <c r="GG1577" s="100">
        <v>4</v>
      </c>
      <c r="GH1577" s="100">
        <v>12</v>
      </c>
      <c r="GJ1577" s="100">
        <v>14</v>
      </c>
      <c r="GK1577" s="100">
        <v>4</v>
      </c>
      <c r="GL1577" s="100">
        <v>3</v>
      </c>
      <c r="GO1577" s="100">
        <v>12</v>
      </c>
      <c r="GP1577" s="100">
        <v>8</v>
      </c>
      <c r="GS1577" s="100">
        <v>4</v>
      </c>
      <c r="GV1577" s="100">
        <v>6</v>
      </c>
      <c r="HF1577" s="100">
        <v>2</v>
      </c>
      <c r="ON1577" s="100">
        <f t="shared" si="470"/>
        <v>0</v>
      </c>
    </row>
    <row r="1578" spans="1:404" ht="23.25" customHeight="1">
      <c r="A1578" s="97" t="str">
        <f t="shared" si="476"/>
        <v>002T/OBI-2166-60124-02-B</v>
      </c>
      <c r="B1578" s="95">
        <v>44416</v>
      </c>
      <c r="C1578" s="97">
        <f t="shared" ca="1" si="479"/>
        <v>-648</v>
      </c>
      <c r="D1578" s="112" t="s">
        <v>1047</v>
      </c>
      <c r="E1578" s="123" t="s">
        <v>1060</v>
      </c>
      <c r="F1578" s="132" t="str">
        <f t="shared" si="483"/>
        <v>B</v>
      </c>
      <c r="G1578" s="130">
        <f ca="1">SUMIF($A:E,$A1578,K:K)</f>
        <v>80</v>
      </c>
      <c r="H1578" s="97" t="s">
        <v>616</v>
      </c>
      <c r="I1578" s="175">
        <v>80</v>
      </c>
      <c r="J1578" s="115">
        <v>80</v>
      </c>
      <c r="K1578" s="143">
        <f t="shared" si="469"/>
        <v>80</v>
      </c>
      <c r="L1578" s="144">
        <f t="shared" si="477"/>
        <v>0</v>
      </c>
      <c r="M1578" s="275">
        <f t="shared" si="480"/>
        <v>80</v>
      </c>
      <c r="N1578" s="98">
        <v>3</v>
      </c>
      <c r="O1578" s="93">
        <f t="shared" si="484"/>
        <v>100</v>
      </c>
      <c r="EW1578" s="100">
        <v>7</v>
      </c>
      <c r="EX1578" s="100">
        <v>7</v>
      </c>
      <c r="EY1578" s="100">
        <v>6</v>
      </c>
      <c r="FD1578" s="100">
        <v>9</v>
      </c>
      <c r="FF1578" s="100">
        <v>4</v>
      </c>
      <c r="FH1578" s="100">
        <v>8</v>
      </c>
      <c r="FI1578" s="100">
        <v>4</v>
      </c>
      <c r="FJ1578" s="100">
        <v>3</v>
      </c>
      <c r="FK1578" s="100">
        <v>5</v>
      </c>
      <c r="FL1578" s="100">
        <v>9</v>
      </c>
      <c r="FM1578" s="100">
        <v>4</v>
      </c>
      <c r="FO1578" s="100">
        <v>3</v>
      </c>
      <c r="FP1578" s="100">
        <v>9</v>
      </c>
      <c r="FQ1578" s="100">
        <v>2</v>
      </c>
      <c r="ON1578" s="100">
        <f t="shared" si="470"/>
        <v>0</v>
      </c>
    </row>
    <row r="1579" spans="1:404" ht="23.25" customHeight="1">
      <c r="A1579" s="97" t="str">
        <f t="shared" si="476"/>
        <v>004/OBI-2166-60124-02-B</v>
      </c>
      <c r="B1579" s="95">
        <v>44448</v>
      </c>
      <c r="C1579" s="97">
        <f t="shared" ca="1" si="479"/>
        <v>-616</v>
      </c>
      <c r="D1579" s="96" t="s">
        <v>1137</v>
      </c>
      <c r="E1579" s="94" t="s">
        <v>1060</v>
      </c>
      <c r="F1579" s="132" t="str">
        <f t="shared" si="483"/>
        <v>B</v>
      </c>
      <c r="G1579" s="130">
        <f ca="1">SUMIF($A:E,$A1579,K:K)</f>
        <v>144</v>
      </c>
      <c r="H1579" s="97" t="s">
        <v>616</v>
      </c>
      <c r="I1579" s="98">
        <f>224-80</f>
        <v>144</v>
      </c>
      <c r="J1579" s="97">
        <v>144</v>
      </c>
      <c r="K1579" s="143">
        <f t="shared" si="469"/>
        <v>144</v>
      </c>
      <c r="L1579" s="144">
        <f t="shared" si="477"/>
        <v>0</v>
      </c>
      <c r="M1579" s="275">
        <f t="shared" si="480"/>
        <v>144</v>
      </c>
      <c r="N1579" s="98">
        <v>3</v>
      </c>
      <c r="O1579" s="93">
        <f t="shared" si="484"/>
        <v>100</v>
      </c>
      <c r="FQ1579" s="100">
        <v>2</v>
      </c>
      <c r="FR1579" s="100">
        <v>8</v>
      </c>
      <c r="FS1579" s="100">
        <v>9</v>
      </c>
      <c r="FT1579" s="100">
        <v>4</v>
      </c>
      <c r="FU1579" s="100">
        <v>8</v>
      </c>
      <c r="FV1579" s="100">
        <v>7</v>
      </c>
      <c r="FX1579" s="100">
        <v>3</v>
      </c>
      <c r="FZ1579" s="100">
        <v>10</v>
      </c>
      <c r="GA1579" s="100">
        <v>4</v>
      </c>
      <c r="GB1579" s="100">
        <v>5</v>
      </c>
      <c r="GC1579" s="100">
        <v>8</v>
      </c>
      <c r="GD1579" s="100">
        <v>6</v>
      </c>
      <c r="GE1579" s="100">
        <v>1</v>
      </c>
      <c r="GG1579" s="100">
        <v>4</v>
      </c>
      <c r="GH1579" s="100">
        <v>12</v>
      </c>
      <c r="GJ1579" s="100">
        <v>14</v>
      </c>
      <c r="GK1579" s="100">
        <v>4</v>
      </c>
      <c r="GL1579" s="100">
        <v>3</v>
      </c>
      <c r="GO1579" s="100">
        <v>12</v>
      </c>
      <c r="GP1579" s="100">
        <v>8</v>
      </c>
      <c r="GS1579" s="100">
        <v>4</v>
      </c>
      <c r="GV1579" s="100">
        <v>6</v>
      </c>
      <c r="HF1579" s="100">
        <v>2</v>
      </c>
      <c r="ON1579" s="100">
        <f t="shared" si="470"/>
        <v>0</v>
      </c>
    </row>
    <row r="1580" spans="1:404" ht="23.25" customHeight="1">
      <c r="A1580" s="97" t="str">
        <f t="shared" si="476"/>
        <v>002T/OBI-2166-60124-01-B</v>
      </c>
      <c r="B1580" s="95">
        <v>44416</v>
      </c>
      <c r="C1580" s="97">
        <f t="shared" ca="1" si="479"/>
        <v>-648</v>
      </c>
      <c r="D1580" s="112" t="s">
        <v>1047</v>
      </c>
      <c r="E1580" s="123" t="s">
        <v>1059</v>
      </c>
      <c r="F1580" s="132" t="str">
        <f t="shared" si="483"/>
        <v>B</v>
      </c>
      <c r="G1580" s="130">
        <f ca="1">SUMIF($A:E,$A1580,K:K)</f>
        <v>80</v>
      </c>
      <c r="H1580" s="97" t="s">
        <v>616</v>
      </c>
      <c r="I1580" s="175">
        <v>80</v>
      </c>
      <c r="J1580" s="115">
        <v>80</v>
      </c>
      <c r="K1580" s="143">
        <f t="shared" si="469"/>
        <v>80</v>
      </c>
      <c r="L1580" s="144">
        <f t="shared" si="477"/>
        <v>0</v>
      </c>
      <c r="M1580" s="275">
        <f t="shared" si="480"/>
        <v>80</v>
      </c>
      <c r="N1580" s="98">
        <v>3</v>
      </c>
      <c r="O1580" s="93">
        <f t="shared" si="484"/>
        <v>100</v>
      </c>
      <c r="EW1580" s="100">
        <v>7</v>
      </c>
      <c r="EX1580" s="100">
        <v>7</v>
      </c>
      <c r="EY1580" s="100">
        <v>6</v>
      </c>
      <c r="FD1580" s="100">
        <v>9</v>
      </c>
      <c r="FF1580" s="100">
        <v>4</v>
      </c>
      <c r="FH1580" s="100">
        <v>8</v>
      </c>
      <c r="FI1580" s="100">
        <v>4</v>
      </c>
      <c r="FJ1580" s="100">
        <v>3</v>
      </c>
      <c r="FK1580" s="100">
        <v>5</v>
      </c>
      <c r="FL1580" s="100">
        <v>9</v>
      </c>
      <c r="FM1580" s="100">
        <v>4</v>
      </c>
      <c r="FO1580" s="100">
        <v>3</v>
      </c>
      <c r="FP1580" s="100">
        <v>9</v>
      </c>
      <c r="FQ1580" s="100">
        <v>2</v>
      </c>
      <c r="ON1580" s="100">
        <f t="shared" si="470"/>
        <v>0</v>
      </c>
    </row>
    <row r="1581" spans="1:404" ht="23.25" customHeight="1">
      <c r="A1581" s="97" t="str">
        <f t="shared" si="476"/>
        <v>004/OBI-2166-60124-01-B</v>
      </c>
      <c r="B1581" s="95">
        <v>44448</v>
      </c>
      <c r="C1581" s="97">
        <f t="shared" ca="1" si="479"/>
        <v>-616</v>
      </c>
      <c r="D1581" s="96" t="s">
        <v>1137</v>
      </c>
      <c r="E1581" s="94" t="s">
        <v>1059</v>
      </c>
      <c r="F1581" s="132" t="str">
        <f t="shared" si="483"/>
        <v>B</v>
      </c>
      <c r="G1581" s="130">
        <f ca="1">SUMIF($A:E,$A1581,K:K)</f>
        <v>144</v>
      </c>
      <c r="H1581" s="97" t="s">
        <v>616</v>
      </c>
      <c r="I1581" s="98">
        <f>224-80</f>
        <v>144</v>
      </c>
      <c r="J1581" s="97">
        <v>144</v>
      </c>
      <c r="K1581" s="143">
        <f t="shared" si="469"/>
        <v>144</v>
      </c>
      <c r="L1581" s="144">
        <f t="shared" si="477"/>
        <v>0</v>
      </c>
      <c r="M1581" s="275">
        <f t="shared" si="480"/>
        <v>144</v>
      </c>
      <c r="N1581" s="98">
        <v>3</v>
      </c>
      <c r="O1581" s="93">
        <f t="shared" si="484"/>
        <v>100</v>
      </c>
      <c r="FQ1581" s="100">
        <v>2</v>
      </c>
      <c r="FR1581" s="100">
        <v>8</v>
      </c>
      <c r="FS1581" s="100">
        <v>9</v>
      </c>
      <c r="FT1581" s="100">
        <v>4</v>
      </c>
      <c r="FU1581" s="100">
        <v>8</v>
      </c>
      <c r="FV1581" s="100">
        <v>7</v>
      </c>
      <c r="FX1581" s="100">
        <v>3</v>
      </c>
      <c r="FZ1581" s="100">
        <v>10</v>
      </c>
      <c r="GA1581" s="100">
        <v>4</v>
      </c>
      <c r="GB1581" s="100">
        <v>5</v>
      </c>
      <c r="GC1581" s="100">
        <v>8</v>
      </c>
      <c r="GD1581" s="100">
        <v>6</v>
      </c>
      <c r="GE1581" s="100">
        <v>1</v>
      </c>
      <c r="GG1581" s="100">
        <v>4</v>
      </c>
      <c r="GH1581" s="100">
        <v>12</v>
      </c>
      <c r="GJ1581" s="100">
        <v>14</v>
      </c>
      <c r="GK1581" s="100">
        <v>4</v>
      </c>
      <c r="GL1581" s="100">
        <v>3</v>
      </c>
      <c r="GO1581" s="100">
        <v>12</v>
      </c>
      <c r="GP1581" s="100">
        <v>8</v>
      </c>
      <c r="GS1581" s="100">
        <v>4</v>
      </c>
      <c r="GV1581" s="100">
        <v>6</v>
      </c>
      <c r="HF1581" s="100">
        <v>2</v>
      </c>
      <c r="ON1581" s="100">
        <f t="shared" si="470"/>
        <v>0</v>
      </c>
    </row>
    <row r="1582" spans="1:404" ht="23.25" customHeight="1">
      <c r="A1582" s="97" t="str">
        <f t="shared" ref="A1582:A1598" si="485">D1582&amp;E1582</f>
        <v>002T/OBI-2166-60024-04-B</v>
      </c>
      <c r="B1582" s="95">
        <v>44416</v>
      </c>
      <c r="C1582" s="97">
        <f t="shared" ca="1" si="479"/>
        <v>-648</v>
      </c>
      <c r="D1582" s="112" t="s">
        <v>1047</v>
      </c>
      <c r="E1582" s="123" t="s">
        <v>1058</v>
      </c>
      <c r="F1582" s="132" t="str">
        <f t="shared" si="483"/>
        <v>B</v>
      </c>
      <c r="G1582" s="130">
        <f ca="1">SUMIF($A:E,$A1582,K:K)</f>
        <v>120</v>
      </c>
      <c r="H1582" s="97" t="s">
        <v>616</v>
      </c>
      <c r="I1582" s="175">
        <v>120</v>
      </c>
      <c r="J1582" s="115">
        <v>120</v>
      </c>
      <c r="K1582" s="143">
        <f t="shared" si="469"/>
        <v>120</v>
      </c>
      <c r="L1582" s="144">
        <f t="shared" si="477"/>
        <v>0</v>
      </c>
      <c r="M1582" s="275">
        <f t="shared" si="480"/>
        <v>120</v>
      </c>
      <c r="N1582" s="98">
        <v>5</v>
      </c>
      <c r="O1582" s="93">
        <f t="shared" si="484"/>
        <v>100</v>
      </c>
      <c r="EV1582" s="100">
        <v>4</v>
      </c>
      <c r="EW1582" s="100">
        <v>11</v>
      </c>
      <c r="EX1582" s="100">
        <v>2</v>
      </c>
      <c r="EY1582" s="100">
        <v>8</v>
      </c>
      <c r="FA1582" s="100">
        <v>8</v>
      </c>
      <c r="FB1582" s="100">
        <v>9</v>
      </c>
      <c r="FC1582" s="100">
        <v>8</v>
      </c>
      <c r="FD1582" s="100">
        <v>8</v>
      </c>
      <c r="FE1582" s="100">
        <v>5</v>
      </c>
      <c r="FF1582" s="100">
        <v>10</v>
      </c>
      <c r="FH1582" s="100">
        <v>10</v>
      </c>
      <c r="FI1582" s="100">
        <v>10</v>
      </c>
      <c r="FJ1582" s="100">
        <v>9</v>
      </c>
      <c r="FK1582" s="100">
        <v>10</v>
      </c>
      <c r="FL1582" s="100">
        <v>8</v>
      </c>
      <c r="ON1582" s="100">
        <f t="shared" si="470"/>
        <v>0</v>
      </c>
    </row>
    <row r="1583" spans="1:404" ht="23.25" customHeight="1">
      <c r="A1583" s="97" t="str">
        <f t="shared" si="485"/>
        <v>004/OBI-2166-60024-04-B</v>
      </c>
      <c r="B1583" s="95">
        <v>44448</v>
      </c>
      <c r="C1583" s="97">
        <f t="shared" ca="1" si="479"/>
        <v>-616</v>
      </c>
      <c r="D1583" s="96" t="s">
        <v>1137</v>
      </c>
      <c r="E1583" s="94" t="s">
        <v>1058</v>
      </c>
      <c r="F1583" s="132" t="str">
        <f t="shared" si="483"/>
        <v>B</v>
      </c>
      <c r="G1583" s="130">
        <f ca="1">SUMIF($A:E,$A1583,K:K)</f>
        <v>216</v>
      </c>
      <c r="H1583" s="97" t="s">
        <v>616</v>
      </c>
      <c r="I1583" s="98">
        <f>336-120</f>
        <v>216</v>
      </c>
      <c r="J1583" s="97">
        <v>216</v>
      </c>
      <c r="K1583" s="143">
        <f t="shared" si="469"/>
        <v>216</v>
      </c>
      <c r="L1583" s="144">
        <f t="shared" si="477"/>
        <v>0</v>
      </c>
      <c r="M1583" s="275">
        <f t="shared" si="480"/>
        <v>216</v>
      </c>
      <c r="N1583" s="98">
        <v>5</v>
      </c>
      <c r="O1583" s="93">
        <f t="shared" si="484"/>
        <v>100</v>
      </c>
      <c r="FL1583" s="100">
        <v>2</v>
      </c>
      <c r="FM1583" s="100">
        <v>10</v>
      </c>
      <c r="FO1583" s="100">
        <v>10</v>
      </c>
      <c r="FP1583" s="100">
        <v>6</v>
      </c>
      <c r="FQ1583" s="100">
        <v>10</v>
      </c>
      <c r="FR1583" s="100">
        <v>9</v>
      </c>
      <c r="FS1583" s="100">
        <v>8</v>
      </c>
      <c r="FT1583" s="100">
        <v>14</v>
      </c>
      <c r="FU1583" s="100">
        <v>3</v>
      </c>
      <c r="FV1583" s="100">
        <v>10</v>
      </c>
      <c r="FW1583" s="100">
        <v>9</v>
      </c>
      <c r="FX1583" s="100">
        <v>10</v>
      </c>
      <c r="FZ1583" s="100">
        <v>10</v>
      </c>
      <c r="GA1583" s="100">
        <v>6</v>
      </c>
      <c r="GB1583" s="100">
        <v>10</v>
      </c>
      <c r="GC1583" s="100">
        <v>10</v>
      </c>
      <c r="GD1583" s="100">
        <v>9</v>
      </c>
      <c r="GE1583" s="100">
        <v>11</v>
      </c>
      <c r="GG1583" s="100">
        <v>10</v>
      </c>
      <c r="GH1583" s="100">
        <v>5</v>
      </c>
      <c r="GI1583" s="100">
        <v>8</v>
      </c>
      <c r="GJ1583" s="100">
        <v>10</v>
      </c>
      <c r="GK1583" s="100">
        <v>6</v>
      </c>
      <c r="GL1583" s="100">
        <v>9</v>
      </c>
      <c r="GN1583" s="100">
        <v>8</v>
      </c>
      <c r="GP1583" s="100">
        <v>3</v>
      </c>
      <c r="ON1583" s="100">
        <f t="shared" si="470"/>
        <v>0</v>
      </c>
    </row>
    <row r="1584" spans="1:404" ht="23.25" customHeight="1">
      <c r="A1584" s="97" t="str">
        <f t="shared" si="485"/>
        <v>002T/OBI-2166-60024-03-B</v>
      </c>
      <c r="B1584" s="95">
        <v>44416</v>
      </c>
      <c r="C1584" s="97">
        <f t="shared" ca="1" si="479"/>
        <v>-648</v>
      </c>
      <c r="D1584" s="112" t="s">
        <v>1047</v>
      </c>
      <c r="E1584" s="123" t="s">
        <v>1057</v>
      </c>
      <c r="F1584" s="132" t="str">
        <f t="shared" si="483"/>
        <v>B</v>
      </c>
      <c r="G1584" s="130">
        <f ca="1">SUMIF($A:E,$A1584,K:K)</f>
        <v>120</v>
      </c>
      <c r="H1584" s="97" t="s">
        <v>616</v>
      </c>
      <c r="I1584" s="175">
        <v>120</v>
      </c>
      <c r="J1584" s="115">
        <v>120</v>
      </c>
      <c r="K1584" s="143">
        <f t="shared" si="469"/>
        <v>120</v>
      </c>
      <c r="L1584" s="144">
        <f t="shared" si="477"/>
        <v>0</v>
      </c>
      <c r="M1584" s="275">
        <f t="shared" si="480"/>
        <v>120</v>
      </c>
      <c r="N1584" s="98">
        <v>5</v>
      </c>
      <c r="O1584" s="93">
        <f t="shared" si="484"/>
        <v>100</v>
      </c>
      <c r="EV1584" s="100">
        <v>4</v>
      </c>
      <c r="EW1584" s="100">
        <v>11</v>
      </c>
      <c r="EX1584" s="100">
        <v>2</v>
      </c>
      <c r="EY1584" s="100">
        <v>8</v>
      </c>
      <c r="FA1584" s="100">
        <v>8</v>
      </c>
      <c r="FB1584" s="100">
        <v>9</v>
      </c>
      <c r="FC1584" s="100">
        <v>8</v>
      </c>
      <c r="FD1584" s="100">
        <v>8</v>
      </c>
      <c r="FE1584" s="100">
        <v>5</v>
      </c>
      <c r="FF1584" s="100">
        <v>10</v>
      </c>
      <c r="FH1584" s="100">
        <v>10</v>
      </c>
      <c r="FI1584" s="100">
        <v>10</v>
      </c>
      <c r="FJ1584" s="100">
        <v>9</v>
      </c>
      <c r="FK1584" s="100">
        <v>10</v>
      </c>
      <c r="FL1584" s="100">
        <v>8</v>
      </c>
      <c r="ON1584" s="100">
        <f t="shared" si="470"/>
        <v>0</v>
      </c>
    </row>
    <row r="1585" spans="1:404" ht="23.25" customHeight="1">
      <c r="A1585" s="97" t="str">
        <f t="shared" si="485"/>
        <v>004/OBI-2166-60024-03-B</v>
      </c>
      <c r="B1585" s="95">
        <v>44448</v>
      </c>
      <c r="C1585" s="97">
        <f t="shared" ca="1" si="479"/>
        <v>-616</v>
      </c>
      <c r="D1585" s="96" t="s">
        <v>1137</v>
      </c>
      <c r="E1585" s="94" t="s">
        <v>1057</v>
      </c>
      <c r="F1585" s="132" t="str">
        <f t="shared" si="483"/>
        <v>B</v>
      </c>
      <c r="G1585" s="130">
        <f ca="1">SUMIF($A:E,$A1585,K:K)</f>
        <v>216</v>
      </c>
      <c r="H1585" s="97" t="s">
        <v>616</v>
      </c>
      <c r="I1585" s="98">
        <f>336-120</f>
        <v>216</v>
      </c>
      <c r="J1585" s="97">
        <v>216</v>
      </c>
      <c r="K1585" s="143">
        <f t="shared" si="469"/>
        <v>216</v>
      </c>
      <c r="L1585" s="144">
        <f t="shared" si="477"/>
        <v>0</v>
      </c>
      <c r="M1585" s="275">
        <f t="shared" si="480"/>
        <v>216</v>
      </c>
      <c r="N1585" s="98">
        <v>5</v>
      </c>
      <c r="O1585" s="93">
        <f t="shared" si="484"/>
        <v>100</v>
      </c>
      <c r="FL1585" s="100">
        <v>2</v>
      </c>
      <c r="FM1585" s="100">
        <v>10</v>
      </c>
      <c r="FO1585" s="100">
        <v>10</v>
      </c>
      <c r="FP1585" s="100">
        <v>6</v>
      </c>
      <c r="FQ1585" s="100">
        <v>10</v>
      </c>
      <c r="FR1585" s="100">
        <v>9</v>
      </c>
      <c r="FS1585" s="100">
        <v>8</v>
      </c>
      <c r="FT1585" s="100">
        <v>14</v>
      </c>
      <c r="FU1585" s="100">
        <v>3</v>
      </c>
      <c r="FV1585" s="100">
        <v>10</v>
      </c>
      <c r="FW1585" s="100">
        <v>9</v>
      </c>
      <c r="FX1585" s="100">
        <v>10</v>
      </c>
      <c r="FZ1585" s="100">
        <v>10</v>
      </c>
      <c r="GA1585" s="100">
        <v>6</v>
      </c>
      <c r="GB1585" s="100">
        <v>10</v>
      </c>
      <c r="GC1585" s="100">
        <v>10</v>
      </c>
      <c r="GD1585" s="100">
        <v>9</v>
      </c>
      <c r="GE1585" s="100">
        <v>11</v>
      </c>
      <c r="GG1585" s="100">
        <v>10</v>
      </c>
      <c r="GH1585" s="100">
        <v>5</v>
      </c>
      <c r="GI1585" s="100">
        <v>8</v>
      </c>
      <c r="GJ1585" s="100">
        <v>10</v>
      </c>
      <c r="GK1585" s="100">
        <v>6</v>
      </c>
      <c r="GL1585" s="100">
        <v>9</v>
      </c>
      <c r="GN1585" s="100">
        <v>8</v>
      </c>
      <c r="GP1585" s="100">
        <v>3</v>
      </c>
      <c r="ON1585" s="100">
        <f t="shared" si="470"/>
        <v>0</v>
      </c>
    </row>
    <row r="1586" spans="1:404" ht="23.25" customHeight="1">
      <c r="A1586" s="97" t="str">
        <f t="shared" si="485"/>
        <v>002T/OBI-2166-60024-02-B</v>
      </c>
      <c r="B1586" s="95">
        <v>44416</v>
      </c>
      <c r="C1586" s="97">
        <f t="shared" ca="1" si="479"/>
        <v>-648</v>
      </c>
      <c r="D1586" s="112" t="s">
        <v>1047</v>
      </c>
      <c r="E1586" s="123" t="s">
        <v>1056</v>
      </c>
      <c r="F1586" s="98" t="str">
        <f t="shared" si="483"/>
        <v>B</v>
      </c>
      <c r="G1586" s="110">
        <f ca="1">SUMIF($A:E,$A1586,K:K)</f>
        <v>120</v>
      </c>
      <c r="H1586" s="97" t="s">
        <v>616</v>
      </c>
      <c r="I1586" s="175">
        <v>120</v>
      </c>
      <c r="J1586" s="115">
        <v>120</v>
      </c>
      <c r="K1586" s="143">
        <f t="shared" si="469"/>
        <v>120</v>
      </c>
      <c r="L1586" s="144">
        <f t="shared" si="477"/>
        <v>0</v>
      </c>
      <c r="M1586" s="275">
        <f t="shared" si="480"/>
        <v>120</v>
      </c>
      <c r="N1586" s="98">
        <v>5</v>
      </c>
      <c r="O1586" s="93">
        <f t="shared" si="484"/>
        <v>100</v>
      </c>
      <c r="EV1586" s="100">
        <v>4</v>
      </c>
      <c r="EW1586" s="100">
        <v>11</v>
      </c>
      <c r="EX1586" s="100">
        <v>2</v>
      </c>
      <c r="EY1586" s="100">
        <v>8</v>
      </c>
      <c r="FA1586" s="100">
        <v>8</v>
      </c>
      <c r="FB1586" s="100">
        <v>9</v>
      </c>
      <c r="FC1586" s="100">
        <v>8</v>
      </c>
      <c r="FD1586" s="100">
        <v>8</v>
      </c>
      <c r="FE1586" s="100">
        <v>5</v>
      </c>
      <c r="FF1586" s="100">
        <v>10</v>
      </c>
      <c r="FH1586" s="100">
        <v>10</v>
      </c>
      <c r="FI1586" s="100">
        <v>10</v>
      </c>
      <c r="FJ1586" s="100">
        <v>9</v>
      </c>
      <c r="FK1586" s="100">
        <v>10</v>
      </c>
      <c r="FL1586" s="100">
        <v>8</v>
      </c>
      <c r="ON1586" s="100">
        <f t="shared" si="470"/>
        <v>0</v>
      </c>
    </row>
    <row r="1587" spans="1:404" ht="23.25" customHeight="1">
      <c r="A1587" s="97" t="str">
        <f t="shared" si="485"/>
        <v>004/OBI-2166-60024-02-B</v>
      </c>
      <c r="B1587" s="95">
        <v>44448</v>
      </c>
      <c r="C1587" s="97">
        <f t="shared" ca="1" si="479"/>
        <v>-616</v>
      </c>
      <c r="D1587" s="96" t="s">
        <v>1137</v>
      </c>
      <c r="E1587" s="94" t="s">
        <v>1056</v>
      </c>
      <c r="F1587" s="98" t="str">
        <f t="shared" si="483"/>
        <v>B</v>
      </c>
      <c r="G1587" s="110">
        <f ca="1">SUMIF($A:E,$A1587,K:K)</f>
        <v>216</v>
      </c>
      <c r="H1587" s="97" t="s">
        <v>616</v>
      </c>
      <c r="I1587" s="98">
        <f>336-120</f>
        <v>216</v>
      </c>
      <c r="J1587" s="97">
        <v>216</v>
      </c>
      <c r="K1587" s="143">
        <f t="shared" si="469"/>
        <v>216</v>
      </c>
      <c r="L1587" s="144">
        <f t="shared" si="477"/>
        <v>0</v>
      </c>
      <c r="M1587" s="275">
        <f t="shared" si="480"/>
        <v>216</v>
      </c>
      <c r="N1587" s="98">
        <v>5</v>
      </c>
      <c r="O1587" s="93">
        <f t="shared" si="484"/>
        <v>100</v>
      </c>
      <c r="FL1587" s="100">
        <v>2</v>
      </c>
      <c r="FM1587" s="100">
        <v>10</v>
      </c>
      <c r="FO1587" s="100">
        <v>10</v>
      </c>
      <c r="FP1587" s="100">
        <v>6</v>
      </c>
      <c r="FQ1587" s="100">
        <v>10</v>
      </c>
      <c r="FR1587" s="100">
        <v>9</v>
      </c>
      <c r="FS1587" s="100">
        <v>8</v>
      </c>
      <c r="FT1587" s="100">
        <v>14</v>
      </c>
      <c r="FU1587" s="100">
        <v>3</v>
      </c>
      <c r="FV1587" s="100">
        <v>10</v>
      </c>
      <c r="FW1587" s="100">
        <v>9</v>
      </c>
      <c r="FX1587" s="100">
        <v>10</v>
      </c>
      <c r="FZ1587" s="100">
        <v>10</v>
      </c>
      <c r="GA1587" s="100">
        <v>6</v>
      </c>
      <c r="GB1587" s="100">
        <v>10</v>
      </c>
      <c r="GC1587" s="100">
        <v>10</v>
      </c>
      <c r="GD1587" s="100">
        <v>9</v>
      </c>
      <c r="GE1587" s="100">
        <v>11</v>
      </c>
      <c r="GG1587" s="100">
        <v>10</v>
      </c>
      <c r="GH1587" s="100">
        <v>5</v>
      </c>
      <c r="GI1587" s="100">
        <v>8</v>
      </c>
      <c r="GJ1587" s="100">
        <v>10</v>
      </c>
      <c r="GK1587" s="100">
        <v>6</v>
      </c>
      <c r="GL1587" s="100">
        <v>9</v>
      </c>
      <c r="GN1587" s="100">
        <v>8</v>
      </c>
      <c r="GP1587" s="100">
        <v>3</v>
      </c>
      <c r="ON1587" s="100">
        <f t="shared" si="470"/>
        <v>0</v>
      </c>
    </row>
    <row r="1588" spans="1:404" ht="23.25" customHeight="1">
      <c r="A1588" s="97" t="str">
        <f t="shared" si="485"/>
        <v>002T/OBI-2166-60024-01-B</v>
      </c>
      <c r="B1588" s="95">
        <v>44416</v>
      </c>
      <c r="C1588" s="97">
        <f t="shared" ca="1" si="479"/>
        <v>-648</v>
      </c>
      <c r="D1588" s="112" t="s">
        <v>1047</v>
      </c>
      <c r="E1588" s="123" t="s">
        <v>1055</v>
      </c>
      <c r="F1588" s="98" t="str">
        <f t="shared" si="483"/>
        <v>B</v>
      </c>
      <c r="G1588" s="110">
        <f ca="1">SUMIF($A:E,$A1588,K:K)</f>
        <v>120</v>
      </c>
      <c r="H1588" s="97" t="s">
        <v>616</v>
      </c>
      <c r="I1588" s="175">
        <v>120</v>
      </c>
      <c r="J1588" s="115">
        <v>120</v>
      </c>
      <c r="K1588" s="143">
        <f t="shared" si="469"/>
        <v>120</v>
      </c>
      <c r="L1588" s="144">
        <f t="shared" si="477"/>
        <v>0</v>
      </c>
      <c r="M1588" s="275">
        <f t="shared" si="480"/>
        <v>120</v>
      </c>
      <c r="N1588" s="98">
        <v>5</v>
      </c>
      <c r="O1588" s="93">
        <f t="shared" si="484"/>
        <v>100</v>
      </c>
      <c r="EV1588" s="100">
        <v>4</v>
      </c>
      <c r="EW1588" s="100">
        <v>11</v>
      </c>
      <c r="EX1588" s="100">
        <v>2</v>
      </c>
      <c r="EY1588" s="100">
        <v>8</v>
      </c>
      <c r="FA1588" s="100">
        <v>8</v>
      </c>
      <c r="FB1588" s="100">
        <v>9</v>
      </c>
      <c r="FC1588" s="100">
        <v>8</v>
      </c>
      <c r="FD1588" s="100">
        <v>8</v>
      </c>
      <c r="FE1588" s="100">
        <v>5</v>
      </c>
      <c r="FF1588" s="100">
        <v>10</v>
      </c>
      <c r="FH1588" s="100">
        <v>10</v>
      </c>
      <c r="FI1588" s="100">
        <v>10</v>
      </c>
      <c r="FJ1588" s="100">
        <v>9</v>
      </c>
      <c r="FK1588" s="100">
        <v>10</v>
      </c>
      <c r="FL1588" s="100">
        <v>8</v>
      </c>
      <c r="ON1588" s="100">
        <f t="shared" si="470"/>
        <v>0</v>
      </c>
    </row>
    <row r="1589" spans="1:404" ht="23.25" customHeight="1">
      <c r="A1589" s="97" t="str">
        <f t="shared" si="485"/>
        <v>004/OBI-2166-60024-01-B</v>
      </c>
      <c r="B1589" s="95">
        <v>44448</v>
      </c>
      <c r="C1589" s="97">
        <f t="shared" ca="1" si="479"/>
        <v>-616</v>
      </c>
      <c r="D1589" s="96" t="s">
        <v>1137</v>
      </c>
      <c r="E1589" s="94" t="s">
        <v>1055</v>
      </c>
      <c r="F1589" s="98" t="str">
        <f t="shared" si="483"/>
        <v>B</v>
      </c>
      <c r="G1589" s="110">
        <f ca="1">SUMIF($A:E,$A1589,K:K)</f>
        <v>216</v>
      </c>
      <c r="H1589" s="97" t="s">
        <v>616</v>
      </c>
      <c r="I1589" s="98">
        <f>336-120</f>
        <v>216</v>
      </c>
      <c r="J1589" s="97">
        <v>216</v>
      </c>
      <c r="K1589" s="143">
        <f t="shared" si="469"/>
        <v>216</v>
      </c>
      <c r="L1589" s="144">
        <f t="shared" si="477"/>
        <v>0</v>
      </c>
      <c r="M1589" s="275">
        <f t="shared" si="480"/>
        <v>216</v>
      </c>
      <c r="N1589" s="98">
        <v>5</v>
      </c>
      <c r="O1589" s="93">
        <f t="shared" si="484"/>
        <v>100</v>
      </c>
      <c r="FL1589" s="100">
        <v>2</v>
      </c>
      <c r="FM1589" s="100">
        <v>10</v>
      </c>
      <c r="FO1589" s="100">
        <v>10</v>
      </c>
      <c r="FP1589" s="100">
        <v>6</v>
      </c>
      <c r="FQ1589" s="100">
        <v>10</v>
      </c>
      <c r="FR1589" s="100">
        <v>9</v>
      </c>
      <c r="FS1589" s="100">
        <v>8</v>
      </c>
      <c r="FT1589" s="100">
        <v>14</v>
      </c>
      <c r="FU1589" s="100">
        <v>3</v>
      </c>
      <c r="FV1589" s="100">
        <v>10</v>
      </c>
      <c r="FW1589" s="100">
        <v>9</v>
      </c>
      <c r="FX1589" s="100">
        <v>10</v>
      </c>
      <c r="FZ1589" s="100">
        <v>10</v>
      </c>
      <c r="GA1589" s="100">
        <v>6</v>
      </c>
      <c r="GB1589" s="100">
        <v>10</v>
      </c>
      <c r="GC1589" s="100">
        <v>10</v>
      </c>
      <c r="GD1589" s="100">
        <v>9</v>
      </c>
      <c r="GE1589" s="100">
        <v>11</v>
      </c>
      <c r="GG1589" s="100">
        <v>10</v>
      </c>
      <c r="GH1589" s="100">
        <v>5</v>
      </c>
      <c r="GI1589" s="100">
        <v>8</v>
      </c>
      <c r="GJ1589" s="100">
        <v>10</v>
      </c>
      <c r="GK1589" s="100">
        <v>6</v>
      </c>
      <c r="GL1589" s="100">
        <v>9</v>
      </c>
      <c r="GN1589" s="100">
        <v>8</v>
      </c>
      <c r="GP1589" s="100">
        <v>3</v>
      </c>
      <c r="ON1589" s="100">
        <f t="shared" si="470"/>
        <v>0</v>
      </c>
    </row>
    <row r="1590" spans="1:404" ht="23.25" customHeight="1">
      <c r="A1590" s="97" t="str">
        <f t="shared" si="485"/>
        <v>001/NORDIC-2166-59124-S2-B</v>
      </c>
      <c r="B1590" s="95">
        <v>44632</v>
      </c>
      <c r="C1590" s="97">
        <f t="shared" ca="1" si="479"/>
        <v>-432</v>
      </c>
      <c r="D1590" s="112" t="s">
        <v>1434</v>
      </c>
      <c r="E1590" s="123" t="s">
        <v>1437</v>
      </c>
      <c r="F1590" s="98" t="str">
        <f t="shared" si="483"/>
        <v>B</v>
      </c>
      <c r="G1590" s="110">
        <f ca="1">SUMIF($A:E,$A1590,K:K)</f>
        <v>431</v>
      </c>
      <c r="H1590" s="97" t="s">
        <v>616</v>
      </c>
      <c r="I1590" s="98">
        <v>392</v>
      </c>
      <c r="J1590" s="99">
        <v>392</v>
      </c>
      <c r="K1590" s="143">
        <f t="shared" si="469"/>
        <v>431</v>
      </c>
      <c r="L1590" s="144">
        <f t="shared" si="477"/>
        <v>-39</v>
      </c>
      <c r="M1590" s="275">
        <f t="shared" si="480"/>
        <v>784</v>
      </c>
      <c r="N1590" s="98">
        <v>3</v>
      </c>
      <c r="O1590" s="93">
        <f t="shared" si="484"/>
        <v>109.94897959183673</v>
      </c>
      <c r="MX1590" s="100">
        <v>3</v>
      </c>
      <c r="MY1590" s="100">
        <v>4</v>
      </c>
      <c r="MZ1590" s="100">
        <v>2</v>
      </c>
      <c r="ND1590" s="100">
        <v>6</v>
      </c>
      <c r="NE1590" s="100">
        <v>18</v>
      </c>
      <c r="NG1590" s="100">
        <v>14</v>
      </c>
      <c r="NI1590" s="100">
        <v>22</v>
      </c>
      <c r="NK1590" s="100">
        <v>2</v>
      </c>
      <c r="NL1590" s="100">
        <v>12</v>
      </c>
      <c r="NM1590" s="100">
        <v>6</v>
      </c>
      <c r="NN1590" s="100">
        <v>8</v>
      </c>
      <c r="NS1590" s="100">
        <v>12</v>
      </c>
      <c r="NT1590" s="100">
        <v>12</v>
      </c>
      <c r="NU1590" s="100">
        <v>3</v>
      </c>
      <c r="NV1590" s="100">
        <v>19</v>
      </c>
      <c r="NY1590" s="100">
        <v>9</v>
      </c>
      <c r="NZ1590" s="100">
        <v>9</v>
      </c>
      <c r="OA1590" s="100">
        <v>10</v>
      </c>
      <c r="OC1590" s="100">
        <v>10</v>
      </c>
      <c r="OD1590" s="100">
        <v>8</v>
      </c>
      <c r="OF1590" s="100">
        <v>11</v>
      </c>
      <c r="OG1590" s="100">
        <v>10</v>
      </c>
      <c r="OH1590" s="100">
        <v>6</v>
      </c>
      <c r="OI1590" s="100">
        <v>12</v>
      </c>
      <c r="OJ1590" s="100">
        <v>12</v>
      </c>
      <c r="OK1590" s="100">
        <v>12</v>
      </c>
      <c r="OM1590" s="100">
        <v>12</v>
      </c>
      <c r="ON1590" s="100">
        <f t="shared" si="470"/>
        <v>167</v>
      </c>
    </row>
    <row r="1591" spans="1:404" ht="23.25" customHeight="1">
      <c r="A1591" s="97" t="str">
        <f t="shared" si="485"/>
        <v>001/ERMITAZAS-2166-59124-S2-B</v>
      </c>
      <c r="B1591" s="95">
        <v>44649</v>
      </c>
      <c r="C1591" s="97">
        <f t="shared" ca="1" si="479"/>
        <v>-415</v>
      </c>
      <c r="D1591" s="112" t="s">
        <v>1495</v>
      </c>
      <c r="E1591" s="123" t="s">
        <v>1437</v>
      </c>
      <c r="F1591" s="98" t="str">
        <f t="shared" si="483"/>
        <v>B</v>
      </c>
      <c r="G1591" s="110">
        <f ca="1">SUMIF($A:E,$A1591,K:K)</f>
        <v>0</v>
      </c>
      <c r="H1591" s="112" t="s">
        <v>1494</v>
      </c>
      <c r="I1591" s="175">
        <v>51</v>
      </c>
      <c r="J1591" s="115">
        <v>51</v>
      </c>
      <c r="K1591" s="143">
        <f t="shared" si="469"/>
        <v>0</v>
      </c>
      <c r="L1591" s="144">
        <f t="shared" si="477"/>
        <v>51</v>
      </c>
      <c r="M1591" s="275">
        <f t="shared" si="480"/>
        <v>102</v>
      </c>
      <c r="N1591" s="98"/>
      <c r="O1591" s="93">
        <f t="shared" si="484"/>
        <v>0</v>
      </c>
      <c r="ON1591" s="100">
        <f t="shared" si="470"/>
        <v>0</v>
      </c>
    </row>
    <row r="1592" spans="1:404" ht="23.25" customHeight="1">
      <c r="A1592" s="97" t="str">
        <f t="shared" si="485"/>
        <v>001/CALUCKY-2166-59124-02-B</v>
      </c>
      <c r="B1592" s="95">
        <v>44312</v>
      </c>
      <c r="C1592" s="97">
        <f t="shared" ca="1" si="479"/>
        <v>-752</v>
      </c>
      <c r="D1592" s="96" t="s">
        <v>771</v>
      </c>
      <c r="E1592" s="94" t="s">
        <v>774</v>
      </c>
      <c r="F1592" s="98" t="str">
        <f t="shared" si="483"/>
        <v>B</v>
      </c>
      <c r="G1592" s="110">
        <f ca="1">SUMIF($A:E,$A1592,K:K)</f>
        <v>30</v>
      </c>
      <c r="H1592" s="97" t="s">
        <v>616</v>
      </c>
      <c r="I1592" s="98">
        <v>30</v>
      </c>
      <c r="J1592" s="99">
        <v>30</v>
      </c>
      <c r="K1592" s="143">
        <f t="shared" si="469"/>
        <v>30</v>
      </c>
      <c r="L1592" s="144">
        <f t="shared" si="477"/>
        <v>0</v>
      </c>
      <c r="M1592" s="275">
        <f t="shared" si="480"/>
        <v>30</v>
      </c>
      <c r="N1592" s="98">
        <v>5</v>
      </c>
      <c r="O1592" s="93">
        <f t="shared" si="484"/>
        <v>100</v>
      </c>
      <c r="CD1592" s="101">
        <v>4</v>
      </c>
      <c r="CE1592" s="101">
        <v>3</v>
      </c>
      <c r="CF1592" s="101">
        <v>3</v>
      </c>
      <c r="CG1592" s="101">
        <v>4</v>
      </c>
      <c r="CH1592" s="101">
        <v>5</v>
      </c>
      <c r="CI1592" s="101">
        <v>5</v>
      </c>
      <c r="CJ1592" s="101">
        <v>4</v>
      </c>
      <c r="CK1592" s="101">
        <v>2</v>
      </c>
      <c r="ON1592" s="100">
        <f t="shared" si="470"/>
        <v>0</v>
      </c>
    </row>
    <row r="1593" spans="1:404" ht="23.25" customHeight="1">
      <c r="A1593" s="97" t="str">
        <f t="shared" si="485"/>
        <v>001/CALUCKY-2166-59124-01-B</v>
      </c>
      <c r="B1593" s="95">
        <v>44312</v>
      </c>
      <c r="C1593" s="97">
        <f t="shared" ref="C1593:C1610" ca="1" si="486">B1593-TODAY()</f>
        <v>-752</v>
      </c>
      <c r="D1593" s="96" t="s">
        <v>771</v>
      </c>
      <c r="E1593" s="94" t="s">
        <v>773</v>
      </c>
      <c r="F1593" s="98" t="str">
        <f t="shared" si="483"/>
        <v>B</v>
      </c>
      <c r="G1593" s="110">
        <f ca="1">SUMIF($A:E,$A1593,K:K)</f>
        <v>30</v>
      </c>
      <c r="H1593" s="97" t="s">
        <v>616</v>
      </c>
      <c r="I1593" s="98">
        <v>30</v>
      </c>
      <c r="J1593" s="99">
        <v>30</v>
      </c>
      <c r="K1593" s="143">
        <f t="shared" si="469"/>
        <v>30</v>
      </c>
      <c r="L1593" s="144">
        <f t="shared" si="477"/>
        <v>0</v>
      </c>
      <c r="M1593" s="275">
        <f t="shared" ref="M1593:M1610" si="487">IF(OR(MID(E1593,10,1)="0",MID(E1593,10,1)="F"),I1593,IF(OR(,MID(E1593,10,1)="S",MID(E1593,10,1)="L",MID(E1593,10,1)="B",MID(E1593,10,1)="X"),MID(E1593,11,1)*I1593,0))</f>
        <v>30</v>
      </c>
      <c r="N1593" s="98">
        <v>5</v>
      </c>
      <c r="O1593" s="93">
        <f t="shared" si="484"/>
        <v>100</v>
      </c>
      <c r="CD1593" s="101">
        <v>2</v>
      </c>
      <c r="CE1593" s="101">
        <v>2</v>
      </c>
      <c r="CF1593" s="101">
        <v>4</v>
      </c>
      <c r="CG1593" s="101">
        <v>4</v>
      </c>
      <c r="CH1593" s="101">
        <v>6</v>
      </c>
      <c r="CI1593" s="101">
        <v>4</v>
      </c>
      <c r="CJ1593" s="101">
        <v>6</v>
      </c>
      <c r="CK1593" s="101">
        <v>2</v>
      </c>
      <c r="ON1593" s="100">
        <f t="shared" si="470"/>
        <v>0</v>
      </c>
    </row>
    <row r="1594" spans="1:404" ht="23.25" customHeight="1">
      <c r="A1594" s="97" t="str">
        <f t="shared" si="485"/>
        <v>001/CLARIUS-VG-2166-58300-S3-B2</v>
      </c>
      <c r="B1594" s="95">
        <v>44767</v>
      </c>
      <c r="C1594" s="97">
        <f t="shared" ca="1" si="486"/>
        <v>-297</v>
      </c>
      <c r="D1594" s="112" t="s">
        <v>1471</v>
      </c>
      <c r="E1594" s="279" t="s">
        <v>1483</v>
      </c>
      <c r="F1594" s="98" t="str">
        <f t="shared" si="483"/>
        <v>B2</v>
      </c>
      <c r="G1594" s="110">
        <f ca="1">SUMIF($A:E,$A1594,K:K)</f>
        <v>0</v>
      </c>
      <c r="H1594" s="112" t="s">
        <v>1493</v>
      </c>
      <c r="I1594" s="175">
        <v>36</v>
      </c>
      <c r="J1594" s="115">
        <v>36</v>
      </c>
      <c r="K1594" s="143">
        <f t="shared" si="469"/>
        <v>0</v>
      </c>
      <c r="L1594" s="144">
        <f t="shared" si="477"/>
        <v>36</v>
      </c>
      <c r="M1594" s="275">
        <f t="shared" si="487"/>
        <v>108</v>
      </c>
      <c r="N1594" s="98"/>
      <c r="O1594" s="93">
        <f t="shared" ref="O1594:O1629" si="488">K1594/J1594*100</f>
        <v>0</v>
      </c>
      <c r="ON1594" s="100">
        <f t="shared" si="470"/>
        <v>0</v>
      </c>
    </row>
    <row r="1595" spans="1:404" ht="23.25" customHeight="1">
      <c r="A1595" s="97" t="str">
        <f t="shared" si="485"/>
        <v>001/CLARIUS-VG-2166-58300-03-A1(phen)</v>
      </c>
      <c r="B1595" s="95">
        <v>44767</v>
      </c>
      <c r="C1595" s="97">
        <f t="shared" ca="1" si="486"/>
        <v>-297</v>
      </c>
      <c r="D1595" s="112" t="s">
        <v>1471</v>
      </c>
      <c r="E1595" s="279" t="s">
        <v>1474</v>
      </c>
      <c r="F1595" s="98" t="str">
        <f t="shared" si="483"/>
        <v>A1</v>
      </c>
      <c r="G1595" s="110">
        <f ca="1">SUMIF($A:E,$A1595,K:K)</f>
        <v>0</v>
      </c>
      <c r="H1595" s="112" t="s">
        <v>1490</v>
      </c>
      <c r="I1595" s="175">
        <v>36</v>
      </c>
      <c r="J1595" s="115">
        <v>36</v>
      </c>
      <c r="K1595" s="143">
        <f t="shared" si="469"/>
        <v>0</v>
      </c>
      <c r="L1595" s="144">
        <f t="shared" si="477"/>
        <v>36</v>
      </c>
      <c r="M1595" s="275">
        <f t="shared" si="487"/>
        <v>36</v>
      </c>
      <c r="N1595" s="98"/>
      <c r="O1595" s="93">
        <f t="shared" si="488"/>
        <v>0</v>
      </c>
      <c r="ON1595" s="100">
        <f t="shared" si="470"/>
        <v>0</v>
      </c>
    </row>
    <row r="1596" spans="1:404" ht="23.25" customHeight="1">
      <c r="A1596" s="97" t="str">
        <f t="shared" si="485"/>
        <v>001/CLARIUS-VG-2166-58300-02-A1(phen)</v>
      </c>
      <c r="B1596" s="95">
        <v>44767</v>
      </c>
      <c r="C1596" s="97">
        <f t="shared" ca="1" si="486"/>
        <v>-297</v>
      </c>
      <c r="D1596" s="112" t="s">
        <v>1471</v>
      </c>
      <c r="E1596" s="279" t="s">
        <v>1473</v>
      </c>
      <c r="F1596" s="98" t="str">
        <f t="shared" si="483"/>
        <v>A1</v>
      </c>
      <c r="G1596" s="110">
        <f ca="1">SUMIF($A:E,$A1596,K:K)</f>
        <v>0</v>
      </c>
      <c r="H1596" s="112" t="s">
        <v>1490</v>
      </c>
      <c r="I1596" s="175">
        <v>36</v>
      </c>
      <c r="J1596" s="115">
        <v>36</v>
      </c>
      <c r="K1596" s="143">
        <f t="shared" si="469"/>
        <v>0</v>
      </c>
      <c r="L1596" s="144">
        <f t="shared" si="477"/>
        <v>36</v>
      </c>
      <c r="M1596" s="275">
        <f t="shared" si="487"/>
        <v>36</v>
      </c>
      <c r="N1596" s="98"/>
      <c r="O1596" s="93">
        <f t="shared" si="488"/>
        <v>0</v>
      </c>
      <c r="ON1596" s="100">
        <f t="shared" si="470"/>
        <v>0</v>
      </c>
    </row>
    <row r="1597" spans="1:404" ht="23.25" customHeight="1">
      <c r="A1597" s="97" t="str">
        <f t="shared" si="485"/>
        <v>001/CLARIUS-VG-2166-58300-01-A1(phen)</v>
      </c>
      <c r="B1597" s="95">
        <v>44767</v>
      </c>
      <c r="C1597" s="97">
        <f t="shared" ca="1" si="486"/>
        <v>-297</v>
      </c>
      <c r="D1597" s="112" t="s">
        <v>1471</v>
      </c>
      <c r="E1597" s="279" t="s">
        <v>1472</v>
      </c>
      <c r="F1597" s="98" t="str">
        <f t="shared" si="483"/>
        <v>A1</v>
      </c>
      <c r="G1597" s="110">
        <f ca="1">SUMIF($A:E,$A1597,K:K)</f>
        <v>0</v>
      </c>
      <c r="H1597" s="112" t="s">
        <v>1490</v>
      </c>
      <c r="I1597" s="175">
        <v>36</v>
      </c>
      <c r="J1597" s="115">
        <v>36</v>
      </c>
      <c r="K1597" s="143">
        <f t="shared" si="469"/>
        <v>0</v>
      </c>
      <c r="L1597" s="144">
        <f t="shared" si="477"/>
        <v>36</v>
      </c>
      <c r="M1597" s="275">
        <f t="shared" si="487"/>
        <v>36</v>
      </c>
      <c r="N1597" s="98"/>
      <c r="O1597" s="93">
        <f t="shared" si="488"/>
        <v>0</v>
      </c>
      <c r="ON1597" s="100">
        <f t="shared" si="470"/>
        <v>0</v>
      </c>
    </row>
    <row r="1598" spans="1:404" ht="23.25" customHeight="1">
      <c r="A1598" s="97" t="str">
        <f t="shared" si="485"/>
        <v>007/YAMATEI-2166-57717-02-B</v>
      </c>
      <c r="B1598" s="95">
        <v>44641</v>
      </c>
      <c r="C1598" s="97">
        <f t="shared" ca="1" si="486"/>
        <v>-423</v>
      </c>
      <c r="D1598" s="112" t="s">
        <v>1569</v>
      </c>
      <c r="E1598" s="123" t="s">
        <v>1581</v>
      </c>
      <c r="F1598" s="98" t="str">
        <f t="shared" ref="F1598:F1619" si="489">MID(E1598,13,2)</f>
        <v>B</v>
      </c>
      <c r="G1598" s="110">
        <f ca="1">SUMIF($A:E,$A1598,K:K)</f>
        <v>0</v>
      </c>
      <c r="H1598" s="97" t="s">
        <v>927</v>
      </c>
      <c r="I1598" s="175">
        <v>20</v>
      </c>
      <c r="J1598" s="115">
        <v>20</v>
      </c>
      <c r="K1598" s="143">
        <f t="shared" si="469"/>
        <v>0</v>
      </c>
      <c r="L1598" s="144">
        <f t="shared" si="477"/>
        <v>20</v>
      </c>
      <c r="M1598" s="275">
        <f t="shared" si="487"/>
        <v>20</v>
      </c>
      <c r="N1598" s="98">
        <v>1</v>
      </c>
      <c r="O1598" s="93">
        <f t="shared" si="488"/>
        <v>0</v>
      </c>
      <c r="ON1598" s="100">
        <f t="shared" si="470"/>
        <v>0</v>
      </c>
    </row>
    <row r="1599" spans="1:404" ht="23.25" customHeight="1">
      <c r="A1599" s="97" t="e">
        <f>D1599&amp;#REF!</f>
        <v>#REF!</v>
      </c>
      <c r="B1599" s="95">
        <v>44562</v>
      </c>
      <c r="C1599" s="97">
        <f t="shared" ca="1" si="486"/>
        <v>-502</v>
      </c>
      <c r="D1599" s="96" t="s">
        <v>1232</v>
      </c>
      <c r="E1599" s="94" t="s">
        <v>1239</v>
      </c>
      <c r="F1599" s="98" t="str">
        <f t="shared" si="489"/>
        <v>B</v>
      </c>
      <c r="G1599" s="110">
        <f ca="1">SUMIF($A:E,$A1599,K:K)</f>
        <v>1754</v>
      </c>
      <c r="H1599" s="97" t="s">
        <v>508</v>
      </c>
      <c r="I1599" s="98">
        <v>32</v>
      </c>
      <c r="J1599" s="97">
        <v>32</v>
      </c>
      <c r="K1599" s="143">
        <f t="shared" si="469"/>
        <v>32</v>
      </c>
      <c r="L1599" s="144">
        <f t="shared" si="477"/>
        <v>0</v>
      </c>
      <c r="M1599" s="275">
        <f t="shared" si="487"/>
        <v>96</v>
      </c>
      <c r="N1599" s="98">
        <v>3</v>
      </c>
      <c r="O1599" s="93">
        <f t="shared" si="488"/>
        <v>100</v>
      </c>
      <c r="LN1599" s="100">
        <v>2</v>
      </c>
      <c r="LP1599" s="100">
        <v>11</v>
      </c>
      <c r="LR1599" s="100">
        <v>5</v>
      </c>
      <c r="LS1599" s="100">
        <v>14</v>
      </c>
      <c r="ON1599" s="100">
        <f t="shared" si="470"/>
        <v>0</v>
      </c>
    </row>
    <row r="1600" spans="1:404" ht="23.25" customHeight="1">
      <c r="A1600" s="97" t="str">
        <f t="shared" ref="A1600:A1619" si="490">D1600&amp;E1600</f>
        <v>156/KHBS-2166-57500-02-B</v>
      </c>
      <c r="B1600" s="95">
        <v>44302</v>
      </c>
      <c r="C1600" s="97">
        <f t="shared" ca="1" si="486"/>
        <v>-762</v>
      </c>
      <c r="D1600" s="96" t="s">
        <v>855</v>
      </c>
      <c r="E1600" s="94" t="s">
        <v>854</v>
      </c>
      <c r="F1600" s="98" t="str">
        <f t="shared" si="489"/>
        <v>B</v>
      </c>
      <c r="G1600" s="110">
        <f ca="1">SUMIF($A:E,$A1600,K:K)</f>
        <v>1</v>
      </c>
      <c r="H1600" s="97" t="s">
        <v>820</v>
      </c>
      <c r="I1600" s="98">
        <v>1</v>
      </c>
      <c r="J1600" s="99">
        <v>1</v>
      </c>
      <c r="K1600" s="143">
        <f t="shared" si="469"/>
        <v>1</v>
      </c>
      <c r="L1600" s="144">
        <f t="shared" si="477"/>
        <v>0</v>
      </c>
      <c r="M1600" s="275">
        <f t="shared" si="487"/>
        <v>1</v>
      </c>
      <c r="N1600" s="98">
        <v>4</v>
      </c>
      <c r="O1600" s="93">
        <f t="shared" si="488"/>
        <v>100</v>
      </c>
      <c r="CQ1600" s="101">
        <v>1</v>
      </c>
      <c r="ON1600" s="100">
        <f t="shared" si="470"/>
        <v>0</v>
      </c>
    </row>
    <row r="1601" spans="1:404" ht="23.25" customHeight="1">
      <c r="A1601" s="97" t="str">
        <f t="shared" si="490"/>
        <v>001/ERMITAZAS-2166-57424-S2-B</v>
      </c>
      <c r="B1601" s="95">
        <v>44649</v>
      </c>
      <c r="C1601" s="97">
        <f t="shared" ca="1" si="486"/>
        <v>-415</v>
      </c>
      <c r="D1601" s="112" t="s">
        <v>1495</v>
      </c>
      <c r="E1601" s="123" t="s">
        <v>1501</v>
      </c>
      <c r="F1601" s="98" t="str">
        <f t="shared" si="489"/>
        <v>B</v>
      </c>
      <c r="G1601" s="110">
        <f ca="1">SUMIF($A:E,$A1601,K:K)</f>
        <v>102</v>
      </c>
      <c r="H1601" s="112" t="s">
        <v>1494</v>
      </c>
      <c r="I1601" s="175">
        <v>54</v>
      </c>
      <c r="J1601" s="115">
        <v>54</v>
      </c>
      <c r="K1601" s="143">
        <f t="shared" si="469"/>
        <v>102</v>
      </c>
      <c r="L1601" s="144">
        <f t="shared" si="477"/>
        <v>-48</v>
      </c>
      <c r="M1601" s="275">
        <f t="shared" si="487"/>
        <v>108</v>
      </c>
      <c r="N1601" s="98">
        <v>3</v>
      </c>
      <c r="O1601" s="93">
        <f t="shared" si="488"/>
        <v>188.88888888888889</v>
      </c>
      <c r="OB1601" s="100">
        <v>6</v>
      </c>
      <c r="OD1601" s="100">
        <v>3</v>
      </c>
      <c r="OF1601" s="100">
        <v>5</v>
      </c>
      <c r="OH1601" s="100">
        <v>13</v>
      </c>
      <c r="OI1601" s="100">
        <v>6</v>
      </c>
      <c r="OJ1601" s="100">
        <v>6</v>
      </c>
      <c r="OK1601" s="100">
        <v>6</v>
      </c>
      <c r="OM1601" s="100">
        <v>6</v>
      </c>
      <c r="ON1601" s="100">
        <f t="shared" si="470"/>
        <v>51</v>
      </c>
    </row>
    <row r="1602" spans="1:404" ht="23.25" customHeight="1">
      <c r="A1602" s="97" t="str">
        <f t="shared" si="490"/>
        <v>001/NEVE YARAK-VG-2166-57300-S1-B</v>
      </c>
      <c r="B1602" s="218">
        <v>44661</v>
      </c>
      <c r="C1602" s="97">
        <f t="shared" ca="1" si="486"/>
        <v>-403</v>
      </c>
      <c r="D1602" s="112" t="s">
        <v>1705</v>
      </c>
      <c r="E1602" s="123" t="s">
        <v>1708</v>
      </c>
      <c r="F1602" s="98" t="str">
        <f t="shared" si="489"/>
        <v>B</v>
      </c>
      <c r="G1602" s="110">
        <f ca="1">SUMIF($A:E,$A1602,K:K)</f>
        <v>0</v>
      </c>
      <c r="H1602" s="97" t="s">
        <v>927</v>
      </c>
      <c r="I1602" s="175">
        <v>204</v>
      </c>
      <c r="J1602" s="115">
        <v>204</v>
      </c>
      <c r="K1602" s="143">
        <f t="shared" si="469"/>
        <v>0</v>
      </c>
      <c r="L1602" s="144">
        <f t="shared" si="477"/>
        <v>204</v>
      </c>
      <c r="M1602" s="275">
        <f t="shared" si="487"/>
        <v>204</v>
      </c>
      <c r="N1602" s="98">
        <v>6</v>
      </c>
      <c r="O1602" s="93">
        <f t="shared" si="488"/>
        <v>0</v>
      </c>
      <c r="ON1602" s="100">
        <f t="shared" si="470"/>
        <v>0</v>
      </c>
    </row>
    <row r="1603" spans="1:404" ht="23.25" customHeight="1">
      <c r="A1603" s="97" t="str">
        <f t="shared" si="490"/>
        <v>001/NORDIC-2166-56200-S1-B</v>
      </c>
      <c r="B1603" s="95">
        <v>44632</v>
      </c>
      <c r="C1603" s="97">
        <f t="shared" ca="1" si="486"/>
        <v>-432</v>
      </c>
      <c r="D1603" s="112" t="s">
        <v>1434</v>
      </c>
      <c r="E1603" s="123" t="s">
        <v>1436</v>
      </c>
      <c r="F1603" s="98" t="str">
        <f t="shared" si="489"/>
        <v>B</v>
      </c>
      <c r="G1603" s="110">
        <f ca="1">SUMIF($A:E,$A1603,K:K)</f>
        <v>118</v>
      </c>
      <c r="H1603" s="97" t="s">
        <v>616</v>
      </c>
      <c r="I1603" s="98">
        <v>96</v>
      </c>
      <c r="J1603" s="99">
        <v>96</v>
      </c>
      <c r="K1603" s="143">
        <f t="shared" si="469"/>
        <v>118</v>
      </c>
      <c r="L1603" s="144">
        <f t="shared" si="477"/>
        <v>-22</v>
      </c>
      <c r="M1603" s="275">
        <f t="shared" si="487"/>
        <v>96</v>
      </c>
      <c r="N1603" s="98">
        <v>6</v>
      </c>
      <c r="O1603" s="93">
        <f t="shared" si="488"/>
        <v>122.91666666666667</v>
      </c>
      <c r="NM1603" s="100">
        <v>50</v>
      </c>
      <c r="NN1603" s="100">
        <v>4</v>
      </c>
      <c r="NS1603" s="100">
        <v>8</v>
      </c>
      <c r="OD1603" s="100">
        <v>24</v>
      </c>
      <c r="ON1603" s="100">
        <f t="shared" si="470"/>
        <v>32</v>
      </c>
    </row>
    <row r="1604" spans="1:404" ht="23.25" customHeight="1">
      <c r="A1604" s="97" t="str">
        <f t="shared" si="490"/>
        <v>001/NORDIC-2166-56100-S1-B</v>
      </c>
      <c r="B1604" s="95">
        <v>44632</v>
      </c>
      <c r="C1604" s="97">
        <f t="shared" ca="1" si="486"/>
        <v>-432</v>
      </c>
      <c r="D1604" s="112" t="s">
        <v>1434</v>
      </c>
      <c r="E1604" s="123" t="s">
        <v>1435</v>
      </c>
      <c r="F1604" s="98" t="str">
        <f t="shared" si="489"/>
        <v>B</v>
      </c>
      <c r="G1604" s="110">
        <f ca="1">SUMIF($A:E,$A1604,K:K)</f>
        <v>117</v>
      </c>
      <c r="H1604" s="97" t="s">
        <v>616</v>
      </c>
      <c r="I1604" s="98">
        <v>148</v>
      </c>
      <c r="J1604" s="99">
        <v>148</v>
      </c>
      <c r="K1604" s="143">
        <f t="shared" ref="K1604:K1667" si="491">SUM(P1604:BBC1604)</f>
        <v>117</v>
      </c>
      <c r="L1604" s="144">
        <f t="shared" si="477"/>
        <v>31</v>
      </c>
      <c r="M1604" s="275">
        <f t="shared" si="487"/>
        <v>148</v>
      </c>
      <c r="N1604" s="98">
        <v>6</v>
      </c>
      <c r="O1604" s="93">
        <f t="shared" si="488"/>
        <v>79.054054054054063</v>
      </c>
      <c r="NM1604" s="100">
        <v>27</v>
      </c>
      <c r="NN1604" s="100">
        <f>27+11</f>
        <v>38</v>
      </c>
      <c r="NS1604" s="100">
        <v>3</v>
      </c>
      <c r="OD1604" s="100">
        <v>23</v>
      </c>
      <c r="ON1604" s="100">
        <f t="shared" ref="ON1604:ON1667" si="492">SUM(NS1604:OM1604)</f>
        <v>26</v>
      </c>
    </row>
    <row r="1605" spans="1:404" ht="23.25" customHeight="1">
      <c r="A1605" s="97" t="str">
        <f t="shared" si="490"/>
        <v>001/TK MAXX-2166-55437-S3-B4</v>
      </c>
      <c r="B1605" s="95" t="s">
        <v>1286</v>
      </c>
      <c r="C1605" s="97">
        <f t="shared" ca="1" si="486"/>
        <v>-578</v>
      </c>
      <c r="D1605" s="96" t="s">
        <v>1291</v>
      </c>
      <c r="E1605" s="94" t="s">
        <v>1289</v>
      </c>
      <c r="F1605" s="98" t="str">
        <f t="shared" si="489"/>
        <v>B4</v>
      </c>
      <c r="G1605" s="110">
        <f ca="1">SUMIF($A:E,$A1605,K:K)</f>
        <v>360</v>
      </c>
      <c r="H1605" s="97" t="s">
        <v>933</v>
      </c>
      <c r="I1605" s="98">
        <v>360</v>
      </c>
      <c r="J1605" s="97">
        <v>360</v>
      </c>
      <c r="K1605" s="143">
        <f t="shared" si="491"/>
        <v>360</v>
      </c>
      <c r="L1605" s="144">
        <f t="shared" si="477"/>
        <v>0</v>
      </c>
      <c r="M1605" s="275">
        <f t="shared" si="487"/>
        <v>1080</v>
      </c>
      <c r="N1605" s="98">
        <v>1</v>
      </c>
      <c r="O1605" s="93">
        <f t="shared" si="488"/>
        <v>100</v>
      </c>
      <c r="GZ1605" s="100">
        <v>4</v>
      </c>
      <c r="HB1605" s="100">
        <v>10</v>
      </c>
      <c r="HC1605" s="100">
        <v>10</v>
      </c>
      <c r="HD1605" s="100">
        <v>18</v>
      </c>
      <c r="HE1605" s="100">
        <v>6</v>
      </c>
      <c r="HF1605" s="100">
        <v>6</v>
      </c>
      <c r="HG1605" s="100">
        <v>2</v>
      </c>
      <c r="HI1605" s="100">
        <v>13</v>
      </c>
      <c r="HK1605" s="100">
        <v>10</v>
      </c>
      <c r="HL1605" s="100">
        <v>3</v>
      </c>
      <c r="HM1605" s="100">
        <v>3</v>
      </c>
      <c r="HN1605" s="100">
        <v>2</v>
      </c>
      <c r="HQ1605" s="100">
        <v>9</v>
      </c>
      <c r="HS1605" s="100">
        <v>9</v>
      </c>
      <c r="HT1605" s="100">
        <v>5</v>
      </c>
      <c r="HU1605" s="100">
        <v>8</v>
      </c>
      <c r="HW1605" s="100">
        <v>3</v>
      </c>
      <c r="HX1605" s="100">
        <v>14</v>
      </c>
      <c r="HY1605" s="100">
        <v>10</v>
      </c>
      <c r="IB1605" s="100">
        <v>4</v>
      </c>
      <c r="ID1605" s="100">
        <v>9</v>
      </c>
      <c r="IE1605" s="100">
        <v>6</v>
      </c>
      <c r="IF1605" s="100">
        <v>23</v>
      </c>
      <c r="IG1605" s="100">
        <v>4</v>
      </c>
      <c r="IH1605" s="100">
        <v>11</v>
      </c>
      <c r="II1605" s="100">
        <v>3</v>
      </c>
      <c r="IK1605" s="100">
        <v>6</v>
      </c>
      <c r="IL1605" s="100">
        <v>6</v>
      </c>
      <c r="IM1605" s="100">
        <v>13</v>
      </c>
      <c r="IN1605" s="100">
        <v>5</v>
      </c>
      <c r="IO1605" s="100">
        <v>7</v>
      </c>
      <c r="IP1605" s="100">
        <v>4</v>
      </c>
      <c r="IS1605" s="100">
        <v>10</v>
      </c>
      <c r="IT1605" s="100">
        <v>3</v>
      </c>
      <c r="IU1605" s="100">
        <v>7</v>
      </c>
      <c r="IV1605" s="100">
        <v>10</v>
      </c>
      <c r="IW1605" s="100">
        <v>1</v>
      </c>
      <c r="IY1605" s="100">
        <v>6</v>
      </c>
      <c r="IZ1605" s="100">
        <v>5</v>
      </c>
      <c r="JA1605" s="100">
        <v>4</v>
      </c>
      <c r="JB1605" s="100">
        <v>1</v>
      </c>
      <c r="JC1605" s="100">
        <v>8</v>
      </c>
      <c r="JD1605" s="100">
        <v>4</v>
      </c>
      <c r="JF1605" s="100">
        <v>10</v>
      </c>
      <c r="JG1605" s="100">
        <v>1</v>
      </c>
      <c r="JH1605" s="100">
        <v>6</v>
      </c>
      <c r="JI1605" s="100">
        <v>5</v>
      </c>
      <c r="JJ1605" s="100">
        <v>2</v>
      </c>
      <c r="JK1605" s="100">
        <v>9</v>
      </c>
      <c r="JM1605" s="100">
        <v>8</v>
      </c>
      <c r="JN1605" s="100">
        <v>5</v>
      </c>
      <c r="JO1605" s="100">
        <v>8</v>
      </c>
      <c r="JP1605" s="100">
        <v>1</v>
      </c>
      <c r="ON1605" s="100">
        <f t="shared" si="492"/>
        <v>0</v>
      </c>
    </row>
    <row r="1606" spans="1:404" ht="23.25" customHeight="1">
      <c r="A1606" s="97" t="str">
        <f t="shared" si="490"/>
        <v>002/TK MAXX-2166-55437-S3-B4</v>
      </c>
      <c r="B1606" s="95">
        <v>44541</v>
      </c>
      <c r="C1606" s="97">
        <f t="shared" ca="1" si="486"/>
        <v>-523</v>
      </c>
      <c r="D1606" s="96" t="s">
        <v>1287</v>
      </c>
      <c r="E1606" s="94" t="s">
        <v>1289</v>
      </c>
      <c r="F1606" s="98" t="str">
        <f t="shared" si="489"/>
        <v>B4</v>
      </c>
      <c r="G1606" s="110">
        <f ca="1">SUMIF($A:E,$A1606,K:K)</f>
        <v>180</v>
      </c>
      <c r="H1606" s="97" t="s">
        <v>933</v>
      </c>
      <c r="I1606" s="98">
        <v>180</v>
      </c>
      <c r="J1606" s="97">
        <v>180</v>
      </c>
      <c r="K1606" s="143">
        <f t="shared" si="491"/>
        <v>180</v>
      </c>
      <c r="L1606" s="144">
        <f t="shared" ref="L1606:L1665" si="493">J1606-K1606</f>
        <v>0</v>
      </c>
      <c r="M1606" s="275">
        <f t="shared" si="487"/>
        <v>540</v>
      </c>
      <c r="N1606" s="98">
        <v>1</v>
      </c>
      <c r="O1606" s="93">
        <f t="shared" si="488"/>
        <v>100</v>
      </c>
      <c r="JP1606" s="100">
        <v>3</v>
      </c>
      <c r="JQ1606" s="100">
        <v>5</v>
      </c>
      <c r="JR1606" s="100">
        <v>5</v>
      </c>
      <c r="JU1606" s="100">
        <v>5</v>
      </c>
      <c r="JX1606" s="100">
        <v>6</v>
      </c>
      <c r="JY1606" s="100">
        <v>5</v>
      </c>
      <c r="KA1606" s="100">
        <v>8</v>
      </c>
      <c r="KB1606" s="100">
        <v>6</v>
      </c>
      <c r="KC1606" s="100">
        <v>5</v>
      </c>
      <c r="KD1606" s="100">
        <v>2</v>
      </c>
      <c r="KE1606" s="100">
        <v>7</v>
      </c>
      <c r="KF1606" s="100">
        <v>4</v>
      </c>
      <c r="KG1606" s="100">
        <v>6</v>
      </c>
      <c r="KI1606" s="100">
        <v>6</v>
      </c>
      <c r="KJ1606" s="100">
        <v>3</v>
      </c>
      <c r="KP1606" s="100">
        <v>5</v>
      </c>
      <c r="KR1606" s="100">
        <v>14</v>
      </c>
      <c r="KW1606" s="100">
        <v>11</v>
      </c>
      <c r="KY1606" s="100">
        <v>10</v>
      </c>
      <c r="KZ1606" s="100">
        <v>4</v>
      </c>
      <c r="LB1606" s="100">
        <v>5</v>
      </c>
      <c r="LC1606" s="100">
        <v>5</v>
      </c>
      <c r="LE1606" s="100">
        <v>9</v>
      </c>
      <c r="LF1606" s="100">
        <v>14</v>
      </c>
      <c r="LG1606" s="100">
        <v>11</v>
      </c>
      <c r="LI1606" s="100">
        <v>5</v>
      </c>
      <c r="LJ1606" s="100">
        <v>3</v>
      </c>
      <c r="LL1606" s="100">
        <v>4</v>
      </c>
      <c r="LR1606" s="100">
        <v>4</v>
      </c>
      <c r="ON1606" s="100">
        <f t="shared" si="492"/>
        <v>0</v>
      </c>
    </row>
    <row r="1607" spans="1:404" ht="23.25" customHeight="1">
      <c r="A1607" s="97" t="str">
        <f t="shared" si="490"/>
        <v>038/VG_SR-21( TJX)66-55437-S3-B4</v>
      </c>
      <c r="B1607" s="95">
        <v>44392</v>
      </c>
      <c r="C1607" s="97">
        <f t="shared" ca="1" si="486"/>
        <v>-672</v>
      </c>
      <c r="D1607" s="112" t="s">
        <v>1297</v>
      </c>
      <c r="E1607" s="123" t="s">
        <v>1289</v>
      </c>
      <c r="F1607" s="98" t="str">
        <f t="shared" si="489"/>
        <v>B4</v>
      </c>
      <c r="G1607" s="130">
        <f ca="1">SUMIF($A:E,$A1607,K:K)</f>
        <v>2</v>
      </c>
      <c r="H1607" s="97" t="s">
        <v>508</v>
      </c>
      <c r="I1607" s="98">
        <v>2</v>
      </c>
      <c r="J1607" s="99">
        <v>2</v>
      </c>
      <c r="K1607" s="143">
        <f t="shared" si="491"/>
        <v>2</v>
      </c>
      <c r="L1607" s="144">
        <f t="shared" si="493"/>
        <v>0</v>
      </c>
      <c r="M1607" s="275">
        <f t="shared" si="487"/>
        <v>6</v>
      </c>
      <c r="N1607" s="211">
        <v>2</v>
      </c>
      <c r="O1607" s="93">
        <f t="shared" si="488"/>
        <v>100</v>
      </c>
      <c r="GB1607" s="100">
        <v>1</v>
      </c>
      <c r="GC1607" s="100">
        <v>1</v>
      </c>
      <c r="ON1607" s="100">
        <f t="shared" si="492"/>
        <v>0</v>
      </c>
    </row>
    <row r="1608" spans="1:404" ht="23.25" customHeight="1">
      <c r="A1608" s="97" t="str">
        <f t="shared" si="490"/>
        <v>003/TK MAXX-2166-55429-S3-B</v>
      </c>
      <c r="B1608" s="95" t="s">
        <v>1278</v>
      </c>
      <c r="C1608" s="97">
        <f t="shared" ca="1" si="486"/>
        <v>-538</v>
      </c>
      <c r="D1608" s="96" t="s">
        <v>1279</v>
      </c>
      <c r="E1608" s="94" t="s">
        <v>1280</v>
      </c>
      <c r="F1608" s="98" t="str">
        <f t="shared" si="489"/>
        <v>B</v>
      </c>
      <c r="G1608" s="110">
        <f ca="1">SUMIF($A:E,$A1608,K:K)</f>
        <v>200</v>
      </c>
      <c r="H1608" s="97" t="s">
        <v>933</v>
      </c>
      <c r="I1608" s="98">
        <v>200</v>
      </c>
      <c r="J1608" s="97">
        <v>200</v>
      </c>
      <c r="K1608" s="143">
        <f t="shared" si="491"/>
        <v>200</v>
      </c>
      <c r="L1608" s="144">
        <f t="shared" si="493"/>
        <v>0</v>
      </c>
      <c r="M1608" s="275">
        <f t="shared" si="487"/>
        <v>600</v>
      </c>
      <c r="N1608" s="98">
        <v>1</v>
      </c>
      <c r="O1608" s="93">
        <f t="shared" si="488"/>
        <v>100</v>
      </c>
      <c r="JC1608" s="100">
        <v>8</v>
      </c>
      <c r="JD1608" s="100">
        <v>6</v>
      </c>
      <c r="JF1608" s="100">
        <v>6</v>
      </c>
      <c r="JH1608" s="100">
        <v>7</v>
      </c>
      <c r="JI1608" s="100">
        <v>4</v>
      </c>
      <c r="JK1608" s="100">
        <v>8</v>
      </c>
      <c r="JN1608" s="100">
        <v>8</v>
      </c>
      <c r="JO1608" s="100">
        <v>7</v>
      </c>
      <c r="JP1608" s="100">
        <v>4</v>
      </c>
      <c r="JQ1608" s="100">
        <v>3</v>
      </c>
      <c r="JR1608" s="100">
        <v>1</v>
      </c>
      <c r="JT1608" s="100">
        <v>4</v>
      </c>
      <c r="JU1608" s="100">
        <v>1</v>
      </c>
      <c r="JV1608" s="100">
        <v>3</v>
      </c>
      <c r="JW1608" s="100">
        <v>1</v>
      </c>
      <c r="JX1608" s="100">
        <v>6</v>
      </c>
      <c r="JY1608" s="100">
        <v>5</v>
      </c>
      <c r="KA1608" s="100">
        <v>5</v>
      </c>
      <c r="KB1608" s="100">
        <v>4</v>
      </c>
      <c r="KC1608" s="100">
        <v>4</v>
      </c>
      <c r="KD1608" s="100">
        <v>3</v>
      </c>
      <c r="KE1608" s="100">
        <v>8</v>
      </c>
      <c r="KF1608" s="100">
        <v>1</v>
      </c>
      <c r="KG1608" s="100">
        <v>4</v>
      </c>
      <c r="KI1608" s="100">
        <v>6</v>
      </c>
      <c r="KJ1608" s="100">
        <v>4</v>
      </c>
      <c r="KP1608" s="100">
        <v>8</v>
      </c>
      <c r="KS1608" s="100">
        <v>4</v>
      </c>
      <c r="KW1608" s="100">
        <v>12</v>
      </c>
      <c r="KY1608" s="100">
        <v>4</v>
      </c>
      <c r="KZ1608" s="100">
        <v>4</v>
      </c>
      <c r="LB1608" s="100">
        <v>4</v>
      </c>
      <c r="LC1608" s="100">
        <v>4</v>
      </c>
      <c r="LE1608" s="100">
        <v>8</v>
      </c>
      <c r="LF1608" s="100">
        <v>12</v>
      </c>
      <c r="LG1608" s="100">
        <v>18</v>
      </c>
      <c r="LI1608" s="100">
        <v>1</v>
      </c>
      <c r="ON1608" s="100">
        <f t="shared" si="492"/>
        <v>0</v>
      </c>
    </row>
    <row r="1609" spans="1:404" ht="23.25" customHeight="1">
      <c r="A1609" s="97" t="str">
        <f t="shared" si="490"/>
        <v>004/TK MAXX-2166-55429-S3-B</v>
      </c>
      <c r="B1609" s="95">
        <v>44539</v>
      </c>
      <c r="C1609" s="97">
        <f t="shared" ca="1" si="486"/>
        <v>-525</v>
      </c>
      <c r="D1609" s="96" t="s">
        <v>1292</v>
      </c>
      <c r="E1609" s="94" t="s">
        <v>1280</v>
      </c>
      <c r="F1609" s="98" t="str">
        <f t="shared" si="489"/>
        <v>B</v>
      </c>
      <c r="G1609" s="110">
        <f ca="1">SUMIF($A:E,$A1609,K:K)</f>
        <v>60</v>
      </c>
      <c r="H1609" s="97" t="s">
        <v>933</v>
      </c>
      <c r="I1609" s="98">
        <v>60</v>
      </c>
      <c r="J1609" s="98">
        <v>60</v>
      </c>
      <c r="K1609" s="143">
        <f t="shared" si="491"/>
        <v>60</v>
      </c>
      <c r="L1609" s="144">
        <f t="shared" si="493"/>
        <v>0</v>
      </c>
      <c r="M1609" s="275">
        <f t="shared" si="487"/>
        <v>180</v>
      </c>
      <c r="N1609" s="98">
        <v>1</v>
      </c>
      <c r="O1609" s="93">
        <f t="shared" si="488"/>
        <v>100</v>
      </c>
      <c r="LK1609" s="100">
        <v>4</v>
      </c>
      <c r="LL1609" s="100">
        <v>8</v>
      </c>
      <c r="LM1609" s="100">
        <v>8</v>
      </c>
      <c r="LN1609" s="100">
        <v>15</v>
      </c>
      <c r="LP1609" s="100">
        <v>4</v>
      </c>
      <c r="LQ1609" s="100">
        <v>4</v>
      </c>
      <c r="LR1609" s="100">
        <v>12</v>
      </c>
      <c r="LS1609" s="100">
        <v>5</v>
      </c>
      <c r="ON1609" s="100">
        <f t="shared" si="492"/>
        <v>0</v>
      </c>
    </row>
    <row r="1610" spans="1:404" ht="23.25" customHeight="1">
      <c r="A1610" s="97" t="str">
        <f t="shared" si="490"/>
        <v>038/VG_SR-21( TJX)66-55429-S3-B</v>
      </c>
      <c r="B1610" s="95">
        <v>44390</v>
      </c>
      <c r="C1610" s="97">
        <f t="shared" ca="1" si="486"/>
        <v>-674</v>
      </c>
      <c r="D1610" s="112" t="s">
        <v>1297</v>
      </c>
      <c r="E1610" s="123" t="s">
        <v>1280</v>
      </c>
      <c r="F1610" s="98" t="str">
        <f t="shared" si="489"/>
        <v>B</v>
      </c>
      <c r="G1610" s="110">
        <f ca="1">SUMIF($A:E,$A1610,K:K)</f>
        <v>2</v>
      </c>
      <c r="H1610" s="97" t="s">
        <v>508</v>
      </c>
      <c r="I1610" s="98">
        <v>2</v>
      </c>
      <c r="J1610" s="99">
        <v>2</v>
      </c>
      <c r="K1610" s="143">
        <f t="shared" si="491"/>
        <v>2</v>
      </c>
      <c r="L1610" s="144">
        <f t="shared" si="493"/>
        <v>0</v>
      </c>
      <c r="M1610" s="275">
        <f t="shared" si="487"/>
        <v>6</v>
      </c>
      <c r="N1610" s="211">
        <v>2</v>
      </c>
      <c r="O1610" s="93">
        <f t="shared" si="488"/>
        <v>100</v>
      </c>
      <c r="GA1610" s="100">
        <v>1</v>
      </c>
      <c r="GB1610" s="100">
        <v>1</v>
      </c>
      <c r="ON1610" s="100">
        <f t="shared" si="492"/>
        <v>0</v>
      </c>
    </row>
    <row r="1611" spans="1:404" ht="23.25" customHeight="1">
      <c r="A1611" s="97" t="str">
        <f t="shared" si="490"/>
        <v>002/FLOWER POWER-VG-2166-55424-B2-B</v>
      </c>
      <c r="B1611" s="95">
        <v>44670</v>
      </c>
      <c r="C1611" s="97">
        <f t="shared" ref="C1611:C1639" ca="1" si="494">B1611-TODAY()</f>
        <v>-394</v>
      </c>
      <c r="D1611" s="112" t="s">
        <v>1714</v>
      </c>
      <c r="E1611" s="123" t="s">
        <v>1719</v>
      </c>
      <c r="F1611" s="98" t="str">
        <f t="shared" si="489"/>
        <v>B</v>
      </c>
      <c r="G1611" s="110">
        <f ca="1">SUMIF($A:E,$A1611,K:K)</f>
        <v>106</v>
      </c>
      <c r="H1611" s="112" t="s">
        <v>1725</v>
      </c>
      <c r="I1611" s="175">
        <v>72</v>
      </c>
      <c r="J1611" s="115">
        <v>72</v>
      </c>
      <c r="K1611" s="143">
        <f t="shared" si="491"/>
        <v>106</v>
      </c>
      <c r="L1611" s="144">
        <f t="shared" si="493"/>
        <v>-34</v>
      </c>
      <c r="M1611" s="275">
        <f t="shared" ref="M1611:M1639" si="495">IF(OR(MID(E1611,10,1)="0",MID(E1611,10,1)="F"),I1611,IF(OR(,MID(E1611,10,1)="S",MID(E1611,10,1)="L",MID(E1611,10,1)="B",MID(E1611,10,1)="X"),MID(E1611,11,1)*I1611,0))</f>
        <v>144</v>
      </c>
      <c r="N1611" s="98">
        <v>3</v>
      </c>
      <c r="O1611" s="93">
        <f t="shared" si="488"/>
        <v>147.22222222222223</v>
      </c>
      <c r="OH1611" s="100">
        <v>14</v>
      </c>
      <c r="OI1611" s="100">
        <v>10</v>
      </c>
      <c r="OJ1611" s="100">
        <v>10</v>
      </c>
      <c r="OK1611" s="100">
        <v>9</v>
      </c>
      <c r="OM1611" s="100">
        <v>10</v>
      </c>
      <c r="ON1611" s="100">
        <f t="shared" si="492"/>
        <v>53</v>
      </c>
    </row>
    <row r="1612" spans="1:404" ht="23.25" customHeight="1">
      <c r="A1612" s="97" t="str">
        <f t="shared" si="490"/>
        <v>002/FLOWER POWER-VG-2166-55424-03-B</v>
      </c>
      <c r="B1612" s="95">
        <v>44670</v>
      </c>
      <c r="C1612" s="97">
        <f t="shared" ca="1" si="494"/>
        <v>-394</v>
      </c>
      <c r="D1612" s="112" t="s">
        <v>1714</v>
      </c>
      <c r="E1612" s="123" t="s">
        <v>1718</v>
      </c>
      <c r="F1612" s="98" t="str">
        <f t="shared" si="489"/>
        <v>B</v>
      </c>
      <c r="G1612" s="110">
        <f ca="1">SUMIF($A:E,$A1612,K:K)</f>
        <v>28</v>
      </c>
      <c r="H1612" s="112" t="s">
        <v>1725</v>
      </c>
      <c r="I1612" s="175">
        <v>36</v>
      </c>
      <c r="J1612" s="115">
        <v>36</v>
      </c>
      <c r="K1612" s="143">
        <f t="shared" si="491"/>
        <v>28</v>
      </c>
      <c r="L1612" s="144">
        <f t="shared" si="493"/>
        <v>8</v>
      </c>
      <c r="M1612" s="275">
        <f t="shared" si="495"/>
        <v>36</v>
      </c>
      <c r="N1612" s="98">
        <v>3</v>
      </c>
      <c r="O1612" s="93">
        <f t="shared" si="488"/>
        <v>77.777777777777786</v>
      </c>
      <c r="OG1612" s="100">
        <v>14</v>
      </c>
      <c r="ON1612" s="100">
        <f t="shared" si="492"/>
        <v>14</v>
      </c>
    </row>
    <row r="1613" spans="1:404" ht="23.25" customHeight="1">
      <c r="A1613" s="97" t="str">
        <f t="shared" si="490"/>
        <v>002/HACA-HK-2166-55412-S3-B</v>
      </c>
      <c r="B1613" s="95">
        <v>44338</v>
      </c>
      <c r="C1613" s="97">
        <f t="shared" ca="1" si="494"/>
        <v>-726</v>
      </c>
      <c r="D1613" s="145" t="s">
        <v>785</v>
      </c>
      <c r="E1613" s="253" t="s">
        <v>787</v>
      </c>
      <c r="F1613" s="98" t="str">
        <f t="shared" si="489"/>
        <v>B</v>
      </c>
      <c r="G1613" s="110">
        <f ca="1">SUMIF($A:E,$A1613,K:K)</f>
        <v>24</v>
      </c>
      <c r="H1613" s="97" t="s">
        <v>791</v>
      </c>
      <c r="I1613" s="98">
        <v>24</v>
      </c>
      <c r="J1613" s="99">
        <v>24</v>
      </c>
      <c r="K1613" s="143">
        <f t="shared" si="491"/>
        <v>24</v>
      </c>
      <c r="L1613" s="144">
        <f t="shared" si="493"/>
        <v>0</v>
      </c>
      <c r="M1613" s="275">
        <f t="shared" si="495"/>
        <v>72</v>
      </c>
      <c r="N1613" s="98">
        <v>4</v>
      </c>
      <c r="O1613" s="93">
        <f t="shared" si="488"/>
        <v>100</v>
      </c>
      <c r="DS1613" s="100">
        <v>3</v>
      </c>
      <c r="DV1613" s="100">
        <v>4</v>
      </c>
      <c r="DW1613" s="100">
        <v>2</v>
      </c>
      <c r="DY1613" s="100">
        <v>2</v>
      </c>
      <c r="DZ1613" s="100">
        <v>1</v>
      </c>
      <c r="EA1613" s="100">
        <v>2</v>
      </c>
      <c r="EC1613" s="100">
        <v>1</v>
      </c>
      <c r="ED1613" s="100">
        <v>2</v>
      </c>
      <c r="EF1613" s="100">
        <v>3</v>
      </c>
      <c r="EG1613" s="100">
        <v>1</v>
      </c>
      <c r="EH1613" s="100">
        <v>2</v>
      </c>
      <c r="EI1613" s="100">
        <v>1</v>
      </c>
      <c r="ON1613" s="100">
        <f t="shared" si="492"/>
        <v>0</v>
      </c>
    </row>
    <row r="1614" spans="1:404" ht="23.25" customHeight="1">
      <c r="A1614" s="97" t="str">
        <f t="shared" si="490"/>
        <v>003/HACA-HK-2166-55412-S3-B</v>
      </c>
      <c r="B1614" s="95">
        <v>44378</v>
      </c>
      <c r="C1614" s="97">
        <f t="shared" ca="1" si="494"/>
        <v>-686</v>
      </c>
      <c r="D1614" s="145" t="s">
        <v>803</v>
      </c>
      <c r="E1614" s="253" t="s">
        <v>787</v>
      </c>
      <c r="F1614" s="98" t="str">
        <f t="shared" si="489"/>
        <v>B</v>
      </c>
      <c r="G1614" s="110">
        <f ca="1">SUMIF($A:E,$A1614,K:K)</f>
        <v>24</v>
      </c>
      <c r="H1614" s="97" t="s">
        <v>791</v>
      </c>
      <c r="I1614" s="196">
        <v>24</v>
      </c>
      <c r="J1614" s="146">
        <v>24</v>
      </c>
      <c r="K1614" s="143">
        <f t="shared" si="491"/>
        <v>24</v>
      </c>
      <c r="L1614" s="144">
        <f t="shared" si="493"/>
        <v>0</v>
      </c>
      <c r="M1614" s="275">
        <f t="shared" si="495"/>
        <v>72</v>
      </c>
      <c r="N1614" s="98">
        <v>4</v>
      </c>
      <c r="O1614" s="93">
        <f t="shared" si="488"/>
        <v>100</v>
      </c>
      <c r="EI1614" s="100">
        <v>1</v>
      </c>
      <c r="EJ1614" s="100">
        <v>2</v>
      </c>
      <c r="EK1614" s="100">
        <v>2</v>
      </c>
      <c r="EL1614" s="100">
        <v>1</v>
      </c>
      <c r="EM1614" s="100">
        <v>2</v>
      </c>
      <c r="EN1614" s="100">
        <v>1</v>
      </c>
      <c r="EO1614" s="100">
        <v>2</v>
      </c>
      <c r="EP1614" s="100">
        <v>2</v>
      </c>
      <c r="EQ1614" s="100">
        <v>2</v>
      </c>
      <c r="ER1614" s="100">
        <v>1</v>
      </c>
      <c r="ET1614" s="100">
        <v>1</v>
      </c>
      <c r="EU1614" s="100">
        <v>1</v>
      </c>
      <c r="EV1614" s="100">
        <v>2</v>
      </c>
      <c r="EX1614" s="100">
        <v>1</v>
      </c>
      <c r="EY1614" s="100">
        <v>2</v>
      </c>
      <c r="FB1614" s="100">
        <v>1</v>
      </c>
      <c r="ON1614" s="100">
        <f t="shared" si="492"/>
        <v>0</v>
      </c>
    </row>
    <row r="1615" spans="1:404" ht="23.25" customHeight="1">
      <c r="A1615" s="97" t="str">
        <f t="shared" si="490"/>
        <v>001/POTTERY PATCH-VG-2166-55412-S3-B</v>
      </c>
      <c r="B1615" s="95">
        <v>44462</v>
      </c>
      <c r="C1615" s="97">
        <f t="shared" ca="1" si="494"/>
        <v>-602</v>
      </c>
      <c r="D1615" s="112" t="s">
        <v>1767</v>
      </c>
      <c r="E1615" s="123" t="s">
        <v>787</v>
      </c>
      <c r="F1615" s="98" t="str">
        <f t="shared" si="489"/>
        <v>B</v>
      </c>
      <c r="G1615" s="110">
        <f ca="1">SUMIF($A:E,$A1615,K:K)</f>
        <v>12</v>
      </c>
      <c r="H1615" s="97" t="s">
        <v>616</v>
      </c>
      <c r="I1615" s="98">
        <v>12</v>
      </c>
      <c r="J1615" s="99">
        <v>12</v>
      </c>
      <c r="K1615" s="143">
        <f t="shared" si="491"/>
        <v>12</v>
      </c>
      <c r="L1615" s="144">
        <f t="shared" si="493"/>
        <v>0</v>
      </c>
      <c r="M1615" s="275">
        <f t="shared" si="495"/>
        <v>36</v>
      </c>
      <c r="N1615" s="98">
        <v>2</v>
      </c>
      <c r="O1615" s="93">
        <f t="shared" si="488"/>
        <v>100</v>
      </c>
      <c r="IM1615" s="100">
        <v>12</v>
      </c>
      <c r="ON1615" s="100">
        <f t="shared" si="492"/>
        <v>0</v>
      </c>
    </row>
    <row r="1616" spans="1:404" ht="23.25" customHeight="1">
      <c r="A1616" s="97" t="str">
        <f t="shared" si="490"/>
        <v>002A/POTTERYPATCH-2166-55412-S3-B</v>
      </c>
      <c r="B1616" s="95">
        <v>44475</v>
      </c>
      <c r="C1616" s="97">
        <f t="shared" ca="1" si="494"/>
        <v>-589</v>
      </c>
      <c r="D1616" s="111" t="s">
        <v>1848</v>
      </c>
      <c r="E1616" s="225" t="s">
        <v>787</v>
      </c>
      <c r="F1616" s="98" t="str">
        <f t="shared" si="489"/>
        <v>B</v>
      </c>
      <c r="G1616" s="224">
        <f ca="1">SUMIF($A:E,$A1616,K:K)</f>
        <v>12</v>
      </c>
      <c r="H1616" s="97" t="s">
        <v>820</v>
      </c>
      <c r="I1616" s="98">
        <v>12</v>
      </c>
      <c r="J1616" s="99">
        <v>12</v>
      </c>
      <c r="K1616" s="143">
        <f t="shared" si="491"/>
        <v>12</v>
      </c>
      <c r="L1616" s="144">
        <f t="shared" si="493"/>
        <v>0</v>
      </c>
      <c r="M1616" s="275">
        <f t="shared" si="495"/>
        <v>36</v>
      </c>
      <c r="N1616" s="98">
        <v>2</v>
      </c>
      <c r="O1616" s="93">
        <f t="shared" si="488"/>
        <v>100</v>
      </c>
      <c r="JA1616" s="100">
        <v>1</v>
      </c>
      <c r="JD1616" s="100">
        <v>2</v>
      </c>
      <c r="JF1616" s="100">
        <v>2</v>
      </c>
      <c r="JG1616" s="100">
        <v>1</v>
      </c>
      <c r="JI1616" s="100">
        <v>4</v>
      </c>
      <c r="JJ1616" s="100">
        <v>2</v>
      </c>
      <c r="ON1616" s="100">
        <f t="shared" si="492"/>
        <v>0</v>
      </c>
    </row>
    <row r="1617" spans="1:404" ht="23.25" customHeight="1">
      <c r="A1617" s="97" t="str">
        <f t="shared" si="490"/>
        <v>001/MACKOO-21 (đợt 1)66-55412-B2-B</v>
      </c>
      <c r="B1617" s="95">
        <v>44415</v>
      </c>
      <c r="C1617" s="97">
        <f t="shared" ca="1" si="494"/>
        <v>-649</v>
      </c>
      <c r="D1617" s="96" t="s">
        <v>1002</v>
      </c>
      <c r="E1617" s="94" t="s">
        <v>1004</v>
      </c>
      <c r="F1617" s="98" t="str">
        <f t="shared" si="489"/>
        <v>B</v>
      </c>
      <c r="G1617" s="110">
        <f ca="1">SUMIF($A:E,$A1617,K:K)</f>
        <v>840</v>
      </c>
      <c r="H1617" s="97" t="s">
        <v>508</v>
      </c>
      <c r="I1617" s="98">
        <v>840</v>
      </c>
      <c r="J1617" s="99">
        <v>840</v>
      </c>
      <c r="K1617" s="143">
        <f t="shared" si="491"/>
        <v>840</v>
      </c>
      <c r="L1617" s="144">
        <f t="shared" si="493"/>
        <v>0</v>
      </c>
      <c r="M1617" s="275">
        <f t="shared" si="495"/>
        <v>1680</v>
      </c>
      <c r="N1617" s="98">
        <v>5</v>
      </c>
      <c r="O1617" s="93">
        <f t="shared" si="488"/>
        <v>100</v>
      </c>
      <c r="EV1617" s="100">
        <v>8</v>
      </c>
      <c r="EW1617" s="100">
        <v>12</v>
      </c>
      <c r="EX1617" s="100">
        <v>8</v>
      </c>
      <c r="EY1617" s="100">
        <v>14</v>
      </c>
      <c r="FA1617" s="100">
        <v>14</v>
      </c>
      <c r="FC1617" s="100">
        <v>29</v>
      </c>
      <c r="FD1617" s="100">
        <v>15</v>
      </c>
      <c r="FE1617" s="100">
        <v>15</v>
      </c>
      <c r="FF1617" s="100">
        <v>17</v>
      </c>
      <c r="FH1617" s="100">
        <v>19</v>
      </c>
      <c r="FI1617" s="100">
        <v>18</v>
      </c>
      <c r="FJ1617" s="100">
        <v>17</v>
      </c>
      <c r="FK1617" s="100">
        <v>27</v>
      </c>
      <c r="FL1617" s="100">
        <v>8</v>
      </c>
      <c r="FM1617" s="100">
        <v>20</v>
      </c>
      <c r="FO1617" s="100">
        <v>18</v>
      </c>
      <c r="FP1617" s="100">
        <v>22</v>
      </c>
      <c r="FQ1617" s="100">
        <v>14</v>
      </c>
      <c r="FR1617" s="100">
        <v>18</v>
      </c>
      <c r="FS1617" s="100">
        <v>18</v>
      </c>
      <c r="FT1617" s="100">
        <v>34</v>
      </c>
      <c r="FU1617" s="100">
        <v>2</v>
      </c>
      <c r="FV1617" s="100">
        <v>37</v>
      </c>
      <c r="FX1617" s="100">
        <v>20</v>
      </c>
      <c r="FZ1617" s="100">
        <v>20</v>
      </c>
      <c r="GA1617" s="100">
        <v>20</v>
      </c>
      <c r="GB1617" s="100">
        <v>20</v>
      </c>
      <c r="GC1617" s="100">
        <v>20</v>
      </c>
      <c r="GD1617" s="100">
        <v>20</v>
      </c>
      <c r="GE1617" s="100">
        <v>20</v>
      </c>
      <c r="GG1617" s="100">
        <v>22</v>
      </c>
      <c r="GH1617" s="100">
        <v>22</v>
      </c>
      <c r="GI1617" s="100">
        <v>21</v>
      </c>
      <c r="GJ1617" s="100">
        <v>21</v>
      </c>
      <c r="GK1617" s="100">
        <v>12</v>
      </c>
      <c r="GL1617" s="100">
        <v>21</v>
      </c>
      <c r="GN1617" s="100">
        <v>20</v>
      </c>
      <c r="GO1617" s="100">
        <v>12</v>
      </c>
      <c r="GP1617" s="100">
        <v>22</v>
      </c>
      <c r="GQ1617" s="100">
        <v>21</v>
      </c>
      <c r="GR1617" s="100">
        <v>33</v>
      </c>
      <c r="GU1617" s="100">
        <v>22</v>
      </c>
      <c r="GV1617" s="100">
        <v>22</v>
      </c>
      <c r="GW1617" s="100">
        <v>21</v>
      </c>
      <c r="GX1617" s="100">
        <v>4</v>
      </c>
      <c r="ON1617" s="100">
        <f t="shared" si="492"/>
        <v>0</v>
      </c>
    </row>
    <row r="1618" spans="1:404" ht="23.25" customHeight="1">
      <c r="A1618" s="97" t="str">
        <f t="shared" si="490"/>
        <v>001/MACKOO-21 (đợt 2)66-55412-B2-B</v>
      </c>
      <c r="B1618" s="95">
        <v>44457</v>
      </c>
      <c r="C1618" s="97">
        <f t="shared" ca="1" si="494"/>
        <v>-607</v>
      </c>
      <c r="D1618" s="96" t="s">
        <v>1003</v>
      </c>
      <c r="E1618" s="94" t="s">
        <v>1004</v>
      </c>
      <c r="F1618" s="98" t="str">
        <f t="shared" si="489"/>
        <v>B</v>
      </c>
      <c r="G1618" s="110">
        <f ca="1">SUMIF($A:E,$A1618,K:K)</f>
        <v>840</v>
      </c>
      <c r="H1618" s="97" t="s">
        <v>508</v>
      </c>
      <c r="I1618" s="98">
        <v>840</v>
      </c>
      <c r="J1618" s="99">
        <f>927-840</f>
        <v>87</v>
      </c>
      <c r="K1618" s="143">
        <f t="shared" si="491"/>
        <v>87</v>
      </c>
      <c r="L1618" s="144">
        <f t="shared" si="493"/>
        <v>0</v>
      </c>
      <c r="M1618" s="275">
        <f t="shared" si="495"/>
        <v>1680</v>
      </c>
      <c r="N1618" s="98">
        <v>5</v>
      </c>
      <c r="O1618" s="93">
        <f t="shared" si="488"/>
        <v>100</v>
      </c>
      <c r="GX1618" s="100">
        <v>19</v>
      </c>
      <c r="GY1618" s="100">
        <v>22</v>
      </c>
      <c r="GZ1618" s="100">
        <v>22</v>
      </c>
      <c r="HB1618" s="100">
        <v>22</v>
      </c>
      <c r="HC1618" s="100">
        <v>2</v>
      </c>
      <c r="ON1618" s="100">
        <f t="shared" si="492"/>
        <v>0</v>
      </c>
    </row>
    <row r="1619" spans="1:404" ht="23.25" customHeight="1">
      <c r="A1619" s="97" t="str">
        <f t="shared" si="490"/>
        <v>001/MACKOO-21 (đợt 2)66-55412-B2-B</v>
      </c>
      <c r="B1619" s="95">
        <v>44463</v>
      </c>
      <c r="C1619" s="97">
        <f t="shared" ca="1" si="494"/>
        <v>-601</v>
      </c>
      <c r="D1619" s="96" t="s">
        <v>1003</v>
      </c>
      <c r="E1619" s="94" t="s">
        <v>1004</v>
      </c>
      <c r="F1619" s="98" t="str">
        <f t="shared" si="489"/>
        <v>B</v>
      </c>
      <c r="G1619" s="110">
        <f ca="1">SUMIF($A:E,$A1619,K:K)</f>
        <v>840</v>
      </c>
      <c r="H1619" s="97" t="s">
        <v>508</v>
      </c>
      <c r="I1619" s="98">
        <v>840</v>
      </c>
      <c r="J1619" s="99">
        <v>248</v>
      </c>
      <c r="K1619" s="143">
        <f t="shared" si="491"/>
        <v>248</v>
      </c>
      <c r="L1619" s="144">
        <f t="shared" si="493"/>
        <v>0</v>
      </c>
      <c r="M1619" s="275">
        <f t="shared" si="495"/>
        <v>1680</v>
      </c>
      <c r="N1619" s="98">
        <v>2</v>
      </c>
      <c r="O1619" s="93">
        <f t="shared" si="488"/>
        <v>100</v>
      </c>
      <c r="II1619" s="100">
        <v>18</v>
      </c>
      <c r="IK1619" s="100">
        <v>20</v>
      </c>
      <c r="IL1619" s="100">
        <v>13</v>
      </c>
      <c r="IM1619" s="100">
        <v>35</v>
      </c>
      <c r="IN1619" s="100">
        <v>39</v>
      </c>
      <c r="IP1619" s="100">
        <v>22</v>
      </c>
      <c r="IS1619" s="100">
        <v>64</v>
      </c>
      <c r="IU1619" s="100">
        <v>22</v>
      </c>
      <c r="IV1619" s="100">
        <v>15</v>
      </c>
      <c r="ON1619" s="100">
        <f t="shared" si="492"/>
        <v>0</v>
      </c>
    </row>
    <row r="1620" spans="1:404" ht="23.25" customHeight="1">
      <c r="A1620" s="97" t="s">
        <v>1784</v>
      </c>
      <c r="B1620" s="95">
        <v>44457</v>
      </c>
      <c r="C1620" s="97">
        <f t="shared" ca="1" si="494"/>
        <v>-607</v>
      </c>
      <c r="D1620" s="96" t="s">
        <v>1003</v>
      </c>
      <c r="E1620" s="94" t="s">
        <v>1004</v>
      </c>
      <c r="F1620" s="98" t="s">
        <v>561</v>
      </c>
      <c r="G1620" s="110">
        <v>565</v>
      </c>
      <c r="H1620" s="97" t="s">
        <v>508</v>
      </c>
      <c r="I1620" s="98">
        <v>840</v>
      </c>
      <c r="J1620" s="99">
        <v>27</v>
      </c>
      <c r="K1620" s="143">
        <f t="shared" si="491"/>
        <v>27</v>
      </c>
      <c r="L1620" s="144">
        <f t="shared" si="493"/>
        <v>0</v>
      </c>
      <c r="M1620" s="275">
        <f t="shared" si="495"/>
        <v>1680</v>
      </c>
      <c r="N1620" s="98">
        <v>2</v>
      </c>
      <c r="O1620" s="93">
        <f t="shared" si="488"/>
        <v>100</v>
      </c>
      <c r="IG1620" s="100">
        <v>21</v>
      </c>
      <c r="IH1620" s="100">
        <v>3</v>
      </c>
      <c r="II1620" s="100">
        <v>3</v>
      </c>
      <c r="ON1620" s="100">
        <f t="shared" si="492"/>
        <v>0</v>
      </c>
    </row>
    <row r="1621" spans="1:404" ht="23.25" customHeight="1">
      <c r="A1621" s="97" t="str">
        <f t="shared" ref="A1621:A1635" si="496">D1621&amp;E1621</f>
        <v>001/MACKOO-21 (đợt 2)66-55412-B2-B</v>
      </c>
      <c r="B1621" s="95">
        <v>44457</v>
      </c>
      <c r="C1621" s="97">
        <f t="shared" ca="1" si="494"/>
        <v>-607</v>
      </c>
      <c r="D1621" s="96" t="s">
        <v>1003</v>
      </c>
      <c r="E1621" s="94" t="s">
        <v>1004</v>
      </c>
      <c r="F1621" s="98" t="str">
        <f t="shared" ref="F1621:F1646" si="497">MID(E1621,13,2)</f>
        <v>B</v>
      </c>
      <c r="G1621" s="110">
        <f ca="1">SUMIF($A:E,$A1621,K:K)</f>
        <v>840</v>
      </c>
      <c r="H1621" s="97" t="s">
        <v>508</v>
      </c>
      <c r="I1621" s="98">
        <v>840</v>
      </c>
      <c r="J1621" s="99">
        <f>840-87-J1619-J1620</f>
        <v>478</v>
      </c>
      <c r="K1621" s="143">
        <f t="shared" si="491"/>
        <v>478</v>
      </c>
      <c r="L1621" s="144">
        <f t="shared" si="493"/>
        <v>0</v>
      </c>
      <c r="M1621" s="275">
        <f t="shared" si="495"/>
        <v>1680</v>
      </c>
      <c r="N1621" s="98">
        <v>5</v>
      </c>
      <c r="O1621" s="93">
        <f t="shared" si="488"/>
        <v>100</v>
      </c>
      <c r="HC1621" s="100">
        <v>9</v>
      </c>
      <c r="HD1621" s="100">
        <v>39</v>
      </c>
      <c r="HF1621" s="100">
        <v>22</v>
      </c>
      <c r="HG1621" s="100">
        <v>22</v>
      </c>
      <c r="HI1621" s="100">
        <v>21</v>
      </c>
      <c r="HJ1621" s="100">
        <v>22</v>
      </c>
      <c r="HK1621" s="100">
        <v>20</v>
      </c>
      <c r="HL1621" s="100">
        <v>21</v>
      </c>
      <c r="HM1621" s="100">
        <v>17</v>
      </c>
      <c r="HN1621" s="100">
        <v>18</v>
      </c>
      <c r="HP1621" s="100">
        <v>23</v>
      </c>
      <c r="HQ1621" s="100">
        <v>30</v>
      </c>
      <c r="HR1621" s="100">
        <v>16</v>
      </c>
      <c r="HS1621" s="100">
        <v>22</v>
      </c>
      <c r="HT1621" s="100">
        <v>22</v>
      </c>
      <c r="HU1621" s="100">
        <v>22</v>
      </c>
      <c r="HW1621" s="100">
        <v>22</v>
      </c>
      <c r="HX1621" s="100">
        <v>22</v>
      </c>
      <c r="HY1621" s="100">
        <v>22</v>
      </c>
      <c r="IB1621" s="100">
        <v>22</v>
      </c>
      <c r="ID1621" s="100">
        <v>21</v>
      </c>
      <c r="IE1621" s="100">
        <v>23</v>
      </c>
      <c r="ON1621" s="100">
        <f t="shared" si="492"/>
        <v>0</v>
      </c>
    </row>
    <row r="1622" spans="1:404" ht="23.25" customHeight="1">
      <c r="A1622" s="97" t="str">
        <f t="shared" si="496"/>
        <v>001/HANKKIJA-2166-55412-B2-B</v>
      </c>
      <c r="B1622" s="95">
        <v>44478</v>
      </c>
      <c r="C1622" s="97">
        <f t="shared" ca="1" si="494"/>
        <v>-586</v>
      </c>
      <c r="D1622" s="112" t="s">
        <v>1041</v>
      </c>
      <c r="E1622" s="123" t="s">
        <v>1004</v>
      </c>
      <c r="F1622" s="98" t="str">
        <f t="shared" si="497"/>
        <v>B</v>
      </c>
      <c r="G1622" s="110">
        <f ca="1">SUMIF($A:E,$A1622,K:K)</f>
        <v>72</v>
      </c>
      <c r="H1622" s="97" t="s">
        <v>616</v>
      </c>
      <c r="I1622" s="98">
        <v>72</v>
      </c>
      <c r="J1622" s="97">
        <v>72</v>
      </c>
      <c r="K1622" s="143">
        <f t="shared" si="491"/>
        <v>72</v>
      </c>
      <c r="L1622" s="144">
        <f t="shared" si="493"/>
        <v>0</v>
      </c>
      <c r="M1622" s="275">
        <f t="shared" si="495"/>
        <v>144</v>
      </c>
      <c r="N1622" s="98">
        <v>2</v>
      </c>
      <c r="O1622" s="93">
        <f t="shared" si="488"/>
        <v>100</v>
      </c>
      <c r="IV1622" s="100">
        <v>7</v>
      </c>
      <c r="IW1622" s="100">
        <v>5</v>
      </c>
      <c r="IY1622" s="100">
        <v>5</v>
      </c>
      <c r="IZ1622" s="100">
        <v>11</v>
      </c>
      <c r="JA1622" s="100">
        <v>10</v>
      </c>
      <c r="JB1622" s="100">
        <v>15</v>
      </c>
      <c r="JD1622" s="100">
        <v>6</v>
      </c>
      <c r="JF1622" s="100">
        <v>6</v>
      </c>
      <c r="JI1622" s="100">
        <v>3</v>
      </c>
      <c r="JJ1622" s="100">
        <v>4</v>
      </c>
      <c r="ON1622" s="100">
        <f t="shared" si="492"/>
        <v>0</v>
      </c>
    </row>
    <row r="1623" spans="1:404" ht="23.25" customHeight="1">
      <c r="A1623" s="97" t="str">
        <f t="shared" si="496"/>
        <v>232/KHBS-21(001/MACKOO-21)66-55412-03-B</v>
      </c>
      <c r="B1623" s="95">
        <v>44413</v>
      </c>
      <c r="C1623" s="97">
        <f t="shared" ca="1" si="494"/>
        <v>-651</v>
      </c>
      <c r="D1623" s="112" t="s">
        <v>1520</v>
      </c>
      <c r="E1623" s="123" t="s">
        <v>1016</v>
      </c>
      <c r="F1623" s="98" t="str">
        <f t="shared" si="497"/>
        <v>B</v>
      </c>
      <c r="G1623" s="110">
        <f ca="1">SUMIF($A:E,$A1623,K:K)</f>
        <v>1</v>
      </c>
      <c r="H1623" s="97" t="s">
        <v>508</v>
      </c>
      <c r="I1623" s="98">
        <v>1</v>
      </c>
      <c r="J1623" s="99">
        <v>1</v>
      </c>
      <c r="K1623" s="143">
        <f t="shared" si="491"/>
        <v>1</v>
      </c>
      <c r="L1623" s="144">
        <f t="shared" si="493"/>
        <v>0</v>
      </c>
      <c r="M1623" s="275">
        <f t="shared" si="495"/>
        <v>1</v>
      </c>
      <c r="N1623" s="98">
        <v>5</v>
      </c>
      <c r="O1623" s="93">
        <f t="shared" si="488"/>
        <v>100</v>
      </c>
      <c r="GX1623" s="100">
        <v>1</v>
      </c>
      <c r="ON1623" s="100">
        <f t="shared" si="492"/>
        <v>0</v>
      </c>
    </row>
    <row r="1624" spans="1:404" ht="23.25" customHeight="1">
      <c r="A1624" s="97" t="str">
        <f t="shared" si="496"/>
        <v>244/KHBS-2166-55412-03-B</v>
      </c>
      <c r="B1624" s="95">
        <v>44430</v>
      </c>
      <c r="C1624" s="97">
        <f t="shared" ca="1" si="494"/>
        <v>-634</v>
      </c>
      <c r="D1624" s="96" t="s">
        <v>1730</v>
      </c>
      <c r="E1624" s="94" t="s">
        <v>1016</v>
      </c>
      <c r="F1624" s="98" t="str">
        <f t="shared" si="497"/>
        <v>B</v>
      </c>
      <c r="G1624" s="110">
        <f ca="1">SUMIF($A:E,$A1624,K:K)</f>
        <v>1</v>
      </c>
      <c r="H1624" s="97" t="s">
        <v>616</v>
      </c>
      <c r="I1624" s="98">
        <v>1</v>
      </c>
      <c r="J1624" s="99">
        <v>1</v>
      </c>
      <c r="K1624" s="143">
        <f t="shared" si="491"/>
        <v>1</v>
      </c>
      <c r="L1624" s="144">
        <f t="shared" si="493"/>
        <v>0</v>
      </c>
      <c r="M1624" s="275">
        <f t="shared" si="495"/>
        <v>1</v>
      </c>
      <c r="N1624" s="98">
        <v>5</v>
      </c>
      <c r="O1624" s="93">
        <f t="shared" si="488"/>
        <v>100</v>
      </c>
      <c r="HR1624" s="100">
        <v>1</v>
      </c>
      <c r="ON1624" s="100">
        <f t="shared" si="492"/>
        <v>0</v>
      </c>
    </row>
    <row r="1625" spans="1:404" ht="23.25" customHeight="1">
      <c r="A1625" s="97" t="str">
        <f t="shared" si="496"/>
        <v>245/KHBS-2166-55412-03-B</v>
      </c>
      <c r="B1625" s="95">
        <v>44431</v>
      </c>
      <c r="C1625" s="97">
        <f t="shared" ca="1" si="494"/>
        <v>-633</v>
      </c>
      <c r="D1625" s="96" t="s">
        <v>1731</v>
      </c>
      <c r="E1625" s="94" t="s">
        <v>1016</v>
      </c>
      <c r="F1625" s="98" t="str">
        <f t="shared" si="497"/>
        <v>B</v>
      </c>
      <c r="G1625" s="110">
        <f ca="1">SUMIF($A:E,$A1625,K:K)</f>
        <v>2</v>
      </c>
      <c r="H1625" s="97" t="s">
        <v>616</v>
      </c>
      <c r="I1625" s="98">
        <v>2</v>
      </c>
      <c r="J1625" s="99">
        <v>2</v>
      </c>
      <c r="K1625" s="143">
        <f t="shared" si="491"/>
        <v>2</v>
      </c>
      <c r="L1625" s="144">
        <f t="shared" si="493"/>
        <v>0</v>
      </c>
      <c r="M1625" s="275">
        <f t="shared" si="495"/>
        <v>2</v>
      </c>
      <c r="N1625" s="98">
        <v>5</v>
      </c>
      <c r="O1625" s="93">
        <f t="shared" si="488"/>
        <v>100</v>
      </c>
      <c r="HR1625" s="100">
        <v>2</v>
      </c>
      <c r="ON1625" s="100">
        <f t="shared" si="492"/>
        <v>0</v>
      </c>
    </row>
    <row r="1626" spans="1:404" ht="23.25" customHeight="1">
      <c r="A1626" s="97" t="str">
        <f t="shared" si="496"/>
        <v>227/KHBS-2166-55412-02-B</v>
      </c>
      <c r="B1626" s="95">
        <v>44408</v>
      </c>
      <c r="C1626" s="97">
        <f t="shared" ca="1" si="494"/>
        <v>-656</v>
      </c>
      <c r="D1626" s="96" t="s">
        <v>1439</v>
      </c>
      <c r="E1626" s="94" t="s">
        <v>1440</v>
      </c>
      <c r="F1626" s="98" t="str">
        <f t="shared" si="497"/>
        <v>B</v>
      </c>
      <c r="G1626" s="110">
        <f ca="1">SUMIF($A:E,$A1626,K:K)</f>
        <v>1</v>
      </c>
      <c r="H1626" s="97" t="s">
        <v>616</v>
      </c>
      <c r="I1626" s="98">
        <v>1</v>
      </c>
      <c r="J1626" s="99">
        <v>1</v>
      </c>
      <c r="K1626" s="143">
        <f t="shared" si="491"/>
        <v>1</v>
      </c>
      <c r="L1626" s="144">
        <f t="shared" si="493"/>
        <v>0</v>
      </c>
      <c r="M1626" s="275">
        <f t="shared" si="495"/>
        <v>1</v>
      </c>
      <c r="N1626" s="98">
        <v>5</v>
      </c>
      <c r="O1626" s="93">
        <f t="shared" si="488"/>
        <v>100</v>
      </c>
      <c r="GQ1626" s="100">
        <v>1</v>
      </c>
      <c r="ON1626" s="100">
        <f t="shared" si="492"/>
        <v>0</v>
      </c>
    </row>
    <row r="1627" spans="1:404" ht="23.25" customHeight="1">
      <c r="A1627" s="97" t="str">
        <f t="shared" si="496"/>
        <v xml:space="preserve">	001/NORTHCOAST-VG-2166-55409-S3-B</v>
      </c>
      <c r="B1627" s="95">
        <v>44660</v>
      </c>
      <c r="C1627" s="97">
        <f t="shared" ca="1" si="494"/>
        <v>-404</v>
      </c>
      <c r="D1627" s="112" t="s">
        <v>1880</v>
      </c>
      <c r="E1627" s="123" t="s">
        <v>1885</v>
      </c>
      <c r="F1627" s="98" t="str">
        <f t="shared" si="497"/>
        <v>B</v>
      </c>
      <c r="G1627" s="110">
        <f ca="1">SUMIF($A:E,$A1627,K:K)</f>
        <v>4</v>
      </c>
      <c r="H1627" s="97" t="s">
        <v>927</v>
      </c>
      <c r="I1627" s="175">
        <v>24</v>
      </c>
      <c r="J1627" s="115">
        <v>24</v>
      </c>
      <c r="K1627" s="143">
        <f t="shared" si="491"/>
        <v>4</v>
      </c>
      <c r="L1627" s="144">
        <f t="shared" si="493"/>
        <v>20</v>
      </c>
      <c r="M1627" s="275">
        <f t="shared" si="495"/>
        <v>72</v>
      </c>
      <c r="N1627" s="98">
        <v>1</v>
      </c>
      <c r="O1627" s="93">
        <f t="shared" si="488"/>
        <v>16.666666666666664</v>
      </c>
      <c r="OM1627" s="100">
        <v>2</v>
      </c>
      <c r="ON1627" s="100">
        <f t="shared" si="492"/>
        <v>2</v>
      </c>
    </row>
    <row r="1628" spans="1:404" ht="23.25" customHeight="1">
      <c r="A1628" s="97" t="str">
        <f t="shared" si="496"/>
        <v>007/YAMATEI-2166-55409-03-B</v>
      </c>
      <c r="B1628" s="95">
        <v>44641</v>
      </c>
      <c r="C1628" s="97">
        <f t="shared" ca="1" si="494"/>
        <v>-423</v>
      </c>
      <c r="D1628" s="112" t="s">
        <v>1569</v>
      </c>
      <c r="E1628" s="123" t="s">
        <v>1580</v>
      </c>
      <c r="F1628" s="98" t="str">
        <f t="shared" si="497"/>
        <v>B</v>
      </c>
      <c r="G1628" s="110">
        <f ca="1">SUMIF($A:E,$A1628,K:K)</f>
        <v>8</v>
      </c>
      <c r="H1628" s="97" t="s">
        <v>927</v>
      </c>
      <c r="I1628" s="175">
        <v>90</v>
      </c>
      <c r="J1628" s="115">
        <v>90</v>
      </c>
      <c r="K1628" s="143">
        <f t="shared" si="491"/>
        <v>8</v>
      </c>
      <c r="L1628" s="144">
        <f t="shared" si="493"/>
        <v>82</v>
      </c>
      <c r="M1628" s="275">
        <f t="shared" si="495"/>
        <v>90</v>
      </c>
      <c r="N1628" s="98">
        <v>3</v>
      </c>
      <c r="O1628" s="93">
        <f t="shared" si="488"/>
        <v>8.8888888888888893</v>
      </c>
      <c r="OM1628" s="100">
        <v>4</v>
      </c>
      <c r="ON1628" s="100">
        <f t="shared" si="492"/>
        <v>4</v>
      </c>
    </row>
    <row r="1629" spans="1:404" ht="23.25" customHeight="1">
      <c r="A1629" s="97" t="str">
        <f t="shared" si="496"/>
        <v>001/LH IMPORTS-VG_SR-2166-55409-02-B</v>
      </c>
      <c r="B1629" s="95">
        <v>44408</v>
      </c>
      <c r="C1629" s="97">
        <f t="shared" ca="1" si="494"/>
        <v>-656</v>
      </c>
      <c r="D1629" s="112" t="s">
        <v>1505</v>
      </c>
      <c r="E1629" s="123" t="s">
        <v>1507</v>
      </c>
      <c r="F1629" s="98" t="str">
        <f t="shared" si="497"/>
        <v>B</v>
      </c>
      <c r="G1629" s="110">
        <f ca="1">SUMIF($A:E,$A1629,K:K)</f>
        <v>1</v>
      </c>
      <c r="H1629" s="97" t="s">
        <v>1510</v>
      </c>
      <c r="I1629" s="98">
        <v>1</v>
      </c>
      <c r="J1629" s="99">
        <v>1</v>
      </c>
      <c r="K1629" s="143">
        <f t="shared" si="491"/>
        <v>1</v>
      </c>
      <c r="L1629" s="144">
        <f t="shared" si="493"/>
        <v>0</v>
      </c>
      <c r="M1629" s="275">
        <f t="shared" si="495"/>
        <v>1</v>
      </c>
      <c r="N1629" s="98">
        <v>1</v>
      </c>
      <c r="O1629" s="93">
        <f t="shared" si="488"/>
        <v>100</v>
      </c>
      <c r="GS1629" s="100">
        <v>1</v>
      </c>
      <c r="ON1629" s="100">
        <f t="shared" si="492"/>
        <v>0</v>
      </c>
    </row>
    <row r="1630" spans="1:404" ht="23.25" customHeight="1">
      <c r="A1630" s="97" t="str">
        <f t="shared" si="496"/>
        <v>007/YAMATEI-2166-55405-B2-B1</v>
      </c>
      <c r="B1630" s="95">
        <v>44641</v>
      </c>
      <c r="C1630" s="97">
        <f t="shared" ca="1" si="494"/>
        <v>-423</v>
      </c>
      <c r="D1630" s="112" t="s">
        <v>1569</v>
      </c>
      <c r="E1630" s="289" t="s">
        <v>1579</v>
      </c>
      <c r="F1630" s="98" t="str">
        <f t="shared" si="497"/>
        <v>B1</v>
      </c>
      <c r="G1630" s="110">
        <f ca="1">SUMIF($A:E,$A1630,K:K)</f>
        <v>48</v>
      </c>
      <c r="H1630" s="97" t="s">
        <v>927</v>
      </c>
      <c r="I1630" s="175">
        <v>24</v>
      </c>
      <c r="J1630" s="115">
        <v>24</v>
      </c>
      <c r="K1630" s="143">
        <f t="shared" si="491"/>
        <v>48</v>
      </c>
      <c r="L1630" s="144">
        <f t="shared" si="493"/>
        <v>-24</v>
      </c>
      <c r="M1630" s="275">
        <f t="shared" si="495"/>
        <v>48</v>
      </c>
      <c r="N1630" s="98">
        <v>3</v>
      </c>
      <c r="O1630" s="93">
        <f t="shared" ref="O1630:O1672" si="498">K1630/J1630*100</f>
        <v>200</v>
      </c>
      <c r="OA1630" s="100">
        <v>8</v>
      </c>
      <c r="OC1630" s="100">
        <v>4</v>
      </c>
      <c r="OD1630" s="100">
        <v>3</v>
      </c>
      <c r="OF1630" s="100">
        <v>1</v>
      </c>
      <c r="OG1630" s="100">
        <v>5</v>
      </c>
      <c r="OH1630" s="100">
        <v>3</v>
      </c>
      <c r="ON1630" s="100">
        <f t="shared" si="492"/>
        <v>24</v>
      </c>
    </row>
    <row r="1631" spans="1:404" ht="23.25" customHeight="1">
      <c r="A1631" s="97" t="str">
        <f t="shared" si="496"/>
        <v>007/YAMATEI-2166-55405-03-B1</v>
      </c>
      <c r="B1631" s="95">
        <v>44641</v>
      </c>
      <c r="C1631" s="97">
        <f t="shared" ca="1" si="494"/>
        <v>-423</v>
      </c>
      <c r="D1631" s="112" t="s">
        <v>1569</v>
      </c>
      <c r="E1631" s="289" t="s">
        <v>1578</v>
      </c>
      <c r="F1631" s="98" t="str">
        <f t="shared" si="497"/>
        <v>B1</v>
      </c>
      <c r="G1631" s="110">
        <f ca="1">SUMIF($A:E,$A1631,K:K)</f>
        <v>90</v>
      </c>
      <c r="H1631" s="97" t="s">
        <v>927</v>
      </c>
      <c r="I1631" s="175">
        <v>45</v>
      </c>
      <c r="J1631" s="115">
        <v>45</v>
      </c>
      <c r="K1631" s="143">
        <f t="shared" si="491"/>
        <v>90</v>
      </c>
      <c r="L1631" s="144">
        <f t="shared" si="493"/>
        <v>-45</v>
      </c>
      <c r="M1631" s="275">
        <f t="shared" si="495"/>
        <v>45</v>
      </c>
      <c r="N1631" s="98">
        <v>3</v>
      </c>
      <c r="O1631" s="93">
        <f t="shared" si="498"/>
        <v>200</v>
      </c>
      <c r="OA1631" s="100">
        <v>7</v>
      </c>
      <c r="OC1631" s="100">
        <v>1</v>
      </c>
      <c r="OG1631" s="100">
        <v>2</v>
      </c>
      <c r="OH1631" s="100">
        <v>10</v>
      </c>
      <c r="OI1631" s="100">
        <v>7</v>
      </c>
      <c r="OJ1631" s="100">
        <v>8</v>
      </c>
      <c r="OK1631" s="100">
        <v>7</v>
      </c>
      <c r="OM1631" s="100">
        <v>3</v>
      </c>
      <c r="ON1631" s="100">
        <f t="shared" si="492"/>
        <v>45</v>
      </c>
    </row>
    <row r="1632" spans="1:404" ht="23.25" customHeight="1">
      <c r="A1632" s="97" t="str">
        <f t="shared" si="496"/>
        <v xml:space="preserve"> 001/YAMATEI-VG_SR-2166-55405-01-B1</v>
      </c>
      <c r="B1632" s="95">
        <v>44425</v>
      </c>
      <c r="C1632" s="97">
        <f t="shared" ca="1" si="494"/>
        <v>-639</v>
      </c>
      <c r="D1632" s="112" t="s">
        <v>1556</v>
      </c>
      <c r="E1632" s="123" t="s">
        <v>1559</v>
      </c>
      <c r="F1632" s="98" t="str">
        <f t="shared" si="497"/>
        <v>B1</v>
      </c>
      <c r="G1632" s="110">
        <f ca="1">SUMIF($A:E,$A1632,K:K)</f>
        <v>3</v>
      </c>
      <c r="H1632" s="112" t="s">
        <v>1561</v>
      </c>
      <c r="I1632" s="175">
        <v>3</v>
      </c>
      <c r="J1632" s="115">
        <v>3</v>
      </c>
      <c r="K1632" s="143">
        <f t="shared" si="491"/>
        <v>3</v>
      </c>
      <c r="L1632" s="144">
        <f t="shared" si="493"/>
        <v>0</v>
      </c>
      <c r="M1632" s="275">
        <f t="shared" si="495"/>
        <v>3</v>
      </c>
      <c r="N1632" s="98">
        <v>2</v>
      </c>
      <c r="O1632" s="93">
        <f t="shared" si="498"/>
        <v>100</v>
      </c>
      <c r="HF1632" s="100">
        <v>1</v>
      </c>
      <c r="HG1632" s="100">
        <v>2</v>
      </c>
      <c r="ON1632" s="100">
        <f t="shared" si="492"/>
        <v>0</v>
      </c>
    </row>
    <row r="1633" spans="1:404" ht="23.25" customHeight="1">
      <c r="A1633" s="97" t="str">
        <f t="shared" si="496"/>
        <v>041/VG_SR-21( TJX)66-55402-L2-B</v>
      </c>
      <c r="B1633" s="95">
        <v>44397</v>
      </c>
      <c r="C1633" s="97">
        <f t="shared" ca="1" si="494"/>
        <v>-667</v>
      </c>
      <c r="D1633" s="112" t="s">
        <v>1301</v>
      </c>
      <c r="E1633" s="123" t="s">
        <v>1304</v>
      </c>
      <c r="F1633" s="98" t="str">
        <f t="shared" si="497"/>
        <v>B</v>
      </c>
      <c r="G1633" s="110">
        <f ca="1">SUMIF($A:E,$A1633,K:K)</f>
        <v>2</v>
      </c>
      <c r="H1633" s="97" t="s">
        <v>508</v>
      </c>
      <c r="I1633" s="98">
        <v>2</v>
      </c>
      <c r="J1633" s="99">
        <v>2</v>
      </c>
      <c r="K1633" s="143">
        <f t="shared" si="491"/>
        <v>2</v>
      </c>
      <c r="L1633" s="144">
        <f t="shared" si="493"/>
        <v>0</v>
      </c>
      <c r="M1633" s="275">
        <f t="shared" si="495"/>
        <v>4</v>
      </c>
      <c r="N1633" s="98">
        <v>2</v>
      </c>
      <c r="O1633" s="93">
        <f t="shared" si="498"/>
        <v>100</v>
      </c>
      <c r="GO1633" s="100">
        <v>2</v>
      </c>
      <c r="ON1633" s="100">
        <f t="shared" si="492"/>
        <v>0</v>
      </c>
    </row>
    <row r="1634" spans="1:404" ht="23.25" customHeight="1">
      <c r="A1634" s="97" t="str">
        <f t="shared" si="496"/>
        <v>003/HOMEGOODS-2166-55402-B2-B</v>
      </c>
      <c r="B1634" s="95">
        <v>44476</v>
      </c>
      <c r="C1634" s="97">
        <f t="shared" ca="1" si="494"/>
        <v>-588</v>
      </c>
      <c r="D1634" s="96" t="s">
        <v>1274</v>
      </c>
      <c r="E1634" s="94" t="s">
        <v>1275</v>
      </c>
      <c r="F1634" s="98" t="str">
        <f t="shared" si="497"/>
        <v>B</v>
      </c>
      <c r="G1634" s="110">
        <f ca="1">SUMIF($A:E,$A1634,K:K)</f>
        <v>600</v>
      </c>
      <c r="H1634" s="97" t="s">
        <v>933</v>
      </c>
      <c r="I1634" s="98">
        <v>600</v>
      </c>
      <c r="J1634" s="99">
        <v>600</v>
      </c>
      <c r="K1634" s="143">
        <f t="shared" si="491"/>
        <v>600</v>
      </c>
      <c r="L1634" s="144">
        <f t="shared" si="493"/>
        <v>0</v>
      </c>
      <c r="M1634" s="275">
        <f t="shared" si="495"/>
        <v>1200</v>
      </c>
      <c r="N1634" s="98">
        <v>3</v>
      </c>
      <c r="O1634" s="93">
        <f t="shared" si="498"/>
        <v>100</v>
      </c>
      <c r="GK1634" s="100">
        <v>7</v>
      </c>
      <c r="GL1634" s="100">
        <v>4</v>
      </c>
      <c r="GN1634" s="100">
        <v>7</v>
      </c>
      <c r="GQ1634" s="100">
        <v>10</v>
      </c>
      <c r="GR1634" s="100">
        <v>10</v>
      </c>
      <c r="GS1634" s="100">
        <v>12</v>
      </c>
      <c r="GU1634" s="100">
        <v>11</v>
      </c>
      <c r="GV1634" s="100">
        <v>12</v>
      </c>
      <c r="GW1634" s="100">
        <v>10</v>
      </c>
      <c r="GX1634" s="100">
        <v>9</v>
      </c>
      <c r="GY1634" s="100">
        <v>10</v>
      </c>
      <c r="GZ1634" s="100">
        <v>10</v>
      </c>
      <c r="HB1634" s="100">
        <v>10</v>
      </c>
      <c r="HC1634" s="100">
        <v>5</v>
      </c>
      <c r="HD1634" s="100">
        <v>5</v>
      </c>
      <c r="HE1634" s="100">
        <v>5</v>
      </c>
      <c r="HF1634" s="100">
        <v>6</v>
      </c>
      <c r="HG1634" s="100">
        <v>10</v>
      </c>
      <c r="HI1634" s="100">
        <v>4</v>
      </c>
      <c r="HJ1634" s="100">
        <v>9</v>
      </c>
      <c r="HK1634" s="100">
        <v>10</v>
      </c>
      <c r="HL1634" s="100">
        <v>10</v>
      </c>
      <c r="HM1634" s="100">
        <v>7</v>
      </c>
      <c r="HN1634" s="100">
        <v>11</v>
      </c>
      <c r="HP1634" s="100">
        <v>12</v>
      </c>
      <c r="HQ1634" s="100">
        <v>10</v>
      </c>
      <c r="HR1634" s="100">
        <v>10</v>
      </c>
      <c r="HS1634" s="100">
        <v>10</v>
      </c>
      <c r="HT1634" s="100">
        <v>10</v>
      </c>
      <c r="HU1634" s="100">
        <v>9</v>
      </c>
      <c r="HW1634" s="100">
        <v>9</v>
      </c>
      <c r="HX1634" s="100">
        <v>7</v>
      </c>
      <c r="HY1634" s="100">
        <v>10</v>
      </c>
      <c r="IB1634" s="100">
        <v>10</v>
      </c>
      <c r="ID1634" s="100">
        <v>10</v>
      </c>
      <c r="IF1634" s="100">
        <v>10</v>
      </c>
      <c r="IG1634" s="100">
        <v>19</v>
      </c>
      <c r="IK1634" s="100">
        <v>12</v>
      </c>
      <c r="IL1634" s="100">
        <v>12</v>
      </c>
      <c r="IM1634" s="100">
        <v>9</v>
      </c>
      <c r="IP1634" s="100">
        <v>18</v>
      </c>
      <c r="IR1634" s="100">
        <v>3</v>
      </c>
      <c r="IS1634" s="100">
        <v>21</v>
      </c>
      <c r="IT1634" s="100">
        <v>2</v>
      </c>
      <c r="IU1634" s="100">
        <v>25</v>
      </c>
      <c r="IW1634" s="100">
        <v>5</v>
      </c>
      <c r="IY1634" s="100">
        <v>10</v>
      </c>
      <c r="JA1634" s="100">
        <v>8</v>
      </c>
      <c r="JB1634" s="100">
        <v>21</v>
      </c>
      <c r="JC1634" s="100">
        <v>7</v>
      </c>
      <c r="JD1634" s="100">
        <v>18</v>
      </c>
      <c r="JF1634" s="100">
        <v>10</v>
      </c>
      <c r="JG1634" s="100">
        <v>10</v>
      </c>
      <c r="JH1634" s="100">
        <v>18</v>
      </c>
      <c r="JI1634" s="100">
        <v>1</v>
      </c>
      <c r="JJ1634" s="100">
        <v>15</v>
      </c>
      <c r="JK1634" s="100">
        <v>3</v>
      </c>
      <c r="JM1634" s="100">
        <v>11</v>
      </c>
      <c r="JN1634" s="100">
        <v>21</v>
      </c>
      <c r="ON1634" s="100">
        <f t="shared" si="492"/>
        <v>0</v>
      </c>
    </row>
    <row r="1635" spans="1:404" ht="23.25" customHeight="1">
      <c r="A1635" s="97" t="str">
        <f t="shared" si="496"/>
        <v>001/TK MAXX-USA-2166-55402-B2-B</v>
      </c>
      <c r="B1635" s="95">
        <v>44602</v>
      </c>
      <c r="C1635" s="97">
        <f t="shared" ca="1" si="494"/>
        <v>-462</v>
      </c>
      <c r="D1635" s="112" t="s">
        <v>1363</v>
      </c>
      <c r="E1635" s="123" t="s">
        <v>1275</v>
      </c>
      <c r="F1635" s="98" t="str">
        <f t="shared" si="497"/>
        <v>B</v>
      </c>
      <c r="G1635" s="110">
        <f ca="1">SUMIF($A:E,$A1635,K:K)</f>
        <v>71</v>
      </c>
      <c r="H1635" s="97" t="s">
        <v>508</v>
      </c>
      <c r="I1635" s="175">
        <v>60</v>
      </c>
      <c r="J1635" s="115">
        <v>60</v>
      </c>
      <c r="K1635" s="143">
        <f t="shared" si="491"/>
        <v>71</v>
      </c>
      <c r="L1635" s="144">
        <f t="shared" si="493"/>
        <v>-11</v>
      </c>
      <c r="M1635" s="275">
        <f t="shared" si="495"/>
        <v>120</v>
      </c>
      <c r="N1635" s="98">
        <v>2</v>
      </c>
      <c r="O1635" s="93">
        <f t="shared" si="498"/>
        <v>118.33333333333333</v>
      </c>
      <c r="NA1635" s="100">
        <v>5</v>
      </c>
      <c r="ND1635" s="100">
        <v>10</v>
      </c>
      <c r="NE1635" s="100">
        <v>5</v>
      </c>
      <c r="NF1635" s="100">
        <v>5</v>
      </c>
      <c r="NG1635" s="100">
        <v>4</v>
      </c>
      <c r="NI1635" s="100">
        <v>5</v>
      </c>
      <c r="NK1635" s="100">
        <v>5</v>
      </c>
      <c r="NL1635" s="100">
        <v>5</v>
      </c>
      <c r="NM1635" s="100">
        <v>5</v>
      </c>
      <c r="NT1635" s="100">
        <v>6</v>
      </c>
      <c r="NV1635" s="100">
        <v>4</v>
      </c>
      <c r="NY1635" s="100">
        <v>1</v>
      </c>
      <c r="ON1635" s="100">
        <f t="shared" si="492"/>
        <v>11</v>
      </c>
    </row>
    <row r="1636" spans="1:404" ht="23.25" customHeight="1">
      <c r="A1636" s="97" t="e">
        <f>D1636&amp;#REF!</f>
        <v>#REF!</v>
      </c>
      <c r="B1636" s="95">
        <v>44384</v>
      </c>
      <c r="C1636" s="97">
        <f t="shared" ca="1" si="494"/>
        <v>-680</v>
      </c>
      <c r="D1636" s="96" t="s">
        <v>1206</v>
      </c>
      <c r="E1636" s="94" t="s">
        <v>1209</v>
      </c>
      <c r="F1636" s="98" t="str">
        <f t="shared" si="497"/>
        <v>B</v>
      </c>
      <c r="G1636" s="110">
        <f ca="1">SUMIF($A:E,$A1636,K:K)</f>
        <v>1754</v>
      </c>
      <c r="H1636" s="97" t="s">
        <v>616</v>
      </c>
      <c r="I1636" s="98">
        <v>2</v>
      </c>
      <c r="J1636" s="97">
        <v>2</v>
      </c>
      <c r="K1636" s="143">
        <f t="shared" si="491"/>
        <v>2</v>
      </c>
      <c r="L1636" s="144">
        <f t="shared" si="493"/>
        <v>0</v>
      </c>
      <c r="M1636" s="275">
        <f t="shared" si="495"/>
        <v>2</v>
      </c>
      <c r="N1636" s="98">
        <v>2</v>
      </c>
      <c r="O1636" s="93">
        <f t="shared" si="498"/>
        <v>100</v>
      </c>
      <c r="FV1636" s="100">
        <v>2</v>
      </c>
      <c r="ON1636" s="100">
        <f t="shared" si="492"/>
        <v>0</v>
      </c>
    </row>
    <row r="1637" spans="1:404" ht="23.25" customHeight="1">
      <c r="A1637" s="97" t="str">
        <f>D1637&amp;E1637</f>
        <v>003/ANNA-VG-21(đ7)66-55400-S3-A</v>
      </c>
      <c r="B1637" s="95">
        <v>44634</v>
      </c>
      <c r="C1637" s="97">
        <f t="shared" ca="1" si="494"/>
        <v>-430</v>
      </c>
      <c r="D1637" s="112" t="s">
        <v>1671</v>
      </c>
      <c r="E1637" s="279" t="s">
        <v>701</v>
      </c>
      <c r="F1637" s="98" t="str">
        <f t="shared" si="497"/>
        <v>A</v>
      </c>
      <c r="G1637" s="110">
        <f ca="1">SUMIF($A:E,$A1637,K:K)</f>
        <v>12</v>
      </c>
      <c r="H1637" s="112" t="s">
        <v>990</v>
      </c>
      <c r="I1637" s="175">
        <v>12</v>
      </c>
      <c r="J1637" s="115">
        <v>12</v>
      </c>
      <c r="K1637" s="143">
        <f t="shared" si="491"/>
        <v>12</v>
      </c>
      <c r="L1637" s="144">
        <f t="shared" si="493"/>
        <v>0</v>
      </c>
      <c r="M1637" s="275">
        <f t="shared" si="495"/>
        <v>36</v>
      </c>
      <c r="N1637" s="98" t="s">
        <v>1768</v>
      </c>
      <c r="O1637" s="93">
        <f t="shared" si="498"/>
        <v>100</v>
      </c>
      <c r="MP1637" s="100">
        <v>2</v>
      </c>
      <c r="MQ1637" s="100">
        <v>4</v>
      </c>
      <c r="MR1637" s="100">
        <v>4</v>
      </c>
      <c r="MS1637" s="100">
        <v>2</v>
      </c>
      <c r="ON1637" s="100">
        <f t="shared" si="492"/>
        <v>0</v>
      </c>
    </row>
    <row r="1638" spans="1:404" ht="23.25" customHeight="1">
      <c r="A1638" s="97" t="str">
        <f>D1638&amp;E1639</f>
        <v>414/POTTERYPOT-2166-55400-02-A</v>
      </c>
      <c r="B1638" s="95">
        <v>44573</v>
      </c>
      <c r="C1638" s="97">
        <f t="shared" ca="1" si="494"/>
        <v>-491</v>
      </c>
      <c r="D1638" s="96" t="s">
        <v>1195</v>
      </c>
      <c r="E1638" s="280" t="s">
        <v>1198</v>
      </c>
      <c r="F1638" s="98" t="str">
        <f t="shared" si="497"/>
        <v>A</v>
      </c>
      <c r="G1638" s="110">
        <f ca="1">SUMIF($A:E,$A1638,K:K)</f>
        <v>24</v>
      </c>
      <c r="H1638" s="97" t="s">
        <v>964</v>
      </c>
      <c r="I1638" s="98">
        <v>24</v>
      </c>
      <c r="J1638" s="97">
        <v>24</v>
      </c>
      <c r="K1638" s="143">
        <f t="shared" si="491"/>
        <v>24</v>
      </c>
      <c r="L1638" s="144">
        <f t="shared" si="493"/>
        <v>0</v>
      </c>
      <c r="M1638" s="275">
        <f t="shared" si="495"/>
        <v>24</v>
      </c>
      <c r="N1638" s="98" t="s">
        <v>1768</v>
      </c>
      <c r="O1638" s="93">
        <f t="shared" si="498"/>
        <v>100</v>
      </c>
      <c r="MH1638" s="100">
        <v>2</v>
      </c>
      <c r="MK1638" s="100">
        <v>6</v>
      </c>
      <c r="ML1638" s="100">
        <v>4</v>
      </c>
      <c r="MM1638" s="100">
        <v>4</v>
      </c>
      <c r="MN1638" s="100">
        <v>4</v>
      </c>
      <c r="MO1638" s="100">
        <v>2</v>
      </c>
      <c r="MT1638" s="100">
        <v>2</v>
      </c>
      <c r="ON1638" s="100">
        <f t="shared" si="492"/>
        <v>0</v>
      </c>
    </row>
    <row r="1639" spans="1:404" ht="23.25" customHeight="1">
      <c r="A1639" s="97" t="str">
        <f t="shared" ref="A1639:A1646" si="499">D1639&amp;E1639</f>
        <v>118/NY/PP-USA-2166-55400-02-A</v>
      </c>
      <c r="B1639" s="95">
        <v>44649</v>
      </c>
      <c r="C1639" s="97">
        <f t="shared" ca="1" si="494"/>
        <v>-415</v>
      </c>
      <c r="D1639" s="112" t="s">
        <v>1428</v>
      </c>
      <c r="E1639" s="279" t="s">
        <v>1198</v>
      </c>
      <c r="F1639" s="98" t="str">
        <f t="shared" si="497"/>
        <v>A</v>
      </c>
      <c r="G1639" s="110">
        <f ca="1">SUMIF($A:E,$A1639,K:K)</f>
        <v>24</v>
      </c>
      <c r="H1639" s="97" t="s">
        <v>616</v>
      </c>
      <c r="I1639" s="175">
        <v>12</v>
      </c>
      <c r="J1639" s="115">
        <v>12</v>
      </c>
      <c r="K1639" s="143">
        <f t="shared" si="491"/>
        <v>24</v>
      </c>
      <c r="L1639" s="144">
        <f t="shared" si="493"/>
        <v>-12</v>
      </c>
      <c r="M1639" s="275">
        <f t="shared" si="495"/>
        <v>12</v>
      </c>
      <c r="N1639" s="98" t="s">
        <v>1768</v>
      </c>
      <c r="O1639" s="93">
        <f t="shared" si="498"/>
        <v>200</v>
      </c>
      <c r="NY1639" s="100">
        <v>2</v>
      </c>
      <c r="NZ1639" s="100">
        <v>1</v>
      </c>
      <c r="OA1639" s="100">
        <v>4</v>
      </c>
      <c r="OB1639" s="100">
        <v>3</v>
      </c>
      <c r="OC1639" s="100">
        <v>2</v>
      </c>
      <c r="ON1639" s="100">
        <f t="shared" si="492"/>
        <v>12</v>
      </c>
    </row>
    <row r="1640" spans="1:404" ht="23.25" customHeight="1">
      <c r="A1640" s="97" t="str">
        <f t="shared" si="499"/>
        <v>451/POTTERYPOT-VG-2166-55400-02-A</v>
      </c>
      <c r="B1640" s="95">
        <v>44658</v>
      </c>
      <c r="C1640" s="97">
        <f t="shared" ref="C1640:C1646" ca="1" si="500">B1640-TODAY()</f>
        <v>-406</v>
      </c>
      <c r="D1640" s="112" t="s">
        <v>1589</v>
      </c>
      <c r="E1640" s="279" t="s">
        <v>1198</v>
      </c>
      <c r="F1640" s="98" t="str">
        <f t="shared" si="497"/>
        <v>A</v>
      </c>
      <c r="G1640" s="110">
        <f ca="1">SUMIF($A:E,$A1640,K:K)</f>
        <v>20</v>
      </c>
      <c r="H1640" s="97" t="s">
        <v>927</v>
      </c>
      <c r="I1640" s="175">
        <v>12</v>
      </c>
      <c r="J1640" s="115">
        <v>12</v>
      </c>
      <c r="K1640" s="143">
        <f t="shared" si="491"/>
        <v>20</v>
      </c>
      <c r="L1640" s="144">
        <f t="shared" si="493"/>
        <v>-8</v>
      </c>
      <c r="M1640" s="275">
        <f t="shared" ref="M1640:M1646" si="501">IF(OR(MID(E1640,10,1)="0",MID(E1640,10,1)="F"),I1640,IF(OR(,MID(E1640,10,1)="S",MID(E1640,10,1)="L",MID(E1640,10,1)="B",MID(E1640,10,1)="X"),MID(E1640,11,1)*I1640,0))</f>
        <v>12</v>
      </c>
      <c r="N1640" s="98" t="s">
        <v>1768</v>
      </c>
      <c r="O1640" s="93">
        <f t="shared" si="498"/>
        <v>166.66666666666669</v>
      </c>
      <c r="OH1640" s="100">
        <v>2</v>
      </c>
      <c r="OI1640" s="100">
        <v>2</v>
      </c>
      <c r="OK1640" s="100">
        <v>2</v>
      </c>
      <c r="OM1640" s="100">
        <v>4</v>
      </c>
      <c r="ON1640" s="100">
        <f t="shared" si="492"/>
        <v>10</v>
      </c>
    </row>
    <row r="1641" spans="1:404" ht="23.25" customHeight="1">
      <c r="A1641" s="97" t="str">
        <f t="shared" si="499"/>
        <v>443/POTTERYPOT-VG-2166-55400-02-A</v>
      </c>
      <c r="B1641" s="95">
        <v>44657</v>
      </c>
      <c r="C1641" s="97">
        <f t="shared" ca="1" si="500"/>
        <v>-407</v>
      </c>
      <c r="D1641" s="112" t="s">
        <v>1868</v>
      </c>
      <c r="E1641" s="279" t="s">
        <v>1198</v>
      </c>
      <c r="F1641" s="98" t="str">
        <f t="shared" si="497"/>
        <v>A</v>
      </c>
      <c r="G1641" s="110">
        <f ca="1">SUMIF($A:E,$A1641,K:K)</f>
        <v>0</v>
      </c>
      <c r="H1641" s="97" t="s">
        <v>601</v>
      </c>
      <c r="I1641" s="175">
        <v>12</v>
      </c>
      <c r="J1641" s="115">
        <v>12</v>
      </c>
      <c r="K1641" s="144">
        <f t="shared" si="491"/>
        <v>0</v>
      </c>
      <c r="L1641" s="144">
        <f t="shared" si="493"/>
        <v>12</v>
      </c>
      <c r="M1641" s="275">
        <f t="shared" si="501"/>
        <v>12</v>
      </c>
      <c r="N1641" s="98"/>
      <c r="O1641" s="93">
        <f t="shared" si="498"/>
        <v>0</v>
      </c>
      <c r="ON1641" s="100">
        <f t="shared" si="492"/>
        <v>0</v>
      </c>
    </row>
    <row r="1642" spans="1:404" ht="23.25" customHeight="1">
      <c r="A1642" s="97" t="str">
        <f t="shared" si="499"/>
        <v>115B/NY/PP-USA-VG-2066-55400-02-A</v>
      </c>
      <c r="B1642" s="95">
        <v>44668</v>
      </c>
      <c r="C1642" s="97">
        <f t="shared" ca="1" si="500"/>
        <v>-396</v>
      </c>
      <c r="D1642" s="112" t="s">
        <v>1872</v>
      </c>
      <c r="E1642" s="279" t="s">
        <v>1198</v>
      </c>
      <c r="F1642" s="98" t="str">
        <f t="shared" si="497"/>
        <v>A</v>
      </c>
      <c r="G1642" s="110">
        <f ca="1">SUMIF($A:E,$A1642,K:K)</f>
        <v>0</v>
      </c>
      <c r="H1642" s="97" t="s">
        <v>601</v>
      </c>
      <c r="I1642" s="175">
        <v>24</v>
      </c>
      <c r="J1642" s="115">
        <v>24</v>
      </c>
      <c r="K1642" s="144">
        <f t="shared" si="491"/>
        <v>0</v>
      </c>
      <c r="L1642" s="144">
        <f t="shared" si="493"/>
        <v>24</v>
      </c>
      <c r="M1642" s="275">
        <f t="shared" si="501"/>
        <v>24</v>
      </c>
      <c r="N1642" s="98" t="s">
        <v>1768</v>
      </c>
      <c r="O1642" s="93">
        <f t="shared" si="498"/>
        <v>0</v>
      </c>
      <c r="ON1642" s="100">
        <f t="shared" si="492"/>
        <v>0</v>
      </c>
    </row>
    <row r="1643" spans="1:404" ht="23.25" customHeight="1">
      <c r="A1643" s="97" t="str">
        <f t="shared" si="499"/>
        <v>002/VANDER-2166-55137-S2-B4</v>
      </c>
      <c r="B1643" s="95">
        <v>44524</v>
      </c>
      <c r="C1643" s="97">
        <f t="shared" ca="1" si="500"/>
        <v>-540</v>
      </c>
      <c r="D1643" s="112" t="s">
        <v>1100</v>
      </c>
      <c r="E1643" s="285" t="s">
        <v>1101</v>
      </c>
      <c r="F1643" s="98" t="str">
        <f t="shared" si="497"/>
        <v>B4</v>
      </c>
      <c r="G1643" s="110">
        <f ca="1">SUMIF($A:E,$A1643,K:K)</f>
        <v>144</v>
      </c>
      <c r="H1643" s="97" t="s">
        <v>616</v>
      </c>
      <c r="I1643" s="98">
        <v>144</v>
      </c>
      <c r="J1643" s="97">
        <v>144</v>
      </c>
      <c r="K1643" s="143">
        <f t="shared" si="491"/>
        <v>144</v>
      </c>
      <c r="L1643" s="144">
        <f t="shared" si="493"/>
        <v>0</v>
      </c>
      <c r="M1643" s="275">
        <f t="shared" si="501"/>
        <v>288</v>
      </c>
      <c r="N1643" s="98" t="s">
        <v>1768</v>
      </c>
      <c r="O1643" s="93">
        <f t="shared" si="498"/>
        <v>100</v>
      </c>
      <c r="IF1643" s="100">
        <v>24</v>
      </c>
      <c r="IG1643" s="100">
        <v>29</v>
      </c>
      <c r="IH1643" s="100">
        <v>7</v>
      </c>
      <c r="II1643" s="100">
        <v>15</v>
      </c>
      <c r="IK1643" s="100">
        <v>25</v>
      </c>
      <c r="IL1643" s="100">
        <v>12</v>
      </c>
      <c r="IM1643" s="100">
        <v>17</v>
      </c>
      <c r="IN1643" s="100">
        <v>15</v>
      </c>
      <c r="ON1643" s="100">
        <f t="shared" si="492"/>
        <v>0</v>
      </c>
    </row>
    <row r="1644" spans="1:404" ht="23.25" customHeight="1">
      <c r="A1644" s="97" t="str">
        <f t="shared" si="499"/>
        <v>002/HOMEGOODS-2166-55137-S2-B4</v>
      </c>
      <c r="B1644" s="95">
        <v>44450</v>
      </c>
      <c r="C1644" s="97">
        <f t="shared" ca="1" si="500"/>
        <v>-614</v>
      </c>
      <c r="D1644" s="96" t="s">
        <v>1268</v>
      </c>
      <c r="E1644" s="94" t="s">
        <v>1101</v>
      </c>
      <c r="F1644" s="98" t="str">
        <f t="shared" si="497"/>
        <v>B4</v>
      </c>
      <c r="G1644" s="110">
        <f ca="1">SUMIF($A:E,$A1644,K:K)</f>
        <v>608</v>
      </c>
      <c r="H1644" s="97" t="s">
        <v>933</v>
      </c>
      <c r="I1644" s="98">
        <v>608</v>
      </c>
      <c r="J1644" s="97">
        <v>608</v>
      </c>
      <c r="K1644" s="143">
        <f t="shared" si="491"/>
        <v>608</v>
      </c>
      <c r="L1644" s="144">
        <f t="shared" si="493"/>
        <v>0</v>
      </c>
      <c r="M1644" s="275">
        <f t="shared" si="501"/>
        <v>1216</v>
      </c>
      <c r="N1644" s="98">
        <v>2</v>
      </c>
      <c r="O1644" s="93">
        <f t="shared" si="498"/>
        <v>100</v>
      </c>
      <c r="GS1644" s="100">
        <v>19</v>
      </c>
      <c r="GU1644" s="100">
        <v>40</v>
      </c>
      <c r="GV1644" s="100">
        <v>27</v>
      </c>
      <c r="GY1644" s="100">
        <v>56</v>
      </c>
      <c r="GZ1644" s="100">
        <v>32</v>
      </c>
      <c r="HB1644" s="100">
        <v>34</v>
      </c>
      <c r="HC1644" s="100">
        <v>18</v>
      </c>
      <c r="HD1644" s="100">
        <v>32</v>
      </c>
      <c r="HE1644" s="100">
        <v>31</v>
      </c>
      <c r="HF1644" s="100">
        <v>31</v>
      </c>
      <c r="HG1644" s="100">
        <v>45</v>
      </c>
      <c r="HI1644" s="100">
        <v>49</v>
      </c>
      <c r="HJ1644" s="100">
        <v>27</v>
      </c>
      <c r="HK1644" s="100">
        <v>18</v>
      </c>
      <c r="HL1644" s="100">
        <v>36</v>
      </c>
      <c r="HM1644" s="100">
        <v>50</v>
      </c>
      <c r="HN1644" s="100">
        <v>34</v>
      </c>
      <c r="HP1644" s="100">
        <v>29</v>
      </c>
      <c r="ON1644" s="100">
        <f t="shared" si="492"/>
        <v>0</v>
      </c>
    </row>
    <row r="1645" spans="1:404" ht="23.25" customHeight="1">
      <c r="A1645" s="97" t="str">
        <f t="shared" si="499"/>
        <v>005/TK MAXX-2166-55137-S2-B4</v>
      </c>
      <c r="B1645" s="95" t="s">
        <v>1282</v>
      </c>
      <c r="C1645" s="97">
        <f t="shared" ca="1" si="500"/>
        <v>-508</v>
      </c>
      <c r="D1645" s="96" t="s">
        <v>1283</v>
      </c>
      <c r="E1645" s="94" t="s">
        <v>1101</v>
      </c>
      <c r="F1645" s="98" t="str">
        <f t="shared" si="497"/>
        <v>B4</v>
      </c>
      <c r="G1645" s="110">
        <f ca="1">SUMIF($A:E,$A1645,K:K)</f>
        <v>352</v>
      </c>
      <c r="H1645" s="97" t="s">
        <v>933</v>
      </c>
      <c r="I1645" s="98">
        <v>352</v>
      </c>
      <c r="J1645" s="97">
        <v>352</v>
      </c>
      <c r="K1645" s="143">
        <f t="shared" si="491"/>
        <v>352</v>
      </c>
      <c r="L1645" s="144">
        <f t="shared" si="493"/>
        <v>0</v>
      </c>
      <c r="M1645" s="275">
        <f t="shared" si="501"/>
        <v>704</v>
      </c>
      <c r="N1645" s="98">
        <v>2</v>
      </c>
      <c r="O1645" s="93">
        <f t="shared" si="498"/>
        <v>100</v>
      </c>
      <c r="LN1645" s="100">
        <v>3</v>
      </c>
      <c r="LP1645" s="100">
        <v>39</v>
      </c>
      <c r="LQ1645" s="100">
        <v>9</v>
      </c>
      <c r="LS1645" s="100">
        <v>19</v>
      </c>
      <c r="LT1645" s="100">
        <v>29</v>
      </c>
      <c r="LW1645" s="100">
        <v>24</v>
      </c>
      <c r="LX1645" s="100">
        <v>10</v>
      </c>
      <c r="LY1645" s="100">
        <v>22</v>
      </c>
      <c r="LZ1645" s="100">
        <v>20</v>
      </c>
      <c r="MA1645" s="100">
        <v>18</v>
      </c>
      <c r="MB1645" s="100">
        <v>21</v>
      </c>
      <c r="MD1645" s="100">
        <v>20</v>
      </c>
      <c r="ME1645" s="100">
        <v>8</v>
      </c>
      <c r="MG1645" s="100">
        <v>36</v>
      </c>
      <c r="MH1645" s="100">
        <v>10</v>
      </c>
      <c r="MK1645" s="100">
        <v>26</v>
      </c>
      <c r="ML1645" s="100">
        <v>20</v>
      </c>
      <c r="MM1645" s="100">
        <v>11</v>
      </c>
      <c r="MN1645" s="100">
        <v>7</v>
      </c>
      <c r="ON1645" s="100">
        <f t="shared" si="492"/>
        <v>0</v>
      </c>
    </row>
    <row r="1646" spans="1:404" ht="23.25" customHeight="1">
      <c r="A1646" s="97" t="str">
        <f t="shared" si="499"/>
        <v>006/TK MAXX-2166-55137-S2-B4</v>
      </c>
      <c r="B1646" s="206">
        <v>44563</v>
      </c>
      <c r="C1646" s="97">
        <f t="shared" ca="1" si="500"/>
        <v>-501</v>
      </c>
      <c r="D1646" s="96" t="s">
        <v>1293</v>
      </c>
      <c r="E1646" s="94" t="s">
        <v>1101</v>
      </c>
      <c r="F1646" s="98" t="str">
        <f t="shared" si="497"/>
        <v>B4</v>
      </c>
      <c r="G1646" s="110">
        <f ca="1">SUMIF($A:E,$A1646,K:K)</f>
        <v>192</v>
      </c>
      <c r="H1646" s="97" t="s">
        <v>933</v>
      </c>
      <c r="I1646" s="98">
        <v>192</v>
      </c>
      <c r="J1646" s="98">
        <v>192</v>
      </c>
      <c r="K1646" s="143">
        <f t="shared" si="491"/>
        <v>192</v>
      </c>
      <c r="L1646" s="144">
        <f t="shared" si="493"/>
        <v>0</v>
      </c>
      <c r="M1646" s="275">
        <f t="shared" si="501"/>
        <v>384</v>
      </c>
      <c r="N1646" s="98" t="s">
        <v>1768</v>
      </c>
      <c r="O1646" s="93">
        <f t="shared" si="498"/>
        <v>100</v>
      </c>
      <c r="MN1646" s="100">
        <v>10</v>
      </c>
      <c r="MO1646" s="100">
        <v>23</v>
      </c>
      <c r="MP1646" s="100">
        <v>29</v>
      </c>
      <c r="MQ1646" s="100">
        <v>31</v>
      </c>
      <c r="MR1646" s="100">
        <v>14</v>
      </c>
      <c r="MS1646" s="100">
        <v>29</v>
      </c>
      <c r="MT1646" s="100">
        <v>26</v>
      </c>
      <c r="MU1646" s="100">
        <v>30</v>
      </c>
      <c r="ON1646" s="100">
        <f t="shared" si="492"/>
        <v>0</v>
      </c>
    </row>
    <row r="1647" spans="1:404" ht="23.25" customHeight="1">
      <c r="A1647" s="97" t="s">
        <v>2355</v>
      </c>
      <c r="B1647" s="95">
        <v>44588</v>
      </c>
      <c r="C1647" s="97">
        <v>34</v>
      </c>
      <c r="D1647" s="112" t="s">
        <v>1295</v>
      </c>
      <c r="E1647" s="123" t="s">
        <v>1101</v>
      </c>
      <c r="F1647" s="98" t="s">
        <v>1772</v>
      </c>
      <c r="G1647" s="110">
        <v>0</v>
      </c>
      <c r="H1647" s="97" t="s">
        <v>508</v>
      </c>
      <c r="I1647" s="175">
        <v>672</v>
      </c>
      <c r="J1647" s="115">
        <v>472</v>
      </c>
      <c r="K1647" s="143">
        <f t="shared" si="491"/>
        <v>472</v>
      </c>
      <c r="L1647" s="144">
        <f t="shared" si="493"/>
        <v>0</v>
      </c>
      <c r="M1647" s="98"/>
      <c r="N1647" s="98">
        <v>6</v>
      </c>
      <c r="O1647" s="93">
        <f t="shared" si="498"/>
        <v>100</v>
      </c>
      <c r="MN1647" s="100">
        <v>10</v>
      </c>
      <c r="MO1647" s="100">
        <v>27</v>
      </c>
      <c r="MP1647" s="100">
        <v>1</v>
      </c>
      <c r="MQ1647" s="100">
        <v>20</v>
      </c>
      <c r="MR1647" s="100">
        <v>20</v>
      </c>
      <c r="MS1647" s="100">
        <v>40</v>
      </c>
      <c r="MU1647" s="100">
        <v>40</v>
      </c>
      <c r="MW1647" s="100">
        <v>20</v>
      </c>
      <c r="MY1647" s="100">
        <v>20</v>
      </c>
      <c r="ND1647" s="100">
        <v>15</v>
      </c>
      <c r="NE1647" s="100">
        <v>84</v>
      </c>
      <c r="NF1647" s="100">
        <v>75</v>
      </c>
      <c r="NG1647" s="100">
        <v>2</v>
      </c>
      <c r="NI1647" s="100">
        <v>81</v>
      </c>
      <c r="NK1647" s="100">
        <v>17</v>
      </c>
      <c r="ON1647" s="100">
        <f t="shared" si="492"/>
        <v>0</v>
      </c>
    </row>
    <row r="1648" spans="1:404" ht="23.25" customHeight="1">
      <c r="A1648" s="97" t="str">
        <f t="shared" ref="A1648:A1659" si="502">D1648&amp;E1648</f>
        <v>007/HOMEGOODS-2166-55137-S2-B4</v>
      </c>
      <c r="B1648" s="95">
        <v>44607</v>
      </c>
      <c r="C1648" s="97">
        <f t="shared" ref="C1648:C1675" ca="1" si="503">B1648-TODAY()</f>
        <v>-457</v>
      </c>
      <c r="D1648" s="112" t="s">
        <v>1295</v>
      </c>
      <c r="E1648" s="123" t="s">
        <v>1101</v>
      </c>
      <c r="F1648" s="98" t="str">
        <f t="shared" ref="F1648:F1659" si="504">MID(E1648,13,2)</f>
        <v>B4</v>
      </c>
      <c r="G1648" s="110">
        <f ca="1">SUMIF($A:E,$A1648,K:K)</f>
        <v>727</v>
      </c>
      <c r="H1648" s="97" t="s">
        <v>508</v>
      </c>
      <c r="I1648" s="175">
        <v>672</v>
      </c>
      <c r="J1648" s="115">
        <f>672-472</f>
        <v>200</v>
      </c>
      <c r="K1648" s="143">
        <f t="shared" si="491"/>
        <v>255</v>
      </c>
      <c r="L1648" s="144">
        <f t="shared" si="493"/>
        <v>-55</v>
      </c>
      <c r="M1648" s="275">
        <f t="shared" ref="M1648:M1680" si="505">IF(OR(MID(E1648,10,1)="0",MID(E1648,10,1)="F"),I1648,IF(OR(,MID(E1648,10,1)="S",MID(E1648,10,1)="L",MID(E1648,10,1)="B",MID(E1648,10,1)="X"),MID(E1648,11,1)*I1648,0))</f>
        <v>1344</v>
      </c>
      <c r="N1648" s="98">
        <v>2</v>
      </c>
      <c r="O1648" s="93">
        <f t="shared" si="498"/>
        <v>127.49999999999999</v>
      </c>
      <c r="MO1648" s="100">
        <v>9</v>
      </c>
      <c r="MP1648" s="100">
        <v>4</v>
      </c>
      <c r="MQ1648" s="100">
        <v>6</v>
      </c>
      <c r="MR1648" s="100">
        <v>7</v>
      </c>
      <c r="MS1648" s="100">
        <v>10</v>
      </c>
      <c r="MT1648" s="100">
        <v>5</v>
      </c>
      <c r="MU1648" s="100">
        <v>8</v>
      </c>
      <c r="MX1648" s="100">
        <v>5</v>
      </c>
      <c r="MY1648" s="100">
        <v>4</v>
      </c>
      <c r="MZ1648" s="100">
        <v>2</v>
      </c>
      <c r="NA1648" s="100">
        <v>8</v>
      </c>
      <c r="ND1648" s="100">
        <v>9</v>
      </c>
      <c r="NF1648" s="100">
        <v>6</v>
      </c>
      <c r="NG1648" s="100">
        <v>9</v>
      </c>
      <c r="NI1648" s="100">
        <v>6</v>
      </c>
      <c r="NL1648" s="100">
        <v>27</v>
      </c>
      <c r="NM1648" s="100">
        <v>10</v>
      </c>
      <c r="NN1648" s="100">
        <v>10</v>
      </c>
      <c r="NS1648" s="100">
        <v>10</v>
      </c>
      <c r="NT1648" s="100">
        <v>10</v>
      </c>
      <c r="NU1648" s="100">
        <v>5</v>
      </c>
      <c r="NV1648" s="100">
        <v>9</v>
      </c>
      <c r="NY1648" s="100">
        <v>8</v>
      </c>
      <c r="NZ1648" s="100">
        <v>10</v>
      </c>
      <c r="OA1648" s="100">
        <v>3</v>
      </c>
      <c r="ON1648" s="100">
        <f t="shared" si="492"/>
        <v>55</v>
      </c>
    </row>
    <row r="1649" spans="1:404" ht="23.25" customHeight="1">
      <c r="A1649" s="97" t="str">
        <f t="shared" si="502"/>
        <v>001/TK MAXX-USA-2166-55137-S2-B4</v>
      </c>
      <c r="B1649" s="95">
        <v>44608</v>
      </c>
      <c r="C1649" s="97">
        <f t="shared" ca="1" si="503"/>
        <v>-456</v>
      </c>
      <c r="D1649" s="112" t="s">
        <v>1363</v>
      </c>
      <c r="E1649" s="123" t="s">
        <v>1101</v>
      </c>
      <c r="F1649" s="98" t="str">
        <f t="shared" si="504"/>
        <v>B4</v>
      </c>
      <c r="G1649" s="110">
        <f ca="1">SUMIF($A:E,$A1649,K:K)</f>
        <v>128</v>
      </c>
      <c r="H1649" s="97" t="s">
        <v>508</v>
      </c>
      <c r="I1649" s="175">
        <v>64</v>
      </c>
      <c r="J1649" s="115">
        <v>64</v>
      </c>
      <c r="K1649" s="143">
        <f t="shared" si="491"/>
        <v>128</v>
      </c>
      <c r="L1649" s="144">
        <f t="shared" si="493"/>
        <v>-64</v>
      </c>
      <c r="M1649" s="275">
        <f t="shared" si="505"/>
        <v>128</v>
      </c>
      <c r="N1649" s="98">
        <v>6</v>
      </c>
      <c r="O1649" s="93">
        <f t="shared" si="498"/>
        <v>200</v>
      </c>
      <c r="OF1649" s="100">
        <v>42</v>
      </c>
      <c r="OG1649" s="100">
        <v>22</v>
      </c>
      <c r="ON1649" s="100">
        <f t="shared" si="492"/>
        <v>64</v>
      </c>
    </row>
    <row r="1650" spans="1:404" ht="23.25" customHeight="1">
      <c r="A1650" s="97" t="str">
        <f t="shared" si="502"/>
        <v>001/SIERRA-2166-55137-S2-B4</v>
      </c>
      <c r="B1650" s="206">
        <v>44523</v>
      </c>
      <c r="C1650" s="97">
        <f t="shared" ca="1" si="503"/>
        <v>-541</v>
      </c>
      <c r="D1650" s="112" t="s">
        <v>1369</v>
      </c>
      <c r="E1650" s="279" t="s">
        <v>1101</v>
      </c>
      <c r="F1650" s="98" t="str">
        <f t="shared" si="504"/>
        <v>B4</v>
      </c>
      <c r="G1650" s="110">
        <f ca="1">SUMIF($A:E,$A1650,K:K)</f>
        <v>96</v>
      </c>
      <c r="H1650" s="97" t="s">
        <v>508</v>
      </c>
      <c r="I1650" s="175">
        <v>96</v>
      </c>
      <c r="J1650" s="115">
        <v>96</v>
      </c>
      <c r="K1650" s="143">
        <f t="shared" si="491"/>
        <v>96</v>
      </c>
      <c r="L1650" s="144">
        <f t="shared" si="493"/>
        <v>0</v>
      </c>
      <c r="M1650" s="275">
        <f t="shared" si="505"/>
        <v>192</v>
      </c>
      <c r="N1650" s="98" t="s">
        <v>1768</v>
      </c>
      <c r="O1650" s="93">
        <f t="shared" si="498"/>
        <v>100</v>
      </c>
      <c r="IP1650" s="100">
        <v>15</v>
      </c>
      <c r="IR1650" s="100">
        <v>11</v>
      </c>
      <c r="IS1650" s="100">
        <v>19</v>
      </c>
      <c r="IU1650" s="100">
        <v>15</v>
      </c>
      <c r="IV1650" s="100">
        <v>14</v>
      </c>
      <c r="IW1650" s="100">
        <v>22</v>
      </c>
      <c r="ON1650" s="100">
        <f t="shared" si="492"/>
        <v>0</v>
      </c>
    </row>
    <row r="1651" spans="1:404" ht="23.25" customHeight="1">
      <c r="A1651" s="97" t="str">
        <f t="shared" si="502"/>
        <v>005/HOMEGOODS-2166-55137-S2-B4</v>
      </c>
      <c r="B1651" s="95">
        <v>44531</v>
      </c>
      <c r="C1651" s="97">
        <f t="shared" ca="1" si="503"/>
        <v>-533</v>
      </c>
      <c r="D1651" s="112" t="s">
        <v>1432</v>
      </c>
      <c r="E1651" s="279" t="s">
        <v>1101</v>
      </c>
      <c r="F1651" s="98" t="str">
        <f t="shared" si="504"/>
        <v>B4</v>
      </c>
      <c r="G1651" s="110">
        <f ca="1">SUMIF($A:E,$A1651,K:K)</f>
        <v>608</v>
      </c>
      <c r="H1651" s="97" t="s">
        <v>616</v>
      </c>
      <c r="I1651" s="175">
        <v>608</v>
      </c>
      <c r="J1651" s="115">
        <v>608</v>
      </c>
      <c r="K1651" s="143">
        <f t="shared" si="491"/>
        <v>608</v>
      </c>
      <c r="L1651" s="144">
        <f t="shared" si="493"/>
        <v>0</v>
      </c>
      <c r="M1651" s="275">
        <f t="shared" si="505"/>
        <v>1216</v>
      </c>
      <c r="N1651" s="98" t="s">
        <v>1768</v>
      </c>
      <c r="O1651" s="93">
        <f t="shared" si="498"/>
        <v>100</v>
      </c>
      <c r="IW1651" s="100">
        <v>9</v>
      </c>
      <c r="IY1651" s="100">
        <v>15</v>
      </c>
      <c r="IZ1651" s="100">
        <v>11</v>
      </c>
      <c r="JA1651" s="100">
        <v>19</v>
      </c>
      <c r="JB1651" s="100">
        <v>15</v>
      </c>
      <c r="JC1651" s="100">
        <v>15</v>
      </c>
      <c r="JF1651" s="100">
        <v>15</v>
      </c>
      <c r="JG1651" s="100">
        <v>30</v>
      </c>
      <c r="JH1651" s="100">
        <v>15</v>
      </c>
      <c r="JJ1651" s="100">
        <v>30</v>
      </c>
      <c r="JK1651" s="100">
        <v>15</v>
      </c>
      <c r="JN1651" s="100">
        <v>30</v>
      </c>
      <c r="JO1651" s="100">
        <v>15</v>
      </c>
      <c r="JP1651" s="100">
        <v>14</v>
      </c>
      <c r="JQ1651" s="100">
        <v>15</v>
      </c>
      <c r="JT1651" s="100">
        <v>16</v>
      </c>
      <c r="JU1651" s="100">
        <v>29</v>
      </c>
      <c r="JV1651" s="100">
        <v>14</v>
      </c>
      <c r="JX1651" s="100">
        <v>32</v>
      </c>
      <c r="JY1651" s="100">
        <v>15</v>
      </c>
      <c r="KB1651" s="100">
        <v>30</v>
      </c>
      <c r="KC1651" s="100">
        <v>15</v>
      </c>
      <c r="KD1651" s="100">
        <v>15</v>
      </c>
      <c r="KE1651" s="100">
        <v>14</v>
      </c>
      <c r="KF1651" s="100">
        <v>15</v>
      </c>
      <c r="KG1651" s="100">
        <v>1</v>
      </c>
      <c r="KH1651" s="100">
        <v>30</v>
      </c>
      <c r="KI1651" s="100">
        <v>15</v>
      </c>
      <c r="KJ1651" s="100">
        <v>15</v>
      </c>
      <c r="KN1651" s="100">
        <v>15</v>
      </c>
      <c r="KO1651" s="100">
        <v>15</v>
      </c>
      <c r="KP1651" s="100">
        <v>15</v>
      </c>
      <c r="KQ1651" s="100">
        <v>15</v>
      </c>
      <c r="KR1651" s="100">
        <v>15</v>
      </c>
      <c r="KU1651" s="100">
        <v>14</v>
      </c>
      <c r="ON1651" s="100">
        <f t="shared" si="492"/>
        <v>0</v>
      </c>
    </row>
    <row r="1652" spans="1:404" ht="23.25" customHeight="1">
      <c r="A1652" s="97" t="str">
        <f t="shared" si="502"/>
        <v>006/HOMEGOODS-2166-55137-S2-B4</v>
      </c>
      <c r="B1652" s="95">
        <v>44555</v>
      </c>
      <c r="C1652" s="97">
        <f t="shared" ca="1" si="503"/>
        <v>-509</v>
      </c>
      <c r="D1652" s="112" t="s">
        <v>1433</v>
      </c>
      <c r="E1652" s="279" t="s">
        <v>1101</v>
      </c>
      <c r="F1652" s="98" t="str">
        <f t="shared" si="504"/>
        <v>B4</v>
      </c>
      <c r="G1652" s="110">
        <f ca="1">SUMIF($A:E,$A1652,K:K)</f>
        <v>800</v>
      </c>
      <c r="H1652" s="97" t="s">
        <v>616</v>
      </c>
      <c r="I1652" s="175">
        <v>800</v>
      </c>
      <c r="J1652" s="115">
        <v>800</v>
      </c>
      <c r="K1652" s="143">
        <f t="shared" si="491"/>
        <v>800</v>
      </c>
      <c r="L1652" s="144">
        <f t="shared" si="493"/>
        <v>0</v>
      </c>
      <c r="M1652" s="275">
        <f t="shared" si="505"/>
        <v>1600</v>
      </c>
      <c r="N1652" s="98" t="s">
        <v>1768</v>
      </c>
      <c r="O1652" s="93">
        <f t="shared" si="498"/>
        <v>100</v>
      </c>
      <c r="KU1652" s="100">
        <v>1</v>
      </c>
      <c r="KV1652" s="100">
        <v>15</v>
      </c>
      <c r="KW1652" s="100">
        <v>15</v>
      </c>
      <c r="KX1652" s="100">
        <v>15</v>
      </c>
      <c r="KY1652" s="100">
        <v>15</v>
      </c>
      <c r="LB1652" s="100">
        <v>44</v>
      </c>
      <c r="LC1652" s="100">
        <v>15</v>
      </c>
      <c r="LD1652" s="100">
        <v>15</v>
      </c>
      <c r="LE1652" s="100">
        <v>15</v>
      </c>
      <c r="LF1652" s="100">
        <v>30</v>
      </c>
      <c r="LI1652" s="100">
        <v>60</v>
      </c>
      <c r="LJ1652" s="100">
        <v>15</v>
      </c>
      <c r="LK1652" s="100">
        <v>30</v>
      </c>
      <c r="LL1652" s="100">
        <v>30</v>
      </c>
      <c r="LM1652" s="100">
        <v>15</v>
      </c>
      <c r="LN1652" s="100">
        <v>30</v>
      </c>
      <c r="LP1652" s="100">
        <v>15</v>
      </c>
      <c r="LQ1652" s="100">
        <v>16</v>
      </c>
      <c r="LR1652" s="100">
        <v>15</v>
      </c>
      <c r="LS1652" s="100">
        <v>12</v>
      </c>
      <c r="LT1652" s="100">
        <v>30</v>
      </c>
      <c r="LU1652" s="100">
        <v>27</v>
      </c>
      <c r="LW1652" s="100">
        <v>15</v>
      </c>
      <c r="LX1652" s="100">
        <v>20</v>
      </c>
      <c r="LY1652" s="100">
        <v>30</v>
      </c>
      <c r="LZ1652" s="100">
        <v>29</v>
      </c>
      <c r="MA1652" s="100">
        <v>30</v>
      </c>
      <c r="MB1652" s="100">
        <v>29</v>
      </c>
      <c r="MD1652" s="100">
        <v>29</v>
      </c>
      <c r="ME1652" s="100">
        <v>12</v>
      </c>
      <c r="MG1652" s="100">
        <v>30</v>
      </c>
      <c r="MH1652" s="100">
        <v>22</v>
      </c>
      <c r="MK1652" s="100">
        <v>36</v>
      </c>
      <c r="ML1652" s="100">
        <v>4</v>
      </c>
      <c r="MM1652" s="100">
        <v>1</v>
      </c>
      <c r="MN1652" s="100">
        <v>38</v>
      </c>
      <c r="ON1652" s="100">
        <f t="shared" si="492"/>
        <v>0</v>
      </c>
    </row>
    <row r="1653" spans="1:404" ht="23.25" customHeight="1">
      <c r="A1653" s="97" t="str">
        <f t="shared" si="502"/>
        <v>001T/HOMEGOODS-2166-55137-02-B4</v>
      </c>
      <c r="B1653" s="95">
        <v>44408</v>
      </c>
      <c r="C1653" s="97">
        <f t="shared" ca="1" si="503"/>
        <v>-656</v>
      </c>
      <c r="D1653" s="96" t="s">
        <v>1090</v>
      </c>
      <c r="E1653" s="94" t="s">
        <v>1097</v>
      </c>
      <c r="F1653" s="98" t="str">
        <f t="shared" si="504"/>
        <v>B4</v>
      </c>
      <c r="G1653" s="110">
        <f ca="1">SUMIF($A:E,$A1653,K:K)</f>
        <v>320</v>
      </c>
      <c r="H1653" s="97" t="s">
        <v>616</v>
      </c>
      <c r="I1653" s="98">
        <v>320</v>
      </c>
      <c r="J1653" s="97">
        <v>320</v>
      </c>
      <c r="K1653" s="143">
        <f t="shared" si="491"/>
        <v>320</v>
      </c>
      <c r="L1653" s="144">
        <f t="shared" si="493"/>
        <v>0</v>
      </c>
      <c r="M1653" s="275">
        <f t="shared" si="505"/>
        <v>320</v>
      </c>
      <c r="N1653" s="98">
        <v>2</v>
      </c>
      <c r="O1653" s="93">
        <f t="shared" si="498"/>
        <v>100</v>
      </c>
      <c r="FV1653" s="100">
        <v>14</v>
      </c>
      <c r="FW1653" s="100">
        <v>8</v>
      </c>
      <c r="FX1653" s="100">
        <v>8</v>
      </c>
      <c r="FZ1653" s="100">
        <v>22</v>
      </c>
      <c r="GA1653" s="100">
        <v>12</v>
      </c>
      <c r="GB1653" s="100">
        <v>17</v>
      </c>
      <c r="GC1653" s="100">
        <v>20</v>
      </c>
      <c r="GD1653" s="100">
        <v>21</v>
      </c>
      <c r="GE1653" s="100">
        <v>7</v>
      </c>
      <c r="GG1653" s="100">
        <v>30</v>
      </c>
      <c r="GJ1653" s="100">
        <f>14+28</f>
        <v>42</v>
      </c>
      <c r="GK1653" s="100">
        <v>8</v>
      </c>
      <c r="GL1653" s="100">
        <v>13</v>
      </c>
      <c r="GN1653" s="100">
        <v>22</v>
      </c>
      <c r="GO1653" s="100">
        <v>10</v>
      </c>
      <c r="GP1653" s="100">
        <v>13</v>
      </c>
      <c r="GQ1653" s="100">
        <v>16</v>
      </c>
      <c r="GR1653" s="100">
        <v>29</v>
      </c>
      <c r="GS1653" s="100">
        <v>8</v>
      </c>
      <c r="ON1653" s="100">
        <f t="shared" si="492"/>
        <v>0</v>
      </c>
    </row>
    <row r="1654" spans="1:404" ht="23.25" customHeight="1">
      <c r="A1654" s="97" t="str">
        <f t="shared" si="502"/>
        <v>037/VG_SR-21(TJX)66-55137-02-B4</v>
      </c>
      <c r="B1654" s="95">
        <v>44384</v>
      </c>
      <c r="C1654" s="97">
        <f t="shared" ca="1" si="503"/>
        <v>-680</v>
      </c>
      <c r="D1654" s="96" t="s">
        <v>1206</v>
      </c>
      <c r="E1654" s="94" t="s">
        <v>1097</v>
      </c>
      <c r="F1654" s="98" t="str">
        <f t="shared" si="504"/>
        <v>B4</v>
      </c>
      <c r="G1654" s="110">
        <f ca="1">SUMIF($A:E,$A1654,K:K)</f>
        <v>2</v>
      </c>
      <c r="H1654" s="97" t="s">
        <v>616</v>
      </c>
      <c r="I1654" s="98">
        <v>2</v>
      </c>
      <c r="J1654" s="97">
        <v>2</v>
      </c>
      <c r="K1654" s="143">
        <f t="shared" si="491"/>
        <v>2</v>
      </c>
      <c r="L1654" s="144">
        <f t="shared" si="493"/>
        <v>0</v>
      </c>
      <c r="M1654" s="275">
        <f t="shared" si="505"/>
        <v>2</v>
      </c>
      <c r="N1654" s="98">
        <v>2</v>
      </c>
      <c r="O1654" s="93">
        <f t="shared" si="498"/>
        <v>100</v>
      </c>
      <c r="FU1654" s="100">
        <v>2</v>
      </c>
      <c r="ON1654" s="100">
        <f t="shared" si="492"/>
        <v>0</v>
      </c>
    </row>
    <row r="1655" spans="1:404" ht="23.25" customHeight="1">
      <c r="A1655" s="97" t="str">
        <f t="shared" si="502"/>
        <v>007T/OBI-2166-55137-02-B4</v>
      </c>
      <c r="B1655" s="95">
        <v>44453</v>
      </c>
      <c r="C1655" s="97">
        <f t="shared" ca="1" si="503"/>
        <v>-611</v>
      </c>
      <c r="D1655" s="112" t="s">
        <v>1391</v>
      </c>
      <c r="E1655" s="123" t="s">
        <v>1097</v>
      </c>
      <c r="F1655" s="98" t="str">
        <f t="shared" si="504"/>
        <v>B4</v>
      </c>
      <c r="G1655" s="110">
        <f ca="1">SUMIF($A:E,$A1655,K:K)</f>
        <v>376</v>
      </c>
      <c r="H1655" s="97" t="s">
        <v>1402</v>
      </c>
      <c r="I1655" s="175">
        <v>376</v>
      </c>
      <c r="J1655" s="115">
        <v>250</v>
      </c>
      <c r="K1655" s="143">
        <f t="shared" si="491"/>
        <v>250</v>
      </c>
      <c r="L1655" s="144">
        <f t="shared" si="493"/>
        <v>0</v>
      </c>
      <c r="M1655" s="275">
        <f t="shared" si="505"/>
        <v>376</v>
      </c>
      <c r="N1655" s="98">
        <v>4</v>
      </c>
      <c r="O1655" s="93">
        <f t="shared" si="498"/>
        <v>100</v>
      </c>
      <c r="HN1655" s="100">
        <v>20</v>
      </c>
      <c r="HP1655" s="100">
        <v>18</v>
      </c>
      <c r="HQ1655" s="100">
        <v>20</v>
      </c>
      <c r="HR1655" s="100">
        <v>20</v>
      </c>
      <c r="HS1655" s="100">
        <v>19</v>
      </c>
      <c r="HT1655" s="100">
        <v>22</v>
      </c>
      <c r="HU1655" s="100">
        <v>20</v>
      </c>
      <c r="HW1655" s="100">
        <v>19</v>
      </c>
      <c r="HX1655" s="100">
        <v>20</v>
      </c>
      <c r="IB1655" s="100">
        <v>20</v>
      </c>
      <c r="ID1655" s="100">
        <v>20</v>
      </c>
      <c r="IF1655" s="100">
        <v>32</v>
      </c>
      <c r="ON1655" s="100">
        <f t="shared" si="492"/>
        <v>0</v>
      </c>
    </row>
    <row r="1656" spans="1:404" ht="23.25" customHeight="1">
      <c r="A1656" s="97" t="str">
        <f t="shared" si="502"/>
        <v>007T/OBI-2166-55137-02-B4</v>
      </c>
      <c r="B1656" s="95">
        <v>44453</v>
      </c>
      <c r="C1656" s="97">
        <f t="shared" ca="1" si="503"/>
        <v>-611</v>
      </c>
      <c r="D1656" s="112" t="s">
        <v>1391</v>
      </c>
      <c r="E1656" s="123" t="s">
        <v>1097</v>
      </c>
      <c r="F1656" s="98" t="str">
        <f t="shared" si="504"/>
        <v>B4</v>
      </c>
      <c r="G1656" s="110">
        <f ca="1">SUMIF($A:E,$A1656,K:K)</f>
        <v>376</v>
      </c>
      <c r="H1656" s="97" t="s">
        <v>1402</v>
      </c>
      <c r="I1656" s="175">
        <v>376</v>
      </c>
      <c r="J1656" s="115">
        <f>376-J1655</f>
        <v>126</v>
      </c>
      <c r="K1656" s="143">
        <f t="shared" si="491"/>
        <v>126</v>
      </c>
      <c r="L1656" s="144">
        <f t="shared" si="493"/>
        <v>0</v>
      </c>
      <c r="M1656" s="275">
        <f t="shared" si="505"/>
        <v>376</v>
      </c>
      <c r="N1656" s="98">
        <v>2</v>
      </c>
      <c r="O1656" s="93">
        <f t="shared" si="498"/>
        <v>100</v>
      </c>
      <c r="HP1656" s="100">
        <v>8</v>
      </c>
      <c r="HQ1656" s="100">
        <v>65</v>
      </c>
      <c r="HR1656" s="100">
        <v>36</v>
      </c>
      <c r="HS1656" s="100">
        <v>17</v>
      </c>
      <c r="ON1656" s="100">
        <f t="shared" si="492"/>
        <v>0</v>
      </c>
    </row>
    <row r="1657" spans="1:404" ht="23.25" customHeight="1">
      <c r="A1657" s="97" t="str">
        <f t="shared" si="502"/>
        <v>009T/OBI-2166-55137-02-B4</v>
      </c>
      <c r="B1657" s="95">
        <v>44465</v>
      </c>
      <c r="C1657" s="97">
        <f t="shared" ca="1" si="503"/>
        <v>-599</v>
      </c>
      <c r="D1657" s="112" t="s">
        <v>1394</v>
      </c>
      <c r="E1657" s="123" t="s">
        <v>1097</v>
      </c>
      <c r="F1657" s="98" t="str">
        <f t="shared" si="504"/>
        <v>B4</v>
      </c>
      <c r="G1657" s="110">
        <f ca="1">SUMIF($A:E,$A1657,K:K)</f>
        <v>264</v>
      </c>
      <c r="H1657" s="97" t="s">
        <v>1402</v>
      </c>
      <c r="I1657" s="175">
        <v>264</v>
      </c>
      <c r="J1657" s="115">
        <v>264</v>
      </c>
      <c r="K1657" s="143">
        <f t="shared" si="491"/>
        <v>264</v>
      </c>
      <c r="L1657" s="144">
        <f t="shared" si="493"/>
        <v>0</v>
      </c>
      <c r="M1657" s="275">
        <f t="shared" si="505"/>
        <v>264</v>
      </c>
      <c r="N1657" s="98">
        <v>2</v>
      </c>
      <c r="O1657" s="93">
        <f t="shared" si="498"/>
        <v>100</v>
      </c>
      <c r="HS1657" s="100">
        <v>33</v>
      </c>
      <c r="HT1657" s="100">
        <v>49</v>
      </c>
      <c r="HU1657" s="100">
        <v>31</v>
      </c>
      <c r="HW1657" s="100">
        <v>31</v>
      </c>
      <c r="HX1657" s="100">
        <v>27</v>
      </c>
      <c r="HY1657" s="100">
        <v>25</v>
      </c>
      <c r="IB1657" s="100">
        <v>9</v>
      </c>
      <c r="ID1657" s="100">
        <v>31</v>
      </c>
      <c r="IE1657" s="100">
        <v>10</v>
      </c>
      <c r="IF1657" s="100">
        <v>18</v>
      </c>
      <c r="ON1657" s="100">
        <f t="shared" si="492"/>
        <v>0</v>
      </c>
    </row>
    <row r="1658" spans="1:404" ht="23.25" customHeight="1">
      <c r="A1658" s="97" t="str">
        <f t="shared" si="502"/>
        <v>013T/OBI-2166-55137-02-B4</v>
      </c>
      <c r="B1658" s="95">
        <v>44480</v>
      </c>
      <c r="C1658" s="97">
        <f t="shared" ca="1" si="503"/>
        <v>-584</v>
      </c>
      <c r="D1658" s="112" t="s">
        <v>1398</v>
      </c>
      <c r="E1658" s="123" t="s">
        <v>1097</v>
      </c>
      <c r="F1658" s="98" t="str">
        <f t="shared" si="504"/>
        <v>B4</v>
      </c>
      <c r="G1658" s="110">
        <f ca="1">SUMIF($A:E,$A1658,K:K)</f>
        <v>160</v>
      </c>
      <c r="H1658" s="97" t="s">
        <v>1402</v>
      </c>
      <c r="I1658" s="175">
        <v>160</v>
      </c>
      <c r="J1658" s="115">
        <v>160</v>
      </c>
      <c r="K1658" s="143">
        <f t="shared" si="491"/>
        <v>160</v>
      </c>
      <c r="L1658" s="144">
        <f t="shared" si="493"/>
        <v>0</v>
      </c>
      <c r="M1658" s="275">
        <f t="shared" si="505"/>
        <v>160</v>
      </c>
      <c r="N1658" s="98">
        <v>4</v>
      </c>
      <c r="O1658" s="93">
        <f t="shared" si="498"/>
        <v>100</v>
      </c>
      <c r="IF1658" s="100">
        <v>7</v>
      </c>
      <c r="IG1658" s="100">
        <v>20</v>
      </c>
      <c r="IH1658" s="100">
        <v>20</v>
      </c>
      <c r="IK1658" s="100">
        <v>17</v>
      </c>
      <c r="IL1658" s="100">
        <v>34</v>
      </c>
      <c r="IM1658" s="100">
        <v>20</v>
      </c>
      <c r="IN1658" s="100">
        <v>18</v>
      </c>
      <c r="IO1658" s="100">
        <v>20</v>
      </c>
      <c r="IR1658" s="100">
        <v>4</v>
      </c>
      <c r="ON1658" s="100">
        <f t="shared" si="492"/>
        <v>0</v>
      </c>
    </row>
    <row r="1659" spans="1:404" ht="23.25" customHeight="1">
      <c r="A1659" s="97" t="str">
        <f t="shared" si="502"/>
        <v>014T/OBI-2166-55137-02-B4</v>
      </c>
      <c r="B1659" s="95">
        <v>44511</v>
      </c>
      <c r="C1659" s="97">
        <f t="shared" ca="1" si="503"/>
        <v>-553</v>
      </c>
      <c r="D1659" s="112" t="s">
        <v>1399</v>
      </c>
      <c r="E1659" s="123" t="s">
        <v>1097</v>
      </c>
      <c r="F1659" s="98" t="str">
        <f t="shared" si="504"/>
        <v>B4</v>
      </c>
      <c r="G1659" s="110">
        <f ca="1">SUMIF($A:E,$A1659,K:K)</f>
        <v>800</v>
      </c>
      <c r="H1659" s="97" t="s">
        <v>1402</v>
      </c>
      <c r="I1659" s="175">
        <v>800</v>
      </c>
      <c r="J1659" s="115">
        <v>800</v>
      </c>
      <c r="K1659" s="143">
        <f t="shared" si="491"/>
        <v>800</v>
      </c>
      <c r="L1659" s="144">
        <f t="shared" si="493"/>
        <v>0</v>
      </c>
      <c r="M1659" s="275">
        <f t="shared" si="505"/>
        <v>800</v>
      </c>
      <c r="N1659" s="98">
        <v>2</v>
      </c>
      <c r="O1659" s="93">
        <f t="shared" si="498"/>
        <v>100</v>
      </c>
      <c r="IG1659" s="100">
        <v>13</v>
      </c>
      <c r="IH1659" s="100">
        <v>10</v>
      </c>
      <c r="IK1659" s="100">
        <v>20</v>
      </c>
      <c r="IM1659" s="100">
        <v>9</v>
      </c>
      <c r="IN1659" s="100">
        <v>9</v>
      </c>
      <c r="IO1659" s="100">
        <v>17</v>
      </c>
      <c r="IP1659" s="100">
        <v>3</v>
      </c>
      <c r="IS1659" s="100">
        <v>9</v>
      </c>
      <c r="IT1659" s="100">
        <v>19</v>
      </c>
      <c r="IU1659" s="100">
        <v>9</v>
      </c>
      <c r="IV1659" s="100">
        <v>2</v>
      </c>
      <c r="IW1659" s="100">
        <v>18</v>
      </c>
      <c r="IY1659" s="100">
        <v>5</v>
      </c>
      <c r="IZ1659" s="100">
        <v>5</v>
      </c>
      <c r="JA1659" s="100">
        <v>10</v>
      </c>
      <c r="JB1659" s="100">
        <v>10</v>
      </c>
      <c r="JD1659" s="100">
        <v>10</v>
      </c>
      <c r="JF1659" s="100">
        <v>12</v>
      </c>
      <c r="JG1659" s="100">
        <v>10</v>
      </c>
      <c r="JH1659" s="100">
        <v>10</v>
      </c>
      <c r="JJ1659" s="100">
        <v>10</v>
      </c>
      <c r="JK1659" s="100">
        <v>19</v>
      </c>
      <c r="JM1659" s="100">
        <v>10</v>
      </c>
      <c r="JN1659" s="100">
        <v>6</v>
      </c>
      <c r="JO1659" s="100">
        <v>10</v>
      </c>
      <c r="JP1659" s="100">
        <v>23</v>
      </c>
      <c r="JQ1659" s="100">
        <v>10</v>
      </c>
      <c r="JT1659" s="100">
        <v>12</v>
      </c>
      <c r="JU1659" s="100">
        <v>36</v>
      </c>
      <c r="JV1659" s="100">
        <v>11</v>
      </c>
      <c r="JW1659" s="100">
        <v>9</v>
      </c>
      <c r="JX1659" s="100">
        <v>25</v>
      </c>
      <c r="JY1659" s="100">
        <f>29+6</f>
        <v>35</v>
      </c>
      <c r="KA1659" s="100">
        <v>14</v>
      </c>
      <c r="KB1659" s="100">
        <v>12</v>
      </c>
      <c r="KC1659" s="100">
        <v>40</v>
      </c>
      <c r="KE1659" s="100">
        <v>35</v>
      </c>
      <c r="KF1659" s="100">
        <v>6</v>
      </c>
      <c r="KG1659" s="100">
        <v>23</v>
      </c>
      <c r="KH1659" s="100">
        <v>10</v>
      </c>
      <c r="KI1659" s="100">
        <v>13</v>
      </c>
      <c r="KJ1659" s="100">
        <v>18</v>
      </c>
      <c r="KN1659" s="100">
        <v>11</v>
      </c>
      <c r="KO1659" s="100">
        <v>7</v>
      </c>
      <c r="KP1659" s="100">
        <v>33</v>
      </c>
      <c r="KQ1659" s="100">
        <v>21</v>
      </c>
      <c r="KR1659" s="100">
        <v>13</v>
      </c>
      <c r="KU1659" s="100">
        <v>8</v>
      </c>
      <c r="KV1659" s="100">
        <v>37</v>
      </c>
      <c r="KZ1659" s="100">
        <v>27</v>
      </c>
      <c r="LC1659" s="100">
        <v>18</v>
      </c>
      <c r="LD1659" s="100">
        <v>11</v>
      </c>
      <c r="LE1659" s="100">
        <v>17</v>
      </c>
      <c r="ON1659" s="100">
        <f t="shared" si="492"/>
        <v>0</v>
      </c>
    </row>
    <row r="1660" spans="1:404" ht="23.25" customHeight="1">
      <c r="A1660" s="97" t="s">
        <v>1850</v>
      </c>
      <c r="B1660" s="95">
        <v>44546</v>
      </c>
      <c r="C1660" s="97">
        <f t="shared" ca="1" si="503"/>
        <v>-518</v>
      </c>
      <c r="D1660" s="112" t="s">
        <v>1401</v>
      </c>
      <c r="E1660" s="123" t="s">
        <v>1097</v>
      </c>
      <c r="F1660" s="98" t="s">
        <v>1772</v>
      </c>
      <c r="G1660" s="110">
        <v>0</v>
      </c>
      <c r="H1660" s="97" t="s">
        <v>1402</v>
      </c>
      <c r="I1660" s="175">
        <v>1400</v>
      </c>
      <c r="J1660" s="115">
        <v>1440</v>
      </c>
      <c r="K1660" s="143">
        <f t="shared" si="491"/>
        <v>1440</v>
      </c>
      <c r="L1660" s="144">
        <f t="shared" si="493"/>
        <v>0</v>
      </c>
      <c r="M1660" s="275">
        <f t="shared" si="505"/>
        <v>1400</v>
      </c>
      <c r="N1660" s="98">
        <v>4</v>
      </c>
      <c r="O1660" s="93">
        <f t="shared" si="498"/>
        <v>100</v>
      </c>
      <c r="IR1660" s="100">
        <v>23</v>
      </c>
      <c r="IS1660" s="100">
        <v>5</v>
      </c>
      <c r="IT1660" s="100">
        <v>30</v>
      </c>
      <c r="IU1660" s="100">
        <v>16</v>
      </c>
      <c r="IV1660" s="100">
        <v>14</v>
      </c>
      <c r="IW1660" s="100">
        <v>19</v>
      </c>
      <c r="IY1660" s="100">
        <v>19</v>
      </c>
      <c r="IZ1660" s="100">
        <v>10</v>
      </c>
      <c r="JA1660" s="100">
        <v>20</v>
      </c>
      <c r="JB1660" s="100">
        <v>20</v>
      </c>
      <c r="JC1660" s="100">
        <v>16</v>
      </c>
      <c r="JD1660" s="100">
        <v>13</v>
      </c>
      <c r="JF1660" s="100">
        <v>12</v>
      </c>
      <c r="JG1660" s="100">
        <v>10</v>
      </c>
      <c r="JH1660" s="100">
        <v>41</v>
      </c>
      <c r="JI1660" s="100">
        <v>20</v>
      </c>
      <c r="JK1660" s="100">
        <v>18</v>
      </c>
      <c r="JM1660" s="100">
        <v>24</v>
      </c>
      <c r="JN1660" s="100">
        <v>8</v>
      </c>
      <c r="JO1660" s="100">
        <v>22</v>
      </c>
      <c r="JP1660" s="100">
        <v>16</v>
      </c>
      <c r="JQ1660" s="100">
        <v>12</v>
      </c>
      <c r="JR1660" s="100">
        <v>10</v>
      </c>
      <c r="JT1660" s="100">
        <v>10</v>
      </c>
      <c r="JU1660" s="100">
        <v>30</v>
      </c>
      <c r="JV1660" s="100">
        <v>17</v>
      </c>
      <c r="JW1660" s="100">
        <v>19</v>
      </c>
      <c r="JX1660" s="100">
        <v>3</v>
      </c>
      <c r="JY1660" s="100">
        <v>28</v>
      </c>
      <c r="KA1660" s="100">
        <v>20</v>
      </c>
      <c r="KB1660" s="100">
        <v>10</v>
      </c>
      <c r="KC1660" s="100">
        <v>18</v>
      </c>
      <c r="KD1660" s="100">
        <v>21</v>
      </c>
      <c r="KE1660" s="100">
        <v>20</v>
      </c>
      <c r="KF1660" s="100">
        <v>20</v>
      </c>
      <c r="KG1660" s="100">
        <v>19</v>
      </c>
      <c r="KH1660" s="100">
        <v>10</v>
      </c>
      <c r="KI1660" s="100">
        <v>10</v>
      </c>
      <c r="KJ1660" s="100">
        <v>30</v>
      </c>
      <c r="KN1660" s="100">
        <v>19</v>
      </c>
      <c r="KO1660" s="100">
        <v>19</v>
      </c>
      <c r="KP1660" s="100">
        <v>20</v>
      </c>
      <c r="KQ1660" s="100">
        <v>18</v>
      </c>
      <c r="KR1660" s="100">
        <v>20</v>
      </c>
      <c r="KU1660" s="100">
        <v>19</v>
      </c>
      <c r="KV1660" s="100">
        <v>30</v>
      </c>
      <c r="KW1660" s="100">
        <v>21</v>
      </c>
      <c r="KX1660" s="100">
        <v>20</v>
      </c>
      <c r="KY1660" s="100">
        <v>20</v>
      </c>
      <c r="KZ1660" s="100">
        <v>19</v>
      </c>
      <c r="LB1660" s="100">
        <v>21</v>
      </c>
      <c r="LC1660" s="100">
        <v>30</v>
      </c>
      <c r="LE1660" s="100">
        <v>22</v>
      </c>
      <c r="LF1660" s="100">
        <v>21</v>
      </c>
      <c r="LG1660" s="100">
        <v>19</v>
      </c>
      <c r="LI1660" s="100">
        <v>21</v>
      </c>
      <c r="LK1660" s="100">
        <v>30</v>
      </c>
      <c r="LN1660" s="100">
        <v>8</v>
      </c>
      <c r="LP1660" s="100">
        <v>21</v>
      </c>
      <c r="LQ1660" s="100">
        <v>28</v>
      </c>
      <c r="LR1660" s="100">
        <v>20</v>
      </c>
      <c r="LS1660" s="100">
        <v>21</v>
      </c>
      <c r="LT1660" s="100">
        <v>20</v>
      </c>
      <c r="LU1660" s="100">
        <v>20</v>
      </c>
      <c r="LW1660" s="100">
        <v>20</v>
      </c>
      <c r="LX1660" s="100">
        <v>30</v>
      </c>
      <c r="LZ1660" s="100">
        <v>40</v>
      </c>
      <c r="MB1660" s="100">
        <v>19</v>
      </c>
      <c r="MD1660" s="100">
        <v>20</v>
      </c>
      <c r="ME1660" s="100">
        <v>10</v>
      </c>
      <c r="MF1660" s="100">
        <v>19</v>
      </c>
      <c r="MG1660" s="100">
        <v>20</v>
      </c>
      <c r="MH1660" s="100">
        <v>8</v>
      </c>
      <c r="MK1660" s="100">
        <v>22</v>
      </c>
      <c r="ML1660" s="100">
        <v>19</v>
      </c>
      <c r="MM1660" s="100">
        <v>2</v>
      </c>
      <c r="MN1660" s="100">
        <v>1</v>
      </c>
      <c r="ON1660" s="100">
        <f t="shared" si="492"/>
        <v>0</v>
      </c>
    </row>
    <row r="1661" spans="1:404" ht="23.25" customHeight="1">
      <c r="A1661" s="97" t="str">
        <f t="shared" ref="A1661:A1667" si="506">D1661&amp;E1661</f>
        <v>001T/HOMEGOODS-2166-55137-01-B4</v>
      </c>
      <c r="B1661" s="95">
        <v>44408</v>
      </c>
      <c r="C1661" s="97">
        <f t="shared" ca="1" si="503"/>
        <v>-656</v>
      </c>
      <c r="D1661" s="96" t="s">
        <v>1090</v>
      </c>
      <c r="E1661" s="94" t="s">
        <v>1094</v>
      </c>
      <c r="F1661" s="98" t="str">
        <f t="shared" ref="F1661:F1667" si="507">MID(E1661,13,2)</f>
        <v>B4</v>
      </c>
      <c r="G1661" s="110">
        <f ca="1">SUMIF($A:E,$A1661,K:K)</f>
        <v>320</v>
      </c>
      <c r="H1661" s="97" t="s">
        <v>616</v>
      </c>
      <c r="I1661" s="98">
        <v>320</v>
      </c>
      <c r="J1661" s="97">
        <v>320</v>
      </c>
      <c r="K1661" s="143">
        <f t="shared" si="491"/>
        <v>320</v>
      </c>
      <c r="L1661" s="144">
        <f t="shared" si="493"/>
        <v>0</v>
      </c>
      <c r="M1661" s="275">
        <f t="shared" si="505"/>
        <v>320</v>
      </c>
      <c r="N1661" s="98">
        <v>2</v>
      </c>
      <c r="O1661" s="93">
        <f t="shared" si="498"/>
        <v>100</v>
      </c>
      <c r="FV1661" s="100">
        <v>14</v>
      </c>
      <c r="FW1661" s="100">
        <v>8</v>
      </c>
      <c r="FX1661" s="100">
        <v>8</v>
      </c>
      <c r="FZ1661" s="100">
        <v>22</v>
      </c>
      <c r="GA1661" s="100">
        <v>12</v>
      </c>
      <c r="GB1661" s="100">
        <v>17</v>
      </c>
      <c r="GC1661" s="100">
        <v>20</v>
      </c>
      <c r="GD1661" s="100">
        <v>21</v>
      </c>
      <c r="GE1661" s="100">
        <v>7</v>
      </c>
      <c r="GG1661" s="100">
        <v>30</v>
      </c>
      <c r="GI1661" s="100">
        <v>28</v>
      </c>
      <c r="GJ1661" s="100">
        <v>14</v>
      </c>
      <c r="GK1661" s="100">
        <v>8</v>
      </c>
      <c r="GL1661" s="100">
        <v>13</v>
      </c>
      <c r="GN1661" s="100">
        <v>22</v>
      </c>
      <c r="GO1661" s="100">
        <v>10</v>
      </c>
      <c r="GP1661" s="100">
        <v>13</v>
      </c>
      <c r="GQ1661" s="100">
        <v>16</v>
      </c>
      <c r="GR1661" s="100">
        <v>29</v>
      </c>
      <c r="GS1661" s="100">
        <v>8</v>
      </c>
      <c r="ON1661" s="100">
        <f t="shared" si="492"/>
        <v>0</v>
      </c>
    </row>
    <row r="1662" spans="1:404" ht="23.25" customHeight="1">
      <c r="A1662" s="97" t="str">
        <f t="shared" si="506"/>
        <v>041/VG_SR-21( TJX)66-55137-01-B4</v>
      </c>
      <c r="B1662" s="95">
        <v>44392</v>
      </c>
      <c r="C1662" s="97">
        <f t="shared" ca="1" si="503"/>
        <v>-672</v>
      </c>
      <c r="D1662" s="112" t="s">
        <v>1301</v>
      </c>
      <c r="E1662" s="123" t="s">
        <v>1094</v>
      </c>
      <c r="F1662" s="98" t="str">
        <f t="shared" si="507"/>
        <v>B4</v>
      </c>
      <c r="G1662" s="110">
        <f ca="1">SUMIF($A:E,$A1662,K:K)</f>
        <v>2</v>
      </c>
      <c r="H1662" s="97" t="s">
        <v>508</v>
      </c>
      <c r="I1662" s="98">
        <v>2</v>
      </c>
      <c r="J1662" s="99">
        <v>2</v>
      </c>
      <c r="K1662" s="143">
        <f t="shared" si="491"/>
        <v>2</v>
      </c>
      <c r="L1662" s="144">
        <f t="shared" si="493"/>
        <v>0</v>
      </c>
      <c r="M1662" s="275">
        <f t="shared" si="505"/>
        <v>2</v>
      </c>
      <c r="N1662" s="98">
        <v>2</v>
      </c>
      <c r="O1662" s="93">
        <f t="shared" si="498"/>
        <v>100</v>
      </c>
      <c r="GB1662" s="100">
        <v>2</v>
      </c>
      <c r="ON1662" s="100">
        <f t="shared" si="492"/>
        <v>0</v>
      </c>
    </row>
    <row r="1663" spans="1:404" ht="23.25" customHeight="1">
      <c r="A1663" s="97" t="str">
        <f t="shared" si="506"/>
        <v>007T/OBI-2166-55137-01-B4</v>
      </c>
      <c r="B1663" s="95">
        <v>44453</v>
      </c>
      <c r="C1663" s="97">
        <f t="shared" ca="1" si="503"/>
        <v>-611</v>
      </c>
      <c r="D1663" s="112" t="s">
        <v>1391</v>
      </c>
      <c r="E1663" s="123" t="s">
        <v>1094</v>
      </c>
      <c r="F1663" s="98" t="str">
        <f t="shared" si="507"/>
        <v>B4</v>
      </c>
      <c r="G1663" s="110">
        <f ca="1">SUMIF($A:E,$A1663,K:K)</f>
        <v>376</v>
      </c>
      <c r="H1663" s="97" t="s">
        <v>1402</v>
      </c>
      <c r="I1663" s="175">
        <v>376</v>
      </c>
      <c r="J1663" s="115">
        <v>250</v>
      </c>
      <c r="K1663" s="143">
        <f t="shared" si="491"/>
        <v>250</v>
      </c>
      <c r="L1663" s="144">
        <f t="shared" si="493"/>
        <v>0</v>
      </c>
      <c r="M1663" s="275">
        <f t="shared" si="505"/>
        <v>376</v>
      </c>
      <c r="N1663" s="98">
        <v>4</v>
      </c>
      <c r="O1663" s="93">
        <f t="shared" si="498"/>
        <v>100</v>
      </c>
      <c r="HN1663" s="100">
        <v>20</v>
      </c>
      <c r="HP1663" s="100">
        <v>18</v>
      </c>
      <c r="HQ1663" s="100">
        <v>20</v>
      </c>
      <c r="HR1663" s="100">
        <v>20</v>
      </c>
      <c r="HS1663" s="100">
        <v>19</v>
      </c>
      <c r="HT1663" s="100">
        <v>22</v>
      </c>
      <c r="HU1663" s="100">
        <v>20</v>
      </c>
      <c r="HW1663" s="100">
        <v>19</v>
      </c>
      <c r="HX1663" s="100">
        <v>20</v>
      </c>
      <c r="IB1663" s="100">
        <v>20</v>
      </c>
      <c r="ID1663" s="100">
        <v>20</v>
      </c>
      <c r="IE1663" s="100">
        <v>19</v>
      </c>
      <c r="IF1663" s="100">
        <v>13</v>
      </c>
      <c r="ON1663" s="100">
        <f t="shared" si="492"/>
        <v>0</v>
      </c>
    </row>
    <row r="1664" spans="1:404" ht="23.25" customHeight="1">
      <c r="A1664" s="97" t="str">
        <f t="shared" si="506"/>
        <v>007T/OBI-2166-55137-01-B4</v>
      </c>
      <c r="B1664" s="95">
        <v>44453</v>
      </c>
      <c r="C1664" s="97">
        <f t="shared" ca="1" si="503"/>
        <v>-611</v>
      </c>
      <c r="D1664" s="112" t="s">
        <v>1391</v>
      </c>
      <c r="E1664" s="123" t="s">
        <v>1094</v>
      </c>
      <c r="F1664" s="98" t="str">
        <f t="shared" si="507"/>
        <v>B4</v>
      </c>
      <c r="G1664" s="110">
        <f ca="1">SUMIF($A:E,$A1664,K:K)</f>
        <v>376</v>
      </c>
      <c r="H1664" s="97" t="s">
        <v>1402</v>
      </c>
      <c r="I1664" s="175">
        <v>376</v>
      </c>
      <c r="J1664" s="115">
        <f>376-J1663</f>
        <v>126</v>
      </c>
      <c r="K1664" s="143">
        <f t="shared" si="491"/>
        <v>126</v>
      </c>
      <c r="L1664" s="144">
        <f t="shared" si="493"/>
        <v>0</v>
      </c>
      <c r="M1664" s="275">
        <f t="shared" si="505"/>
        <v>376</v>
      </c>
      <c r="N1664" s="98">
        <v>2</v>
      </c>
      <c r="O1664" s="93">
        <f t="shared" si="498"/>
        <v>100</v>
      </c>
      <c r="HP1664" s="100">
        <v>8</v>
      </c>
      <c r="HQ1664" s="100">
        <v>65</v>
      </c>
      <c r="HR1664" s="100">
        <v>36</v>
      </c>
      <c r="HS1664" s="100">
        <v>17</v>
      </c>
      <c r="ON1664" s="100">
        <f t="shared" si="492"/>
        <v>0</v>
      </c>
    </row>
    <row r="1665" spans="1:404" ht="29.25" customHeight="1">
      <c r="A1665" s="97" t="str">
        <f t="shared" si="506"/>
        <v>009T/OBI-2166-55137-01-B4</v>
      </c>
      <c r="B1665" s="95">
        <v>44465</v>
      </c>
      <c r="C1665" s="97">
        <f t="shared" ca="1" si="503"/>
        <v>-599</v>
      </c>
      <c r="D1665" s="112" t="s">
        <v>1394</v>
      </c>
      <c r="E1665" s="123" t="s">
        <v>1094</v>
      </c>
      <c r="F1665" s="98" t="str">
        <f t="shared" si="507"/>
        <v>B4</v>
      </c>
      <c r="G1665" s="110">
        <f ca="1">SUMIF($A:E,$A1665,K:K)</f>
        <v>264</v>
      </c>
      <c r="H1665" s="97" t="s">
        <v>1402</v>
      </c>
      <c r="I1665" s="175">
        <v>264</v>
      </c>
      <c r="J1665" s="115">
        <v>264</v>
      </c>
      <c r="K1665" s="143">
        <f t="shared" si="491"/>
        <v>264</v>
      </c>
      <c r="L1665" s="144">
        <f t="shared" si="493"/>
        <v>0</v>
      </c>
      <c r="M1665" s="275">
        <f t="shared" si="505"/>
        <v>264</v>
      </c>
      <c r="N1665" s="98">
        <v>2</v>
      </c>
      <c r="O1665" s="93">
        <f t="shared" si="498"/>
        <v>100</v>
      </c>
      <c r="HS1665" s="100">
        <v>33</v>
      </c>
      <c r="HT1665" s="100">
        <v>49</v>
      </c>
      <c r="HU1665" s="100">
        <v>31</v>
      </c>
      <c r="HW1665" s="100">
        <v>31</v>
      </c>
      <c r="HX1665" s="100">
        <v>27</v>
      </c>
      <c r="HY1665" s="100">
        <v>25</v>
      </c>
      <c r="IB1665" s="100">
        <v>9</v>
      </c>
      <c r="ID1665" s="100">
        <v>31</v>
      </c>
      <c r="IE1665" s="100">
        <v>10</v>
      </c>
      <c r="IF1665" s="100">
        <v>18</v>
      </c>
      <c r="ON1665" s="100">
        <f t="shared" si="492"/>
        <v>0</v>
      </c>
    </row>
    <row r="1666" spans="1:404" ht="29.25" customHeight="1">
      <c r="A1666" s="97" t="str">
        <f t="shared" si="506"/>
        <v>013T/OBI-2166-55137-01-B4</v>
      </c>
      <c r="B1666" s="95">
        <v>44480</v>
      </c>
      <c r="C1666" s="97">
        <f t="shared" ca="1" si="503"/>
        <v>-584</v>
      </c>
      <c r="D1666" s="112" t="s">
        <v>1398</v>
      </c>
      <c r="E1666" s="123" t="s">
        <v>1094</v>
      </c>
      <c r="F1666" s="98" t="str">
        <f t="shared" si="507"/>
        <v>B4</v>
      </c>
      <c r="G1666" s="110">
        <f ca="1">SUMIF($A:E,$A1666,K:K)</f>
        <v>160</v>
      </c>
      <c r="H1666" s="97" t="s">
        <v>1402</v>
      </c>
      <c r="I1666" s="175">
        <v>160</v>
      </c>
      <c r="J1666" s="115">
        <v>160</v>
      </c>
      <c r="K1666" s="143">
        <f t="shared" si="491"/>
        <v>160</v>
      </c>
      <c r="L1666" s="144">
        <f t="shared" ref="L1666:L1687" si="508">J1666-K1666</f>
        <v>0</v>
      </c>
      <c r="M1666" s="275">
        <f t="shared" si="505"/>
        <v>160</v>
      </c>
      <c r="N1666" s="98">
        <v>4</v>
      </c>
      <c r="O1666" s="93">
        <f t="shared" si="498"/>
        <v>100</v>
      </c>
      <c r="IF1666" s="100">
        <v>7</v>
      </c>
      <c r="IG1666" s="100">
        <v>20</v>
      </c>
      <c r="IH1666" s="100">
        <v>20</v>
      </c>
      <c r="IK1666" s="100">
        <v>17</v>
      </c>
      <c r="IL1666" s="100">
        <v>34</v>
      </c>
      <c r="IM1666" s="100">
        <v>20</v>
      </c>
      <c r="IN1666" s="100">
        <v>18</v>
      </c>
      <c r="IO1666" s="100">
        <v>20</v>
      </c>
      <c r="IR1666" s="100">
        <v>4</v>
      </c>
      <c r="ON1666" s="100">
        <f t="shared" si="492"/>
        <v>0</v>
      </c>
    </row>
    <row r="1667" spans="1:404" ht="23.25" customHeight="1">
      <c r="A1667" s="97" t="str">
        <f t="shared" si="506"/>
        <v>014T/OBI-2166-55137-01-B4</v>
      </c>
      <c r="B1667" s="95">
        <v>44511</v>
      </c>
      <c r="C1667" s="97">
        <f t="shared" ca="1" si="503"/>
        <v>-553</v>
      </c>
      <c r="D1667" s="112" t="s">
        <v>1399</v>
      </c>
      <c r="E1667" s="123" t="s">
        <v>1094</v>
      </c>
      <c r="F1667" s="98" t="str">
        <f t="shared" si="507"/>
        <v>B4</v>
      </c>
      <c r="G1667" s="110">
        <f ca="1">SUMIF($A:E,$A1667,K:K)</f>
        <v>800</v>
      </c>
      <c r="H1667" s="97" t="s">
        <v>1402</v>
      </c>
      <c r="I1667" s="175">
        <v>800</v>
      </c>
      <c r="J1667" s="115">
        <v>800</v>
      </c>
      <c r="K1667" s="143">
        <f t="shared" si="491"/>
        <v>800</v>
      </c>
      <c r="L1667" s="144">
        <f t="shared" si="508"/>
        <v>0</v>
      </c>
      <c r="M1667" s="275">
        <f t="shared" si="505"/>
        <v>800</v>
      </c>
      <c r="N1667" s="98">
        <v>2</v>
      </c>
      <c r="O1667" s="93">
        <f t="shared" si="498"/>
        <v>100</v>
      </c>
      <c r="IG1667" s="100">
        <v>13</v>
      </c>
      <c r="IH1667" s="100">
        <v>10</v>
      </c>
      <c r="IK1667" s="100">
        <v>20</v>
      </c>
      <c r="IM1667" s="100">
        <v>9</v>
      </c>
      <c r="IN1667" s="100">
        <v>9</v>
      </c>
      <c r="IO1667" s="100">
        <v>17</v>
      </c>
      <c r="IP1667" s="100">
        <v>3</v>
      </c>
      <c r="IS1667" s="100">
        <v>9</v>
      </c>
      <c r="IT1667" s="100">
        <v>19</v>
      </c>
      <c r="IU1667" s="100">
        <v>9</v>
      </c>
      <c r="IV1667" s="100">
        <v>2</v>
      </c>
      <c r="IW1667" s="100">
        <v>18</v>
      </c>
      <c r="IY1667" s="100">
        <v>5</v>
      </c>
      <c r="IZ1667" s="100">
        <v>5</v>
      </c>
      <c r="JA1667" s="100">
        <v>10</v>
      </c>
      <c r="JB1667" s="100">
        <v>10</v>
      </c>
      <c r="JD1667" s="100">
        <v>10</v>
      </c>
      <c r="JF1667" s="100">
        <v>12</v>
      </c>
      <c r="JG1667" s="100">
        <v>10</v>
      </c>
      <c r="JH1667" s="100">
        <v>10</v>
      </c>
      <c r="JJ1667" s="100">
        <v>10</v>
      </c>
      <c r="JK1667" s="100">
        <v>19</v>
      </c>
      <c r="JM1667" s="100">
        <v>10</v>
      </c>
      <c r="JN1667" s="100">
        <v>6</v>
      </c>
      <c r="JO1667" s="100">
        <v>10</v>
      </c>
      <c r="JP1667" s="100">
        <v>23</v>
      </c>
      <c r="JQ1667" s="100">
        <v>10</v>
      </c>
      <c r="JT1667" s="100">
        <v>12</v>
      </c>
      <c r="JU1667" s="100">
        <v>36</v>
      </c>
      <c r="JV1667" s="100">
        <v>11</v>
      </c>
      <c r="JW1667" s="100">
        <v>9</v>
      </c>
      <c r="JX1667" s="100">
        <v>25</v>
      </c>
      <c r="JY1667" s="100">
        <v>35</v>
      </c>
      <c r="KA1667" s="100">
        <v>14</v>
      </c>
      <c r="KB1667" s="100">
        <v>12</v>
      </c>
      <c r="KC1667" s="100">
        <v>40</v>
      </c>
      <c r="KE1667" s="100">
        <v>35</v>
      </c>
      <c r="KF1667" s="100">
        <v>6</v>
      </c>
      <c r="KG1667" s="100">
        <v>23</v>
      </c>
      <c r="KH1667" s="100">
        <v>10</v>
      </c>
      <c r="KI1667" s="100">
        <v>13</v>
      </c>
      <c r="KJ1667" s="100">
        <v>18</v>
      </c>
      <c r="KN1667" s="100">
        <v>11</v>
      </c>
      <c r="KO1667" s="100">
        <v>7</v>
      </c>
      <c r="KP1667" s="100">
        <v>33</v>
      </c>
      <c r="KQ1667" s="100">
        <v>21</v>
      </c>
      <c r="KR1667" s="100">
        <v>13</v>
      </c>
      <c r="KU1667" s="100">
        <v>8</v>
      </c>
      <c r="KV1667" s="100">
        <v>37</v>
      </c>
      <c r="KZ1667" s="100">
        <v>27</v>
      </c>
      <c r="LC1667" s="100">
        <v>18</v>
      </c>
      <c r="LD1667" s="100">
        <v>11</v>
      </c>
      <c r="LE1667" s="100">
        <v>17</v>
      </c>
      <c r="ON1667" s="100">
        <f t="shared" si="492"/>
        <v>0</v>
      </c>
    </row>
    <row r="1668" spans="1:404" ht="23.25" customHeight="1">
      <c r="A1668" s="97" t="s">
        <v>1849</v>
      </c>
      <c r="B1668" s="95">
        <v>44546</v>
      </c>
      <c r="C1668" s="97">
        <f t="shared" ca="1" si="503"/>
        <v>-518</v>
      </c>
      <c r="D1668" s="112" t="s">
        <v>1401</v>
      </c>
      <c r="E1668" s="123" t="s">
        <v>1094</v>
      </c>
      <c r="F1668" s="98" t="s">
        <v>1772</v>
      </c>
      <c r="G1668" s="110">
        <v>0</v>
      </c>
      <c r="H1668" s="97" t="s">
        <v>1402</v>
      </c>
      <c r="I1668" s="175">
        <v>1400</v>
      </c>
      <c r="J1668" s="115">
        <v>1440</v>
      </c>
      <c r="K1668" s="143">
        <f t="shared" ref="K1668:K1731" si="509">SUM(P1668:BBC1668)</f>
        <v>1440</v>
      </c>
      <c r="L1668" s="144">
        <f t="shared" si="508"/>
        <v>0</v>
      </c>
      <c r="M1668" s="275">
        <f t="shared" si="505"/>
        <v>1400</v>
      </c>
      <c r="N1668" s="98">
        <v>4</v>
      </c>
      <c r="O1668" s="93">
        <f t="shared" si="498"/>
        <v>100</v>
      </c>
      <c r="IR1668" s="100">
        <v>23</v>
      </c>
      <c r="IS1668" s="100">
        <v>5</v>
      </c>
      <c r="IT1668" s="100">
        <v>30</v>
      </c>
      <c r="IU1668" s="100">
        <v>16</v>
      </c>
      <c r="IV1668" s="100">
        <v>14</v>
      </c>
      <c r="IW1668" s="100">
        <v>19</v>
      </c>
      <c r="IY1668" s="100">
        <v>19</v>
      </c>
      <c r="IZ1668" s="100">
        <v>10</v>
      </c>
      <c r="JA1668" s="100">
        <v>20</v>
      </c>
      <c r="JB1668" s="100">
        <v>20</v>
      </c>
      <c r="JC1668" s="100">
        <v>16</v>
      </c>
      <c r="JD1668" s="100">
        <v>13</v>
      </c>
      <c r="JF1668" s="100">
        <v>12</v>
      </c>
      <c r="JG1668" s="100">
        <v>10</v>
      </c>
      <c r="JH1668" s="100">
        <v>41</v>
      </c>
      <c r="JI1668" s="100">
        <v>20</v>
      </c>
      <c r="JK1668" s="100">
        <v>18</v>
      </c>
      <c r="JM1668" s="100">
        <v>24</v>
      </c>
      <c r="JN1668" s="100">
        <v>8</v>
      </c>
      <c r="JO1668" s="100">
        <v>22</v>
      </c>
      <c r="JP1668" s="100">
        <v>16</v>
      </c>
      <c r="JQ1668" s="100">
        <v>12</v>
      </c>
      <c r="JR1668" s="100">
        <v>10</v>
      </c>
      <c r="JT1668" s="100">
        <v>10</v>
      </c>
      <c r="JU1668" s="100">
        <v>30</v>
      </c>
      <c r="JV1668" s="100">
        <v>17</v>
      </c>
      <c r="JW1668" s="100">
        <v>19</v>
      </c>
      <c r="JX1668" s="100">
        <v>3</v>
      </c>
      <c r="JY1668" s="100">
        <v>28</v>
      </c>
      <c r="KA1668" s="100">
        <v>20</v>
      </c>
      <c r="KB1668" s="100">
        <v>10</v>
      </c>
      <c r="KC1668" s="100">
        <v>18</v>
      </c>
      <c r="KD1668" s="100">
        <v>21</v>
      </c>
      <c r="KE1668" s="100">
        <v>20</v>
      </c>
      <c r="KF1668" s="100">
        <v>20</v>
      </c>
      <c r="KG1668" s="100">
        <v>19</v>
      </c>
      <c r="KH1668" s="100">
        <v>10</v>
      </c>
      <c r="KI1668" s="100">
        <v>10</v>
      </c>
      <c r="KJ1668" s="100">
        <v>30</v>
      </c>
      <c r="KN1668" s="100">
        <v>19</v>
      </c>
      <c r="KO1668" s="100">
        <v>19</v>
      </c>
      <c r="KP1668" s="100">
        <v>20</v>
      </c>
      <c r="KQ1668" s="100">
        <v>18</v>
      </c>
      <c r="KR1668" s="100">
        <v>20</v>
      </c>
      <c r="KU1668" s="100">
        <v>19</v>
      </c>
      <c r="KV1668" s="100">
        <v>30</v>
      </c>
      <c r="KW1668" s="100">
        <v>21</v>
      </c>
      <c r="KX1668" s="100">
        <v>20</v>
      </c>
      <c r="KY1668" s="100">
        <v>20</v>
      </c>
      <c r="KZ1668" s="100">
        <v>19</v>
      </c>
      <c r="LB1668" s="100">
        <v>21</v>
      </c>
      <c r="LC1668" s="100">
        <v>30</v>
      </c>
      <c r="LE1668" s="100">
        <v>22</v>
      </c>
      <c r="LF1668" s="100">
        <v>21</v>
      </c>
      <c r="LG1668" s="100">
        <v>19</v>
      </c>
      <c r="LI1668" s="100">
        <v>21</v>
      </c>
      <c r="LK1668" s="100">
        <v>30</v>
      </c>
      <c r="LN1668" s="100">
        <v>8</v>
      </c>
      <c r="LP1668" s="100">
        <v>21</v>
      </c>
      <c r="LQ1668" s="100">
        <v>28</v>
      </c>
      <c r="LR1668" s="100">
        <v>20</v>
      </c>
      <c r="LS1668" s="100">
        <v>21</v>
      </c>
      <c r="LT1668" s="100">
        <v>20</v>
      </c>
      <c r="LU1668" s="100">
        <v>20</v>
      </c>
      <c r="LW1668" s="100">
        <v>20</v>
      </c>
      <c r="LX1668" s="100">
        <v>30</v>
      </c>
      <c r="MA1668" s="100">
        <v>40</v>
      </c>
      <c r="MB1668" s="100">
        <v>19</v>
      </c>
      <c r="MD1668" s="100">
        <v>20</v>
      </c>
      <c r="ME1668" s="100">
        <v>10</v>
      </c>
      <c r="MF1668" s="100">
        <v>19</v>
      </c>
      <c r="MG1668" s="100">
        <v>20</v>
      </c>
      <c r="MH1668" s="100">
        <v>8</v>
      </c>
      <c r="MK1668" s="100">
        <v>2</v>
      </c>
      <c r="ML1668" s="100">
        <v>39</v>
      </c>
      <c r="MM1668" s="100">
        <v>2</v>
      </c>
      <c r="MN1668" s="100">
        <v>1</v>
      </c>
      <c r="ON1668" s="100">
        <f t="shared" ref="ON1668:ON1731" si="510">SUM(NS1668:OM1668)</f>
        <v>0</v>
      </c>
    </row>
    <row r="1669" spans="1:404" ht="23.25" customHeight="1">
      <c r="A1669" s="97" t="str">
        <f t="shared" ref="A1669:A1692" si="511">D1669&amp;E1669</f>
        <v>001/OBI-VG_SR-2166-55137-01-B4</v>
      </c>
      <c r="B1669" s="95">
        <v>44434</v>
      </c>
      <c r="C1669" s="97">
        <f t="shared" ca="1" si="503"/>
        <v>-630</v>
      </c>
      <c r="D1669" s="96" t="s">
        <v>1738</v>
      </c>
      <c r="E1669" s="94" t="s">
        <v>1094</v>
      </c>
      <c r="F1669" s="98" t="str">
        <f t="shared" ref="F1669:F1692" si="512">MID(E1669,13,2)</f>
        <v>B4</v>
      </c>
      <c r="G1669" s="110">
        <f ca="1">SUMIF($A:E,$A1669,K:K)</f>
        <v>3</v>
      </c>
      <c r="H1669" s="97" t="s">
        <v>1739</v>
      </c>
      <c r="I1669" s="98">
        <v>3</v>
      </c>
      <c r="J1669" s="99">
        <v>3</v>
      </c>
      <c r="K1669" s="143">
        <f t="shared" si="509"/>
        <v>3</v>
      </c>
      <c r="L1669" s="144">
        <f t="shared" si="508"/>
        <v>0</v>
      </c>
      <c r="M1669" s="275">
        <f t="shared" si="505"/>
        <v>3</v>
      </c>
      <c r="N1669" s="98">
        <v>2</v>
      </c>
      <c r="O1669" s="93">
        <f t="shared" si="498"/>
        <v>100</v>
      </c>
      <c r="HQ1669" s="100">
        <v>3</v>
      </c>
      <c r="ON1669" s="100">
        <f t="shared" si="510"/>
        <v>0</v>
      </c>
    </row>
    <row r="1670" spans="1:404" ht="23.25" customHeight="1">
      <c r="A1670" s="97" t="str">
        <f t="shared" si="511"/>
        <v>001/ERMITAZAS-2166-55120-S2-B4</v>
      </c>
      <c r="B1670" s="95">
        <v>44649</v>
      </c>
      <c r="C1670" s="97">
        <f t="shared" ca="1" si="503"/>
        <v>-415</v>
      </c>
      <c r="D1670" s="112" t="s">
        <v>1495</v>
      </c>
      <c r="E1670" s="123" t="s">
        <v>1500</v>
      </c>
      <c r="F1670" s="98" t="str">
        <f t="shared" si="512"/>
        <v>B4</v>
      </c>
      <c r="G1670" s="110">
        <f ca="1">SUMIF($A:E,$A1670,K:K)</f>
        <v>64</v>
      </c>
      <c r="H1670" s="112" t="s">
        <v>1494</v>
      </c>
      <c r="I1670" s="175">
        <v>36</v>
      </c>
      <c r="J1670" s="115">
        <v>36</v>
      </c>
      <c r="K1670" s="143">
        <f t="shared" si="509"/>
        <v>64</v>
      </c>
      <c r="L1670" s="144">
        <f t="shared" si="508"/>
        <v>-28</v>
      </c>
      <c r="M1670" s="275">
        <f t="shared" si="505"/>
        <v>72</v>
      </c>
      <c r="N1670" s="98">
        <v>6</v>
      </c>
      <c r="O1670" s="93">
        <f t="shared" si="498"/>
        <v>177.77777777777777</v>
      </c>
      <c r="NV1670" s="100">
        <v>7</v>
      </c>
      <c r="NY1670" s="100">
        <v>3</v>
      </c>
      <c r="NZ1670" s="100">
        <v>8</v>
      </c>
      <c r="OB1670" s="100">
        <v>8</v>
      </c>
      <c r="OC1670" s="100">
        <v>2</v>
      </c>
      <c r="OJ1670" s="100">
        <v>4</v>
      </c>
      <c r="ON1670" s="100">
        <f t="shared" si="510"/>
        <v>32</v>
      </c>
    </row>
    <row r="1671" spans="1:404" ht="23.25" customHeight="1">
      <c r="A1671" s="97" t="str">
        <f t="shared" si="511"/>
        <v>006/BOTANICO-2166-55120-S2-B4</v>
      </c>
      <c r="B1671" s="95">
        <v>44642</v>
      </c>
      <c r="C1671" s="97">
        <f t="shared" ca="1" si="503"/>
        <v>-422</v>
      </c>
      <c r="D1671" s="112" t="s">
        <v>1511</v>
      </c>
      <c r="E1671" s="123" t="s">
        <v>1500</v>
      </c>
      <c r="F1671" s="98" t="str">
        <f t="shared" si="512"/>
        <v>B4</v>
      </c>
      <c r="G1671" s="110">
        <f ca="1">SUMIF($A:E,$A1671,K:K)</f>
        <v>111</v>
      </c>
      <c r="H1671" s="97" t="s">
        <v>1513</v>
      </c>
      <c r="I1671" s="175">
        <v>150</v>
      </c>
      <c r="J1671" s="115">
        <v>150</v>
      </c>
      <c r="K1671" s="143">
        <f t="shared" si="509"/>
        <v>0</v>
      </c>
      <c r="L1671" s="144">
        <f t="shared" si="508"/>
        <v>150</v>
      </c>
      <c r="M1671" s="275">
        <f t="shared" si="505"/>
        <v>300</v>
      </c>
      <c r="N1671" s="98"/>
      <c r="O1671" s="93">
        <f t="shared" si="498"/>
        <v>0</v>
      </c>
      <c r="ON1671" s="100">
        <f t="shared" si="510"/>
        <v>0</v>
      </c>
    </row>
    <row r="1672" spans="1:404" ht="23.25" customHeight="1">
      <c r="A1672" s="97" t="str">
        <f t="shared" si="511"/>
        <v>006/BOTANICO-2166-55120-S2-B4</v>
      </c>
      <c r="B1672" s="95">
        <v>44642</v>
      </c>
      <c r="C1672" s="97">
        <f t="shared" ca="1" si="503"/>
        <v>-422</v>
      </c>
      <c r="D1672" s="112" t="s">
        <v>1511</v>
      </c>
      <c r="E1672" s="123" t="s">
        <v>1500</v>
      </c>
      <c r="F1672" s="98" t="str">
        <f t="shared" si="512"/>
        <v>B4</v>
      </c>
      <c r="G1672" s="110">
        <f ca="1">SUMIF($A:E,$A1672,K:K)</f>
        <v>111</v>
      </c>
      <c r="H1672" s="97" t="s">
        <v>927</v>
      </c>
      <c r="I1672" s="175">
        <v>72</v>
      </c>
      <c r="J1672" s="115">
        <v>72</v>
      </c>
      <c r="K1672" s="143">
        <f t="shared" si="509"/>
        <v>111</v>
      </c>
      <c r="L1672" s="144">
        <f t="shared" si="508"/>
        <v>-39</v>
      </c>
      <c r="M1672" s="275">
        <f t="shared" si="505"/>
        <v>144</v>
      </c>
      <c r="N1672" s="98">
        <v>6</v>
      </c>
      <c r="O1672" s="93">
        <f t="shared" si="498"/>
        <v>154.16666666666669</v>
      </c>
      <c r="NG1672" s="100">
        <v>16</v>
      </c>
      <c r="NI1672" s="100">
        <v>11</v>
      </c>
      <c r="NK1672" s="100">
        <v>4</v>
      </c>
      <c r="NL1672" s="100">
        <v>2</v>
      </c>
      <c r="NS1672" s="100">
        <v>19</v>
      </c>
      <c r="NU1672" s="100">
        <v>20</v>
      </c>
      <c r="ON1672" s="100">
        <f t="shared" si="510"/>
        <v>39</v>
      </c>
    </row>
    <row r="1673" spans="1:404" ht="23.25" customHeight="1">
      <c r="A1673" s="97" t="str">
        <f t="shared" si="511"/>
        <v>003/ANNA-VG-21(đ7)66-54600-S1-A</v>
      </c>
      <c r="B1673" s="95">
        <v>44634</v>
      </c>
      <c r="C1673" s="97">
        <f t="shared" ca="1" si="503"/>
        <v>-430</v>
      </c>
      <c r="D1673" s="112" t="s">
        <v>1671</v>
      </c>
      <c r="E1673" s="279" t="s">
        <v>1676</v>
      </c>
      <c r="F1673" s="98" t="str">
        <f t="shared" si="512"/>
        <v>A</v>
      </c>
      <c r="G1673" s="110">
        <f ca="1">SUMIF($A:E,$A1673,K:K)</f>
        <v>24</v>
      </c>
      <c r="H1673" s="112" t="s">
        <v>990</v>
      </c>
      <c r="I1673" s="175">
        <v>24</v>
      </c>
      <c r="J1673" s="115">
        <v>24</v>
      </c>
      <c r="K1673" s="143">
        <f t="shared" si="509"/>
        <v>24</v>
      </c>
      <c r="L1673" s="144">
        <f t="shared" si="508"/>
        <v>0</v>
      </c>
      <c r="M1673" s="275">
        <f t="shared" si="505"/>
        <v>24</v>
      </c>
      <c r="N1673" s="98" t="s">
        <v>1768</v>
      </c>
      <c r="O1673" s="93">
        <f t="shared" ref="O1673:O1687" si="513">K1673/J1673*100</f>
        <v>100</v>
      </c>
      <c r="MQ1673" s="100">
        <v>2</v>
      </c>
      <c r="MR1673" s="100">
        <v>2</v>
      </c>
      <c r="MS1673" s="100">
        <v>2</v>
      </c>
      <c r="MT1673" s="100">
        <v>2</v>
      </c>
      <c r="MW1673" s="100">
        <v>3</v>
      </c>
      <c r="MX1673" s="100">
        <v>2</v>
      </c>
      <c r="MY1673" s="100">
        <v>2</v>
      </c>
      <c r="MZ1673" s="100">
        <v>2</v>
      </c>
      <c r="NA1673" s="100">
        <v>2</v>
      </c>
      <c r="ND1673" s="100">
        <v>1</v>
      </c>
      <c r="NE1673" s="100">
        <v>1</v>
      </c>
      <c r="NF1673" s="100">
        <v>3</v>
      </c>
      <c r="ON1673" s="100">
        <f t="shared" si="510"/>
        <v>0</v>
      </c>
    </row>
    <row r="1674" spans="1:404" ht="23.25" customHeight="1">
      <c r="A1674" s="97" t="str">
        <f t="shared" si="511"/>
        <v>002T/OBI-2166-54124-03-B</v>
      </c>
      <c r="B1674" s="95">
        <v>44416</v>
      </c>
      <c r="C1674" s="97">
        <f t="shared" ca="1" si="503"/>
        <v>-648</v>
      </c>
      <c r="D1674" s="112" t="s">
        <v>1047</v>
      </c>
      <c r="E1674" s="123" t="s">
        <v>1054</v>
      </c>
      <c r="F1674" s="98" t="str">
        <f t="shared" si="512"/>
        <v>B</v>
      </c>
      <c r="G1674" s="110">
        <f ca="1">SUMIF($A:E,$A1674,K:K)</f>
        <v>80</v>
      </c>
      <c r="H1674" s="97" t="s">
        <v>616</v>
      </c>
      <c r="I1674" s="175">
        <v>80</v>
      </c>
      <c r="J1674" s="115">
        <v>80</v>
      </c>
      <c r="K1674" s="143">
        <f t="shared" si="509"/>
        <v>80</v>
      </c>
      <c r="L1674" s="144">
        <f t="shared" si="508"/>
        <v>0</v>
      </c>
      <c r="M1674" s="275">
        <f t="shared" si="505"/>
        <v>80</v>
      </c>
      <c r="N1674" s="98">
        <v>5</v>
      </c>
      <c r="O1674" s="93">
        <f t="shared" si="513"/>
        <v>100</v>
      </c>
      <c r="EV1674" s="100">
        <v>6</v>
      </c>
      <c r="EW1674" s="100">
        <v>6</v>
      </c>
      <c r="EX1674" s="100">
        <v>3</v>
      </c>
      <c r="EY1674" s="100">
        <v>3</v>
      </c>
      <c r="FA1674" s="100">
        <v>3</v>
      </c>
      <c r="FB1674" s="100">
        <v>3</v>
      </c>
      <c r="FC1674" s="100">
        <v>6</v>
      </c>
      <c r="FD1674" s="100">
        <v>6</v>
      </c>
      <c r="FE1674" s="100">
        <v>3</v>
      </c>
      <c r="FH1674" s="100">
        <v>3</v>
      </c>
      <c r="FI1674" s="100">
        <v>11</v>
      </c>
      <c r="FL1674" s="100">
        <v>7</v>
      </c>
      <c r="FM1674" s="100">
        <v>3</v>
      </c>
      <c r="FO1674" s="100">
        <v>6</v>
      </c>
      <c r="FP1674" s="100">
        <v>7</v>
      </c>
      <c r="FR1674" s="100">
        <v>4</v>
      </c>
      <c r="ON1674" s="100">
        <f t="shared" si="510"/>
        <v>0</v>
      </c>
    </row>
    <row r="1675" spans="1:404" ht="23.25" customHeight="1">
      <c r="A1675" s="97" t="str">
        <f t="shared" si="511"/>
        <v>004/OBI-2166-54124-03-B</v>
      </c>
      <c r="B1675" s="95">
        <v>44448</v>
      </c>
      <c r="C1675" s="97">
        <f t="shared" ca="1" si="503"/>
        <v>-616</v>
      </c>
      <c r="D1675" s="96" t="s">
        <v>1137</v>
      </c>
      <c r="E1675" s="94" t="s">
        <v>1054</v>
      </c>
      <c r="F1675" s="98" t="str">
        <f t="shared" si="512"/>
        <v>B</v>
      </c>
      <c r="G1675" s="110">
        <f ca="1">SUMIF($A:E,$A1675,K:K)</f>
        <v>168</v>
      </c>
      <c r="H1675" s="97" t="s">
        <v>1140</v>
      </c>
      <c r="I1675" s="98">
        <v>168</v>
      </c>
      <c r="J1675" s="97">
        <v>168</v>
      </c>
      <c r="K1675" s="143">
        <f t="shared" si="509"/>
        <v>168</v>
      </c>
      <c r="L1675" s="144">
        <f t="shared" si="508"/>
        <v>0</v>
      </c>
      <c r="M1675" s="275">
        <f t="shared" si="505"/>
        <v>168</v>
      </c>
      <c r="N1675" s="98">
        <v>5</v>
      </c>
      <c r="O1675" s="93">
        <f t="shared" si="513"/>
        <v>100</v>
      </c>
      <c r="FR1675" s="100">
        <v>2</v>
      </c>
      <c r="FT1675" s="100">
        <v>10</v>
      </c>
      <c r="FV1675" s="100">
        <v>16</v>
      </c>
      <c r="FW1675" s="100">
        <v>3</v>
      </c>
      <c r="FZ1675" s="100">
        <v>6</v>
      </c>
      <c r="GA1675" s="100">
        <v>3</v>
      </c>
      <c r="GB1675" s="100">
        <v>4</v>
      </c>
      <c r="GC1675" s="100">
        <v>4</v>
      </c>
      <c r="GD1675" s="100">
        <v>4</v>
      </c>
      <c r="GE1675" s="100">
        <v>6</v>
      </c>
      <c r="GG1675" s="100">
        <v>6</v>
      </c>
      <c r="GH1675" s="100">
        <v>3</v>
      </c>
      <c r="GI1675" s="100">
        <v>6</v>
      </c>
      <c r="GJ1675" s="100">
        <v>5</v>
      </c>
      <c r="GK1675" s="100">
        <v>3</v>
      </c>
      <c r="GL1675" s="100">
        <v>6</v>
      </c>
      <c r="GN1675" s="100">
        <v>6</v>
      </c>
      <c r="GO1675" s="100">
        <v>3</v>
      </c>
      <c r="GP1675" s="100">
        <v>6</v>
      </c>
      <c r="GQ1675" s="100">
        <v>6</v>
      </c>
      <c r="GR1675" s="100">
        <v>6</v>
      </c>
      <c r="GU1675" s="100">
        <v>6</v>
      </c>
      <c r="GV1675" s="100">
        <v>3</v>
      </c>
      <c r="GW1675" s="100">
        <v>6</v>
      </c>
      <c r="GX1675" s="100">
        <v>5</v>
      </c>
      <c r="GY1675" s="100">
        <v>3</v>
      </c>
      <c r="GZ1675" s="100">
        <v>6</v>
      </c>
      <c r="HB1675" s="100">
        <v>7</v>
      </c>
      <c r="HC1675" s="100">
        <v>3</v>
      </c>
      <c r="HD1675" s="100">
        <v>3</v>
      </c>
      <c r="HE1675" s="100">
        <v>6</v>
      </c>
      <c r="HF1675" s="100">
        <v>6</v>
      </c>
      <c r="ON1675" s="100">
        <f t="shared" si="510"/>
        <v>0</v>
      </c>
    </row>
    <row r="1676" spans="1:404" ht="23.25" customHeight="1">
      <c r="A1676" s="97" t="str">
        <f t="shared" si="511"/>
        <v>002T/OBI-2166-54124-02-B</v>
      </c>
      <c r="B1676" s="95">
        <v>44416</v>
      </c>
      <c r="C1676" s="97">
        <f t="shared" ref="C1676:C1698" ca="1" si="514">B1676-TODAY()</f>
        <v>-648</v>
      </c>
      <c r="D1676" s="112" t="s">
        <v>1047</v>
      </c>
      <c r="E1676" s="123" t="s">
        <v>1053</v>
      </c>
      <c r="F1676" s="98" t="str">
        <f t="shared" si="512"/>
        <v>B</v>
      </c>
      <c r="G1676" s="110">
        <f ca="1">SUMIF($A:E,$A1676,K:K)</f>
        <v>80</v>
      </c>
      <c r="H1676" s="97" t="s">
        <v>616</v>
      </c>
      <c r="I1676" s="175">
        <v>80</v>
      </c>
      <c r="J1676" s="115">
        <v>80</v>
      </c>
      <c r="K1676" s="143">
        <f t="shared" si="509"/>
        <v>80</v>
      </c>
      <c r="L1676" s="144">
        <f t="shared" si="508"/>
        <v>0</v>
      </c>
      <c r="M1676" s="275">
        <f t="shared" si="505"/>
        <v>80</v>
      </c>
      <c r="N1676" s="98">
        <v>5</v>
      </c>
      <c r="O1676" s="93">
        <f t="shared" si="513"/>
        <v>100</v>
      </c>
      <c r="EV1676" s="100">
        <v>6</v>
      </c>
      <c r="EW1676" s="100">
        <v>6</v>
      </c>
      <c r="EX1676" s="100">
        <v>3</v>
      </c>
      <c r="EY1676" s="100">
        <v>3</v>
      </c>
      <c r="FA1676" s="100">
        <v>3</v>
      </c>
      <c r="FB1676" s="100">
        <v>3</v>
      </c>
      <c r="FC1676" s="100">
        <v>6</v>
      </c>
      <c r="FD1676" s="100">
        <v>6</v>
      </c>
      <c r="FE1676" s="100">
        <v>3</v>
      </c>
      <c r="FH1676" s="100">
        <v>3</v>
      </c>
      <c r="FI1676" s="100">
        <v>11</v>
      </c>
      <c r="FL1676" s="100">
        <v>7</v>
      </c>
      <c r="FM1676" s="100">
        <v>3</v>
      </c>
      <c r="FO1676" s="100">
        <v>6</v>
      </c>
      <c r="FP1676" s="100">
        <v>7</v>
      </c>
      <c r="FR1676" s="100">
        <v>4</v>
      </c>
      <c r="ON1676" s="100">
        <f t="shared" si="510"/>
        <v>0</v>
      </c>
    </row>
    <row r="1677" spans="1:404" ht="23.25" customHeight="1">
      <c r="A1677" s="97" t="str">
        <f t="shared" si="511"/>
        <v>004/OBI-2166-54124-02-B</v>
      </c>
      <c r="B1677" s="95">
        <v>44448</v>
      </c>
      <c r="C1677" s="97">
        <f t="shared" ca="1" si="514"/>
        <v>-616</v>
      </c>
      <c r="D1677" s="96" t="s">
        <v>1137</v>
      </c>
      <c r="E1677" s="94" t="s">
        <v>1053</v>
      </c>
      <c r="F1677" s="98" t="str">
        <f t="shared" si="512"/>
        <v>B</v>
      </c>
      <c r="G1677" s="110">
        <f ca="1">SUMIF($A:E,$A1677,K:K)</f>
        <v>168</v>
      </c>
      <c r="H1677" s="97" t="s">
        <v>1138</v>
      </c>
      <c r="I1677" s="98">
        <f>248-80</f>
        <v>168</v>
      </c>
      <c r="J1677" s="97">
        <v>168</v>
      </c>
      <c r="K1677" s="143">
        <f t="shared" si="509"/>
        <v>168</v>
      </c>
      <c r="L1677" s="144">
        <f t="shared" si="508"/>
        <v>0</v>
      </c>
      <c r="M1677" s="275">
        <f t="shared" si="505"/>
        <v>168</v>
      </c>
      <c r="N1677" s="98">
        <v>5</v>
      </c>
      <c r="O1677" s="93">
        <f t="shared" si="513"/>
        <v>100</v>
      </c>
      <c r="FR1677" s="100">
        <v>2</v>
      </c>
      <c r="FT1677" s="100">
        <v>10</v>
      </c>
      <c r="FV1677" s="100">
        <v>16</v>
      </c>
      <c r="FW1677" s="100">
        <v>3</v>
      </c>
      <c r="FZ1677" s="100">
        <v>6</v>
      </c>
      <c r="GA1677" s="100">
        <v>3</v>
      </c>
      <c r="GB1677" s="100">
        <v>4</v>
      </c>
      <c r="GC1677" s="100">
        <v>4</v>
      </c>
      <c r="GD1677" s="100">
        <v>4</v>
      </c>
      <c r="GE1677" s="100">
        <v>6</v>
      </c>
      <c r="GG1677" s="100">
        <v>6</v>
      </c>
      <c r="GH1677" s="100">
        <v>3</v>
      </c>
      <c r="GI1677" s="100">
        <v>6</v>
      </c>
      <c r="GJ1677" s="100">
        <v>5</v>
      </c>
      <c r="GK1677" s="100">
        <v>3</v>
      </c>
      <c r="GL1677" s="100">
        <v>6</v>
      </c>
      <c r="GN1677" s="100">
        <v>6</v>
      </c>
      <c r="GO1677" s="100">
        <v>3</v>
      </c>
      <c r="GP1677" s="100">
        <v>6</v>
      </c>
      <c r="GQ1677" s="100">
        <v>6</v>
      </c>
      <c r="GR1677" s="100">
        <v>6</v>
      </c>
      <c r="GU1677" s="100">
        <v>6</v>
      </c>
      <c r="GV1677" s="100">
        <v>3</v>
      </c>
      <c r="GW1677" s="100">
        <v>6</v>
      </c>
      <c r="GX1677" s="100">
        <v>5</v>
      </c>
      <c r="GY1677" s="100">
        <v>3</v>
      </c>
      <c r="GZ1677" s="100">
        <v>6</v>
      </c>
      <c r="HB1677" s="100">
        <v>7</v>
      </c>
      <c r="HC1677" s="100">
        <v>3</v>
      </c>
      <c r="HD1677" s="100">
        <v>3</v>
      </c>
      <c r="HE1677" s="100">
        <v>6</v>
      </c>
      <c r="HF1677" s="100">
        <v>6</v>
      </c>
      <c r="ON1677" s="100">
        <f t="shared" si="510"/>
        <v>0</v>
      </c>
    </row>
    <row r="1678" spans="1:404" ht="23.25" customHeight="1">
      <c r="A1678" s="97" t="str">
        <f t="shared" si="511"/>
        <v>003/ANNA-VG-21(đ1)66-54120-S3-B4</v>
      </c>
      <c r="B1678" s="95">
        <v>44545</v>
      </c>
      <c r="C1678" s="97">
        <f t="shared" ca="1" si="514"/>
        <v>-519</v>
      </c>
      <c r="D1678" s="376" t="s">
        <v>1622</v>
      </c>
      <c r="E1678" s="123" t="s">
        <v>1636</v>
      </c>
      <c r="F1678" s="98" t="str">
        <f t="shared" si="512"/>
        <v>B4</v>
      </c>
      <c r="G1678" s="110">
        <f ca="1">SUMIF($A:E,$A1678,K:K)</f>
        <v>12</v>
      </c>
      <c r="H1678" s="112" t="s">
        <v>1680</v>
      </c>
      <c r="I1678" s="175">
        <v>12</v>
      </c>
      <c r="J1678" s="115">
        <v>12</v>
      </c>
      <c r="K1678" s="143">
        <f t="shared" si="509"/>
        <v>12</v>
      </c>
      <c r="L1678" s="144">
        <f t="shared" si="508"/>
        <v>0</v>
      </c>
      <c r="M1678" s="275">
        <f t="shared" si="505"/>
        <v>36</v>
      </c>
      <c r="N1678" s="98">
        <v>2</v>
      </c>
      <c r="O1678" s="93">
        <f t="shared" si="513"/>
        <v>100</v>
      </c>
      <c r="LI1678" s="100">
        <v>3</v>
      </c>
      <c r="LJ1678" s="100">
        <v>3</v>
      </c>
      <c r="LK1678" s="100">
        <v>2</v>
      </c>
      <c r="LQ1678" s="100">
        <v>4</v>
      </c>
      <c r="ON1678" s="100">
        <f t="shared" si="510"/>
        <v>0</v>
      </c>
    </row>
    <row r="1679" spans="1:404" ht="23.25" customHeight="1">
      <c r="A1679" s="97" t="str">
        <f t="shared" si="511"/>
        <v>005/METRO-VG-2166-54120-03-B4</v>
      </c>
      <c r="B1679" s="95">
        <v>44516</v>
      </c>
      <c r="C1679" s="97">
        <f t="shared" ca="1" si="514"/>
        <v>-548</v>
      </c>
      <c r="D1679" s="112" t="s">
        <v>1701</v>
      </c>
      <c r="E1679" s="123" t="s">
        <v>1703</v>
      </c>
      <c r="F1679" s="98" t="str">
        <f t="shared" si="512"/>
        <v>B4</v>
      </c>
      <c r="G1679" s="110">
        <f ca="1">SUMIF($A:E,$A1679,K:K)</f>
        <v>12</v>
      </c>
      <c r="H1679" s="97" t="s">
        <v>1593</v>
      </c>
      <c r="I1679" s="175">
        <v>12</v>
      </c>
      <c r="J1679" s="115">
        <v>12</v>
      </c>
      <c r="K1679" s="143">
        <f t="shared" si="509"/>
        <v>12</v>
      </c>
      <c r="L1679" s="144">
        <f t="shared" si="508"/>
        <v>0</v>
      </c>
      <c r="M1679" s="275">
        <f t="shared" si="505"/>
        <v>12</v>
      </c>
      <c r="N1679" s="98">
        <v>2</v>
      </c>
      <c r="O1679" s="93">
        <f t="shared" si="513"/>
        <v>100</v>
      </c>
      <c r="KG1679" s="100">
        <v>1</v>
      </c>
      <c r="KH1679" s="100">
        <v>10</v>
      </c>
      <c r="KJ1679" s="100">
        <v>1</v>
      </c>
      <c r="ON1679" s="100">
        <f t="shared" si="510"/>
        <v>0</v>
      </c>
    </row>
    <row r="1680" spans="1:404" ht="23.25" customHeight="1">
      <c r="A1680" s="97" t="str">
        <f t="shared" si="511"/>
        <v>006/METRO-VG-2166-54120-03-B4</v>
      </c>
      <c r="B1680" s="95">
        <v>44516</v>
      </c>
      <c r="C1680" s="97">
        <f t="shared" ca="1" si="514"/>
        <v>-548</v>
      </c>
      <c r="D1680" s="112" t="s">
        <v>1704</v>
      </c>
      <c r="E1680" s="123" t="s">
        <v>1703</v>
      </c>
      <c r="F1680" s="98" t="str">
        <f t="shared" si="512"/>
        <v>B4</v>
      </c>
      <c r="G1680" s="110">
        <f ca="1">SUMIF($A:E,$A1680,K:K)</f>
        <v>42</v>
      </c>
      <c r="H1680" s="97" t="s">
        <v>1593</v>
      </c>
      <c r="I1680" s="175">
        <v>42</v>
      </c>
      <c r="J1680" s="115">
        <v>37</v>
      </c>
      <c r="K1680" s="143">
        <f t="shared" si="509"/>
        <v>37</v>
      </c>
      <c r="L1680" s="144">
        <f t="shared" si="508"/>
        <v>0</v>
      </c>
      <c r="M1680" s="275">
        <f t="shared" si="505"/>
        <v>42</v>
      </c>
      <c r="N1680" s="98">
        <v>2</v>
      </c>
      <c r="O1680" s="93">
        <f t="shared" si="513"/>
        <v>100</v>
      </c>
      <c r="KJ1680" s="100">
        <v>7</v>
      </c>
      <c r="KR1680" s="100">
        <v>8</v>
      </c>
      <c r="KY1680" s="100">
        <v>13</v>
      </c>
      <c r="KZ1680" s="100">
        <v>9</v>
      </c>
      <c r="ON1680" s="100">
        <f t="shared" si="510"/>
        <v>0</v>
      </c>
    </row>
    <row r="1681" spans="1:404" ht="23.25" customHeight="1">
      <c r="A1681" s="97" t="str">
        <f t="shared" si="511"/>
        <v>006/METRO-VG-2166-54120-03-B4</v>
      </c>
      <c r="B1681" s="95">
        <v>44516</v>
      </c>
      <c r="C1681" s="97">
        <f t="shared" ca="1" si="514"/>
        <v>-548</v>
      </c>
      <c r="D1681" s="112" t="s">
        <v>1704</v>
      </c>
      <c r="E1681" s="123" t="s">
        <v>1703</v>
      </c>
      <c r="F1681" s="98" t="str">
        <f t="shared" si="512"/>
        <v>B4</v>
      </c>
      <c r="G1681" s="110">
        <f ca="1">SUMIF($A:E,$A1681,K:K)</f>
        <v>42</v>
      </c>
      <c r="H1681" s="97" t="s">
        <v>1593</v>
      </c>
      <c r="I1681" s="175">
        <v>42</v>
      </c>
      <c r="J1681" s="115">
        <v>5</v>
      </c>
      <c r="K1681" s="143">
        <f t="shared" si="509"/>
        <v>5</v>
      </c>
      <c r="L1681" s="144">
        <f t="shared" ref="L1681" si="515">J1681-K1681</f>
        <v>0</v>
      </c>
      <c r="M1681" s="275"/>
      <c r="N1681" s="98">
        <v>1</v>
      </c>
      <c r="O1681" s="93">
        <f t="shared" si="513"/>
        <v>100</v>
      </c>
      <c r="KZ1681" s="100">
        <v>5</v>
      </c>
      <c r="ON1681" s="100">
        <f t="shared" si="510"/>
        <v>0</v>
      </c>
    </row>
    <row r="1682" spans="1:404" ht="23.25" customHeight="1">
      <c r="A1682" s="97" t="str">
        <f t="shared" si="511"/>
        <v>021/METRO-VG-2166-54120-03-B4</v>
      </c>
      <c r="B1682" s="95">
        <v>44494</v>
      </c>
      <c r="C1682" s="97">
        <f t="shared" ca="1" si="514"/>
        <v>-570</v>
      </c>
      <c r="D1682" s="112" t="s">
        <v>1733</v>
      </c>
      <c r="E1682" s="123" t="s">
        <v>1703</v>
      </c>
      <c r="F1682" s="98" t="str">
        <f t="shared" si="512"/>
        <v>B4</v>
      </c>
      <c r="G1682" s="110">
        <f ca="1">SUMIF($A:E,$A1682,K:K)</f>
        <v>156</v>
      </c>
      <c r="H1682" s="97" t="s">
        <v>1950</v>
      </c>
      <c r="I1682" s="98">
        <v>156</v>
      </c>
      <c r="J1682" s="99">
        <v>156</v>
      </c>
      <c r="K1682" s="143">
        <f t="shared" si="509"/>
        <v>156</v>
      </c>
      <c r="L1682" s="144">
        <f t="shared" si="508"/>
        <v>0</v>
      </c>
      <c r="M1682" s="275">
        <f>IF(OR(MID(E1682,10,1)="0",MID(E1682,10,1)="F"),I1682,IF(OR(,MID(E1682,10,1)="S",MID(E1682,10,1)="L",MID(E1682,10,1)="B",MID(E1682,10,1)="X"),MID(E1682,11,1)*I1682,0))</f>
        <v>156</v>
      </c>
      <c r="N1682" s="98">
        <v>2</v>
      </c>
      <c r="O1682" s="93">
        <f t="shared" si="513"/>
        <v>100</v>
      </c>
      <c r="JH1682" s="100">
        <v>4</v>
      </c>
      <c r="JI1682" s="100">
        <v>5</v>
      </c>
      <c r="JJ1682" s="100">
        <v>10</v>
      </c>
      <c r="JM1682" s="100">
        <v>9</v>
      </c>
      <c r="JN1682" s="100">
        <v>1</v>
      </c>
      <c r="JQ1682" s="100">
        <v>29</v>
      </c>
      <c r="JT1682" s="100">
        <v>4</v>
      </c>
      <c r="JU1682" s="100">
        <v>10</v>
      </c>
      <c r="JV1682" s="100">
        <v>14</v>
      </c>
      <c r="JW1682" s="100">
        <v>13</v>
      </c>
      <c r="JX1682" s="100">
        <v>21</v>
      </c>
      <c r="KA1682" s="100">
        <v>36</v>
      </c>
      <c r="ON1682" s="100">
        <f t="shared" si="510"/>
        <v>0</v>
      </c>
    </row>
    <row r="1683" spans="1:404" ht="23.25" customHeight="1">
      <c r="A1683" s="97" t="str">
        <f t="shared" si="511"/>
        <v>002/FLOWER POWER-VG-2166-54120-03-B</v>
      </c>
      <c r="B1683" s="95">
        <v>44670</v>
      </c>
      <c r="C1683" s="97">
        <f t="shared" ca="1" si="514"/>
        <v>-394</v>
      </c>
      <c r="D1683" s="112" t="s">
        <v>1714</v>
      </c>
      <c r="E1683" s="123" t="s">
        <v>1717</v>
      </c>
      <c r="F1683" s="98" t="str">
        <f t="shared" si="512"/>
        <v>B</v>
      </c>
      <c r="G1683" s="110">
        <f ca="1">SUMIF($A:E,$A1683,K:K)</f>
        <v>0</v>
      </c>
      <c r="H1683" s="112" t="s">
        <v>1725</v>
      </c>
      <c r="I1683" s="175">
        <v>48</v>
      </c>
      <c r="J1683" s="115">
        <v>48</v>
      </c>
      <c r="K1683" s="143">
        <f t="shared" si="509"/>
        <v>0</v>
      </c>
      <c r="L1683" s="144">
        <f t="shared" si="508"/>
        <v>48</v>
      </c>
      <c r="M1683" s="275">
        <f>IF(OR(MID(E1683,10,1)="0",MID(E1683,10,1)="F"),I1683,IF(OR(,MID(E1683,10,1)="S",MID(E1683,10,1)="L",MID(E1683,10,1)="B",MID(E1683,10,1)="X"),MID(E1683,11,1)*I1683,0))</f>
        <v>48</v>
      </c>
      <c r="N1683" s="98">
        <v>4</v>
      </c>
      <c r="O1683" s="93">
        <f t="shared" si="513"/>
        <v>0</v>
      </c>
      <c r="ON1683" s="100">
        <f t="shared" si="510"/>
        <v>0</v>
      </c>
    </row>
    <row r="1684" spans="1:404" ht="23.25" customHeight="1">
      <c r="A1684" s="97" t="str">
        <f t="shared" si="511"/>
        <v>005/METRO-VG-2166-54120-02-B4</v>
      </c>
      <c r="B1684" s="95">
        <v>44495</v>
      </c>
      <c r="C1684" s="97">
        <f t="shared" ca="1" si="514"/>
        <v>-569</v>
      </c>
      <c r="D1684" s="112" t="s">
        <v>1701</v>
      </c>
      <c r="E1684" s="123" t="s">
        <v>1702</v>
      </c>
      <c r="F1684" s="98" t="str">
        <f t="shared" si="512"/>
        <v>B4</v>
      </c>
      <c r="G1684" s="110">
        <f ca="1">SUMIF($A:E,$A1684,K:K)</f>
        <v>12</v>
      </c>
      <c r="H1684" s="97" t="s">
        <v>1593</v>
      </c>
      <c r="I1684" s="175">
        <v>12</v>
      </c>
      <c r="J1684" s="115">
        <v>12</v>
      </c>
      <c r="K1684" s="143">
        <f t="shared" si="509"/>
        <v>12</v>
      </c>
      <c r="L1684" s="144">
        <f t="shared" si="508"/>
        <v>0</v>
      </c>
      <c r="M1684" s="275">
        <f>IF(OR(MID(E1684,10,1)="0",MID(E1684,10,1)="F"),I1684,IF(OR(,MID(E1684,10,1)="S",MID(E1684,10,1)="L",MID(E1684,10,1)="B",MID(E1684,10,1)="X"),MID(E1684,11,1)*I1684,0))</f>
        <v>12</v>
      </c>
      <c r="N1684" s="98">
        <v>2</v>
      </c>
      <c r="O1684" s="93">
        <f t="shared" si="513"/>
        <v>100</v>
      </c>
      <c r="KG1684" s="100">
        <v>1</v>
      </c>
      <c r="KH1684" s="100">
        <v>10</v>
      </c>
      <c r="KJ1684" s="100">
        <v>1</v>
      </c>
      <c r="ON1684" s="100">
        <f t="shared" si="510"/>
        <v>0</v>
      </c>
    </row>
    <row r="1685" spans="1:404" ht="23.25" customHeight="1">
      <c r="A1685" s="97" t="str">
        <f t="shared" si="511"/>
        <v>006/METRO-VG-2166-54120-02-B4</v>
      </c>
      <c r="B1685" s="95">
        <v>44516</v>
      </c>
      <c r="C1685" s="97">
        <f t="shared" ca="1" si="514"/>
        <v>-548</v>
      </c>
      <c r="D1685" s="112" t="s">
        <v>1704</v>
      </c>
      <c r="E1685" s="123" t="s">
        <v>1702</v>
      </c>
      <c r="F1685" s="98" t="str">
        <f t="shared" si="512"/>
        <v>B4</v>
      </c>
      <c r="G1685" s="110">
        <f ca="1">SUMIF($A:E,$A1685,K:K)</f>
        <v>42</v>
      </c>
      <c r="H1685" s="97" t="s">
        <v>1593</v>
      </c>
      <c r="I1685" s="175">
        <v>42</v>
      </c>
      <c r="J1685" s="115">
        <v>37</v>
      </c>
      <c r="K1685" s="143">
        <f t="shared" si="509"/>
        <v>37</v>
      </c>
      <c r="L1685" s="144">
        <f t="shared" si="508"/>
        <v>0</v>
      </c>
      <c r="M1685" s="275">
        <f>IF(OR(MID(E1685,10,1)="0",MID(E1685,10,1)="F"),I1685,IF(OR(,MID(E1685,10,1)="S",MID(E1685,10,1)="L",MID(E1685,10,1)="B",MID(E1685,10,1)="X"),MID(E1685,11,1)*I1685,0))</f>
        <v>42</v>
      </c>
      <c r="N1685" s="98">
        <v>2</v>
      </c>
      <c r="O1685" s="93">
        <f t="shared" si="513"/>
        <v>100</v>
      </c>
      <c r="KJ1685" s="100">
        <v>7</v>
      </c>
      <c r="KR1685" s="100">
        <v>8</v>
      </c>
      <c r="KY1685" s="100">
        <v>13</v>
      </c>
      <c r="KZ1685" s="100">
        <v>9</v>
      </c>
      <c r="ON1685" s="100">
        <f t="shared" si="510"/>
        <v>0</v>
      </c>
    </row>
    <row r="1686" spans="1:404" ht="23.25" customHeight="1">
      <c r="A1686" s="97" t="str">
        <f t="shared" si="511"/>
        <v>006/METRO-VG-2166-54120-02-B4</v>
      </c>
      <c r="B1686" s="95">
        <v>44516</v>
      </c>
      <c r="C1686" s="97">
        <f t="shared" ca="1" si="514"/>
        <v>-548</v>
      </c>
      <c r="D1686" s="112" t="s">
        <v>1704</v>
      </c>
      <c r="E1686" s="123" t="s">
        <v>1702</v>
      </c>
      <c r="F1686" s="98" t="str">
        <f t="shared" si="512"/>
        <v>B4</v>
      </c>
      <c r="G1686" s="110">
        <f ca="1">SUMIF($A:E,$A1686,K:K)</f>
        <v>42</v>
      </c>
      <c r="H1686" s="97" t="s">
        <v>1593</v>
      </c>
      <c r="I1686" s="175">
        <v>42</v>
      </c>
      <c r="J1686" s="115">
        <v>5</v>
      </c>
      <c r="K1686" s="143">
        <f t="shared" si="509"/>
        <v>5</v>
      </c>
      <c r="L1686" s="144">
        <f t="shared" ref="L1686" si="516">J1686-K1686</f>
        <v>0</v>
      </c>
      <c r="M1686" s="275"/>
      <c r="N1686" s="98">
        <v>1</v>
      </c>
      <c r="O1686" s="93">
        <f t="shared" si="513"/>
        <v>100</v>
      </c>
      <c r="KZ1686" s="100">
        <v>5</v>
      </c>
      <c r="ON1686" s="100">
        <f t="shared" si="510"/>
        <v>0</v>
      </c>
    </row>
    <row r="1687" spans="1:404" ht="23.25" customHeight="1">
      <c r="A1687" s="97" t="str">
        <f t="shared" si="511"/>
        <v>021/METRO-VG-2166-54120-02-B4</v>
      </c>
      <c r="B1687" s="95">
        <v>44494</v>
      </c>
      <c r="C1687" s="97">
        <f t="shared" ca="1" si="514"/>
        <v>-570</v>
      </c>
      <c r="D1687" s="112" t="s">
        <v>1733</v>
      </c>
      <c r="E1687" s="123" t="s">
        <v>1702</v>
      </c>
      <c r="F1687" s="98" t="str">
        <f t="shared" si="512"/>
        <v>B4</v>
      </c>
      <c r="G1687" s="110">
        <f ca="1">SUMIF($A:E,$A1687,K:K)</f>
        <v>156</v>
      </c>
      <c r="H1687" s="97" t="s">
        <v>1950</v>
      </c>
      <c r="I1687" s="98">
        <v>156</v>
      </c>
      <c r="J1687" s="99">
        <v>156</v>
      </c>
      <c r="K1687" s="143">
        <f t="shared" si="509"/>
        <v>156</v>
      </c>
      <c r="L1687" s="144">
        <f t="shared" si="508"/>
        <v>0</v>
      </c>
      <c r="M1687" s="275">
        <f t="shared" ref="M1687:M1708" si="517">IF(OR(MID(E1687,10,1)="0",MID(E1687,10,1)="F"),I1687,IF(OR(,MID(E1687,10,1)="S",MID(E1687,10,1)="L",MID(E1687,10,1)="B",MID(E1687,10,1)="X"),MID(E1687,11,1)*I1687,0))</f>
        <v>156</v>
      </c>
      <c r="N1687" s="98">
        <v>2</v>
      </c>
      <c r="O1687" s="93">
        <f t="shared" si="513"/>
        <v>100</v>
      </c>
      <c r="JH1687" s="100">
        <v>4</v>
      </c>
      <c r="JI1687" s="100">
        <v>5</v>
      </c>
      <c r="JJ1687" s="100">
        <v>10</v>
      </c>
      <c r="JM1687" s="100">
        <v>9</v>
      </c>
      <c r="JN1687" s="100">
        <v>1</v>
      </c>
      <c r="JQ1687" s="100">
        <v>29</v>
      </c>
      <c r="JT1687" s="100">
        <v>4</v>
      </c>
      <c r="JU1687" s="100">
        <v>10</v>
      </c>
      <c r="JV1687" s="100">
        <v>14</v>
      </c>
      <c r="JW1687" s="100">
        <v>13</v>
      </c>
      <c r="JX1687" s="100">
        <v>21</v>
      </c>
      <c r="KA1687" s="100">
        <v>36</v>
      </c>
      <c r="ON1687" s="100">
        <f t="shared" si="510"/>
        <v>0</v>
      </c>
    </row>
    <row r="1688" spans="1:404" ht="23.25" customHeight="1">
      <c r="A1688" s="97" t="str">
        <f t="shared" si="511"/>
        <v>001T/REJUVENATION-2166-54120-02-39</v>
      </c>
      <c r="B1688" s="95">
        <v>44321</v>
      </c>
      <c r="C1688" s="97">
        <f t="shared" ca="1" si="514"/>
        <v>-743</v>
      </c>
      <c r="D1688" s="145" t="s">
        <v>750</v>
      </c>
      <c r="E1688" s="252" t="s">
        <v>754</v>
      </c>
      <c r="F1688" s="98" t="str">
        <f t="shared" si="512"/>
        <v>39</v>
      </c>
      <c r="G1688" s="110">
        <f ca="1">SUMIF($A:E,$A1688,K:K)</f>
        <v>100</v>
      </c>
      <c r="H1688" s="97" t="s">
        <v>505</v>
      </c>
      <c r="I1688" s="196">
        <v>100</v>
      </c>
      <c r="J1688" s="210">
        <v>100</v>
      </c>
      <c r="K1688" s="143">
        <f t="shared" si="509"/>
        <v>100</v>
      </c>
      <c r="L1688" s="144">
        <f t="shared" ref="L1688:L1704" si="518">J1688-K1688</f>
        <v>0</v>
      </c>
      <c r="M1688" s="275">
        <f t="shared" si="517"/>
        <v>100</v>
      </c>
      <c r="N1688" s="98">
        <v>1</v>
      </c>
      <c r="O1688" s="93">
        <f>K1688/J1687*100</f>
        <v>64.102564102564102</v>
      </c>
      <c r="CI1688" s="101">
        <v>9</v>
      </c>
      <c r="CQ1688" s="101">
        <v>3</v>
      </c>
      <c r="CR1688" s="101">
        <v>8</v>
      </c>
      <c r="CS1688" s="101">
        <v>2</v>
      </c>
      <c r="CT1688" s="101">
        <v>12</v>
      </c>
      <c r="CU1688" s="101">
        <v>8</v>
      </c>
      <c r="CX1688" s="101">
        <v>12</v>
      </c>
      <c r="CZ1688" s="101">
        <v>2</v>
      </c>
      <c r="DA1688" s="101">
        <v>10</v>
      </c>
      <c r="DB1688" s="101">
        <v>18</v>
      </c>
      <c r="DE1688" s="101">
        <v>8</v>
      </c>
      <c r="DF1688" s="101">
        <v>1</v>
      </c>
      <c r="DM1688" s="101">
        <v>2</v>
      </c>
      <c r="DN1688" s="101">
        <v>5</v>
      </c>
      <c r="ON1688" s="100">
        <f t="shared" si="510"/>
        <v>0</v>
      </c>
    </row>
    <row r="1689" spans="1:404" ht="23.25" customHeight="1">
      <c r="A1689" s="97" t="str">
        <f t="shared" si="511"/>
        <v>001T/REJUVENATION-2166-54120-02-30</v>
      </c>
      <c r="B1689" s="95">
        <v>44323</v>
      </c>
      <c r="C1689" s="97">
        <f t="shared" ca="1" si="514"/>
        <v>-741</v>
      </c>
      <c r="D1689" s="145" t="s">
        <v>750</v>
      </c>
      <c r="E1689" s="252" t="s">
        <v>753</v>
      </c>
      <c r="F1689" s="98" t="str">
        <f t="shared" si="512"/>
        <v>30</v>
      </c>
      <c r="G1689" s="110">
        <f ca="1">SUMIF($A:E,$A1689,K:K)</f>
        <v>100</v>
      </c>
      <c r="H1689" s="97" t="s">
        <v>505</v>
      </c>
      <c r="I1689" s="196">
        <v>100</v>
      </c>
      <c r="J1689" s="146">
        <v>100</v>
      </c>
      <c r="K1689" s="143">
        <f t="shared" si="509"/>
        <v>100</v>
      </c>
      <c r="L1689" s="144">
        <f t="shared" si="518"/>
        <v>0</v>
      </c>
      <c r="M1689" s="275">
        <f t="shared" si="517"/>
        <v>100</v>
      </c>
      <c r="N1689" s="98">
        <v>1</v>
      </c>
      <c r="O1689" s="93">
        <f t="shared" ref="O1689:O1721" si="519">K1689/J1689*100</f>
        <v>100</v>
      </c>
      <c r="CN1689" s="101">
        <v>9</v>
      </c>
      <c r="DE1689" s="101">
        <v>23</v>
      </c>
      <c r="DF1689" s="101">
        <v>9</v>
      </c>
      <c r="DG1689" s="101">
        <v>8</v>
      </c>
      <c r="DK1689" s="101">
        <v>14</v>
      </c>
      <c r="DL1689" s="101">
        <v>20</v>
      </c>
      <c r="DM1689" s="101">
        <v>17</v>
      </c>
      <c r="ON1689" s="100">
        <f t="shared" si="510"/>
        <v>0</v>
      </c>
    </row>
    <row r="1690" spans="1:404" ht="23.25" customHeight="1">
      <c r="A1690" s="97" t="str">
        <f t="shared" si="511"/>
        <v xml:space="preserve"> 001/YAMATEI-VG_SR-2166-54105-02-B1</v>
      </c>
      <c r="B1690" s="95">
        <v>44425</v>
      </c>
      <c r="C1690" s="97">
        <f t="shared" ca="1" si="514"/>
        <v>-639</v>
      </c>
      <c r="D1690" s="112" t="s">
        <v>1556</v>
      </c>
      <c r="E1690" s="123" t="s">
        <v>1558</v>
      </c>
      <c r="F1690" s="98" t="str">
        <f t="shared" si="512"/>
        <v>B1</v>
      </c>
      <c r="G1690" s="110">
        <f ca="1">SUMIF($A:E,$A1690,K:K)</f>
        <v>2</v>
      </c>
      <c r="H1690" s="159" t="s">
        <v>1562</v>
      </c>
      <c r="I1690" s="175">
        <v>2</v>
      </c>
      <c r="J1690" s="115">
        <v>2</v>
      </c>
      <c r="K1690" s="143">
        <f t="shared" si="509"/>
        <v>2</v>
      </c>
      <c r="L1690" s="144">
        <f t="shared" si="518"/>
        <v>0</v>
      </c>
      <c r="M1690" s="275">
        <f t="shared" si="517"/>
        <v>2</v>
      </c>
      <c r="N1690" s="98">
        <v>5</v>
      </c>
      <c r="O1690" s="93">
        <f t="shared" si="519"/>
        <v>100</v>
      </c>
      <c r="HE1690" s="100">
        <v>1</v>
      </c>
      <c r="HF1690" s="100">
        <v>1</v>
      </c>
      <c r="ON1690" s="100">
        <f t="shared" si="510"/>
        <v>0</v>
      </c>
    </row>
    <row r="1691" spans="1:404" ht="23.25" customHeight="1">
      <c r="A1691" s="97" t="str">
        <f t="shared" si="511"/>
        <v>003/ANNA-VG-21(đ5)66-54100-S3-A</v>
      </c>
      <c r="B1691" s="95">
        <v>44600</v>
      </c>
      <c r="C1691" s="97">
        <f t="shared" ca="1" si="514"/>
        <v>-464</v>
      </c>
      <c r="D1691" s="112" t="s">
        <v>1664</v>
      </c>
      <c r="E1691" s="279" t="s">
        <v>700</v>
      </c>
      <c r="F1691" s="98" t="str">
        <f t="shared" si="512"/>
        <v>A</v>
      </c>
      <c r="G1691" s="110">
        <f ca="1">SUMIF($A:E,$A1691,K:K)</f>
        <v>60</v>
      </c>
      <c r="H1691" s="112" t="s">
        <v>1677</v>
      </c>
      <c r="I1691" s="175">
        <v>60</v>
      </c>
      <c r="J1691" s="115">
        <v>60</v>
      </c>
      <c r="K1691" s="143">
        <f t="shared" si="509"/>
        <v>60</v>
      </c>
      <c r="L1691" s="144">
        <f t="shared" si="518"/>
        <v>0</v>
      </c>
      <c r="M1691" s="275">
        <f t="shared" si="517"/>
        <v>180</v>
      </c>
      <c r="N1691" s="98">
        <v>2</v>
      </c>
      <c r="O1691" s="93">
        <f t="shared" si="519"/>
        <v>100</v>
      </c>
      <c r="MH1691" s="100">
        <v>9</v>
      </c>
      <c r="MK1691" s="100">
        <v>11</v>
      </c>
      <c r="ML1691" s="100">
        <v>5</v>
      </c>
      <c r="MN1691" s="100">
        <v>10</v>
      </c>
      <c r="MO1691" s="100">
        <v>5</v>
      </c>
      <c r="MQ1691" s="100">
        <v>5</v>
      </c>
      <c r="MR1691" s="100">
        <v>3</v>
      </c>
      <c r="MS1691" s="100">
        <v>4</v>
      </c>
      <c r="MT1691" s="100">
        <v>7</v>
      </c>
      <c r="MU1691" s="100">
        <v>1</v>
      </c>
      <c r="ON1691" s="100">
        <f t="shared" si="510"/>
        <v>0</v>
      </c>
    </row>
    <row r="1692" spans="1:404" ht="23.25" customHeight="1">
      <c r="A1692" s="97" t="str">
        <f t="shared" si="511"/>
        <v>001/NEVE YARAK-VG-2166-54100-L2-B</v>
      </c>
      <c r="B1692" s="218">
        <v>44661</v>
      </c>
      <c r="C1692" s="97">
        <f t="shared" ca="1" si="514"/>
        <v>-403</v>
      </c>
      <c r="D1692" s="112" t="s">
        <v>1705</v>
      </c>
      <c r="E1692" s="123" t="s">
        <v>729</v>
      </c>
      <c r="F1692" s="98" t="str">
        <f t="shared" si="512"/>
        <v>B</v>
      </c>
      <c r="G1692" s="110">
        <f ca="1">SUMIF($A:E,$A1692,K:K)</f>
        <v>0</v>
      </c>
      <c r="H1692" s="97" t="s">
        <v>927</v>
      </c>
      <c r="I1692" s="175">
        <v>120</v>
      </c>
      <c r="J1692" s="115">
        <v>120</v>
      </c>
      <c r="K1692" s="143">
        <f t="shared" si="509"/>
        <v>0</v>
      </c>
      <c r="L1692" s="144">
        <f t="shared" si="518"/>
        <v>120</v>
      </c>
      <c r="M1692" s="275">
        <f t="shared" si="517"/>
        <v>240</v>
      </c>
      <c r="N1692" s="98"/>
      <c r="O1692" s="93">
        <f t="shared" si="519"/>
        <v>0</v>
      </c>
      <c r="ON1692" s="100">
        <f t="shared" si="510"/>
        <v>0</v>
      </c>
    </row>
    <row r="1693" spans="1:404" ht="23.25" customHeight="1">
      <c r="A1693" s="97" t="str">
        <f t="shared" ref="A1693:A1704" si="520">D1693&amp;E1693</f>
        <v>001/SIPLEC-VG-2166-54100-B2-B</v>
      </c>
      <c r="B1693" s="95">
        <v>44501</v>
      </c>
      <c r="C1693" s="97">
        <f t="shared" ca="1" si="514"/>
        <v>-563</v>
      </c>
      <c r="D1693" s="112" t="s">
        <v>1563</v>
      </c>
      <c r="E1693" s="123" t="s">
        <v>1564</v>
      </c>
      <c r="F1693" s="98" t="str">
        <f t="shared" ref="F1693:F1704" si="521">MID(E1693,13,2)</f>
        <v>B</v>
      </c>
      <c r="G1693" s="110">
        <f ca="1">SUMIF($A:E,$A1693,K:K)</f>
        <v>240</v>
      </c>
      <c r="H1693" s="97" t="s">
        <v>585</v>
      </c>
      <c r="I1693" s="98">
        <v>240</v>
      </c>
      <c r="J1693" s="99">
        <v>240</v>
      </c>
      <c r="K1693" s="143">
        <f t="shared" si="509"/>
        <v>240</v>
      </c>
      <c r="L1693" s="144">
        <f t="shared" si="518"/>
        <v>0</v>
      </c>
      <c r="M1693" s="275">
        <f t="shared" si="517"/>
        <v>480</v>
      </c>
      <c r="N1693" s="98">
        <v>1</v>
      </c>
      <c r="O1693" s="93">
        <f t="shared" si="519"/>
        <v>100</v>
      </c>
      <c r="IK1693" s="100">
        <v>3</v>
      </c>
      <c r="IM1693" s="100">
        <v>1</v>
      </c>
      <c r="IN1693" s="100">
        <v>5</v>
      </c>
      <c r="IR1693" s="100">
        <v>4</v>
      </c>
      <c r="IS1693" s="100">
        <v>1</v>
      </c>
      <c r="IT1693" s="100">
        <v>3</v>
      </c>
      <c r="IU1693" s="100">
        <v>14</v>
      </c>
      <c r="IV1693" s="100">
        <v>21</v>
      </c>
      <c r="IW1693" s="100">
        <v>15</v>
      </c>
      <c r="JD1693" s="100">
        <v>3</v>
      </c>
      <c r="JG1693" s="100">
        <v>7</v>
      </c>
      <c r="JH1693" s="100">
        <v>1</v>
      </c>
      <c r="JI1693" s="100">
        <v>10</v>
      </c>
      <c r="JJ1693" s="100">
        <v>2</v>
      </c>
      <c r="JK1693" s="100">
        <v>5</v>
      </c>
      <c r="JM1693" s="100">
        <v>4</v>
      </c>
      <c r="JN1693" s="100">
        <v>10</v>
      </c>
      <c r="JO1693" s="100">
        <v>8</v>
      </c>
      <c r="JQ1693" s="100">
        <v>8</v>
      </c>
      <c r="JR1693" s="100">
        <v>11</v>
      </c>
      <c r="JU1693" s="100">
        <v>4</v>
      </c>
      <c r="JV1693" s="100">
        <v>5</v>
      </c>
      <c r="JW1693" s="100">
        <v>5</v>
      </c>
      <c r="JX1693" s="100">
        <v>10</v>
      </c>
      <c r="JY1693" s="100">
        <v>2</v>
      </c>
      <c r="KA1693" s="100">
        <v>16</v>
      </c>
      <c r="KB1693" s="100">
        <v>15</v>
      </c>
      <c r="KC1693" s="100">
        <v>5</v>
      </c>
      <c r="KD1693" s="100">
        <v>10</v>
      </c>
      <c r="KE1693" s="100">
        <v>1</v>
      </c>
      <c r="KF1693" s="100">
        <v>7</v>
      </c>
      <c r="KG1693" s="100">
        <v>6</v>
      </c>
      <c r="KH1693" s="100">
        <v>5</v>
      </c>
      <c r="KI1693" s="100">
        <v>3</v>
      </c>
      <c r="KJ1693" s="100">
        <v>10</v>
      </c>
      <c r="ON1693" s="100">
        <f t="shared" si="510"/>
        <v>0</v>
      </c>
    </row>
    <row r="1694" spans="1:404" ht="23.25" customHeight="1">
      <c r="A1694" s="97" t="str">
        <f t="shared" si="520"/>
        <v>002/HACA-HK-2166-54100-B2-39</v>
      </c>
      <c r="B1694" s="95">
        <v>44350</v>
      </c>
      <c r="C1694" s="97">
        <f t="shared" ca="1" si="514"/>
        <v>-714</v>
      </c>
      <c r="D1694" s="145" t="s">
        <v>785</v>
      </c>
      <c r="E1694" s="252" t="s">
        <v>786</v>
      </c>
      <c r="F1694" s="98" t="str">
        <f t="shared" si="521"/>
        <v>39</v>
      </c>
      <c r="G1694" s="110">
        <f ca="1">SUMIF($A:E,$A1694,K:K)</f>
        <v>15</v>
      </c>
      <c r="H1694" s="97" t="s">
        <v>793</v>
      </c>
      <c r="I1694" s="98">
        <v>15</v>
      </c>
      <c r="J1694" s="99">
        <v>15</v>
      </c>
      <c r="K1694" s="143">
        <f t="shared" si="509"/>
        <v>15</v>
      </c>
      <c r="L1694" s="144">
        <f t="shared" si="518"/>
        <v>0</v>
      </c>
      <c r="M1694" s="275">
        <f t="shared" si="517"/>
        <v>30</v>
      </c>
      <c r="N1694" s="98">
        <v>2</v>
      </c>
      <c r="O1694" s="93">
        <f t="shared" si="519"/>
        <v>100</v>
      </c>
      <c r="DR1694" s="101">
        <v>2</v>
      </c>
      <c r="DU1694" s="100">
        <v>1</v>
      </c>
      <c r="DW1694" s="100">
        <v>2</v>
      </c>
      <c r="DY1694" s="100">
        <v>3</v>
      </c>
      <c r="DZ1694" s="100">
        <v>1</v>
      </c>
      <c r="EC1694" s="100">
        <v>3</v>
      </c>
      <c r="ED1694" s="100">
        <v>3</v>
      </c>
      <c r="ON1694" s="100">
        <f t="shared" si="510"/>
        <v>0</v>
      </c>
    </row>
    <row r="1695" spans="1:404" ht="23.25" customHeight="1">
      <c r="A1695" s="97" t="str">
        <f t="shared" si="520"/>
        <v>001/NEVE YARAK-VG-2166-54100-02-B</v>
      </c>
      <c r="B1695" s="218">
        <v>44661</v>
      </c>
      <c r="C1695" s="97">
        <f t="shared" ca="1" si="514"/>
        <v>-403</v>
      </c>
      <c r="D1695" s="112" t="s">
        <v>1705</v>
      </c>
      <c r="E1695" s="123" t="s">
        <v>630</v>
      </c>
      <c r="F1695" s="98" t="str">
        <f t="shared" si="521"/>
        <v>B</v>
      </c>
      <c r="G1695" s="110">
        <f ca="1">SUMIF($A:E,$A1695,K:K)</f>
        <v>26</v>
      </c>
      <c r="H1695" s="97" t="s">
        <v>927</v>
      </c>
      <c r="I1695" s="175">
        <v>175</v>
      </c>
      <c r="J1695" s="115">
        <v>175</v>
      </c>
      <c r="K1695" s="143">
        <f t="shared" si="509"/>
        <v>26</v>
      </c>
      <c r="L1695" s="144">
        <f t="shared" si="518"/>
        <v>149</v>
      </c>
      <c r="M1695" s="275">
        <f t="shared" si="517"/>
        <v>175</v>
      </c>
      <c r="N1695" s="98">
        <v>3</v>
      </c>
      <c r="O1695" s="93">
        <f t="shared" si="519"/>
        <v>14.857142857142858</v>
      </c>
      <c r="OJ1695" s="100">
        <v>6</v>
      </c>
      <c r="OK1695" s="100">
        <v>4</v>
      </c>
      <c r="OM1695" s="100">
        <v>3</v>
      </c>
      <c r="ON1695" s="100">
        <f t="shared" si="510"/>
        <v>13</v>
      </c>
    </row>
    <row r="1696" spans="1:404" ht="23.25" customHeight="1">
      <c r="A1696" s="97" t="str">
        <f t="shared" si="520"/>
        <v>439A/POTTERYPOT-2166-54100-02-A</v>
      </c>
      <c r="B1696" s="95">
        <v>44636</v>
      </c>
      <c r="C1696" s="97">
        <f t="shared" ca="1" si="514"/>
        <v>-428</v>
      </c>
      <c r="D1696" s="112" t="s">
        <v>1514</v>
      </c>
      <c r="E1696" s="279" t="s">
        <v>1515</v>
      </c>
      <c r="F1696" s="98" t="str">
        <f t="shared" si="521"/>
        <v>A</v>
      </c>
      <c r="G1696" s="110">
        <f ca="1">SUMIF($A:E,$A1696,K:K)</f>
        <v>236</v>
      </c>
      <c r="H1696" s="97" t="s">
        <v>1513</v>
      </c>
      <c r="I1696" s="98">
        <v>120</v>
      </c>
      <c r="J1696" s="99">
        <v>120</v>
      </c>
      <c r="K1696" s="143">
        <f t="shared" si="509"/>
        <v>236</v>
      </c>
      <c r="L1696" s="144">
        <f t="shared" si="518"/>
        <v>-116</v>
      </c>
      <c r="M1696" s="275">
        <f t="shared" si="517"/>
        <v>120</v>
      </c>
      <c r="N1696" s="98" t="s">
        <v>1768</v>
      </c>
      <c r="O1696" s="93">
        <f t="shared" si="519"/>
        <v>196.66666666666666</v>
      </c>
      <c r="NZ1696" s="100">
        <v>9</v>
      </c>
      <c r="OA1696" s="100">
        <v>10</v>
      </c>
      <c r="OB1696" s="100">
        <v>9</v>
      </c>
      <c r="OC1696" s="100">
        <v>11</v>
      </c>
      <c r="OF1696" s="100">
        <v>10</v>
      </c>
      <c r="OG1696" s="100">
        <v>19</v>
      </c>
      <c r="OI1696" s="100">
        <v>20</v>
      </c>
      <c r="OJ1696" s="100">
        <v>10</v>
      </c>
      <c r="OK1696" s="100">
        <v>9</v>
      </c>
      <c r="OM1696" s="100">
        <v>11</v>
      </c>
      <c r="ON1696" s="100">
        <f t="shared" si="510"/>
        <v>118</v>
      </c>
    </row>
    <row r="1697" spans="1:404" ht="23.25" customHeight="1">
      <c r="A1697" s="97" t="str">
        <f t="shared" si="520"/>
        <v>438/POTTERYPOT-2166-54100-02-A</v>
      </c>
      <c r="B1697" s="95">
        <v>44636</v>
      </c>
      <c r="C1697" s="97">
        <f t="shared" ca="1" si="514"/>
        <v>-428</v>
      </c>
      <c r="D1697" s="112" t="s">
        <v>1596</v>
      </c>
      <c r="E1697" s="279" t="s">
        <v>1515</v>
      </c>
      <c r="F1697" s="98" t="str">
        <f t="shared" si="521"/>
        <v>A</v>
      </c>
      <c r="G1697" s="110">
        <f ca="1">SUMIF($A:E,$A1697,K:K)</f>
        <v>131</v>
      </c>
      <c r="H1697" s="97" t="s">
        <v>1600</v>
      </c>
      <c r="I1697" s="98">
        <v>90</v>
      </c>
      <c r="J1697" s="97">
        <v>90</v>
      </c>
      <c r="K1697" s="143">
        <f t="shared" si="509"/>
        <v>131</v>
      </c>
      <c r="L1697" s="144">
        <f t="shared" si="518"/>
        <v>-41</v>
      </c>
      <c r="M1697" s="275">
        <f t="shared" si="517"/>
        <v>90</v>
      </c>
      <c r="N1697" s="98" t="s">
        <v>1768</v>
      </c>
      <c r="O1697" s="93">
        <f t="shared" si="519"/>
        <v>145.55555555555554</v>
      </c>
      <c r="NA1697" s="100">
        <v>11</v>
      </c>
      <c r="ND1697" s="100">
        <v>4</v>
      </c>
      <c r="NE1697" s="100">
        <v>10</v>
      </c>
      <c r="NG1697" s="100">
        <v>8</v>
      </c>
      <c r="NI1697" s="100">
        <v>2</v>
      </c>
      <c r="NK1697" s="100">
        <v>10</v>
      </c>
      <c r="NL1697" s="100">
        <v>4</v>
      </c>
      <c r="NS1697" s="100">
        <v>10</v>
      </c>
      <c r="NV1697" s="100">
        <v>15</v>
      </c>
      <c r="NY1697" s="100">
        <v>15</v>
      </c>
      <c r="NZ1697" s="100">
        <v>1</v>
      </c>
      <c r="ON1697" s="100">
        <f t="shared" si="510"/>
        <v>41</v>
      </c>
    </row>
    <row r="1698" spans="1:404" ht="23.25" customHeight="1">
      <c r="A1698" s="97" t="str">
        <f t="shared" si="520"/>
        <v>439A/POTTERYPOT-2166-54100-02-A</v>
      </c>
      <c r="B1698" s="95">
        <v>44636</v>
      </c>
      <c r="C1698" s="97">
        <f t="shared" ca="1" si="514"/>
        <v>-428</v>
      </c>
      <c r="D1698" s="112" t="s">
        <v>1514</v>
      </c>
      <c r="E1698" s="279" t="s">
        <v>1515</v>
      </c>
      <c r="F1698" s="98" t="str">
        <f t="shared" si="521"/>
        <v>A</v>
      </c>
      <c r="G1698" s="110">
        <f ca="1">SUMIF($A:E,$A1698,K:K)</f>
        <v>236</v>
      </c>
      <c r="H1698" s="97" t="s">
        <v>1600</v>
      </c>
      <c r="I1698" s="175">
        <v>120</v>
      </c>
      <c r="J1698" s="115">
        <v>120</v>
      </c>
      <c r="K1698" s="143">
        <f t="shared" si="509"/>
        <v>0</v>
      </c>
      <c r="L1698" s="144">
        <f t="shared" si="518"/>
        <v>120</v>
      </c>
      <c r="M1698" s="275">
        <f t="shared" si="517"/>
        <v>120</v>
      </c>
      <c r="N1698" s="98"/>
      <c r="O1698" s="93">
        <f t="shared" si="519"/>
        <v>0</v>
      </c>
      <c r="ON1698" s="100">
        <f t="shared" si="510"/>
        <v>0</v>
      </c>
    </row>
    <row r="1699" spans="1:404" ht="23.25" customHeight="1">
      <c r="A1699" s="97" t="str">
        <f t="shared" si="520"/>
        <v xml:space="preserve"> 009T/EUROMARKET-2166-54100-01-B</v>
      </c>
      <c r="B1699" s="95">
        <v>44469</v>
      </c>
      <c r="C1699" s="97">
        <f t="shared" ref="C1699:C1704" ca="1" si="522">B1699-TODAY()</f>
        <v>-595</v>
      </c>
      <c r="D1699" s="112" t="s">
        <v>1540</v>
      </c>
      <c r="E1699" s="123" t="s">
        <v>629</v>
      </c>
      <c r="F1699" s="98" t="str">
        <f t="shared" si="521"/>
        <v>B</v>
      </c>
      <c r="G1699" s="110">
        <f ca="1">SUMIF($A:E,$A1699,K:K)</f>
        <v>513</v>
      </c>
      <c r="H1699" s="112" t="s">
        <v>1525</v>
      </c>
      <c r="I1699" s="175">
        <v>513</v>
      </c>
      <c r="J1699" s="115">
        <f>130+120</f>
        <v>250</v>
      </c>
      <c r="K1699" s="143">
        <f t="shared" si="509"/>
        <v>250</v>
      </c>
      <c r="L1699" s="144">
        <f t="shared" si="518"/>
        <v>0</v>
      </c>
      <c r="M1699" s="275">
        <f t="shared" si="517"/>
        <v>513</v>
      </c>
      <c r="N1699" s="98">
        <v>2</v>
      </c>
      <c r="O1699" s="93">
        <f t="shared" si="519"/>
        <v>100</v>
      </c>
      <c r="HL1699" s="100">
        <v>15</v>
      </c>
      <c r="HM1699" s="100">
        <v>12</v>
      </c>
      <c r="HQ1699" s="100">
        <v>9</v>
      </c>
      <c r="HR1699" s="100">
        <v>3</v>
      </c>
      <c r="HS1699" s="100">
        <v>11</v>
      </c>
      <c r="HT1699" s="100">
        <v>2</v>
      </c>
      <c r="HU1699" s="100">
        <v>13</v>
      </c>
      <c r="HW1699" s="100">
        <v>6</v>
      </c>
      <c r="HX1699" s="100">
        <v>21</v>
      </c>
      <c r="IB1699" s="100">
        <v>3</v>
      </c>
      <c r="IE1699" s="100">
        <v>16</v>
      </c>
      <c r="IF1699" s="100">
        <v>7</v>
      </c>
      <c r="IG1699" s="100">
        <v>24</v>
      </c>
      <c r="IH1699" s="100">
        <v>6</v>
      </c>
      <c r="II1699" s="100">
        <v>13</v>
      </c>
      <c r="IK1699" s="100">
        <v>6</v>
      </c>
      <c r="IL1699" s="100">
        <v>14</v>
      </c>
      <c r="IM1699" s="100">
        <v>6</v>
      </c>
      <c r="IN1699" s="100">
        <v>8</v>
      </c>
      <c r="IO1699" s="100">
        <v>13</v>
      </c>
      <c r="IP1699" s="100">
        <v>2</v>
      </c>
      <c r="IR1699" s="100">
        <v>7</v>
      </c>
      <c r="IS1699" s="100">
        <v>10</v>
      </c>
      <c r="IT1699" s="100">
        <v>5</v>
      </c>
      <c r="IV1699" s="100">
        <v>7</v>
      </c>
      <c r="IW1699" s="100">
        <v>11</v>
      </c>
      <c r="ON1699" s="100">
        <f t="shared" si="510"/>
        <v>0</v>
      </c>
    </row>
    <row r="1700" spans="1:404" ht="23.25" customHeight="1">
      <c r="A1700" s="97" t="str">
        <f t="shared" si="520"/>
        <v xml:space="preserve"> 009T/EUROMARKET-2166-54100-01-B</v>
      </c>
      <c r="B1700" s="95">
        <v>44469</v>
      </c>
      <c r="C1700" s="97">
        <f t="shared" ca="1" si="522"/>
        <v>-595</v>
      </c>
      <c r="D1700" s="112" t="s">
        <v>1540</v>
      </c>
      <c r="E1700" s="123" t="s">
        <v>629</v>
      </c>
      <c r="F1700" s="98" t="str">
        <f t="shared" si="521"/>
        <v>B</v>
      </c>
      <c r="G1700" s="110">
        <f ca="1">SUMIF($A:E,$A1700,K:K)</f>
        <v>513</v>
      </c>
      <c r="H1700" s="112" t="s">
        <v>1525</v>
      </c>
      <c r="I1700" s="175">
        <v>513</v>
      </c>
      <c r="J1700" s="115">
        <v>120</v>
      </c>
      <c r="K1700" s="143">
        <f t="shared" si="509"/>
        <v>120</v>
      </c>
      <c r="L1700" s="144">
        <f t="shared" si="518"/>
        <v>0</v>
      </c>
      <c r="M1700" s="275">
        <f t="shared" si="517"/>
        <v>513</v>
      </c>
      <c r="N1700" s="98">
        <v>1</v>
      </c>
      <c r="O1700" s="93">
        <f t="shared" si="519"/>
        <v>100</v>
      </c>
      <c r="HR1700" s="100">
        <v>6</v>
      </c>
      <c r="HS1700" s="100">
        <v>4</v>
      </c>
      <c r="HT1700" s="100">
        <v>14</v>
      </c>
      <c r="HU1700" s="100">
        <v>12</v>
      </c>
      <c r="HW1700" s="100">
        <v>17</v>
      </c>
      <c r="HX1700" s="100">
        <v>8</v>
      </c>
      <c r="HY1700" s="100">
        <v>11</v>
      </c>
      <c r="ID1700" s="100">
        <v>14</v>
      </c>
      <c r="IE1700" s="100">
        <v>2</v>
      </c>
      <c r="IF1700" s="100">
        <v>15</v>
      </c>
      <c r="IG1700" s="100">
        <v>13</v>
      </c>
      <c r="IH1700" s="100">
        <v>4</v>
      </c>
      <c r="ON1700" s="100">
        <f t="shared" si="510"/>
        <v>0</v>
      </c>
    </row>
    <row r="1701" spans="1:404" ht="23.25" customHeight="1">
      <c r="A1701" s="97" t="str">
        <f t="shared" si="520"/>
        <v xml:space="preserve"> 009T/EUROMARKET-2166-54100-01-B</v>
      </c>
      <c r="B1701" s="95">
        <v>44469</v>
      </c>
      <c r="C1701" s="97">
        <f t="shared" ca="1" si="522"/>
        <v>-595</v>
      </c>
      <c r="D1701" s="112" t="s">
        <v>1540</v>
      </c>
      <c r="E1701" s="123" t="s">
        <v>629</v>
      </c>
      <c r="F1701" s="98" t="str">
        <f t="shared" si="521"/>
        <v>B</v>
      </c>
      <c r="G1701" s="110">
        <f ca="1">SUMIF($A:E,$A1701,K:K)</f>
        <v>513</v>
      </c>
      <c r="H1701" s="112" t="s">
        <v>1525</v>
      </c>
      <c r="I1701" s="175">
        <v>513</v>
      </c>
      <c r="J1701" s="115">
        <f>513-J1699-J1700</f>
        <v>143</v>
      </c>
      <c r="K1701" s="143">
        <f t="shared" si="509"/>
        <v>143</v>
      </c>
      <c r="L1701" s="144">
        <f t="shared" si="518"/>
        <v>0</v>
      </c>
      <c r="M1701" s="275">
        <f t="shared" si="517"/>
        <v>513</v>
      </c>
      <c r="N1701" s="98">
        <v>1</v>
      </c>
      <c r="O1701" s="93">
        <f t="shared" si="519"/>
        <v>100</v>
      </c>
      <c r="IH1701" s="100">
        <v>22</v>
      </c>
      <c r="II1701" s="100">
        <v>3</v>
      </c>
      <c r="IK1701" s="100">
        <v>20</v>
      </c>
      <c r="IM1701" s="100">
        <v>13</v>
      </c>
      <c r="IN1701" s="100">
        <v>17</v>
      </c>
      <c r="IO1701" s="100">
        <v>12</v>
      </c>
      <c r="IP1701" s="100">
        <v>3</v>
      </c>
      <c r="IR1701" s="100">
        <v>6</v>
      </c>
      <c r="IS1701" s="100">
        <v>23</v>
      </c>
      <c r="IT1701" s="100">
        <v>6</v>
      </c>
      <c r="IU1701" s="100">
        <v>1</v>
      </c>
      <c r="IW1701" s="100">
        <v>4</v>
      </c>
      <c r="IY1701" s="100">
        <v>13</v>
      </c>
      <c r="ON1701" s="100">
        <f t="shared" si="510"/>
        <v>0</v>
      </c>
    </row>
    <row r="1702" spans="1:404" ht="23.25" customHeight="1">
      <c r="A1702" s="97" t="str">
        <f t="shared" si="520"/>
        <v>051-VG_SR-21(EUROMARKET)66-54100-01-B</v>
      </c>
      <c r="B1702" s="95">
        <v>44426</v>
      </c>
      <c r="C1702" s="97">
        <f t="shared" ca="1" si="522"/>
        <v>-638</v>
      </c>
      <c r="D1702" s="112" t="s">
        <v>1546</v>
      </c>
      <c r="E1702" s="123" t="s">
        <v>629</v>
      </c>
      <c r="F1702" s="98" t="str">
        <f t="shared" si="521"/>
        <v>B</v>
      </c>
      <c r="G1702" s="110">
        <f ca="1">SUMIF($A:E,$A1702,K:K)</f>
        <v>5</v>
      </c>
      <c r="H1702" s="112" t="s">
        <v>1551</v>
      </c>
      <c r="I1702" s="98">
        <v>5</v>
      </c>
      <c r="J1702" s="99">
        <v>5</v>
      </c>
      <c r="K1702" s="143">
        <f t="shared" si="509"/>
        <v>5</v>
      </c>
      <c r="L1702" s="144">
        <f t="shared" si="518"/>
        <v>0</v>
      </c>
      <c r="M1702" s="275">
        <f t="shared" si="517"/>
        <v>5</v>
      </c>
      <c r="N1702" s="98">
        <v>2</v>
      </c>
      <c r="O1702" s="93">
        <f t="shared" si="519"/>
        <v>100</v>
      </c>
      <c r="HJ1702" s="100">
        <v>2</v>
      </c>
      <c r="HK1702" s="100">
        <v>3</v>
      </c>
      <c r="ON1702" s="100">
        <f t="shared" si="510"/>
        <v>0</v>
      </c>
    </row>
    <row r="1703" spans="1:404" ht="23.25" customHeight="1">
      <c r="A1703" s="97" t="str">
        <f t="shared" si="520"/>
        <v>001/EUROMARKET-VG_SR-2166-54100-01-B</v>
      </c>
      <c r="B1703" s="95">
        <v>44425</v>
      </c>
      <c r="C1703" s="97">
        <f t="shared" ca="1" si="522"/>
        <v>-639</v>
      </c>
      <c r="D1703" s="112" t="s">
        <v>1552</v>
      </c>
      <c r="E1703" s="123" t="s">
        <v>629</v>
      </c>
      <c r="F1703" s="98" t="str">
        <f t="shared" si="521"/>
        <v>B</v>
      </c>
      <c r="G1703" s="110">
        <f ca="1">SUMIF($A:E,$A1703,K:K)</f>
        <v>3</v>
      </c>
      <c r="H1703" s="112" t="s">
        <v>1554</v>
      </c>
      <c r="I1703" s="175">
        <v>3</v>
      </c>
      <c r="J1703" s="115">
        <v>3</v>
      </c>
      <c r="K1703" s="143">
        <f t="shared" si="509"/>
        <v>3</v>
      </c>
      <c r="L1703" s="144">
        <f t="shared" si="518"/>
        <v>0</v>
      </c>
      <c r="M1703" s="275">
        <f t="shared" si="517"/>
        <v>3</v>
      </c>
      <c r="N1703" s="98">
        <v>2</v>
      </c>
      <c r="O1703" s="93">
        <f t="shared" si="519"/>
        <v>100</v>
      </c>
      <c r="HK1703" s="100">
        <v>3</v>
      </c>
      <c r="ON1703" s="100">
        <f t="shared" si="510"/>
        <v>0</v>
      </c>
    </row>
    <row r="1704" spans="1:404" ht="23.25" customHeight="1">
      <c r="A1704" s="97" t="str">
        <f t="shared" si="520"/>
        <v>001A/EUROMARKET-VG_SR-2166-54100-01-B</v>
      </c>
      <c r="B1704" s="217">
        <v>44437</v>
      </c>
      <c r="C1704" s="97">
        <f t="shared" ca="1" si="522"/>
        <v>-627</v>
      </c>
      <c r="D1704" s="112" t="s">
        <v>1695</v>
      </c>
      <c r="E1704" s="123" t="s">
        <v>629</v>
      </c>
      <c r="F1704" s="98" t="str">
        <f t="shared" si="521"/>
        <v>B</v>
      </c>
      <c r="G1704" s="110">
        <f ca="1">SUMIF($A:E,$A1704,K:K)</f>
        <v>3</v>
      </c>
      <c r="H1704" s="112" t="s">
        <v>1697</v>
      </c>
      <c r="I1704" s="175">
        <v>3</v>
      </c>
      <c r="J1704" s="115">
        <v>3</v>
      </c>
      <c r="K1704" s="143">
        <f t="shared" si="509"/>
        <v>3</v>
      </c>
      <c r="L1704" s="144">
        <f t="shared" si="518"/>
        <v>0</v>
      </c>
      <c r="M1704" s="275">
        <f t="shared" si="517"/>
        <v>3</v>
      </c>
      <c r="N1704" s="211">
        <v>1</v>
      </c>
      <c r="O1704" s="93">
        <f t="shared" si="519"/>
        <v>100</v>
      </c>
      <c r="HN1704" s="100">
        <v>3</v>
      </c>
      <c r="ON1704" s="100">
        <f t="shared" si="510"/>
        <v>0</v>
      </c>
    </row>
    <row r="1705" spans="1:404" ht="23.25" customHeight="1">
      <c r="A1705" s="97" t="s">
        <v>1893</v>
      </c>
      <c r="B1705" s="95">
        <v>44480</v>
      </c>
      <c r="C1705" s="97">
        <v>17</v>
      </c>
      <c r="D1705" s="112" t="s">
        <v>1734</v>
      </c>
      <c r="E1705" s="123" t="s">
        <v>629</v>
      </c>
      <c r="F1705" s="98" t="s">
        <v>561</v>
      </c>
      <c r="G1705" s="110">
        <f ca="1">SUMIF($A:E,$A1705,K:K)</f>
        <v>354</v>
      </c>
      <c r="H1705" s="97" t="s">
        <v>1735</v>
      </c>
      <c r="I1705" s="175">
        <v>354</v>
      </c>
      <c r="J1705" s="115">
        <v>174</v>
      </c>
      <c r="K1705" s="143">
        <f t="shared" si="509"/>
        <v>174</v>
      </c>
      <c r="L1705" s="144">
        <f t="shared" ref="L1705:L1706" si="523">J1705-K1705</f>
        <v>0</v>
      </c>
      <c r="M1705" s="275">
        <f t="shared" si="517"/>
        <v>354</v>
      </c>
      <c r="N1705" s="211">
        <v>2</v>
      </c>
      <c r="O1705" s="93">
        <f t="shared" si="519"/>
        <v>100</v>
      </c>
      <c r="IW1705" s="100">
        <v>3</v>
      </c>
      <c r="IZ1705" s="100">
        <v>32</v>
      </c>
      <c r="JB1705" s="100">
        <v>14</v>
      </c>
      <c r="JC1705" s="100">
        <v>6</v>
      </c>
      <c r="JD1705" s="100">
        <v>7</v>
      </c>
      <c r="JG1705" s="100">
        <v>6</v>
      </c>
      <c r="JH1705" s="100">
        <v>21</v>
      </c>
      <c r="JI1705" s="100">
        <v>14</v>
      </c>
      <c r="JJ1705" s="100">
        <v>13</v>
      </c>
      <c r="JK1705" s="100">
        <v>10</v>
      </c>
      <c r="JM1705" s="100">
        <v>14</v>
      </c>
      <c r="JN1705" s="100">
        <v>7</v>
      </c>
      <c r="JP1705" s="100">
        <v>17</v>
      </c>
      <c r="JQ1705" s="100">
        <v>10</v>
      </c>
      <c r="ON1705" s="100">
        <f t="shared" si="510"/>
        <v>0</v>
      </c>
    </row>
    <row r="1706" spans="1:404" ht="23.25" customHeight="1">
      <c r="A1706" s="97" t="str">
        <f>D1706&amp;E1706</f>
        <v xml:space="preserve">	013T/EUROMARKET-2166-54100-01-B</v>
      </c>
      <c r="B1706" s="95">
        <v>44480</v>
      </c>
      <c r="C1706" s="97">
        <f t="shared" ref="C1706:C1726" ca="1" si="524">B1706-TODAY()</f>
        <v>-584</v>
      </c>
      <c r="D1706" s="112" t="s">
        <v>1734</v>
      </c>
      <c r="E1706" s="123" t="s">
        <v>629</v>
      </c>
      <c r="F1706" s="98" t="str">
        <f>MID(E1706,13,2)</f>
        <v>B</v>
      </c>
      <c r="G1706" s="110">
        <f ca="1">SUMIF($A:E,$A1706,K:K)</f>
        <v>354</v>
      </c>
      <c r="H1706" s="97" t="s">
        <v>1735</v>
      </c>
      <c r="I1706" s="175">
        <v>354</v>
      </c>
      <c r="J1706" s="115">
        <f>354-J1705</f>
        <v>180</v>
      </c>
      <c r="K1706" s="143">
        <f t="shared" si="509"/>
        <v>180</v>
      </c>
      <c r="L1706" s="144">
        <f t="shared" si="523"/>
        <v>0</v>
      </c>
      <c r="M1706" s="275">
        <f t="shared" si="517"/>
        <v>354</v>
      </c>
      <c r="N1706" s="98">
        <v>1</v>
      </c>
      <c r="O1706" s="93">
        <f t="shared" si="519"/>
        <v>100</v>
      </c>
      <c r="IY1706" s="100">
        <v>33</v>
      </c>
      <c r="IZ1706" s="100">
        <v>13</v>
      </c>
      <c r="JA1706" s="100">
        <v>8</v>
      </c>
      <c r="JB1706" s="100">
        <v>24</v>
      </c>
      <c r="JC1706" s="100">
        <v>2</v>
      </c>
      <c r="JD1706" s="100">
        <v>15</v>
      </c>
      <c r="JF1706" s="100">
        <v>9</v>
      </c>
      <c r="JG1706" s="100">
        <v>22</v>
      </c>
      <c r="JH1706" s="100">
        <v>3</v>
      </c>
      <c r="JI1706" s="100">
        <v>19</v>
      </c>
      <c r="JJ1706" s="100">
        <v>13</v>
      </c>
      <c r="JK1706" s="100">
        <v>16</v>
      </c>
      <c r="JM1706" s="100">
        <v>3</v>
      </c>
      <c r="ON1706" s="100">
        <f t="shared" si="510"/>
        <v>0</v>
      </c>
    </row>
    <row r="1707" spans="1:404" ht="23.25" customHeight="1">
      <c r="A1707" s="97" t="s">
        <v>1969</v>
      </c>
      <c r="B1707" s="95">
        <v>44502</v>
      </c>
      <c r="C1707" s="97">
        <f t="shared" ca="1" si="524"/>
        <v>-562</v>
      </c>
      <c r="D1707" s="112" t="s">
        <v>1806</v>
      </c>
      <c r="E1707" s="123" t="s">
        <v>629</v>
      </c>
      <c r="F1707" s="98" t="s">
        <v>561</v>
      </c>
      <c r="G1707" s="110">
        <f ca="1">SUMIF($A:E,$A1707,K:K)</f>
        <v>533</v>
      </c>
      <c r="H1707" s="112" t="s">
        <v>1808</v>
      </c>
      <c r="I1707" s="175">
        <v>533</v>
      </c>
      <c r="J1707" s="115">
        <v>290</v>
      </c>
      <c r="K1707" s="143">
        <f t="shared" si="509"/>
        <v>290</v>
      </c>
      <c r="L1707" s="144">
        <f t="shared" ref="L1707" si="525">J1707-K1707</f>
        <v>0</v>
      </c>
      <c r="M1707" s="275">
        <f t="shared" si="517"/>
        <v>533</v>
      </c>
      <c r="N1707" s="98">
        <v>1</v>
      </c>
      <c r="O1707" s="93">
        <f t="shared" si="519"/>
        <v>100</v>
      </c>
      <c r="JM1707" s="100">
        <v>11</v>
      </c>
      <c r="JN1707" s="100">
        <v>17</v>
      </c>
      <c r="JO1707" s="100">
        <v>15</v>
      </c>
      <c r="JP1707" s="100">
        <v>9</v>
      </c>
      <c r="JQ1707" s="100">
        <v>10</v>
      </c>
      <c r="JR1707" s="100">
        <v>17</v>
      </c>
      <c r="JV1707" s="100">
        <v>17</v>
      </c>
      <c r="JW1707" s="100">
        <v>3</v>
      </c>
      <c r="JX1707" s="100">
        <v>14</v>
      </c>
      <c r="JY1707" s="100">
        <v>5</v>
      </c>
      <c r="KA1707" s="100">
        <v>20</v>
      </c>
      <c r="KB1707" s="100">
        <v>13</v>
      </c>
      <c r="KC1707" s="100">
        <v>18</v>
      </c>
      <c r="KD1707" s="100">
        <v>32</v>
      </c>
      <c r="KF1707" s="100">
        <v>14</v>
      </c>
      <c r="KG1707" s="100">
        <v>15</v>
      </c>
      <c r="KH1707" s="100">
        <v>14</v>
      </c>
      <c r="KI1707" s="100">
        <v>7</v>
      </c>
      <c r="KJ1707" s="100">
        <v>14</v>
      </c>
      <c r="KN1707" s="100">
        <v>25</v>
      </c>
      <c r="ON1707" s="100">
        <f t="shared" si="510"/>
        <v>0</v>
      </c>
    </row>
    <row r="1708" spans="1:404" ht="23.25" customHeight="1">
      <c r="A1708" s="97" t="str">
        <f>D1708&amp;E1708</f>
        <v>016T/EUROMARKET-2166-54100-01-B</v>
      </c>
      <c r="B1708" s="95">
        <v>44502</v>
      </c>
      <c r="C1708" s="97">
        <f t="shared" ca="1" si="524"/>
        <v>-562</v>
      </c>
      <c r="D1708" s="112" t="s">
        <v>1806</v>
      </c>
      <c r="E1708" s="123" t="s">
        <v>629</v>
      </c>
      <c r="F1708" s="98" t="str">
        <f>MID(E1708,13,2)</f>
        <v>B</v>
      </c>
      <c r="G1708" s="110">
        <f ca="1">SUMIF($A:E,$A1708,K:K)</f>
        <v>533</v>
      </c>
      <c r="H1708" s="112" t="s">
        <v>1808</v>
      </c>
      <c r="I1708" s="175">
        <v>533</v>
      </c>
      <c r="J1708" s="115">
        <f>533-J1707</f>
        <v>243</v>
      </c>
      <c r="K1708" s="143">
        <f t="shared" si="509"/>
        <v>243</v>
      </c>
      <c r="L1708" s="144">
        <f t="shared" ref="L1708:L1751" si="526">J1708-K1708</f>
        <v>0</v>
      </c>
      <c r="M1708" s="275">
        <f t="shared" si="517"/>
        <v>533</v>
      </c>
      <c r="N1708" s="98">
        <v>2</v>
      </c>
      <c r="O1708" s="93">
        <f t="shared" si="519"/>
        <v>100</v>
      </c>
      <c r="JT1708" s="100">
        <v>16</v>
      </c>
      <c r="JU1708" s="100">
        <v>8</v>
      </c>
      <c r="JV1708" s="100">
        <v>20</v>
      </c>
      <c r="JW1708" s="100">
        <v>14</v>
      </c>
      <c r="JY1708" s="100">
        <v>20</v>
      </c>
      <c r="KA1708" s="100">
        <v>15</v>
      </c>
      <c r="KB1708" s="100">
        <v>21</v>
      </c>
      <c r="KC1708" s="100">
        <v>12</v>
      </c>
      <c r="KD1708" s="100">
        <v>14</v>
      </c>
      <c r="KE1708" s="100">
        <v>11</v>
      </c>
      <c r="KF1708" s="100">
        <v>21</v>
      </c>
      <c r="KH1708" s="100">
        <v>21</v>
      </c>
      <c r="KI1708" s="100">
        <v>14</v>
      </c>
      <c r="KN1708" s="100">
        <v>30</v>
      </c>
      <c r="KO1708" s="100">
        <v>6</v>
      </c>
      <c r="ON1708" s="100">
        <f t="shared" si="510"/>
        <v>0</v>
      </c>
    </row>
    <row r="1709" spans="1:404" ht="23.25" customHeight="1">
      <c r="A1709" s="97" t="s">
        <v>2096</v>
      </c>
      <c r="B1709" s="95">
        <v>44537</v>
      </c>
      <c r="C1709" s="97">
        <f t="shared" ca="1" si="524"/>
        <v>-527</v>
      </c>
      <c r="D1709" s="112" t="s">
        <v>1875</v>
      </c>
      <c r="E1709" s="123" t="s">
        <v>629</v>
      </c>
      <c r="F1709" s="98" t="s">
        <v>561</v>
      </c>
      <c r="G1709" s="110">
        <f ca="1">SUMIF($A:E,$A1709,K:K)</f>
        <v>177</v>
      </c>
      <c r="H1709" s="112" t="s">
        <v>1808</v>
      </c>
      <c r="I1709" s="175">
        <v>177</v>
      </c>
      <c r="J1709" s="115">
        <v>100</v>
      </c>
      <c r="K1709" s="143">
        <f t="shared" si="509"/>
        <v>100</v>
      </c>
      <c r="L1709" s="144">
        <f t="shared" ref="L1709" si="527">J1709-K1709</f>
        <v>0</v>
      </c>
      <c r="M1709" s="98"/>
      <c r="N1709" s="98">
        <v>1</v>
      </c>
      <c r="O1709" s="93">
        <f t="shared" si="519"/>
        <v>100</v>
      </c>
      <c r="KN1709" s="100">
        <v>2</v>
      </c>
      <c r="KO1709" s="100">
        <v>1</v>
      </c>
      <c r="KP1709" s="100">
        <v>13</v>
      </c>
      <c r="KQ1709" s="100">
        <v>4</v>
      </c>
      <c r="KR1709" s="100">
        <v>8</v>
      </c>
      <c r="KV1709" s="100">
        <v>16</v>
      </c>
      <c r="KZ1709" s="100">
        <v>7</v>
      </c>
      <c r="LB1709" s="100">
        <v>14</v>
      </c>
      <c r="LC1709" s="100">
        <v>6</v>
      </c>
      <c r="LD1709" s="100">
        <v>13</v>
      </c>
      <c r="LE1709" s="100">
        <v>2</v>
      </c>
      <c r="LF1709" s="100">
        <v>13</v>
      </c>
      <c r="LG1709" s="100">
        <v>1</v>
      </c>
      <c r="ON1709" s="100">
        <f t="shared" si="510"/>
        <v>0</v>
      </c>
    </row>
    <row r="1710" spans="1:404" ht="23.25" customHeight="1">
      <c r="A1710" s="97" t="str">
        <f>D1710&amp;E1710</f>
        <v>019T/EUROMARKET-2166-54100-01-B</v>
      </c>
      <c r="B1710" s="95">
        <v>44537</v>
      </c>
      <c r="C1710" s="97">
        <f t="shared" ca="1" si="524"/>
        <v>-527</v>
      </c>
      <c r="D1710" s="112" t="s">
        <v>1875</v>
      </c>
      <c r="E1710" s="123" t="s">
        <v>629</v>
      </c>
      <c r="F1710" s="98" t="str">
        <f t="shared" ref="F1710:F1715" si="528">MID(E1710,13,2)</f>
        <v>B</v>
      </c>
      <c r="G1710" s="110">
        <f ca="1">SUMIF($A:E,$A1710,K:K)</f>
        <v>177</v>
      </c>
      <c r="H1710" s="112" t="s">
        <v>1808</v>
      </c>
      <c r="I1710" s="175">
        <v>177</v>
      </c>
      <c r="J1710" s="115">
        <f>177-J1709</f>
        <v>77</v>
      </c>
      <c r="K1710" s="143">
        <f t="shared" si="509"/>
        <v>77</v>
      </c>
      <c r="L1710" s="144">
        <f t="shared" si="526"/>
        <v>0</v>
      </c>
      <c r="M1710" s="275">
        <f t="shared" ref="M1710:M1715" si="529">IF(OR(MID(E1710,10,1)="0",MID(E1710,10,1)="F"),I1710,IF(OR(,MID(E1710,10,1)="S",MID(E1710,10,1)="L",MID(E1710,10,1)="B",MID(E1710,10,1)="X"),MID(E1710,11,1)*I1710,0))</f>
        <v>177</v>
      </c>
      <c r="N1710" s="98">
        <v>2</v>
      </c>
      <c r="O1710" s="93">
        <f t="shared" si="519"/>
        <v>100</v>
      </c>
      <c r="KU1710" s="100">
        <v>1</v>
      </c>
      <c r="KY1710" s="100">
        <v>6</v>
      </c>
      <c r="KZ1710" s="100">
        <v>30</v>
      </c>
      <c r="LB1710" s="100">
        <v>22</v>
      </c>
      <c r="LE1710" s="100">
        <v>6</v>
      </c>
      <c r="LF1710" s="100">
        <v>7</v>
      </c>
      <c r="LG1710" s="100">
        <v>1</v>
      </c>
      <c r="LI1710" s="100">
        <v>4</v>
      </c>
      <c r="ON1710" s="100">
        <f t="shared" si="510"/>
        <v>0</v>
      </c>
    </row>
    <row r="1711" spans="1:404" ht="23.25" customHeight="1">
      <c r="A1711" s="97" t="str">
        <f>D1711&amp;E1712</f>
        <v>414/POTTERYPOT-2166-54100-01-A</v>
      </c>
      <c r="B1711" s="95">
        <v>44573</v>
      </c>
      <c r="C1711" s="97">
        <f t="shared" ca="1" si="524"/>
        <v>-491</v>
      </c>
      <c r="D1711" s="96" t="s">
        <v>1195</v>
      </c>
      <c r="E1711" s="280" t="s">
        <v>1197</v>
      </c>
      <c r="F1711" s="98" t="str">
        <f t="shared" si="528"/>
        <v>A</v>
      </c>
      <c r="G1711" s="110">
        <f ca="1">SUMIF($A:E,$A1711,K:K)</f>
        <v>34</v>
      </c>
      <c r="H1711" s="97" t="s">
        <v>964</v>
      </c>
      <c r="I1711" s="98">
        <v>24</v>
      </c>
      <c r="J1711" s="97">
        <v>24</v>
      </c>
      <c r="K1711" s="143">
        <f t="shared" si="509"/>
        <v>24</v>
      </c>
      <c r="L1711" s="144">
        <f t="shared" si="526"/>
        <v>0</v>
      </c>
      <c r="M1711" s="275">
        <f t="shared" si="529"/>
        <v>24</v>
      </c>
      <c r="N1711" s="98">
        <v>1</v>
      </c>
      <c r="O1711" s="93">
        <f t="shared" si="519"/>
        <v>100</v>
      </c>
      <c r="KN1711" s="100" t="s">
        <v>532</v>
      </c>
      <c r="LT1711" s="100">
        <v>9</v>
      </c>
      <c r="LU1711" s="100">
        <v>2</v>
      </c>
      <c r="LX1711" s="100">
        <v>11</v>
      </c>
      <c r="LZ1711" s="100">
        <v>2</v>
      </c>
      <c r="ON1711" s="100">
        <f t="shared" si="510"/>
        <v>0</v>
      </c>
    </row>
    <row r="1712" spans="1:404" ht="23.25" customHeight="1">
      <c r="A1712" s="97" t="str">
        <f>D1712&amp;E1712</f>
        <v>451/POTTERYPOT-VG-2166-54100-01-A</v>
      </c>
      <c r="B1712" s="95">
        <v>44658</v>
      </c>
      <c r="C1712" s="97">
        <f t="shared" ca="1" si="524"/>
        <v>-406</v>
      </c>
      <c r="D1712" s="112" t="s">
        <v>1589</v>
      </c>
      <c r="E1712" s="279" t="s">
        <v>1197</v>
      </c>
      <c r="F1712" s="98" t="str">
        <f t="shared" si="528"/>
        <v>A</v>
      </c>
      <c r="G1712" s="110">
        <f ca="1">SUMIF($A:E,$A1712,K:K)</f>
        <v>172</v>
      </c>
      <c r="H1712" s="97" t="s">
        <v>927</v>
      </c>
      <c r="I1712" s="175">
        <v>96</v>
      </c>
      <c r="J1712" s="115">
        <v>96</v>
      </c>
      <c r="K1712" s="143">
        <f t="shared" si="509"/>
        <v>172</v>
      </c>
      <c r="L1712" s="144">
        <f t="shared" si="526"/>
        <v>-76</v>
      </c>
      <c r="M1712" s="275">
        <f t="shared" si="529"/>
        <v>96</v>
      </c>
      <c r="N1712" s="98" t="s">
        <v>1768</v>
      </c>
      <c r="O1712" s="93">
        <f t="shared" si="519"/>
        <v>179.16666666666669</v>
      </c>
      <c r="NG1712" s="100">
        <v>5</v>
      </c>
      <c r="NK1712" s="100">
        <v>10</v>
      </c>
      <c r="NL1712" s="100">
        <v>5</v>
      </c>
      <c r="NS1712" s="100">
        <v>10</v>
      </c>
      <c r="NV1712" s="100">
        <v>15</v>
      </c>
      <c r="NY1712" s="100">
        <v>10</v>
      </c>
      <c r="NZ1712" s="100">
        <v>5</v>
      </c>
      <c r="OA1712" s="100">
        <v>5</v>
      </c>
      <c r="OB1712" s="100">
        <v>5</v>
      </c>
      <c r="OC1712" s="100">
        <v>5</v>
      </c>
      <c r="OF1712" s="100">
        <v>5</v>
      </c>
      <c r="OG1712" s="100">
        <v>10</v>
      </c>
      <c r="OI1712" s="100">
        <v>6</v>
      </c>
      <c r="ON1712" s="100">
        <f t="shared" si="510"/>
        <v>76</v>
      </c>
    </row>
    <row r="1713" spans="1:404" ht="23.25" customHeight="1">
      <c r="A1713" s="97" t="str">
        <f>D1713&amp;E1713</f>
        <v>443/POTTERYPOT-VG-2166-54100-01-A</v>
      </c>
      <c r="B1713" s="95">
        <v>44657</v>
      </c>
      <c r="C1713" s="97">
        <f t="shared" ca="1" si="524"/>
        <v>-407</v>
      </c>
      <c r="D1713" s="112" t="s">
        <v>1868</v>
      </c>
      <c r="E1713" s="279" t="s">
        <v>1197</v>
      </c>
      <c r="F1713" s="98" t="str">
        <f t="shared" si="528"/>
        <v>A</v>
      </c>
      <c r="G1713" s="110">
        <f ca="1">SUMIF($A:E,$A1713,K:K)</f>
        <v>36</v>
      </c>
      <c r="H1713" s="97" t="s">
        <v>601</v>
      </c>
      <c r="I1713" s="175">
        <v>72</v>
      </c>
      <c r="J1713" s="115">
        <v>72</v>
      </c>
      <c r="K1713" s="144">
        <f t="shared" si="509"/>
        <v>36</v>
      </c>
      <c r="L1713" s="144">
        <f t="shared" si="526"/>
        <v>36</v>
      </c>
      <c r="M1713" s="275">
        <f t="shared" si="529"/>
        <v>72</v>
      </c>
      <c r="N1713" s="98" t="s">
        <v>1768</v>
      </c>
      <c r="O1713" s="93">
        <f t="shared" si="519"/>
        <v>50</v>
      </c>
      <c r="OI1713" s="100">
        <v>4</v>
      </c>
      <c r="OJ1713" s="100">
        <v>5</v>
      </c>
      <c r="OK1713" s="100">
        <v>4</v>
      </c>
      <c r="OM1713" s="100">
        <v>5</v>
      </c>
      <c r="ON1713" s="100">
        <f t="shared" si="510"/>
        <v>18</v>
      </c>
    </row>
    <row r="1714" spans="1:404" ht="23.25" customHeight="1">
      <c r="A1714" s="97" t="str">
        <f>D1714&amp;E1714</f>
        <v>115A/NY/PP-USA-VG-2066-54100-01-A</v>
      </c>
      <c r="B1714" s="95">
        <v>44668</v>
      </c>
      <c r="C1714" s="97">
        <f t="shared" ca="1" si="524"/>
        <v>-396</v>
      </c>
      <c r="D1714" s="112" t="s">
        <v>1871</v>
      </c>
      <c r="E1714" s="279" t="s">
        <v>1197</v>
      </c>
      <c r="F1714" s="98" t="str">
        <f t="shared" si="528"/>
        <v>A</v>
      </c>
      <c r="G1714" s="110">
        <f ca="1">SUMIF($A:E,$A1714,K:K)</f>
        <v>0</v>
      </c>
      <c r="H1714" s="97" t="s">
        <v>601</v>
      </c>
      <c r="I1714" s="175">
        <v>12</v>
      </c>
      <c r="J1714" s="115">
        <v>12</v>
      </c>
      <c r="K1714" s="144">
        <f t="shared" si="509"/>
        <v>0</v>
      </c>
      <c r="L1714" s="144">
        <f t="shared" si="526"/>
        <v>12</v>
      </c>
      <c r="M1714" s="275">
        <f t="shared" si="529"/>
        <v>12</v>
      </c>
      <c r="N1714" s="98"/>
      <c r="O1714" s="93">
        <f t="shared" si="519"/>
        <v>0</v>
      </c>
      <c r="ON1714" s="100">
        <f t="shared" si="510"/>
        <v>0</v>
      </c>
    </row>
    <row r="1715" spans="1:404" ht="23.25" customHeight="1">
      <c r="A1715" s="97" t="str">
        <f>D1715&amp;E1715</f>
        <v>003/ANNA-VG-21(đ4)66-53120-02-B4</v>
      </c>
      <c r="B1715" s="95">
        <v>44579</v>
      </c>
      <c r="C1715" s="97">
        <f t="shared" ca="1" si="524"/>
        <v>-485</v>
      </c>
      <c r="D1715" s="112" t="s">
        <v>1652</v>
      </c>
      <c r="E1715" s="123" t="s">
        <v>1659</v>
      </c>
      <c r="F1715" s="98" t="str">
        <f t="shared" si="528"/>
        <v>B4</v>
      </c>
      <c r="G1715" s="110">
        <f ca="1">SUMIF($A:E,$A1715,K:K)</f>
        <v>80</v>
      </c>
      <c r="H1715" s="112" t="s">
        <v>990</v>
      </c>
      <c r="I1715" s="175">
        <v>80</v>
      </c>
      <c r="J1715" s="115">
        <v>80</v>
      </c>
      <c r="K1715" s="143">
        <f t="shared" si="509"/>
        <v>80</v>
      </c>
      <c r="L1715" s="144">
        <f t="shared" si="526"/>
        <v>0</v>
      </c>
      <c r="M1715" s="275">
        <f t="shared" si="529"/>
        <v>80</v>
      </c>
      <c r="N1715" s="98">
        <v>6</v>
      </c>
      <c r="O1715" s="93">
        <f t="shared" si="519"/>
        <v>100</v>
      </c>
      <c r="ML1715" s="100">
        <v>10</v>
      </c>
      <c r="MM1715" s="100">
        <v>5</v>
      </c>
      <c r="MN1715" s="100">
        <v>10</v>
      </c>
      <c r="MO1715" s="100">
        <v>10</v>
      </c>
      <c r="MP1715" s="100">
        <v>10</v>
      </c>
      <c r="MR1715" s="100">
        <v>10</v>
      </c>
      <c r="MS1715" s="100">
        <v>10</v>
      </c>
      <c r="NK1715" s="100">
        <v>3</v>
      </c>
      <c r="NL1715" s="100">
        <v>12</v>
      </c>
      <c r="ON1715" s="100">
        <f t="shared" si="510"/>
        <v>0</v>
      </c>
    </row>
    <row r="1716" spans="1:404" ht="23.25" customHeight="1">
      <c r="A1716" s="97" t="s">
        <v>2169</v>
      </c>
      <c r="B1716" s="95">
        <v>44523</v>
      </c>
      <c r="C1716" s="97">
        <f t="shared" ca="1" si="524"/>
        <v>-541</v>
      </c>
      <c r="D1716" s="96" t="s">
        <v>1272</v>
      </c>
      <c r="E1716" s="94" t="s">
        <v>1273</v>
      </c>
      <c r="F1716" s="98" t="s">
        <v>1772</v>
      </c>
      <c r="G1716" s="110">
        <v>173</v>
      </c>
      <c r="H1716" s="97" t="s">
        <v>933</v>
      </c>
      <c r="I1716" s="98">
        <v>264</v>
      </c>
      <c r="J1716" s="97">
        <v>20</v>
      </c>
      <c r="K1716" s="143">
        <f t="shared" si="509"/>
        <v>20</v>
      </c>
      <c r="L1716" s="144">
        <f t="shared" ref="L1716" si="530">J1716-K1716</f>
        <v>0</v>
      </c>
      <c r="M1716" s="98">
        <v>2</v>
      </c>
      <c r="N1716" s="98">
        <v>3</v>
      </c>
      <c r="O1716" s="93">
        <f t="shared" si="519"/>
        <v>100</v>
      </c>
      <c r="KZ1716" s="100">
        <v>10</v>
      </c>
      <c r="LD1716" s="100">
        <v>9</v>
      </c>
      <c r="LK1716" s="100">
        <v>1</v>
      </c>
      <c r="ON1716" s="100">
        <f t="shared" si="510"/>
        <v>0</v>
      </c>
    </row>
    <row r="1717" spans="1:404" ht="23.25" customHeight="1">
      <c r="A1717" s="97" t="str">
        <f t="shared" ref="A1717:A1721" si="531">D1717&amp;E1717</f>
        <v>001/WINNERS-2166-53037-S3-B4</v>
      </c>
      <c r="B1717" s="95">
        <v>44526</v>
      </c>
      <c r="C1717" s="97">
        <f t="shared" ca="1" si="524"/>
        <v>-538</v>
      </c>
      <c r="D1717" s="96" t="s">
        <v>1272</v>
      </c>
      <c r="E1717" s="94" t="s">
        <v>1273</v>
      </c>
      <c r="F1717" s="98" t="str">
        <f t="shared" ref="F1717:F1742" si="532">MID(E1717,13,2)</f>
        <v>B4</v>
      </c>
      <c r="G1717" s="110">
        <f ca="1">SUMIF($A:E,$A1717,K:K)</f>
        <v>264</v>
      </c>
      <c r="H1717" s="97" t="s">
        <v>933</v>
      </c>
      <c r="I1717" s="98">
        <v>264</v>
      </c>
      <c r="J1717" s="97">
        <v>244</v>
      </c>
      <c r="K1717" s="143">
        <f t="shared" si="509"/>
        <v>244</v>
      </c>
      <c r="L1717" s="144">
        <f t="shared" si="526"/>
        <v>0</v>
      </c>
      <c r="M1717" s="275">
        <f t="shared" ref="M1717:M1758" si="533">IF(OR(MID(E1717,10,1)="0",MID(E1717,10,1)="F"),I1717,IF(OR(,MID(E1717,10,1)="S",MID(E1717,10,1)="L",MID(E1717,10,1)="B",MID(E1717,10,1)="X"),MID(E1717,11,1)*I1717,0))</f>
        <v>792</v>
      </c>
      <c r="N1717" s="98">
        <v>2</v>
      </c>
      <c r="O1717" s="93">
        <f t="shared" si="519"/>
        <v>100</v>
      </c>
      <c r="JW1717" s="100">
        <v>2</v>
      </c>
      <c r="JX1717" s="100">
        <v>10</v>
      </c>
      <c r="JY1717" s="100">
        <v>10</v>
      </c>
      <c r="KA1717" s="100">
        <v>10</v>
      </c>
      <c r="KB1717" s="100">
        <v>5</v>
      </c>
      <c r="KC1717" s="100">
        <v>20</v>
      </c>
      <c r="KE1717" s="100">
        <v>20</v>
      </c>
      <c r="KG1717" s="100">
        <v>10</v>
      </c>
      <c r="KH1717" s="100">
        <v>5</v>
      </c>
      <c r="KI1717" s="100">
        <v>9</v>
      </c>
      <c r="KJ1717" s="100">
        <v>10</v>
      </c>
      <c r="KN1717" s="100">
        <v>10</v>
      </c>
      <c r="KO1717" s="100">
        <v>7</v>
      </c>
      <c r="KP1717" s="100">
        <v>10</v>
      </c>
      <c r="KQ1717" s="100">
        <v>11</v>
      </c>
      <c r="KS1717" s="100">
        <v>7</v>
      </c>
      <c r="KU1717" s="100">
        <v>2</v>
      </c>
      <c r="KV1717" s="100">
        <v>7</v>
      </c>
      <c r="KY1717" s="100">
        <v>8</v>
      </c>
      <c r="LB1717" s="100">
        <v>4</v>
      </c>
      <c r="LC1717" s="100">
        <v>5</v>
      </c>
      <c r="LD1717" s="100">
        <v>5</v>
      </c>
      <c r="LE1717" s="100">
        <v>20</v>
      </c>
      <c r="LF1717" s="100">
        <v>12</v>
      </c>
      <c r="LG1717" s="100">
        <v>19</v>
      </c>
      <c r="LJ1717" s="100">
        <v>6</v>
      </c>
      <c r="ON1717" s="100">
        <f t="shared" si="510"/>
        <v>0</v>
      </c>
    </row>
    <row r="1718" spans="1:404" ht="23.25" customHeight="1">
      <c r="A1718" s="97" t="str">
        <f t="shared" si="531"/>
        <v>001/TK MAXX-2166-53037-S3-B4</v>
      </c>
      <c r="B1718" s="95">
        <v>44487</v>
      </c>
      <c r="C1718" s="97">
        <f t="shared" ca="1" si="524"/>
        <v>-577</v>
      </c>
      <c r="D1718" s="96" t="s">
        <v>1291</v>
      </c>
      <c r="E1718" s="94" t="s">
        <v>1273</v>
      </c>
      <c r="F1718" s="98" t="str">
        <f t="shared" si="532"/>
        <v>B4</v>
      </c>
      <c r="G1718" s="110">
        <f ca="1">SUMIF($A:E,$A1718,K:K)</f>
        <v>360</v>
      </c>
      <c r="H1718" s="97" t="s">
        <v>933</v>
      </c>
      <c r="I1718" s="98">
        <v>360</v>
      </c>
      <c r="J1718" s="97">
        <v>360</v>
      </c>
      <c r="K1718" s="143">
        <f t="shared" si="509"/>
        <v>360</v>
      </c>
      <c r="L1718" s="144">
        <f t="shared" si="526"/>
        <v>0</v>
      </c>
      <c r="M1718" s="275">
        <f t="shared" si="533"/>
        <v>1080</v>
      </c>
      <c r="N1718" s="98">
        <v>2</v>
      </c>
      <c r="O1718" s="93">
        <f t="shared" si="519"/>
        <v>100</v>
      </c>
      <c r="HB1718" s="100">
        <v>18</v>
      </c>
      <c r="HC1718" s="100">
        <v>4</v>
      </c>
      <c r="HD1718" s="100">
        <v>11</v>
      </c>
      <c r="HE1718" s="100">
        <v>10</v>
      </c>
      <c r="HF1718" s="100">
        <v>5</v>
      </c>
      <c r="HG1718" s="100">
        <v>5</v>
      </c>
      <c r="HI1718" s="100">
        <v>9</v>
      </c>
      <c r="HJ1718" s="100">
        <v>5</v>
      </c>
      <c r="HL1718" s="100">
        <v>5</v>
      </c>
      <c r="HM1718" s="100">
        <v>5</v>
      </c>
      <c r="HP1718" s="100">
        <v>2</v>
      </c>
      <c r="HQ1718" s="100">
        <v>4</v>
      </c>
      <c r="HR1718" s="100">
        <v>10</v>
      </c>
      <c r="HT1718" s="100">
        <v>5</v>
      </c>
      <c r="HU1718" s="100">
        <v>4</v>
      </c>
      <c r="HW1718" s="100">
        <v>5</v>
      </c>
      <c r="HX1718" s="100">
        <v>5</v>
      </c>
      <c r="HY1718" s="100">
        <v>4</v>
      </c>
      <c r="IB1718" s="100">
        <v>5</v>
      </c>
      <c r="ID1718" s="100">
        <v>7</v>
      </c>
      <c r="IE1718" s="100">
        <v>13</v>
      </c>
      <c r="IF1718" s="100">
        <v>5</v>
      </c>
      <c r="IH1718" s="100">
        <v>5</v>
      </c>
      <c r="IK1718" s="100">
        <v>14</v>
      </c>
      <c r="IN1718" s="100">
        <v>8</v>
      </c>
      <c r="IO1718" s="100">
        <v>10</v>
      </c>
      <c r="IP1718" s="100">
        <v>1</v>
      </c>
      <c r="IS1718" s="100">
        <v>9</v>
      </c>
      <c r="IT1718" s="100">
        <v>5</v>
      </c>
      <c r="IU1718" s="100">
        <v>1</v>
      </c>
      <c r="IW1718" s="100">
        <v>10</v>
      </c>
      <c r="JA1718" s="100">
        <v>5</v>
      </c>
      <c r="JC1718" s="100">
        <v>8</v>
      </c>
      <c r="JD1718" s="100">
        <v>6</v>
      </c>
      <c r="JF1718" s="100">
        <v>9</v>
      </c>
      <c r="JH1718" s="100">
        <v>5</v>
      </c>
      <c r="JI1718" s="100">
        <v>5</v>
      </c>
      <c r="JJ1718" s="100">
        <v>10</v>
      </c>
      <c r="JK1718" s="100">
        <v>10</v>
      </c>
      <c r="JM1718" s="100">
        <v>9</v>
      </c>
      <c r="JN1718" s="100">
        <v>5</v>
      </c>
      <c r="JO1718" s="100">
        <v>10</v>
      </c>
      <c r="JP1718" s="100">
        <v>10</v>
      </c>
      <c r="JQ1718" s="100">
        <v>10</v>
      </c>
      <c r="JT1718" s="100">
        <v>39</v>
      </c>
      <c r="JU1718" s="100">
        <v>10</v>
      </c>
      <c r="ON1718" s="100">
        <f t="shared" si="510"/>
        <v>0</v>
      </c>
    </row>
    <row r="1719" spans="1:404" ht="23.25" customHeight="1">
      <c r="A1719" s="97" t="str">
        <f t="shared" si="531"/>
        <v>002/TK MAXX-2166-53037-S3-B4</v>
      </c>
      <c r="B1719" s="95">
        <v>44545</v>
      </c>
      <c r="C1719" s="97">
        <f t="shared" ca="1" si="524"/>
        <v>-519</v>
      </c>
      <c r="D1719" s="96" t="s">
        <v>1287</v>
      </c>
      <c r="E1719" s="94" t="s">
        <v>1273</v>
      </c>
      <c r="F1719" s="98" t="str">
        <f t="shared" si="532"/>
        <v>B4</v>
      </c>
      <c r="G1719" s="110">
        <f ca="1">SUMIF($A:E,$A1719,K:K)</f>
        <v>184</v>
      </c>
      <c r="H1719" s="97" t="s">
        <v>933</v>
      </c>
      <c r="I1719" s="98">
        <v>184</v>
      </c>
      <c r="J1719" s="97">
        <v>184</v>
      </c>
      <c r="K1719" s="143">
        <f t="shared" si="509"/>
        <v>184</v>
      </c>
      <c r="L1719" s="144">
        <f t="shared" si="526"/>
        <v>0</v>
      </c>
      <c r="M1719" s="275">
        <f t="shared" si="533"/>
        <v>552</v>
      </c>
      <c r="N1719" s="98">
        <v>2</v>
      </c>
      <c r="O1719" s="93">
        <f t="shared" si="519"/>
        <v>100</v>
      </c>
      <c r="LJ1719" s="100">
        <v>1</v>
      </c>
      <c r="LL1719" s="100">
        <v>9</v>
      </c>
      <c r="LM1719" s="100">
        <v>9</v>
      </c>
      <c r="LN1719" s="100">
        <v>26</v>
      </c>
      <c r="LQ1719" s="100">
        <v>6</v>
      </c>
      <c r="LR1719" s="100">
        <v>10</v>
      </c>
      <c r="LS1719" s="100">
        <v>9</v>
      </c>
      <c r="LT1719" s="100">
        <v>3</v>
      </c>
      <c r="LU1719" s="100">
        <v>13</v>
      </c>
      <c r="LW1719" s="100">
        <v>10</v>
      </c>
      <c r="LX1719" s="100">
        <v>4</v>
      </c>
      <c r="LY1719" s="100">
        <v>9</v>
      </c>
      <c r="LZ1719" s="100">
        <v>10</v>
      </c>
      <c r="MA1719" s="100">
        <v>8</v>
      </c>
      <c r="MB1719" s="100">
        <v>12</v>
      </c>
      <c r="MD1719" s="100">
        <v>8</v>
      </c>
      <c r="ME1719" s="100">
        <v>9</v>
      </c>
      <c r="MF1719" s="100">
        <v>18</v>
      </c>
      <c r="MG1719" s="100">
        <v>10</v>
      </c>
      <c r="ON1719" s="100">
        <f t="shared" si="510"/>
        <v>0</v>
      </c>
    </row>
    <row r="1720" spans="1:404" ht="23.25" customHeight="1">
      <c r="A1720" s="97" t="str">
        <f t="shared" si="531"/>
        <v>038/VG_SR-21( TJX)66-53037-S3-B4</v>
      </c>
      <c r="B1720" s="95">
        <v>44392</v>
      </c>
      <c r="C1720" s="97">
        <f t="shared" ca="1" si="524"/>
        <v>-672</v>
      </c>
      <c r="D1720" s="112" t="s">
        <v>1297</v>
      </c>
      <c r="E1720" s="123" t="s">
        <v>1273</v>
      </c>
      <c r="F1720" s="98" t="str">
        <f t="shared" si="532"/>
        <v>B4</v>
      </c>
      <c r="G1720" s="110">
        <f ca="1">SUMIF($A:E,$A1720,K:K)</f>
        <v>2</v>
      </c>
      <c r="H1720" s="97" t="s">
        <v>508</v>
      </c>
      <c r="I1720" s="98">
        <v>2</v>
      </c>
      <c r="J1720" s="99">
        <v>2</v>
      </c>
      <c r="K1720" s="143">
        <f t="shared" si="509"/>
        <v>2</v>
      </c>
      <c r="L1720" s="144">
        <f t="shared" si="526"/>
        <v>0</v>
      </c>
      <c r="M1720" s="275">
        <f t="shared" si="533"/>
        <v>6</v>
      </c>
      <c r="N1720" s="211">
        <v>2</v>
      </c>
      <c r="O1720" s="93">
        <f t="shared" si="519"/>
        <v>100</v>
      </c>
      <c r="GB1720" s="100">
        <v>1</v>
      </c>
      <c r="GC1720" s="100">
        <v>1</v>
      </c>
      <c r="ON1720" s="100">
        <f t="shared" si="510"/>
        <v>0</v>
      </c>
    </row>
    <row r="1721" spans="1:404" ht="23.25" customHeight="1">
      <c r="A1721" s="97" t="str">
        <f t="shared" si="531"/>
        <v xml:space="preserve">	001/AL-FARES-VG-2166-53037-S3-B4</v>
      </c>
      <c r="B1721" s="95">
        <v>44686</v>
      </c>
      <c r="C1721" s="97">
        <f t="shared" ca="1" si="524"/>
        <v>-378</v>
      </c>
      <c r="D1721" s="112" t="s">
        <v>1814</v>
      </c>
      <c r="E1721" s="123" t="s">
        <v>1273</v>
      </c>
      <c r="F1721" s="98" t="str">
        <f t="shared" si="532"/>
        <v>B4</v>
      </c>
      <c r="G1721" s="110">
        <f ca="1">SUMIF($A:E,$A1721,K:K)</f>
        <v>6</v>
      </c>
      <c r="H1721" s="112" t="s">
        <v>1561</v>
      </c>
      <c r="I1721" s="175">
        <v>48</v>
      </c>
      <c r="J1721" s="115">
        <v>48</v>
      </c>
      <c r="K1721" s="143">
        <f t="shared" si="509"/>
        <v>6</v>
      </c>
      <c r="L1721" s="144">
        <f t="shared" si="526"/>
        <v>42</v>
      </c>
      <c r="M1721" s="275">
        <f t="shared" si="533"/>
        <v>144</v>
      </c>
      <c r="N1721" s="98">
        <v>2</v>
      </c>
      <c r="O1721" s="93">
        <f t="shared" si="519"/>
        <v>12.5</v>
      </c>
      <c r="MT1721" s="100">
        <v>6</v>
      </c>
      <c r="ON1721" s="100">
        <f t="shared" si="510"/>
        <v>0</v>
      </c>
    </row>
    <row r="1722" spans="1:404" ht="23.25" customHeight="1">
      <c r="A1722" s="97" t="str">
        <f>D1722&amp;E1723</f>
        <v>009/COMERZIA-2166-52624-S2-B</v>
      </c>
      <c r="B1722" s="95">
        <v>44569</v>
      </c>
      <c r="C1722" s="97">
        <f t="shared" ca="1" si="524"/>
        <v>-495</v>
      </c>
      <c r="D1722" s="96" t="s">
        <v>1232</v>
      </c>
      <c r="E1722" s="94" t="s">
        <v>1238</v>
      </c>
      <c r="F1722" s="98" t="str">
        <f t="shared" si="532"/>
        <v>B</v>
      </c>
      <c r="G1722" s="110">
        <f ca="1">SUMIF($A:E,$A1722,K:K)</f>
        <v>24</v>
      </c>
      <c r="H1722" s="97" t="s">
        <v>508</v>
      </c>
      <c r="I1722" s="98">
        <v>24</v>
      </c>
      <c r="J1722" s="97">
        <v>24</v>
      </c>
      <c r="K1722" s="143">
        <f t="shared" si="509"/>
        <v>24</v>
      </c>
      <c r="L1722" s="144">
        <f t="shared" si="526"/>
        <v>0</v>
      </c>
      <c r="M1722" s="275">
        <f t="shared" si="533"/>
        <v>48</v>
      </c>
      <c r="N1722" s="98">
        <v>2</v>
      </c>
      <c r="O1722" s="93">
        <f t="shared" ref="O1722:O1734" si="534">K1722/J1722*100</f>
        <v>100</v>
      </c>
      <c r="MH1722" s="100">
        <v>2</v>
      </c>
      <c r="MK1722" s="100">
        <v>4</v>
      </c>
      <c r="ML1722" s="100">
        <v>4</v>
      </c>
      <c r="MM1722" s="100">
        <v>4</v>
      </c>
      <c r="MN1722" s="100">
        <v>4</v>
      </c>
      <c r="MO1722" s="100">
        <v>6</v>
      </c>
      <c r="ON1722" s="100">
        <f t="shared" si="510"/>
        <v>0</v>
      </c>
    </row>
    <row r="1723" spans="1:404" ht="23.25" customHeight="1">
      <c r="A1723" s="97" t="str">
        <f t="shared" ref="A1723:A1742" si="535">D1723&amp;E1723</f>
        <v>004/COMERZIA_SR-2166-52624-S2-B</v>
      </c>
      <c r="B1723" s="95">
        <v>44394</v>
      </c>
      <c r="C1723" s="97">
        <f t="shared" ca="1" si="524"/>
        <v>-670</v>
      </c>
      <c r="D1723" s="112" t="s">
        <v>1314</v>
      </c>
      <c r="E1723" s="123" t="s">
        <v>1238</v>
      </c>
      <c r="F1723" s="98" t="str">
        <f t="shared" si="532"/>
        <v>B</v>
      </c>
      <c r="G1723" s="110">
        <f ca="1">SUMIF($A:E,$A1723,K:K)</f>
        <v>1</v>
      </c>
      <c r="H1723" s="97" t="s">
        <v>508</v>
      </c>
      <c r="I1723" s="175">
        <v>1</v>
      </c>
      <c r="J1723" s="115">
        <v>1</v>
      </c>
      <c r="K1723" s="143">
        <f t="shared" si="509"/>
        <v>1</v>
      </c>
      <c r="L1723" s="144">
        <f t="shared" si="526"/>
        <v>0</v>
      </c>
      <c r="M1723" s="275">
        <f t="shared" si="533"/>
        <v>2</v>
      </c>
      <c r="N1723" s="98">
        <v>5</v>
      </c>
      <c r="O1723" s="93">
        <f t="shared" si="534"/>
        <v>100</v>
      </c>
      <c r="GE1723" s="100">
        <v>1</v>
      </c>
      <c r="ON1723" s="100">
        <f t="shared" si="510"/>
        <v>0</v>
      </c>
    </row>
    <row r="1724" spans="1:404" ht="23.25" customHeight="1">
      <c r="A1724" s="97" t="str">
        <f t="shared" si="535"/>
        <v>001/ERMITAZAS-2166-52624-S2-B</v>
      </c>
      <c r="B1724" s="95">
        <v>44649</v>
      </c>
      <c r="C1724" s="97">
        <f t="shared" ca="1" si="524"/>
        <v>-415</v>
      </c>
      <c r="D1724" s="112" t="s">
        <v>1495</v>
      </c>
      <c r="E1724" s="123" t="s">
        <v>1238</v>
      </c>
      <c r="F1724" s="98" t="str">
        <f t="shared" si="532"/>
        <v>B</v>
      </c>
      <c r="G1724" s="110">
        <f ca="1">SUMIF($A:E,$A1724,K:K)</f>
        <v>44</v>
      </c>
      <c r="H1724" s="112" t="s">
        <v>1494</v>
      </c>
      <c r="I1724" s="175">
        <v>48</v>
      </c>
      <c r="J1724" s="115">
        <v>48</v>
      </c>
      <c r="K1724" s="143">
        <f t="shared" si="509"/>
        <v>44</v>
      </c>
      <c r="L1724" s="144">
        <f t="shared" si="526"/>
        <v>4</v>
      </c>
      <c r="M1724" s="275">
        <f t="shared" si="533"/>
        <v>96</v>
      </c>
      <c r="N1724" s="98">
        <v>3</v>
      </c>
      <c r="O1724" s="93">
        <f t="shared" si="534"/>
        <v>91.666666666666657</v>
      </c>
      <c r="OB1724" s="100">
        <v>4</v>
      </c>
      <c r="OD1724" s="100">
        <v>1</v>
      </c>
      <c r="OF1724" s="100">
        <v>5</v>
      </c>
      <c r="OG1724" s="100">
        <v>2</v>
      </c>
      <c r="OH1724" s="100">
        <v>4</v>
      </c>
      <c r="OI1724" s="100">
        <v>2</v>
      </c>
      <c r="OM1724" s="100">
        <v>4</v>
      </c>
      <c r="ON1724" s="100">
        <f t="shared" si="510"/>
        <v>22</v>
      </c>
    </row>
    <row r="1725" spans="1:404" ht="23.25" customHeight="1">
      <c r="A1725" s="97" t="str">
        <f t="shared" si="535"/>
        <v>002/FLOWER POWER-VG-2166-52624-02-B</v>
      </c>
      <c r="B1725" s="95">
        <v>44670</v>
      </c>
      <c r="C1725" s="97">
        <f t="shared" ca="1" si="524"/>
        <v>-394</v>
      </c>
      <c r="D1725" s="112" t="s">
        <v>1714</v>
      </c>
      <c r="E1725" s="123" t="s">
        <v>1716</v>
      </c>
      <c r="F1725" s="98" t="str">
        <f t="shared" si="532"/>
        <v>B</v>
      </c>
      <c r="G1725" s="110">
        <f ca="1">SUMIF($A:E,$A1725,K:K)</f>
        <v>0</v>
      </c>
      <c r="H1725" s="112" t="s">
        <v>1725</v>
      </c>
      <c r="I1725" s="175">
        <v>48</v>
      </c>
      <c r="J1725" s="115">
        <v>48</v>
      </c>
      <c r="K1725" s="143">
        <f t="shared" si="509"/>
        <v>0</v>
      </c>
      <c r="L1725" s="144">
        <f t="shared" si="526"/>
        <v>48</v>
      </c>
      <c r="M1725" s="275">
        <f t="shared" si="533"/>
        <v>48</v>
      </c>
      <c r="N1725" s="98"/>
      <c r="O1725" s="93">
        <f t="shared" si="534"/>
        <v>0</v>
      </c>
      <c r="ON1725" s="100">
        <f t="shared" si="510"/>
        <v>0</v>
      </c>
    </row>
    <row r="1726" spans="1:404" ht="23.25" customHeight="1">
      <c r="A1726" s="97" t="str">
        <f t="shared" si="535"/>
        <v>001/HANKKIJA-2166-52237-S2-B4</v>
      </c>
      <c r="B1726" s="95">
        <v>44478</v>
      </c>
      <c r="C1726" s="97">
        <f t="shared" ca="1" si="524"/>
        <v>-586</v>
      </c>
      <c r="D1726" s="112" t="s">
        <v>1041</v>
      </c>
      <c r="E1726" s="123" t="s">
        <v>1043</v>
      </c>
      <c r="F1726" s="98" t="str">
        <f t="shared" si="532"/>
        <v>B4</v>
      </c>
      <c r="G1726" s="110">
        <f ca="1">SUMIF($A:E,$A1726,K:K)</f>
        <v>216</v>
      </c>
      <c r="H1726" s="97" t="s">
        <v>616</v>
      </c>
      <c r="I1726" s="98">
        <v>216</v>
      </c>
      <c r="J1726" s="97">
        <v>216</v>
      </c>
      <c r="K1726" s="143">
        <f t="shared" si="509"/>
        <v>216</v>
      </c>
      <c r="L1726" s="144">
        <f t="shared" si="526"/>
        <v>0</v>
      </c>
      <c r="M1726" s="275">
        <f t="shared" si="533"/>
        <v>432</v>
      </c>
      <c r="N1726" s="98">
        <v>1</v>
      </c>
      <c r="O1726" s="93">
        <f t="shared" si="534"/>
        <v>100</v>
      </c>
      <c r="FT1726" s="100">
        <v>9</v>
      </c>
      <c r="FU1726" s="100">
        <v>1</v>
      </c>
      <c r="FV1726" s="100">
        <v>1</v>
      </c>
      <c r="FW1726" s="100">
        <v>4</v>
      </c>
      <c r="FX1726" s="100">
        <v>2</v>
      </c>
      <c r="GA1726" s="100">
        <v>4</v>
      </c>
      <c r="GD1726" s="100">
        <v>3</v>
      </c>
      <c r="GE1726" s="100">
        <v>12</v>
      </c>
      <c r="GG1726" s="100">
        <v>4</v>
      </c>
      <c r="GH1726" s="100">
        <v>2</v>
      </c>
      <c r="GI1726" s="100">
        <v>4</v>
      </c>
      <c r="GJ1726" s="100">
        <v>4</v>
      </c>
      <c r="GK1726" s="100">
        <v>2</v>
      </c>
      <c r="GN1726" s="100">
        <v>6</v>
      </c>
      <c r="GO1726" s="100">
        <v>4</v>
      </c>
      <c r="GP1726" s="100">
        <v>2</v>
      </c>
      <c r="GQ1726" s="100">
        <v>2</v>
      </c>
      <c r="GR1726" s="100">
        <v>4</v>
      </c>
      <c r="GS1726" s="100">
        <v>6</v>
      </c>
      <c r="GU1726" s="100">
        <v>4</v>
      </c>
      <c r="GV1726" s="100">
        <v>2</v>
      </c>
      <c r="GW1726" s="100">
        <v>4</v>
      </c>
      <c r="GX1726" s="100">
        <v>2</v>
      </c>
      <c r="GY1726" s="100">
        <v>4</v>
      </c>
      <c r="GZ1726" s="100">
        <v>3</v>
      </c>
      <c r="HC1726" s="100">
        <v>5</v>
      </c>
      <c r="HD1726" s="100">
        <v>2</v>
      </c>
      <c r="HE1726" s="100">
        <v>6</v>
      </c>
      <c r="HG1726" s="100">
        <v>4</v>
      </c>
      <c r="HI1726" s="100">
        <v>4</v>
      </c>
      <c r="HK1726" s="100">
        <v>7</v>
      </c>
      <c r="HN1726" s="100">
        <v>6</v>
      </c>
      <c r="HP1726" s="100">
        <v>2</v>
      </c>
      <c r="HQ1726" s="100">
        <v>6</v>
      </c>
      <c r="HR1726" s="100">
        <v>2</v>
      </c>
      <c r="HS1726" s="100">
        <v>4</v>
      </c>
      <c r="HT1726" s="100">
        <v>2</v>
      </c>
      <c r="HU1726" s="100">
        <v>4</v>
      </c>
      <c r="HW1726" s="100">
        <v>4</v>
      </c>
      <c r="HX1726" s="100">
        <v>8</v>
      </c>
      <c r="IB1726" s="100">
        <v>4</v>
      </c>
      <c r="ID1726" s="100">
        <v>2</v>
      </c>
      <c r="IE1726" s="100">
        <v>3</v>
      </c>
      <c r="IF1726" s="100">
        <v>9</v>
      </c>
      <c r="IG1726" s="100">
        <v>4</v>
      </c>
      <c r="IH1726" s="100">
        <v>6</v>
      </c>
      <c r="IK1726" s="100">
        <v>3</v>
      </c>
      <c r="IL1726" s="100">
        <v>3</v>
      </c>
      <c r="IM1726" s="100">
        <v>2</v>
      </c>
      <c r="IN1726" s="100">
        <v>4</v>
      </c>
      <c r="IO1726" s="100">
        <v>6</v>
      </c>
      <c r="IP1726" s="100">
        <v>1</v>
      </c>
      <c r="IR1726" s="100">
        <v>4</v>
      </c>
      <c r="IT1726" s="100">
        <v>4</v>
      </c>
      <c r="ON1726" s="100">
        <f t="shared" si="510"/>
        <v>0</v>
      </c>
    </row>
    <row r="1727" spans="1:404" ht="23.25" customHeight="1">
      <c r="A1727" s="97" t="str">
        <f t="shared" si="535"/>
        <v>002/VANDER-2166-52237-S2-B4</v>
      </c>
      <c r="B1727" s="95">
        <v>44524</v>
      </c>
      <c r="C1727" s="97">
        <f t="shared" ref="C1727:C1750" ca="1" si="536">B1727-TODAY()</f>
        <v>-540</v>
      </c>
      <c r="D1727" s="112" t="s">
        <v>1100</v>
      </c>
      <c r="E1727" s="112" t="s">
        <v>1043</v>
      </c>
      <c r="F1727" s="98" t="str">
        <f t="shared" si="532"/>
        <v>B4</v>
      </c>
      <c r="G1727" s="110">
        <f ca="1">SUMIF($A:E,$A1727,K:K)</f>
        <v>84</v>
      </c>
      <c r="H1727" s="97" t="s">
        <v>616</v>
      </c>
      <c r="I1727" s="98">
        <v>84</v>
      </c>
      <c r="J1727" s="97">
        <v>84</v>
      </c>
      <c r="K1727" s="143">
        <f t="shared" si="509"/>
        <v>84</v>
      </c>
      <c r="L1727" s="144">
        <f t="shared" si="526"/>
        <v>0</v>
      </c>
      <c r="M1727" s="275">
        <f t="shared" si="533"/>
        <v>168</v>
      </c>
      <c r="N1727" s="98">
        <v>1</v>
      </c>
      <c r="O1727" s="93">
        <f t="shared" si="534"/>
        <v>100</v>
      </c>
      <c r="IU1727" s="100">
        <v>2</v>
      </c>
      <c r="IW1727" s="100">
        <v>2</v>
      </c>
      <c r="IY1727" s="100">
        <v>2</v>
      </c>
      <c r="IZ1727" s="100">
        <v>2</v>
      </c>
      <c r="JA1727" s="100">
        <v>4</v>
      </c>
      <c r="JB1727" s="100">
        <v>2</v>
      </c>
      <c r="JC1727" s="100">
        <v>3</v>
      </c>
      <c r="JF1727" s="100">
        <v>2</v>
      </c>
      <c r="JG1727" s="100">
        <v>1</v>
      </c>
      <c r="JH1727" s="100">
        <v>2</v>
      </c>
      <c r="JI1727" s="100">
        <v>2</v>
      </c>
      <c r="JJ1727" s="100">
        <v>2</v>
      </c>
      <c r="JM1727" s="100">
        <v>1</v>
      </c>
      <c r="JO1727" s="100">
        <v>2</v>
      </c>
      <c r="JQ1727" s="100">
        <v>4</v>
      </c>
      <c r="JT1727" s="100">
        <v>2</v>
      </c>
      <c r="JU1727" s="100">
        <v>2</v>
      </c>
      <c r="JX1727" s="100">
        <v>2</v>
      </c>
      <c r="JY1727" s="100">
        <v>3</v>
      </c>
      <c r="KA1727" s="100">
        <v>1</v>
      </c>
      <c r="KB1727" s="100">
        <v>2</v>
      </c>
      <c r="KC1727" s="100">
        <v>6</v>
      </c>
      <c r="KE1727" s="100">
        <v>5</v>
      </c>
      <c r="KG1727" s="100">
        <v>4</v>
      </c>
      <c r="KH1727" s="100">
        <v>2</v>
      </c>
      <c r="KJ1727" s="100">
        <v>2</v>
      </c>
      <c r="KN1727" s="100">
        <v>2</v>
      </c>
      <c r="KO1727" s="100">
        <v>3</v>
      </c>
      <c r="KR1727" s="100">
        <v>2</v>
      </c>
      <c r="KS1727" s="100">
        <v>2</v>
      </c>
      <c r="KV1727" s="100">
        <v>2</v>
      </c>
      <c r="KW1727" s="100">
        <v>3</v>
      </c>
      <c r="KY1727" s="100">
        <v>3</v>
      </c>
      <c r="KZ1727" s="100">
        <v>2</v>
      </c>
      <c r="LB1727" s="100">
        <v>1</v>
      </c>
      <c r="ON1727" s="100">
        <f t="shared" si="510"/>
        <v>0</v>
      </c>
    </row>
    <row r="1728" spans="1:404" ht="23.25" customHeight="1">
      <c r="A1728" s="97" t="str">
        <f t="shared" si="535"/>
        <v xml:space="preserve">	001/AL-FARES-VG-2166-52237-S2-B4</v>
      </c>
      <c r="B1728" s="95">
        <v>44686</v>
      </c>
      <c r="C1728" s="97">
        <f t="shared" ca="1" si="536"/>
        <v>-378</v>
      </c>
      <c r="D1728" s="112" t="s">
        <v>1814</v>
      </c>
      <c r="E1728" s="123" t="s">
        <v>1043</v>
      </c>
      <c r="F1728" s="98" t="str">
        <f t="shared" si="532"/>
        <v>B4</v>
      </c>
      <c r="G1728" s="110">
        <f ca="1">SUMIF($A:E,$A1728,K:K)</f>
        <v>18</v>
      </c>
      <c r="H1728" s="112" t="s">
        <v>1561</v>
      </c>
      <c r="I1728" s="175">
        <v>48</v>
      </c>
      <c r="J1728" s="115">
        <v>48</v>
      </c>
      <c r="K1728" s="143">
        <f t="shared" si="509"/>
        <v>18</v>
      </c>
      <c r="L1728" s="144">
        <f t="shared" si="526"/>
        <v>30</v>
      </c>
      <c r="M1728" s="275">
        <f t="shared" si="533"/>
        <v>96</v>
      </c>
      <c r="N1728" s="98">
        <v>1</v>
      </c>
      <c r="O1728" s="93">
        <f t="shared" si="534"/>
        <v>37.5</v>
      </c>
      <c r="OJ1728" s="100">
        <v>4</v>
      </c>
      <c r="OK1728" s="100">
        <v>5</v>
      </c>
      <c r="ON1728" s="100">
        <f t="shared" si="510"/>
        <v>9</v>
      </c>
    </row>
    <row r="1729" spans="1:404" ht="23.25" customHeight="1">
      <c r="A1729" s="97" t="str">
        <f t="shared" si="535"/>
        <v>003/ANNA-VG-21(đ7)66-52220-S2-B4</v>
      </c>
      <c r="B1729" s="95">
        <v>44634</v>
      </c>
      <c r="C1729" s="97">
        <f t="shared" ca="1" si="536"/>
        <v>-430</v>
      </c>
      <c r="D1729" s="112" t="s">
        <v>1671</v>
      </c>
      <c r="E1729" s="123" t="s">
        <v>1675</v>
      </c>
      <c r="F1729" s="98" t="str">
        <f t="shared" si="532"/>
        <v>B4</v>
      </c>
      <c r="G1729" s="130">
        <f ca="1">SUMIF($A:E,$A1729,K:K)</f>
        <v>24</v>
      </c>
      <c r="H1729" s="112" t="s">
        <v>990</v>
      </c>
      <c r="I1729" s="175">
        <v>12</v>
      </c>
      <c r="J1729" s="115">
        <v>12</v>
      </c>
      <c r="K1729" s="143">
        <f t="shared" si="509"/>
        <v>24</v>
      </c>
      <c r="L1729" s="144">
        <f t="shared" si="526"/>
        <v>-12</v>
      </c>
      <c r="M1729" s="275">
        <f t="shared" si="533"/>
        <v>24</v>
      </c>
      <c r="N1729" s="98">
        <v>1</v>
      </c>
      <c r="O1729" s="93">
        <f t="shared" si="534"/>
        <v>200</v>
      </c>
      <c r="NS1729" s="100">
        <v>1</v>
      </c>
      <c r="NT1729" s="100">
        <v>4</v>
      </c>
      <c r="NU1729" s="100">
        <v>7</v>
      </c>
      <c r="ON1729" s="100">
        <f t="shared" si="510"/>
        <v>12</v>
      </c>
    </row>
    <row r="1730" spans="1:404" ht="23.25" customHeight="1">
      <c r="A1730" s="97" t="str">
        <f t="shared" si="535"/>
        <v>003/ANNA-VG-21(đ3)66-52220-02-B4</v>
      </c>
      <c r="B1730" s="95">
        <v>44580</v>
      </c>
      <c r="C1730" s="97">
        <f t="shared" ca="1" si="536"/>
        <v>-484</v>
      </c>
      <c r="D1730" s="112" t="s">
        <v>1646</v>
      </c>
      <c r="E1730" s="123" t="s">
        <v>1651</v>
      </c>
      <c r="F1730" s="98" t="str">
        <f t="shared" si="532"/>
        <v>B4</v>
      </c>
      <c r="G1730" s="130">
        <f ca="1">SUMIF($A:E,$A1730,K:K)</f>
        <v>102</v>
      </c>
      <c r="H1730" s="112" t="s">
        <v>990</v>
      </c>
      <c r="I1730" s="175">
        <v>102</v>
      </c>
      <c r="J1730" s="115">
        <v>102</v>
      </c>
      <c r="K1730" s="143">
        <f t="shared" si="509"/>
        <v>102</v>
      </c>
      <c r="L1730" s="144">
        <f t="shared" si="526"/>
        <v>0</v>
      </c>
      <c r="M1730" s="275">
        <f t="shared" si="533"/>
        <v>102</v>
      </c>
      <c r="N1730" s="98">
        <v>1</v>
      </c>
      <c r="O1730" s="93">
        <f t="shared" si="534"/>
        <v>100</v>
      </c>
      <c r="MW1730" s="100">
        <v>2</v>
      </c>
      <c r="MX1730" s="100">
        <v>5</v>
      </c>
      <c r="NA1730" s="100">
        <v>5</v>
      </c>
      <c r="ND1730" s="100">
        <v>10</v>
      </c>
      <c r="NE1730" s="100">
        <v>8</v>
      </c>
      <c r="NF1730" s="100">
        <v>7</v>
      </c>
      <c r="NG1730" s="100">
        <v>19</v>
      </c>
      <c r="NI1730" s="100">
        <v>6</v>
      </c>
      <c r="NK1730" s="100">
        <v>40</v>
      </c>
      <c r="ON1730" s="100">
        <f t="shared" si="510"/>
        <v>0</v>
      </c>
    </row>
    <row r="1731" spans="1:404" ht="23.25" customHeight="1">
      <c r="A1731" s="97" t="str">
        <f t="shared" si="535"/>
        <v>026T/EUROMARKET-2166-52220-01-B4</v>
      </c>
      <c r="B1731" s="95">
        <v>44564</v>
      </c>
      <c r="C1731" s="97">
        <f t="shared" ca="1" si="536"/>
        <v>-500</v>
      </c>
      <c r="D1731" s="112" t="s">
        <v>1778</v>
      </c>
      <c r="E1731" s="123" t="s">
        <v>1779</v>
      </c>
      <c r="F1731" s="98" t="str">
        <f t="shared" si="532"/>
        <v>B4</v>
      </c>
      <c r="G1731" s="110">
        <f ca="1">SUMIF($A:E,$A1731,K:K)</f>
        <v>100</v>
      </c>
      <c r="H1731" s="97" t="s">
        <v>616</v>
      </c>
      <c r="I1731" s="175">
        <v>100</v>
      </c>
      <c r="J1731" s="115">
        <v>100</v>
      </c>
      <c r="K1731" s="143">
        <f t="shared" si="509"/>
        <v>100</v>
      </c>
      <c r="L1731" s="144">
        <f t="shared" si="526"/>
        <v>0</v>
      </c>
      <c r="M1731" s="275">
        <f t="shared" si="533"/>
        <v>100</v>
      </c>
      <c r="N1731" s="98">
        <v>1</v>
      </c>
      <c r="O1731" s="93">
        <f t="shared" si="534"/>
        <v>100</v>
      </c>
      <c r="LY1731" s="100">
        <v>13</v>
      </c>
      <c r="LZ1731" s="100">
        <v>5</v>
      </c>
      <c r="MA1731" s="100">
        <v>9</v>
      </c>
      <c r="MB1731" s="100">
        <v>1</v>
      </c>
      <c r="ME1731" s="100">
        <v>10</v>
      </c>
      <c r="MF1731" s="100">
        <v>5</v>
      </c>
      <c r="MG1731" s="100">
        <v>7</v>
      </c>
      <c r="MH1731" s="100">
        <v>4</v>
      </c>
      <c r="MK1731" s="100">
        <v>11</v>
      </c>
      <c r="ML1731" s="100">
        <v>4</v>
      </c>
      <c r="MM1731" s="100">
        <v>5</v>
      </c>
      <c r="MN1731" s="100">
        <v>5</v>
      </c>
      <c r="MO1731" s="100">
        <v>11</v>
      </c>
      <c r="MP1731" s="100">
        <v>10</v>
      </c>
      <c r="ON1731" s="100">
        <f t="shared" si="510"/>
        <v>0</v>
      </c>
    </row>
    <row r="1732" spans="1:404" ht="23.25" customHeight="1">
      <c r="A1732" s="97" t="str">
        <f t="shared" si="535"/>
        <v>024T/EUROMARKET-2166-52220-02-B4</v>
      </c>
      <c r="B1732" s="95">
        <v>44503</v>
      </c>
      <c r="C1732" s="97">
        <f t="shared" ca="1" si="536"/>
        <v>-561</v>
      </c>
      <c r="D1732" s="112" t="s">
        <v>1874</v>
      </c>
      <c r="E1732" s="123" t="s">
        <v>1651</v>
      </c>
      <c r="F1732" s="98" t="str">
        <f t="shared" si="532"/>
        <v>B4</v>
      </c>
      <c r="G1732" s="110">
        <f ca="1">SUMIF($A:E,$A1732,K:K)</f>
        <v>72</v>
      </c>
      <c r="H1732" s="97" t="s">
        <v>616</v>
      </c>
      <c r="I1732" s="175">
        <v>72</v>
      </c>
      <c r="J1732" s="115">
        <v>72</v>
      </c>
      <c r="K1732" s="143">
        <f t="shared" ref="K1732:K1795" si="537">SUM(P1732:BBC1732)</f>
        <v>72</v>
      </c>
      <c r="L1732" s="144">
        <f t="shared" si="526"/>
        <v>0</v>
      </c>
      <c r="M1732" s="275">
        <f t="shared" si="533"/>
        <v>72</v>
      </c>
      <c r="N1732" s="98">
        <v>6</v>
      </c>
      <c r="O1732" s="93">
        <f t="shared" si="534"/>
        <v>100</v>
      </c>
      <c r="KF1732" s="100">
        <v>17</v>
      </c>
      <c r="KG1732" s="100">
        <v>29</v>
      </c>
      <c r="KH1732" s="100">
        <v>10</v>
      </c>
      <c r="KI1732" s="100">
        <v>13</v>
      </c>
      <c r="KJ1732" s="100">
        <v>1</v>
      </c>
      <c r="KN1732" s="100">
        <v>2</v>
      </c>
      <c r="ON1732" s="100">
        <f t="shared" ref="ON1732:ON1795" si="538">SUM(NS1732:OM1732)</f>
        <v>0</v>
      </c>
    </row>
    <row r="1733" spans="1:404" ht="23.25" customHeight="1">
      <c r="A1733" s="97" t="str">
        <f t="shared" si="535"/>
        <v>026T/EUROMARKET-2166-52220-02-B4</v>
      </c>
      <c r="B1733" s="95">
        <v>44564</v>
      </c>
      <c r="C1733" s="97">
        <f t="shared" ca="1" si="536"/>
        <v>-500</v>
      </c>
      <c r="D1733" s="112" t="s">
        <v>1778</v>
      </c>
      <c r="E1733" s="123" t="s">
        <v>1651</v>
      </c>
      <c r="F1733" s="98" t="str">
        <f t="shared" si="532"/>
        <v>B4</v>
      </c>
      <c r="G1733" s="110">
        <f ca="1">SUMIF($A:E,$A1733,K:K)</f>
        <v>100</v>
      </c>
      <c r="H1733" s="97" t="s">
        <v>616</v>
      </c>
      <c r="I1733" s="175">
        <v>100</v>
      </c>
      <c r="J1733" s="115">
        <v>100</v>
      </c>
      <c r="K1733" s="143">
        <f t="shared" si="537"/>
        <v>100</v>
      </c>
      <c r="L1733" s="144">
        <f t="shared" si="526"/>
        <v>0</v>
      </c>
      <c r="M1733" s="275">
        <f t="shared" si="533"/>
        <v>100</v>
      </c>
      <c r="N1733" s="98">
        <v>1</v>
      </c>
      <c r="O1733" s="93">
        <f t="shared" si="534"/>
        <v>100</v>
      </c>
      <c r="LY1733" s="100">
        <v>12</v>
      </c>
      <c r="LZ1733" s="100">
        <v>4</v>
      </c>
      <c r="MA1733" s="100">
        <v>9</v>
      </c>
      <c r="MB1733" s="100">
        <v>2</v>
      </c>
      <c r="ME1733" s="100">
        <v>4</v>
      </c>
      <c r="MF1733" s="100">
        <v>5</v>
      </c>
      <c r="MH1733" s="100">
        <v>4</v>
      </c>
      <c r="MK1733" s="100">
        <v>11</v>
      </c>
      <c r="ML1733" s="100">
        <v>4</v>
      </c>
      <c r="MM1733" s="100">
        <v>8</v>
      </c>
      <c r="MN1733" s="100">
        <v>5</v>
      </c>
      <c r="MO1733" s="100">
        <v>6</v>
      </c>
      <c r="MP1733" s="100">
        <v>21</v>
      </c>
      <c r="MQ1733" s="100">
        <v>5</v>
      </c>
      <c r="ON1733" s="100">
        <f t="shared" si="538"/>
        <v>0</v>
      </c>
    </row>
    <row r="1734" spans="1:404" ht="23.25" customHeight="1">
      <c r="A1734" s="97" t="str">
        <f t="shared" si="535"/>
        <v xml:space="preserve">	001/NORTHCOAST-VG-2166-52209-S2-B</v>
      </c>
      <c r="B1734" s="95">
        <v>44660</v>
      </c>
      <c r="C1734" s="97">
        <f t="shared" ca="1" si="536"/>
        <v>-404</v>
      </c>
      <c r="D1734" s="112" t="s">
        <v>1880</v>
      </c>
      <c r="E1734" s="123" t="s">
        <v>1884</v>
      </c>
      <c r="F1734" s="98" t="str">
        <f t="shared" si="532"/>
        <v>B</v>
      </c>
      <c r="G1734" s="110">
        <f ca="1">SUMIF($A:E,$A1734,K:K)</f>
        <v>0</v>
      </c>
      <c r="H1734" s="97" t="s">
        <v>927</v>
      </c>
      <c r="I1734" s="175">
        <v>18</v>
      </c>
      <c r="J1734" s="115">
        <v>18</v>
      </c>
      <c r="K1734" s="143">
        <f t="shared" si="537"/>
        <v>0</v>
      </c>
      <c r="L1734" s="144">
        <f t="shared" si="526"/>
        <v>18</v>
      </c>
      <c r="M1734" s="275">
        <f t="shared" si="533"/>
        <v>36</v>
      </c>
      <c r="N1734" s="98"/>
      <c r="O1734" s="93">
        <f t="shared" si="534"/>
        <v>0</v>
      </c>
      <c r="ON1734" s="100">
        <f t="shared" si="538"/>
        <v>0</v>
      </c>
    </row>
    <row r="1735" spans="1:404" ht="23.25" customHeight="1">
      <c r="A1735" s="97" t="str">
        <f t="shared" si="535"/>
        <v>003/ANNA-VG-21(đ3)66-52200-02-A</v>
      </c>
      <c r="B1735" s="95">
        <v>44577</v>
      </c>
      <c r="C1735" s="97">
        <f t="shared" ca="1" si="536"/>
        <v>-487</v>
      </c>
      <c r="D1735" s="112" t="s">
        <v>1646</v>
      </c>
      <c r="E1735" s="279" t="s">
        <v>699</v>
      </c>
      <c r="F1735" s="98" t="str">
        <f t="shared" si="532"/>
        <v>A</v>
      </c>
      <c r="G1735" s="110">
        <f ca="1">SUMIF($A:E,$A1735,K:K)</f>
        <v>51</v>
      </c>
      <c r="H1735" s="112" t="s">
        <v>990</v>
      </c>
      <c r="I1735" s="175">
        <v>51</v>
      </c>
      <c r="J1735" s="115">
        <v>51</v>
      </c>
      <c r="K1735" s="143">
        <f t="shared" si="537"/>
        <v>51</v>
      </c>
      <c r="L1735" s="144">
        <f t="shared" si="526"/>
        <v>0</v>
      </c>
      <c r="M1735" s="275">
        <f t="shared" si="533"/>
        <v>51</v>
      </c>
      <c r="N1735" s="98" t="s">
        <v>1776</v>
      </c>
      <c r="O1735" s="93">
        <f t="shared" ref="O1735:O1756" si="539">K1735/J1735*100</f>
        <v>100</v>
      </c>
      <c r="MB1735" s="100">
        <v>2</v>
      </c>
      <c r="MD1735" s="100">
        <v>4</v>
      </c>
      <c r="ME1735" s="100">
        <v>2</v>
      </c>
      <c r="MF1735" s="100">
        <v>4</v>
      </c>
      <c r="MG1735" s="100">
        <v>4</v>
      </c>
      <c r="MH1735" s="100">
        <v>2</v>
      </c>
      <c r="MK1735" s="100">
        <v>2</v>
      </c>
      <c r="ML1735" s="100">
        <v>2</v>
      </c>
      <c r="MM1735" s="100">
        <v>2</v>
      </c>
      <c r="MN1735" s="100">
        <v>4</v>
      </c>
      <c r="MO1735" s="100">
        <v>2</v>
      </c>
      <c r="MP1735" s="100">
        <v>4</v>
      </c>
      <c r="MQ1735" s="100">
        <v>2</v>
      </c>
      <c r="MR1735" s="100">
        <v>1</v>
      </c>
      <c r="MS1735" s="100">
        <v>4</v>
      </c>
      <c r="MT1735" s="100">
        <v>2</v>
      </c>
      <c r="MU1735" s="100">
        <v>4</v>
      </c>
      <c r="MW1735" s="100">
        <v>2</v>
      </c>
      <c r="MX1735" s="100">
        <v>2</v>
      </c>
      <c r="ON1735" s="100">
        <f t="shared" si="538"/>
        <v>0</v>
      </c>
    </row>
    <row r="1736" spans="1:404" ht="23.25" customHeight="1">
      <c r="A1736" s="97" t="str">
        <f t="shared" si="535"/>
        <v>002/FLOWER POWER-VG-2166-51720-S2-B</v>
      </c>
      <c r="B1736" s="95">
        <v>44670</v>
      </c>
      <c r="C1736" s="97">
        <f t="shared" ca="1" si="536"/>
        <v>-394</v>
      </c>
      <c r="D1736" s="112" t="s">
        <v>1714</v>
      </c>
      <c r="E1736" s="123" t="s">
        <v>1715</v>
      </c>
      <c r="F1736" s="98" t="str">
        <f t="shared" si="532"/>
        <v>B</v>
      </c>
      <c r="G1736" s="110">
        <f ca="1">SUMIF($A:E,$A1736,K:K)</f>
        <v>0</v>
      </c>
      <c r="H1736" s="112" t="s">
        <v>1725</v>
      </c>
      <c r="I1736" s="175">
        <v>120</v>
      </c>
      <c r="J1736" s="115">
        <v>120</v>
      </c>
      <c r="K1736" s="143">
        <f t="shared" si="537"/>
        <v>0</v>
      </c>
      <c r="L1736" s="144">
        <f t="shared" si="526"/>
        <v>120</v>
      </c>
      <c r="M1736" s="275">
        <f t="shared" si="533"/>
        <v>240</v>
      </c>
      <c r="N1736" s="98"/>
      <c r="O1736" s="93">
        <f t="shared" si="539"/>
        <v>0</v>
      </c>
      <c r="ON1736" s="100">
        <f t="shared" si="538"/>
        <v>0</v>
      </c>
    </row>
    <row r="1737" spans="1:404" ht="23.25" customHeight="1">
      <c r="A1737" s="97" t="str">
        <f t="shared" si="535"/>
        <v>002/HACA-HK-2166-51712-S2-B</v>
      </c>
      <c r="B1737" s="95">
        <v>44338</v>
      </c>
      <c r="C1737" s="97">
        <f t="shared" ca="1" si="536"/>
        <v>-726</v>
      </c>
      <c r="D1737" s="145" t="s">
        <v>785</v>
      </c>
      <c r="E1737" s="253" t="s">
        <v>422</v>
      </c>
      <c r="F1737" s="98" t="str">
        <f t="shared" si="532"/>
        <v>B</v>
      </c>
      <c r="G1737" s="110">
        <f ca="1">SUMIF($A:E,$A1737,K:K)</f>
        <v>36</v>
      </c>
      <c r="H1737" s="97" t="s">
        <v>791</v>
      </c>
      <c r="I1737" s="98">
        <v>36</v>
      </c>
      <c r="J1737" s="99">
        <v>36</v>
      </c>
      <c r="K1737" s="143">
        <f t="shared" si="537"/>
        <v>36</v>
      </c>
      <c r="L1737" s="144">
        <f t="shared" si="526"/>
        <v>0</v>
      </c>
      <c r="M1737" s="275">
        <f t="shared" si="533"/>
        <v>72</v>
      </c>
      <c r="N1737" s="98">
        <v>4</v>
      </c>
      <c r="O1737" s="93">
        <f t="shared" si="539"/>
        <v>100</v>
      </c>
      <c r="DS1737" s="100">
        <v>12</v>
      </c>
      <c r="DU1737" s="100">
        <v>15</v>
      </c>
      <c r="DV1737" s="100">
        <v>5</v>
      </c>
      <c r="DW1737" s="100">
        <v>4</v>
      </c>
      <c r="ON1737" s="100">
        <f t="shared" si="538"/>
        <v>0</v>
      </c>
    </row>
    <row r="1738" spans="1:404" ht="23.25" customHeight="1">
      <c r="A1738" s="97" t="str">
        <f t="shared" si="535"/>
        <v>003/HACA-HK-2166-51712-S2-B</v>
      </c>
      <c r="B1738" s="95">
        <v>44378</v>
      </c>
      <c r="C1738" s="97">
        <f t="shared" ca="1" si="536"/>
        <v>-686</v>
      </c>
      <c r="D1738" s="145" t="s">
        <v>803</v>
      </c>
      <c r="E1738" s="253" t="s">
        <v>422</v>
      </c>
      <c r="F1738" s="98" t="str">
        <f t="shared" si="532"/>
        <v>B</v>
      </c>
      <c r="G1738" s="110">
        <f ca="1">SUMIF($A:E,$A1738,K:K)</f>
        <v>36</v>
      </c>
      <c r="H1738" s="97" t="s">
        <v>791</v>
      </c>
      <c r="I1738" s="196">
        <v>36</v>
      </c>
      <c r="J1738" s="146">
        <v>36</v>
      </c>
      <c r="K1738" s="143">
        <f t="shared" si="537"/>
        <v>36</v>
      </c>
      <c r="L1738" s="144">
        <f t="shared" si="526"/>
        <v>0</v>
      </c>
      <c r="M1738" s="275">
        <f t="shared" si="533"/>
        <v>72</v>
      </c>
      <c r="N1738" s="98">
        <v>4</v>
      </c>
      <c r="O1738" s="93">
        <f t="shared" si="539"/>
        <v>100</v>
      </c>
      <c r="DW1738" s="100">
        <v>3</v>
      </c>
      <c r="EF1738" s="100">
        <v>6</v>
      </c>
      <c r="EG1738" s="100">
        <v>5</v>
      </c>
      <c r="EH1738" s="100">
        <v>6</v>
      </c>
      <c r="EI1738" s="100">
        <v>5</v>
      </c>
      <c r="EJ1738" s="100">
        <v>6</v>
      </c>
      <c r="EK1738" s="100">
        <v>5</v>
      </c>
      <c r="ON1738" s="100">
        <f t="shared" si="538"/>
        <v>0</v>
      </c>
    </row>
    <row r="1739" spans="1:404" ht="23.25" customHeight="1">
      <c r="A1739" s="97" t="str">
        <f t="shared" si="535"/>
        <v>001/MACKOO-21 (đợt 1)66-51712-S2-B</v>
      </c>
      <c r="B1739" s="95">
        <v>44415</v>
      </c>
      <c r="C1739" s="97">
        <f t="shared" ca="1" si="536"/>
        <v>-649</v>
      </c>
      <c r="D1739" s="96" t="s">
        <v>1002</v>
      </c>
      <c r="E1739" s="94" t="s">
        <v>422</v>
      </c>
      <c r="F1739" s="98" t="str">
        <f t="shared" si="532"/>
        <v>B</v>
      </c>
      <c r="G1739" s="110">
        <f ca="1">SUMIF($A:E,$A1739,K:K)</f>
        <v>840</v>
      </c>
      <c r="H1739" s="97" t="s">
        <v>508</v>
      </c>
      <c r="I1739" s="98">
        <v>840</v>
      </c>
      <c r="J1739" s="99">
        <v>465</v>
      </c>
      <c r="K1739" s="143">
        <f t="shared" si="537"/>
        <v>465</v>
      </c>
      <c r="L1739" s="144">
        <f t="shared" si="526"/>
        <v>0</v>
      </c>
      <c r="M1739" s="275">
        <f t="shared" si="533"/>
        <v>1680</v>
      </c>
      <c r="N1739" s="98">
        <v>5</v>
      </c>
      <c r="O1739" s="93">
        <f t="shared" si="539"/>
        <v>100</v>
      </c>
      <c r="EO1739" s="100">
        <v>5</v>
      </c>
      <c r="EP1739" s="100">
        <v>5</v>
      </c>
      <c r="EQ1739" s="100">
        <v>5</v>
      </c>
      <c r="EV1739" s="100">
        <v>6</v>
      </c>
      <c r="EX1739" s="100">
        <v>11</v>
      </c>
      <c r="EY1739" s="100">
        <v>11</v>
      </c>
      <c r="FA1739" s="100">
        <v>14</v>
      </c>
      <c r="FB1739" s="100">
        <v>12</v>
      </c>
      <c r="FC1739" s="100">
        <v>12</v>
      </c>
      <c r="FD1739" s="100">
        <v>12</v>
      </c>
      <c r="FE1739" s="100">
        <v>12</v>
      </c>
      <c r="FF1739" s="100">
        <v>12</v>
      </c>
      <c r="FH1739" s="100">
        <v>12</v>
      </c>
      <c r="FI1739" s="100">
        <v>12</v>
      </c>
      <c r="FJ1739" s="100">
        <v>12</v>
      </c>
      <c r="FK1739" s="100">
        <v>12</v>
      </c>
      <c r="FL1739" s="100">
        <v>12</v>
      </c>
      <c r="FM1739" s="100">
        <v>11</v>
      </c>
      <c r="FO1739" s="100">
        <v>13</v>
      </c>
      <c r="FP1739" s="100">
        <v>12</v>
      </c>
      <c r="FQ1739" s="100">
        <v>24</v>
      </c>
      <c r="FS1739" s="100">
        <v>13</v>
      </c>
      <c r="FT1739" s="100">
        <v>18</v>
      </c>
      <c r="FV1739" s="100">
        <v>18</v>
      </c>
      <c r="FW1739" s="100">
        <v>5</v>
      </c>
      <c r="FX1739" s="100">
        <v>12</v>
      </c>
      <c r="FZ1739" s="100">
        <v>12</v>
      </c>
      <c r="GA1739" s="100">
        <v>12</v>
      </c>
      <c r="GB1739" s="100">
        <v>12</v>
      </c>
      <c r="GC1739" s="100">
        <v>11</v>
      </c>
      <c r="GD1739" s="100">
        <v>12</v>
      </c>
      <c r="GE1739" s="100">
        <v>15</v>
      </c>
      <c r="GG1739" s="100">
        <v>12</v>
      </c>
      <c r="GH1739" s="100">
        <v>12</v>
      </c>
      <c r="GI1739" s="100">
        <v>12</v>
      </c>
      <c r="GJ1739" s="100">
        <v>12</v>
      </c>
      <c r="GK1739" s="100">
        <v>11</v>
      </c>
      <c r="GL1739" s="100">
        <v>12</v>
      </c>
      <c r="GN1739" s="100">
        <v>17</v>
      </c>
      <c r="ON1739" s="100">
        <f t="shared" si="538"/>
        <v>0</v>
      </c>
    </row>
    <row r="1740" spans="1:404" ht="23.25" customHeight="1">
      <c r="A1740" s="97" t="str">
        <f t="shared" si="535"/>
        <v>001/MACKOO-21 (đợt 1)66-51712-S2-B</v>
      </c>
      <c r="B1740" s="95">
        <v>44457</v>
      </c>
      <c r="C1740" s="97">
        <f t="shared" ca="1" si="536"/>
        <v>-607</v>
      </c>
      <c r="D1740" s="96" t="s">
        <v>1002</v>
      </c>
      <c r="E1740" s="94" t="s">
        <v>422</v>
      </c>
      <c r="F1740" s="98" t="str">
        <f t="shared" si="532"/>
        <v>B</v>
      </c>
      <c r="G1740" s="110">
        <f ca="1">SUMIF($A:E,$A1740,K:K)</f>
        <v>840</v>
      </c>
      <c r="H1740" s="97" t="s">
        <v>508</v>
      </c>
      <c r="I1740" s="98">
        <v>840</v>
      </c>
      <c r="J1740" s="99">
        <v>35</v>
      </c>
      <c r="K1740" s="143">
        <f t="shared" si="537"/>
        <v>35</v>
      </c>
      <c r="L1740" s="144">
        <f t="shared" si="526"/>
        <v>0</v>
      </c>
      <c r="M1740" s="275">
        <f t="shared" si="533"/>
        <v>1680</v>
      </c>
      <c r="N1740" s="98">
        <v>5</v>
      </c>
      <c r="O1740" s="93">
        <f t="shared" si="539"/>
        <v>100</v>
      </c>
      <c r="GN1740" s="100">
        <v>3</v>
      </c>
      <c r="GO1740" s="100">
        <v>4</v>
      </c>
      <c r="GP1740" s="100">
        <v>13</v>
      </c>
      <c r="GQ1740" s="100">
        <v>12</v>
      </c>
      <c r="GR1740" s="100">
        <v>3</v>
      </c>
      <c r="ON1740" s="100">
        <f t="shared" si="538"/>
        <v>0</v>
      </c>
    </row>
    <row r="1741" spans="1:404" ht="23.25" customHeight="1">
      <c r="A1741" s="97" t="str">
        <f t="shared" si="535"/>
        <v>001/MACKOO-21 (đợt 1)66-51712-S2-B</v>
      </c>
      <c r="B1741" s="95">
        <v>44415</v>
      </c>
      <c r="C1741" s="97">
        <f t="shared" ca="1" si="536"/>
        <v>-649</v>
      </c>
      <c r="D1741" s="96" t="s">
        <v>1002</v>
      </c>
      <c r="E1741" s="94" t="s">
        <v>422</v>
      </c>
      <c r="F1741" s="98" t="str">
        <f t="shared" si="532"/>
        <v>B</v>
      </c>
      <c r="G1741" s="110">
        <f ca="1">SUMIF($A:E,$A1741,K:K)</f>
        <v>840</v>
      </c>
      <c r="H1741" s="97" t="s">
        <v>508</v>
      </c>
      <c r="I1741" s="98">
        <v>840</v>
      </c>
      <c r="J1741" s="99">
        <v>340</v>
      </c>
      <c r="K1741" s="143">
        <f t="shared" si="537"/>
        <v>340</v>
      </c>
      <c r="L1741" s="144">
        <f t="shared" si="526"/>
        <v>0</v>
      </c>
      <c r="M1741" s="275">
        <f t="shared" si="533"/>
        <v>1680</v>
      </c>
      <c r="N1741" s="98">
        <v>1</v>
      </c>
      <c r="O1741" s="93">
        <f t="shared" si="539"/>
        <v>100</v>
      </c>
      <c r="EW1741" s="100">
        <v>11</v>
      </c>
      <c r="EX1741" s="100">
        <v>2</v>
      </c>
      <c r="EY1741" s="100">
        <v>6</v>
      </c>
      <c r="FA1741" s="100">
        <v>4</v>
      </c>
      <c r="FB1741" s="100">
        <v>3</v>
      </c>
      <c r="FC1741" s="100">
        <v>5</v>
      </c>
      <c r="FD1741" s="100">
        <v>3</v>
      </c>
      <c r="FE1741" s="100">
        <v>12</v>
      </c>
      <c r="FF1741" s="100">
        <v>4</v>
      </c>
      <c r="FH1741" s="100">
        <v>4</v>
      </c>
      <c r="FI1741" s="100">
        <v>8</v>
      </c>
      <c r="FJ1741" s="100">
        <v>8</v>
      </c>
      <c r="FK1741" s="100">
        <v>12</v>
      </c>
      <c r="FL1741" s="100">
        <v>4</v>
      </c>
      <c r="FM1741" s="100">
        <v>11</v>
      </c>
      <c r="FO1741" s="100">
        <v>8</v>
      </c>
      <c r="FP1741" s="100">
        <v>6</v>
      </c>
      <c r="FQ1741" s="100">
        <v>11</v>
      </c>
      <c r="FR1741" s="100">
        <v>6</v>
      </c>
      <c r="FT1741" s="100">
        <v>24</v>
      </c>
      <c r="FU1741" s="100">
        <v>12</v>
      </c>
      <c r="FV1741" s="100">
        <v>6</v>
      </c>
      <c r="FW1741" s="100">
        <v>11</v>
      </c>
      <c r="FX1741" s="100">
        <v>17</v>
      </c>
      <c r="FZ1741" s="100">
        <v>7</v>
      </c>
      <c r="GA1741" s="100">
        <v>12</v>
      </c>
      <c r="GB1741" s="100">
        <v>6</v>
      </c>
      <c r="GC1741" s="100">
        <v>18</v>
      </c>
      <c r="GE1741" s="100">
        <v>22</v>
      </c>
      <c r="GG1741" s="100">
        <v>13</v>
      </c>
      <c r="GH1741" s="100">
        <v>7</v>
      </c>
      <c r="GI1741" s="100">
        <v>12</v>
      </c>
      <c r="GJ1741" s="100">
        <v>12</v>
      </c>
      <c r="GK1741" s="100">
        <v>13</v>
      </c>
      <c r="GL1741" s="100">
        <v>11</v>
      </c>
      <c r="GN1741" s="100">
        <v>5</v>
      </c>
      <c r="GO1741" s="100">
        <v>4</v>
      </c>
      <c r="ON1741" s="100">
        <f t="shared" si="538"/>
        <v>0</v>
      </c>
    </row>
    <row r="1742" spans="1:404" ht="23.25" customHeight="1">
      <c r="A1742" s="97" t="str">
        <f t="shared" si="535"/>
        <v>001/MACKOO-21 (đợt 2)66-51712-S2-B</v>
      </c>
      <c r="B1742" s="95">
        <v>44457</v>
      </c>
      <c r="C1742" s="97">
        <f t="shared" ca="1" si="536"/>
        <v>-607</v>
      </c>
      <c r="D1742" s="96" t="s">
        <v>1003</v>
      </c>
      <c r="E1742" s="94" t="s">
        <v>422</v>
      </c>
      <c r="F1742" s="98" t="str">
        <f t="shared" si="532"/>
        <v>B</v>
      </c>
      <c r="G1742" s="110">
        <f ca="1">SUMIF($A:E,$A1742,K:K)</f>
        <v>840</v>
      </c>
      <c r="H1742" s="97" t="s">
        <v>508</v>
      </c>
      <c r="I1742" s="98">
        <v>840</v>
      </c>
      <c r="J1742" s="99">
        <v>87</v>
      </c>
      <c r="K1742" s="143">
        <f t="shared" si="537"/>
        <v>87</v>
      </c>
      <c r="L1742" s="144">
        <f t="shared" si="526"/>
        <v>0</v>
      </c>
      <c r="M1742" s="275">
        <f t="shared" si="533"/>
        <v>1680</v>
      </c>
      <c r="N1742" s="98">
        <v>1</v>
      </c>
      <c r="O1742" s="93">
        <f t="shared" si="539"/>
        <v>100</v>
      </c>
      <c r="GO1742" s="100">
        <v>9</v>
      </c>
      <c r="GP1742" s="100">
        <v>6</v>
      </c>
      <c r="GQ1742" s="100">
        <v>10</v>
      </c>
      <c r="GR1742" s="100">
        <v>6</v>
      </c>
      <c r="GS1742" s="100">
        <v>24</v>
      </c>
      <c r="GU1742" s="100">
        <v>12</v>
      </c>
      <c r="GV1742" s="100">
        <v>7</v>
      </c>
      <c r="GW1742" s="100">
        <v>12</v>
      </c>
      <c r="GX1742" s="100">
        <v>1</v>
      </c>
      <c r="ON1742" s="100">
        <f t="shared" si="538"/>
        <v>0</v>
      </c>
    </row>
    <row r="1743" spans="1:404" ht="23.25" customHeight="1">
      <c r="A1743" s="97" t="s">
        <v>1780</v>
      </c>
      <c r="B1743" s="95">
        <v>44457</v>
      </c>
      <c r="C1743" s="97">
        <f t="shared" ca="1" si="536"/>
        <v>-607</v>
      </c>
      <c r="D1743" s="96" t="s">
        <v>1003</v>
      </c>
      <c r="E1743" s="280" t="s">
        <v>422</v>
      </c>
      <c r="F1743" s="98" t="s">
        <v>561</v>
      </c>
      <c r="G1743" s="110">
        <v>629</v>
      </c>
      <c r="H1743" s="97" t="s">
        <v>508</v>
      </c>
      <c r="I1743" s="98">
        <v>840</v>
      </c>
      <c r="J1743" s="99">
        <v>107</v>
      </c>
      <c r="K1743" s="143">
        <f t="shared" si="537"/>
        <v>107</v>
      </c>
      <c r="L1743" s="144">
        <f t="shared" si="526"/>
        <v>0</v>
      </c>
      <c r="M1743" s="275">
        <f t="shared" si="533"/>
        <v>1680</v>
      </c>
      <c r="N1743" s="98" t="s">
        <v>1776</v>
      </c>
      <c r="O1743" s="93">
        <f t="shared" si="539"/>
        <v>100</v>
      </c>
      <c r="IF1743" s="100">
        <v>8</v>
      </c>
      <c r="IG1743" s="100">
        <v>1</v>
      </c>
      <c r="IH1743" s="100">
        <v>19</v>
      </c>
      <c r="II1743" s="100">
        <v>12</v>
      </c>
      <c r="IK1743" s="100">
        <v>9</v>
      </c>
      <c r="IL1743" s="100">
        <v>9</v>
      </c>
      <c r="IM1743" s="100">
        <v>12</v>
      </c>
      <c r="IN1743" s="100">
        <v>12</v>
      </c>
      <c r="IP1743" s="100">
        <v>12</v>
      </c>
      <c r="IR1743" s="100">
        <v>13</v>
      </c>
      <c r="ON1743" s="100">
        <f t="shared" si="538"/>
        <v>0</v>
      </c>
    </row>
    <row r="1744" spans="1:404" ht="23.25" customHeight="1">
      <c r="A1744" s="97" t="str">
        <f t="shared" ref="A1744:A1750" si="540">D1744&amp;E1744</f>
        <v>001/MACKOO-21 (đợt 2)66-51712-S2-B</v>
      </c>
      <c r="B1744" s="95">
        <v>44457</v>
      </c>
      <c r="C1744" s="97">
        <f t="shared" ca="1" si="536"/>
        <v>-607</v>
      </c>
      <c r="D1744" s="96" t="s">
        <v>1003</v>
      </c>
      <c r="E1744" s="94" t="s">
        <v>422</v>
      </c>
      <c r="F1744" s="98" t="str">
        <f t="shared" ref="F1744:F1764" si="541">MID(E1744,13,2)</f>
        <v>B</v>
      </c>
      <c r="G1744" s="110">
        <f ca="1">SUMIF($A:E,$A1744,K:K)</f>
        <v>840</v>
      </c>
      <c r="H1744" s="97" t="s">
        <v>508</v>
      </c>
      <c r="I1744" s="98">
        <v>840</v>
      </c>
      <c r="J1744" s="99">
        <v>343</v>
      </c>
      <c r="K1744" s="143">
        <f t="shared" si="537"/>
        <v>343</v>
      </c>
      <c r="L1744" s="144">
        <f t="shared" si="526"/>
        <v>0</v>
      </c>
      <c r="M1744" s="275">
        <f t="shared" si="533"/>
        <v>1680</v>
      </c>
      <c r="N1744" s="98">
        <v>5</v>
      </c>
      <c r="O1744" s="93">
        <f t="shared" si="539"/>
        <v>100</v>
      </c>
      <c r="GR1744" s="100">
        <v>21</v>
      </c>
      <c r="GU1744" s="100">
        <v>13</v>
      </c>
      <c r="GV1744" s="100">
        <v>12</v>
      </c>
      <c r="GW1744" s="100">
        <v>12</v>
      </c>
      <c r="GX1744" s="100">
        <v>12</v>
      </c>
      <c r="GY1744" s="100">
        <v>12</v>
      </c>
      <c r="GZ1744" s="100">
        <v>12</v>
      </c>
      <c r="HB1744" s="100">
        <v>12</v>
      </c>
      <c r="HC1744" s="100">
        <v>6</v>
      </c>
      <c r="HD1744" s="100">
        <v>24</v>
      </c>
      <c r="HF1744" s="100">
        <v>11</v>
      </c>
      <c r="HG1744" s="100">
        <v>12</v>
      </c>
      <c r="HI1744" s="100">
        <v>12</v>
      </c>
      <c r="HJ1744" s="100">
        <v>6</v>
      </c>
      <c r="HK1744" s="100">
        <v>6</v>
      </c>
      <c r="HL1744" s="100">
        <v>12</v>
      </c>
      <c r="HM1744" s="100">
        <v>6</v>
      </c>
      <c r="HN1744" s="100">
        <v>12</v>
      </c>
      <c r="HP1744" s="100">
        <v>15</v>
      </c>
      <c r="HQ1744" s="100">
        <v>9</v>
      </c>
      <c r="HR1744" s="100">
        <v>10</v>
      </c>
      <c r="HS1744" s="100">
        <v>14</v>
      </c>
      <c r="HT1744" s="100">
        <v>12</v>
      </c>
      <c r="HU1744" s="100">
        <v>12</v>
      </c>
      <c r="HW1744" s="100">
        <v>6</v>
      </c>
      <c r="HX1744" s="100">
        <v>6</v>
      </c>
      <c r="HY1744" s="100">
        <v>11</v>
      </c>
      <c r="IB1744" s="100">
        <v>12</v>
      </c>
      <c r="ID1744" s="100">
        <v>12</v>
      </c>
      <c r="IE1744" s="100">
        <v>11</v>
      </c>
      <c r="ON1744" s="100">
        <f t="shared" si="538"/>
        <v>0</v>
      </c>
    </row>
    <row r="1745" spans="1:404" ht="23.25" customHeight="1">
      <c r="A1745" s="97" t="str">
        <f t="shared" si="540"/>
        <v>001/MACKOO-21 (đợt 2)66-51712-S2-B</v>
      </c>
      <c r="B1745" s="95">
        <v>44457</v>
      </c>
      <c r="C1745" s="97">
        <f t="shared" ca="1" si="536"/>
        <v>-607</v>
      </c>
      <c r="D1745" s="96" t="s">
        <v>1003</v>
      </c>
      <c r="E1745" s="94" t="s">
        <v>422</v>
      </c>
      <c r="F1745" s="98" t="str">
        <f t="shared" si="541"/>
        <v>B</v>
      </c>
      <c r="G1745" s="110">
        <f ca="1">SUMIF($A:E,$A1745,K:K)</f>
        <v>840</v>
      </c>
      <c r="H1745" s="97" t="s">
        <v>508</v>
      </c>
      <c r="I1745" s="98">
        <v>840</v>
      </c>
      <c r="J1745" s="99">
        <f>840-J1742-J1743-J1744</f>
        <v>303</v>
      </c>
      <c r="K1745" s="143">
        <f t="shared" si="537"/>
        <v>303</v>
      </c>
      <c r="L1745" s="144">
        <f t="shared" si="526"/>
        <v>0</v>
      </c>
      <c r="M1745" s="275">
        <f t="shared" si="533"/>
        <v>1680</v>
      </c>
      <c r="N1745" s="98">
        <v>1</v>
      </c>
      <c r="O1745" s="93">
        <f t="shared" si="539"/>
        <v>100</v>
      </c>
      <c r="GX1745" s="100">
        <v>9</v>
      </c>
      <c r="GY1745" s="100">
        <v>10</v>
      </c>
      <c r="GZ1745" s="100">
        <v>12</v>
      </c>
      <c r="HC1745" s="100">
        <v>5</v>
      </c>
      <c r="HD1745" s="100">
        <v>12</v>
      </c>
      <c r="HE1745" s="100">
        <v>22</v>
      </c>
      <c r="HF1745" s="100">
        <v>6</v>
      </c>
      <c r="HG1745" s="100">
        <v>6</v>
      </c>
      <c r="HI1745" s="100">
        <v>6</v>
      </c>
      <c r="HJ1745" s="100">
        <v>7</v>
      </c>
      <c r="HK1745" s="100">
        <v>14</v>
      </c>
      <c r="HL1745" s="100">
        <v>11</v>
      </c>
      <c r="HN1745" s="100">
        <v>4</v>
      </c>
      <c r="HP1745" s="100">
        <v>9</v>
      </c>
      <c r="HQ1745" s="100">
        <v>7</v>
      </c>
      <c r="HR1745" s="100">
        <v>7</v>
      </c>
      <c r="HS1745" s="100">
        <v>6</v>
      </c>
      <c r="HT1745" s="100">
        <v>12</v>
      </c>
      <c r="HW1745" s="100">
        <v>6</v>
      </c>
      <c r="HX1745" s="100">
        <v>7</v>
      </c>
      <c r="HY1745" s="100">
        <v>6</v>
      </c>
      <c r="IB1745" s="100">
        <v>6</v>
      </c>
      <c r="ID1745" s="100">
        <v>9</v>
      </c>
      <c r="IF1745" s="100">
        <v>4</v>
      </c>
      <c r="IG1745" s="100">
        <v>6</v>
      </c>
      <c r="IH1745" s="100">
        <v>14</v>
      </c>
      <c r="IK1745" s="100">
        <v>6</v>
      </c>
      <c r="IL1745" s="100">
        <v>6</v>
      </c>
      <c r="IM1745" s="100">
        <v>16</v>
      </c>
      <c r="IN1745" s="100">
        <v>18</v>
      </c>
      <c r="IO1745" s="100">
        <v>5</v>
      </c>
      <c r="IP1745" s="100">
        <v>26</v>
      </c>
      <c r="IR1745" s="100">
        <v>3</v>
      </c>
      <c r="ON1745" s="100">
        <f t="shared" si="538"/>
        <v>0</v>
      </c>
    </row>
    <row r="1746" spans="1:404" ht="23.25" customHeight="1">
      <c r="A1746" s="97" t="str">
        <f t="shared" si="540"/>
        <v>001/ERMITAZAS-2166-51712-S2-B</v>
      </c>
      <c r="B1746" s="95">
        <v>44649</v>
      </c>
      <c r="C1746" s="97">
        <f t="shared" ca="1" si="536"/>
        <v>-415</v>
      </c>
      <c r="D1746" s="112" t="s">
        <v>1495</v>
      </c>
      <c r="E1746" s="123" t="s">
        <v>422</v>
      </c>
      <c r="F1746" s="98" t="str">
        <f t="shared" si="541"/>
        <v>B</v>
      </c>
      <c r="G1746" s="110">
        <f ca="1">SUMIF($A:E,$A1746,K:K)</f>
        <v>10</v>
      </c>
      <c r="H1746" s="112" t="s">
        <v>1494</v>
      </c>
      <c r="I1746" s="175">
        <v>36</v>
      </c>
      <c r="J1746" s="115">
        <v>36</v>
      </c>
      <c r="K1746" s="143">
        <f t="shared" si="537"/>
        <v>10</v>
      </c>
      <c r="L1746" s="144">
        <f t="shared" si="526"/>
        <v>26</v>
      </c>
      <c r="M1746" s="275">
        <f t="shared" si="533"/>
        <v>72</v>
      </c>
      <c r="N1746" s="98">
        <v>4</v>
      </c>
      <c r="O1746" s="93">
        <f t="shared" si="539"/>
        <v>27.777777777777779</v>
      </c>
      <c r="OK1746" s="100">
        <v>5</v>
      </c>
      <c r="ON1746" s="100">
        <f t="shared" si="538"/>
        <v>5</v>
      </c>
    </row>
    <row r="1747" spans="1:404" ht="23.25" customHeight="1">
      <c r="A1747" s="97" t="str">
        <f t="shared" si="540"/>
        <v>232/KHBS-21(001/MACKOO-21)66-51712-S2-B</v>
      </c>
      <c r="B1747" s="95">
        <v>44413</v>
      </c>
      <c r="C1747" s="97">
        <f t="shared" ca="1" si="536"/>
        <v>-651</v>
      </c>
      <c r="D1747" s="112" t="s">
        <v>1520</v>
      </c>
      <c r="E1747" s="123" t="s">
        <v>422</v>
      </c>
      <c r="F1747" s="98" t="str">
        <f t="shared" si="541"/>
        <v>B</v>
      </c>
      <c r="G1747" s="110">
        <f ca="1">SUMIF($A:E,$A1747,K:K)</f>
        <v>1</v>
      </c>
      <c r="H1747" s="97" t="s">
        <v>508</v>
      </c>
      <c r="I1747" s="98">
        <v>1</v>
      </c>
      <c r="J1747" s="99">
        <v>1</v>
      </c>
      <c r="K1747" s="143">
        <f t="shared" si="537"/>
        <v>1</v>
      </c>
      <c r="L1747" s="144">
        <f t="shared" si="526"/>
        <v>0</v>
      </c>
      <c r="M1747" s="275">
        <f t="shared" si="533"/>
        <v>2</v>
      </c>
      <c r="N1747" s="98">
        <v>1</v>
      </c>
      <c r="O1747" s="93">
        <f t="shared" si="539"/>
        <v>100</v>
      </c>
      <c r="GW1747" s="100">
        <v>1</v>
      </c>
      <c r="ON1747" s="100">
        <f t="shared" si="538"/>
        <v>0</v>
      </c>
    </row>
    <row r="1748" spans="1:404" ht="23.25" customHeight="1">
      <c r="A1748" s="97" t="str">
        <f t="shared" si="540"/>
        <v>004/HACA-HK-2166-51712-01-B</v>
      </c>
      <c r="B1748" s="95">
        <v>44378</v>
      </c>
      <c r="C1748" s="97">
        <f t="shared" ca="1" si="536"/>
        <v>-686</v>
      </c>
      <c r="D1748" s="145" t="s">
        <v>815</v>
      </c>
      <c r="E1748" s="253" t="s">
        <v>817</v>
      </c>
      <c r="F1748" s="98" t="str">
        <f t="shared" si="541"/>
        <v>B</v>
      </c>
      <c r="G1748" s="110">
        <f ca="1">SUMIF($A:E,$A1748,K:K)</f>
        <v>18</v>
      </c>
      <c r="H1748" s="97" t="s">
        <v>601</v>
      </c>
      <c r="I1748" s="196">
        <v>18</v>
      </c>
      <c r="J1748" s="146">
        <v>18</v>
      </c>
      <c r="K1748" s="143">
        <f t="shared" si="537"/>
        <v>18</v>
      </c>
      <c r="L1748" s="144">
        <f t="shared" si="526"/>
        <v>0</v>
      </c>
      <c r="M1748" s="275">
        <f t="shared" si="533"/>
        <v>18</v>
      </c>
      <c r="N1748" s="98">
        <v>4</v>
      </c>
      <c r="O1748" s="93">
        <f t="shared" si="539"/>
        <v>100</v>
      </c>
      <c r="EL1748" s="100">
        <v>7</v>
      </c>
      <c r="EN1748" s="100">
        <v>4</v>
      </c>
      <c r="EO1748" s="100">
        <v>5</v>
      </c>
      <c r="ER1748" s="100">
        <v>2</v>
      </c>
      <c r="ON1748" s="100">
        <f t="shared" si="538"/>
        <v>0</v>
      </c>
    </row>
    <row r="1749" spans="1:404" ht="23.25" customHeight="1">
      <c r="A1749" s="97" t="str">
        <f t="shared" si="540"/>
        <v>236/KHBS-2166-51712-01-B</v>
      </c>
      <c r="B1749" s="95">
        <v>44422</v>
      </c>
      <c r="C1749" s="97">
        <f t="shared" ref="C1749:C1771" ca="1" si="542">B1749-TODAY()</f>
        <v>-642</v>
      </c>
      <c r="D1749" s="96" t="s">
        <v>1617</v>
      </c>
      <c r="E1749" s="94" t="s">
        <v>817</v>
      </c>
      <c r="F1749" s="98" t="str">
        <f t="shared" si="541"/>
        <v>B</v>
      </c>
      <c r="G1749" s="110">
        <f ca="1">SUMIF($A:E,$A1749,K:K)</f>
        <v>1</v>
      </c>
      <c r="H1749" s="97" t="s">
        <v>616</v>
      </c>
      <c r="I1749" s="98">
        <v>1</v>
      </c>
      <c r="J1749" s="99">
        <v>1</v>
      </c>
      <c r="K1749" s="143">
        <f t="shared" si="537"/>
        <v>1</v>
      </c>
      <c r="L1749" s="144">
        <f t="shared" si="526"/>
        <v>0</v>
      </c>
      <c r="M1749" s="275">
        <f t="shared" si="533"/>
        <v>1</v>
      </c>
      <c r="N1749" s="98">
        <v>5</v>
      </c>
      <c r="O1749" s="93">
        <f t="shared" si="539"/>
        <v>100</v>
      </c>
      <c r="HE1749" s="100">
        <v>1</v>
      </c>
      <c r="ON1749" s="100">
        <f t="shared" si="538"/>
        <v>0</v>
      </c>
    </row>
    <row r="1750" spans="1:404" ht="23.25" customHeight="1">
      <c r="A1750" s="97" t="str">
        <f t="shared" si="540"/>
        <v>003/ANNA-VG-21(đ3)66-51620-S3-B4</v>
      </c>
      <c r="B1750" s="95">
        <v>44577</v>
      </c>
      <c r="C1750" s="97">
        <f t="shared" ca="1" si="536"/>
        <v>-487</v>
      </c>
      <c r="D1750" s="112" t="s">
        <v>1646</v>
      </c>
      <c r="E1750" s="123" t="s">
        <v>1650</v>
      </c>
      <c r="F1750" s="98" t="str">
        <f t="shared" si="541"/>
        <v>B4</v>
      </c>
      <c r="G1750" s="110">
        <f ca="1">SUMIF($A:E,$A1750,K:K)</f>
        <v>12</v>
      </c>
      <c r="H1750" s="112" t="s">
        <v>990</v>
      </c>
      <c r="I1750" s="175">
        <v>12</v>
      </c>
      <c r="J1750" s="115">
        <v>12</v>
      </c>
      <c r="K1750" s="143">
        <f t="shared" si="537"/>
        <v>12</v>
      </c>
      <c r="L1750" s="144">
        <f t="shared" si="526"/>
        <v>0</v>
      </c>
      <c r="M1750" s="275">
        <f t="shared" si="533"/>
        <v>36</v>
      </c>
      <c r="N1750" s="98">
        <v>1</v>
      </c>
      <c r="O1750" s="93">
        <f t="shared" si="539"/>
        <v>100</v>
      </c>
      <c r="MN1750" s="100">
        <v>3</v>
      </c>
      <c r="MO1750" s="100">
        <v>6</v>
      </c>
      <c r="MR1750" s="100">
        <v>2</v>
      </c>
      <c r="MY1750" s="100">
        <v>1</v>
      </c>
      <c r="ON1750" s="100">
        <f t="shared" si="538"/>
        <v>0</v>
      </c>
    </row>
    <row r="1751" spans="1:404" ht="23.25" customHeight="1">
      <c r="A1751" s="97" t="s">
        <v>1370</v>
      </c>
      <c r="B1751" s="95">
        <v>44649</v>
      </c>
      <c r="C1751" s="97">
        <f t="shared" ca="1" si="542"/>
        <v>-415</v>
      </c>
      <c r="D1751" s="112" t="s">
        <v>1372</v>
      </c>
      <c r="E1751" s="123" t="s">
        <v>1374</v>
      </c>
      <c r="F1751" s="98" t="str">
        <f t="shared" si="541"/>
        <v>B</v>
      </c>
      <c r="G1751" s="110">
        <f ca="1">SUMIF($A:E,$A1751,K:K)</f>
        <v>5654</v>
      </c>
      <c r="H1751" s="97" t="s">
        <v>508</v>
      </c>
      <c r="I1751" s="98">
        <v>40</v>
      </c>
      <c r="J1751" s="99">
        <v>40</v>
      </c>
      <c r="K1751" s="143">
        <f t="shared" si="537"/>
        <v>0</v>
      </c>
      <c r="L1751" s="144">
        <f t="shared" si="526"/>
        <v>40</v>
      </c>
      <c r="M1751" s="275">
        <f t="shared" si="533"/>
        <v>120</v>
      </c>
      <c r="N1751" s="98">
        <v>4</v>
      </c>
      <c r="O1751" s="93">
        <f t="shared" si="539"/>
        <v>0</v>
      </c>
      <c r="ON1751" s="100">
        <f t="shared" si="538"/>
        <v>0</v>
      </c>
    </row>
    <row r="1752" spans="1:404" ht="23.25" customHeight="1">
      <c r="A1752" s="97" t="str">
        <f t="shared" ref="A1752:A1763" si="543">D1752&amp;E1752</f>
        <v>002/FLOWER POWER-VG-2166-51620-S3-B</v>
      </c>
      <c r="B1752" s="95">
        <v>44670</v>
      </c>
      <c r="C1752" s="97">
        <f t="shared" ca="1" si="542"/>
        <v>-394</v>
      </c>
      <c r="D1752" s="112" t="s">
        <v>1714</v>
      </c>
      <c r="E1752" s="123" t="s">
        <v>1374</v>
      </c>
      <c r="F1752" s="98" t="str">
        <f t="shared" si="541"/>
        <v>B</v>
      </c>
      <c r="G1752" s="110">
        <f ca="1">SUMIF($A:E,$A1752,K:K)</f>
        <v>0</v>
      </c>
      <c r="H1752" s="112" t="s">
        <v>1725</v>
      </c>
      <c r="I1752" s="175">
        <v>96</v>
      </c>
      <c r="J1752" s="115">
        <v>96</v>
      </c>
      <c r="K1752" s="143">
        <f t="shared" si="537"/>
        <v>0</v>
      </c>
      <c r="L1752" s="144">
        <f t="shared" ref="L1752:L1788" si="544">J1752-K1752</f>
        <v>96</v>
      </c>
      <c r="M1752" s="275">
        <f t="shared" si="533"/>
        <v>288</v>
      </c>
      <c r="N1752" s="98"/>
      <c r="O1752" s="93">
        <f t="shared" si="539"/>
        <v>0</v>
      </c>
      <c r="ON1752" s="100">
        <f t="shared" si="538"/>
        <v>0</v>
      </c>
    </row>
    <row r="1753" spans="1:404" ht="23.25" customHeight="1">
      <c r="A1753" s="97" t="str">
        <f t="shared" si="543"/>
        <v>001/HANKKIJA-2166-51620-B2-B</v>
      </c>
      <c r="B1753" s="95">
        <v>44478</v>
      </c>
      <c r="C1753" s="97">
        <f t="shared" ca="1" si="542"/>
        <v>-586</v>
      </c>
      <c r="D1753" s="112" t="s">
        <v>1041</v>
      </c>
      <c r="E1753" s="123" t="s">
        <v>1042</v>
      </c>
      <c r="F1753" s="98" t="str">
        <f t="shared" si="541"/>
        <v>B</v>
      </c>
      <c r="G1753" s="110">
        <f ca="1">SUMIF($A:E,$A1753,K:K)</f>
        <v>242</v>
      </c>
      <c r="H1753" s="97" t="s">
        <v>616</v>
      </c>
      <c r="I1753" s="98">
        <v>242</v>
      </c>
      <c r="J1753" s="97">
        <v>242</v>
      </c>
      <c r="K1753" s="143">
        <f t="shared" si="537"/>
        <v>242</v>
      </c>
      <c r="L1753" s="144">
        <f t="shared" si="544"/>
        <v>0</v>
      </c>
      <c r="M1753" s="275">
        <f t="shared" si="533"/>
        <v>484</v>
      </c>
      <c r="N1753" s="98">
        <v>3</v>
      </c>
      <c r="O1753" s="93">
        <f t="shared" si="539"/>
        <v>100</v>
      </c>
      <c r="EW1753" s="100">
        <v>10</v>
      </c>
      <c r="EX1753" s="100">
        <v>5</v>
      </c>
      <c r="EY1753" s="100">
        <v>5</v>
      </c>
      <c r="FA1753" s="100">
        <v>5</v>
      </c>
      <c r="FB1753" s="100">
        <v>5</v>
      </c>
      <c r="FC1753" s="100">
        <v>6</v>
      </c>
      <c r="FD1753" s="100">
        <v>13</v>
      </c>
      <c r="FE1753" s="100">
        <v>6</v>
      </c>
      <c r="FF1753" s="100">
        <v>10</v>
      </c>
      <c r="FH1753" s="100">
        <v>10</v>
      </c>
      <c r="FI1753" s="100">
        <v>5</v>
      </c>
      <c r="FJ1753" s="100">
        <v>9</v>
      </c>
      <c r="FK1753" s="100">
        <v>9</v>
      </c>
      <c r="FL1753" s="100">
        <v>12</v>
      </c>
      <c r="FM1753" s="100">
        <v>10</v>
      </c>
      <c r="FO1753" s="100">
        <v>10</v>
      </c>
      <c r="FP1753" s="100">
        <v>5</v>
      </c>
      <c r="FQ1753" s="100">
        <v>10</v>
      </c>
      <c r="FR1753" s="100">
        <v>9</v>
      </c>
      <c r="FS1753" s="100">
        <v>9</v>
      </c>
      <c r="FT1753" s="100">
        <v>6</v>
      </c>
      <c r="FU1753" s="100">
        <v>10</v>
      </c>
      <c r="FV1753" s="100">
        <v>9</v>
      </c>
      <c r="FW1753" s="100">
        <v>10</v>
      </c>
      <c r="FX1753" s="100">
        <v>7</v>
      </c>
      <c r="FZ1753" s="100">
        <v>13</v>
      </c>
      <c r="GA1753" s="100">
        <v>4</v>
      </c>
      <c r="GB1753" s="100">
        <v>10</v>
      </c>
      <c r="GC1753" s="100">
        <v>7</v>
      </c>
      <c r="GH1753" s="100">
        <v>2</v>
      </c>
      <c r="GI1753" s="100">
        <v>1</v>
      </c>
      <c r="ON1753" s="100">
        <f t="shared" si="538"/>
        <v>0</v>
      </c>
    </row>
    <row r="1754" spans="1:404" ht="23.25" customHeight="1">
      <c r="A1754" s="97" t="str">
        <f t="shared" si="543"/>
        <v>003/ANNA-VG-21(đ1)66-51620-03-B4</v>
      </c>
      <c r="B1754" s="95">
        <v>44545</v>
      </c>
      <c r="C1754" s="97">
        <f t="shared" ca="1" si="542"/>
        <v>-519</v>
      </c>
      <c r="D1754" s="112" t="s">
        <v>1622</v>
      </c>
      <c r="E1754" s="215" t="s">
        <v>1635</v>
      </c>
      <c r="F1754" s="98" t="str">
        <f t="shared" si="541"/>
        <v>B4</v>
      </c>
      <c r="G1754" s="110">
        <f ca="1">SUMIF($A:E,$A1754,K:K)</f>
        <v>198</v>
      </c>
      <c r="H1754" s="112" t="s">
        <v>990</v>
      </c>
      <c r="I1754" s="175">
        <v>198</v>
      </c>
      <c r="J1754" s="115">
        <v>198</v>
      </c>
      <c r="K1754" s="143">
        <f t="shared" si="537"/>
        <v>198</v>
      </c>
      <c r="L1754" s="144">
        <f t="shared" si="544"/>
        <v>0</v>
      </c>
      <c r="M1754" s="275">
        <f t="shared" si="533"/>
        <v>198</v>
      </c>
      <c r="N1754" s="98">
        <v>4</v>
      </c>
      <c r="O1754" s="93">
        <f t="shared" si="539"/>
        <v>100</v>
      </c>
      <c r="LE1754" s="100">
        <v>9</v>
      </c>
      <c r="LF1754" s="100">
        <v>10</v>
      </c>
      <c r="LG1754" s="100">
        <v>18</v>
      </c>
      <c r="LI1754" s="100">
        <v>10</v>
      </c>
      <c r="LJ1754" s="100">
        <v>5</v>
      </c>
      <c r="LK1754" s="100">
        <v>11</v>
      </c>
      <c r="LM1754" s="100">
        <v>10</v>
      </c>
      <c r="LP1754" s="100">
        <v>17</v>
      </c>
      <c r="LQ1754" s="100">
        <v>9</v>
      </c>
      <c r="LR1754" s="100">
        <v>20</v>
      </c>
      <c r="LS1754" s="100">
        <v>18</v>
      </c>
      <c r="LT1754" s="100">
        <v>20</v>
      </c>
      <c r="LU1754" s="100">
        <v>16</v>
      </c>
      <c r="LW1754" s="100">
        <v>18</v>
      </c>
      <c r="LX1754" s="100">
        <v>3</v>
      </c>
      <c r="LY1754" s="100">
        <v>4</v>
      </c>
      <c r="ON1754" s="100">
        <f t="shared" si="538"/>
        <v>0</v>
      </c>
    </row>
    <row r="1755" spans="1:404" ht="23.25" customHeight="1">
      <c r="A1755" s="97" t="str">
        <f t="shared" si="543"/>
        <v>003/ANNA-VG-21(đ1)66-51620-02-B4</v>
      </c>
      <c r="B1755" s="95">
        <v>44545</v>
      </c>
      <c r="C1755" s="97">
        <f t="shared" ca="1" si="542"/>
        <v>-519</v>
      </c>
      <c r="D1755" s="319" t="s">
        <v>1622</v>
      </c>
      <c r="E1755" s="215" t="s">
        <v>1634</v>
      </c>
      <c r="F1755" s="98" t="str">
        <f t="shared" si="541"/>
        <v>B4</v>
      </c>
      <c r="G1755" s="110">
        <f ca="1">SUMIF($A:E,$A1755,K:K)</f>
        <v>72</v>
      </c>
      <c r="H1755" s="112" t="s">
        <v>990</v>
      </c>
      <c r="I1755" s="175">
        <v>72</v>
      </c>
      <c r="J1755" s="115">
        <v>72</v>
      </c>
      <c r="K1755" s="143">
        <f t="shared" si="537"/>
        <v>72</v>
      </c>
      <c r="L1755" s="144">
        <f t="shared" si="544"/>
        <v>0</v>
      </c>
      <c r="M1755" s="275">
        <f t="shared" si="533"/>
        <v>72</v>
      </c>
      <c r="N1755" s="98">
        <v>1</v>
      </c>
      <c r="O1755" s="93">
        <f t="shared" si="539"/>
        <v>100</v>
      </c>
      <c r="LI1755" s="100">
        <v>8</v>
      </c>
      <c r="LK1755" s="100">
        <v>7</v>
      </c>
      <c r="LL1755" s="100">
        <v>6</v>
      </c>
      <c r="LM1755" s="100">
        <v>9</v>
      </c>
      <c r="LN1755" s="100">
        <v>11</v>
      </c>
      <c r="LP1755" s="100">
        <v>5</v>
      </c>
      <c r="LQ1755" s="100">
        <v>5</v>
      </c>
      <c r="LR1755" s="100">
        <v>5</v>
      </c>
      <c r="LS1755" s="100">
        <v>16</v>
      </c>
      <c r="ON1755" s="100">
        <f t="shared" si="538"/>
        <v>0</v>
      </c>
    </row>
    <row r="1756" spans="1:404" ht="23.25" customHeight="1">
      <c r="A1756" s="97" t="str">
        <f t="shared" si="543"/>
        <v>007/YAMATEI-2166-51620-02-B</v>
      </c>
      <c r="B1756" s="95">
        <v>44642</v>
      </c>
      <c r="C1756" s="97">
        <f t="shared" ca="1" si="542"/>
        <v>-422</v>
      </c>
      <c r="D1756" s="112" t="s">
        <v>1569</v>
      </c>
      <c r="E1756" s="215" t="s">
        <v>1263</v>
      </c>
      <c r="F1756" s="98" t="str">
        <f t="shared" si="541"/>
        <v>B</v>
      </c>
      <c r="G1756" s="110">
        <f ca="1">SUMIF($A:E,$A1756,K:K)</f>
        <v>197</v>
      </c>
      <c r="H1756" s="97" t="s">
        <v>927</v>
      </c>
      <c r="I1756" s="175">
        <v>120</v>
      </c>
      <c r="J1756" s="115">
        <v>120</v>
      </c>
      <c r="K1756" s="143">
        <f t="shared" si="537"/>
        <v>197</v>
      </c>
      <c r="L1756" s="144">
        <f t="shared" si="544"/>
        <v>-77</v>
      </c>
      <c r="M1756" s="275">
        <f t="shared" si="533"/>
        <v>120</v>
      </c>
      <c r="N1756" s="98">
        <v>4</v>
      </c>
      <c r="O1756" s="93">
        <f t="shared" si="539"/>
        <v>164.16666666666666</v>
      </c>
      <c r="NG1756" s="100">
        <v>9</v>
      </c>
      <c r="NI1756" s="100">
        <v>9</v>
      </c>
      <c r="NK1756" s="100">
        <v>7</v>
      </c>
      <c r="NL1756" s="100">
        <v>4</v>
      </c>
      <c r="NM1756" s="100">
        <v>10</v>
      </c>
      <c r="NS1756" s="100">
        <v>5</v>
      </c>
      <c r="NT1756" s="100">
        <v>3</v>
      </c>
      <c r="NU1756" s="100">
        <v>3</v>
      </c>
      <c r="NV1756" s="100">
        <v>6</v>
      </c>
      <c r="NY1756" s="100">
        <v>6</v>
      </c>
      <c r="NZ1756" s="100">
        <v>6</v>
      </c>
      <c r="OA1756" s="100">
        <v>6</v>
      </c>
      <c r="OB1756" s="100">
        <v>6</v>
      </c>
      <c r="OC1756" s="100">
        <v>4</v>
      </c>
      <c r="OD1756" s="100">
        <v>7</v>
      </c>
      <c r="OG1756" s="100">
        <v>8</v>
      </c>
      <c r="OI1756" s="100">
        <v>12</v>
      </c>
      <c r="OJ1756" s="100">
        <v>6</v>
      </c>
      <c r="OK1756" s="100">
        <v>1</v>
      </c>
      <c r="ON1756" s="100">
        <f t="shared" si="538"/>
        <v>79</v>
      </c>
    </row>
    <row r="1757" spans="1:404" ht="33" customHeight="1">
      <c r="A1757" s="97" t="str">
        <f t="shared" si="543"/>
        <v>001T/REJUVENATION-2166-51520-03-39</v>
      </c>
      <c r="B1757" s="95">
        <v>44321</v>
      </c>
      <c r="C1757" s="97">
        <f t="shared" ca="1" si="542"/>
        <v>-743</v>
      </c>
      <c r="D1757" s="145" t="s">
        <v>750</v>
      </c>
      <c r="E1757" s="252" t="s">
        <v>752</v>
      </c>
      <c r="F1757" s="98" t="str">
        <f t="shared" si="541"/>
        <v>39</v>
      </c>
      <c r="G1757" s="110">
        <f ca="1">SUMIF($A:E,$A1757,K:K)</f>
        <v>50</v>
      </c>
      <c r="H1757" s="97" t="s">
        <v>505</v>
      </c>
      <c r="I1757" s="196">
        <v>50</v>
      </c>
      <c r="J1757" s="146">
        <v>50</v>
      </c>
      <c r="K1757" s="143">
        <f t="shared" si="537"/>
        <v>50</v>
      </c>
      <c r="L1757" s="144">
        <f t="shared" si="544"/>
        <v>0</v>
      </c>
      <c r="M1757" s="275">
        <f t="shared" si="533"/>
        <v>50</v>
      </c>
      <c r="N1757" s="98">
        <v>3</v>
      </c>
      <c r="O1757" s="93">
        <f t="shared" ref="O1757:O1772" si="545">K1757/J1757*100</f>
        <v>100</v>
      </c>
      <c r="CS1757" s="101">
        <v>9</v>
      </c>
      <c r="CT1757" s="101">
        <v>9</v>
      </c>
      <c r="CU1757" s="101">
        <v>9</v>
      </c>
      <c r="CW1757" s="101">
        <v>8</v>
      </c>
      <c r="CZ1757" s="101">
        <v>8</v>
      </c>
      <c r="DB1757" s="101">
        <v>7</v>
      </c>
      <c r="ON1757" s="100">
        <f t="shared" si="538"/>
        <v>0</v>
      </c>
    </row>
    <row r="1758" spans="1:404" ht="33" customHeight="1">
      <c r="A1758" s="97" t="str">
        <f t="shared" si="543"/>
        <v>001T/REJUVENATION-2166-51520-03-30</v>
      </c>
      <c r="B1758" s="95">
        <v>44321</v>
      </c>
      <c r="C1758" s="97">
        <f t="shared" ca="1" si="542"/>
        <v>-743</v>
      </c>
      <c r="D1758" s="145" t="s">
        <v>750</v>
      </c>
      <c r="E1758" s="252" t="s">
        <v>751</v>
      </c>
      <c r="F1758" s="98" t="str">
        <f t="shared" si="541"/>
        <v>30</v>
      </c>
      <c r="G1758" s="110">
        <f ca="1">SUMIF($A:E,$A1758,K:K)</f>
        <v>150</v>
      </c>
      <c r="H1758" s="97" t="s">
        <v>505</v>
      </c>
      <c r="I1758" s="196">
        <v>150</v>
      </c>
      <c r="J1758" s="146">
        <v>150</v>
      </c>
      <c r="K1758" s="143">
        <f t="shared" si="537"/>
        <v>150</v>
      </c>
      <c r="L1758" s="144">
        <f t="shared" si="544"/>
        <v>0</v>
      </c>
      <c r="M1758" s="275">
        <f t="shared" si="533"/>
        <v>150</v>
      </c>
      <c r="N1758" s="98">
        <v>3</v>
      </c>
      <c r="O1758" s="93">
        <f t="shared" si="545"/>
        <v>100</v>
      </c>
      <c r="BX1758" s="101">
        <v>7</v>
      </c>
      <c r="BY1758" s="101">
        <v>11</v>
      </c>
      <c r="BZ1758" s="101">
        <v>9</v>
      </c>
      <c r="CB1758" s="101">
        <v>8</v>
      </c>
      <c r="CC1758" s="101">
        <v>1</v>
      </c>
      <c r="CD1758" s="101">
        <v>8</v>
      </c>
      <c r="CE1758" s="101">
        <v>28</v>
      </c>
      <c r="CF1758" s="101">
        <v>1</v>
      </c>
      <c r="CG1758" s="101">
        <v>9</v>
      </c>
      <c r="CH1758" s="101">
        <v>9</v>
      </c>
      <c r="CI1758" s="101">
        <v>6</v>
      </c>
      <c r="CJ1758" s="101">
        <v>6</v>
      </c>
      <c r="CK1758" s="101">
        <v>8</v>
      </c>
      <c r="CL1758" s="101">
        <v>6</v>
      </c>
      <c r="CM1758" s="101">
        <v>11</v>
      </c>
      <c r="CN1758" s="101">
        <v>4</v>
      </c>
      <c r="CP1758" s="101">
        <v>14</v>
      </c>
      <c r="CQ1758" s="101">
        <v>4</v>
      </c>
      <c r="ON1758" s="100">
        <f t="shared" si="538"/>
        <v>0</v>
      </c>
    </row>
    <row r="1759" spans="1:404" ht="23.25" customHeight="1">
      <c r="A1759" s="97" t="str">
        <f t="shared" si="543"/>
        <v>002/HACA-HK-2166-51012-S2-B</v>
      </c>
      <c r="B1759" s="95">
        <v>44338</v>
      </c>
      <c r="C1759" s="97">
        <f t="shared" ca="1" si="542"/>
        <v>-726</v>
      </c>
      <c r="D1759" s="145" t="s">
        <v>785</v>
      </c>
      <c r="E1759" s="253" t="s">
        <v>419</v>
      </c>
      <c r="F1759" s="98" t="str">
        <f t="shared" si="541"/>
        <v>B</v>
      </c>
      <c r="G1759" s="110">
        <f ca="1">SUMIF($A:E,$A1759,K:K)</f>
        <v>18</v>
      </c>
      <c r="H1759" s="97" t="s">
        <v>791</v>
      </c>
      <c r="I1759" s="98">
        <v>18</v>
      </c>
      <c r="J1759" s="99">
        <v>18</v>
      </c>
      <c r="K1759" s="143">
        <f t="shared" si="537"/>
        <v>18</v>
      </c>
      <c r="L1759" s="144">
        <f t="shared" si="544"/>
        <v>0</v>
      </c>
      <c r="M1759" s="275">
        <f t="shared" ref="M1759:M1790" si="546">IF(OR(MID(E1759,10,1)="0",MID(E1759,10,1)="F"),I1759,IF(OR(,MID(E1759,10,1)="S",MID(E1759,10,1)="L",MID(E1759,10,1)="B",MID(E1759,10,1)="X"),MID(E1759,11,1)*I1759,0))</f>
        <v>36</v>
      </c>
      <c r="N1759" s="98">
        <v>1</v>
      </c>
      <c r="O1759" s="93">
        <f t="shared" si="545"/>
        <v>100</v>
      </c>
      <c r="DS1759" s="100">
        <v>2</v>
      </c>
      <c r="DU1759" s="100">
        <v>2</v>
      </c>
      <c r="DV1759" s="100">
        <v>4</v>
      </c>
      <c r="DW1759" s="100">
        <v>10</v>
      </c>
      <c r="ON1759" s="100">
        <f t="shared" si="538"/>
        <v>0</v>
      </c>
    </row>
    <row r="1760" spans="1:404" ht="23.25" customHeight="1">
      <c r="A1760" s="97" t="str">
        <f t="shared" si="543"/>
        <v>003/HACA-HK-2166-51012-S2-B</v>
      </c>
      <c r="B1760" s="95">
        <v>44378</v>
      </c>
      <c r="C1760" s="97">
        <f t="shared" ca="1" si="542"/>
        <v>-686</v>
      </c>
      <c r="D1760" s="145" t="s">
        <v>803</v>
      </c>
      <c r="E1760" s="253" t="s">
        <v>419</v>
      </c>
      <c r="F1760" s="98" t="str">
        <f t="shared" si="541"/>
        <v>B</v>
      </c>
      <c r="G1760" s="110">
        <f ca="1">SUMIF($A:E,$A1760,K:K)</f>
        <v>24</v>
      </c>
      <c r="H1760" s="97" t="s">
        <v>791</v>
      </c>
      <c r="I1760" s="196">
        <v>24</v>
      </c>
      <c r="J1760" s="146">
        <v>24</v>
      </c>
      <c r="K1760" s="143">
        <f t="shared" si="537"/>
        <v>24</v>
      </c>
      <c r="L1760" s="144">
        <f t="shared" si="544"/>
        <v>0</v>
      </c>
      <c r="M1760" s="275">
        <f t="shared" si="546"/>
        <v>48</v>
      </c>
      <c r="N1760" s="98">
        <v>1</v>
      </c>
      <c r="O1760" s="93">
        <f t="shared" si="545"/>
        <v>100</v>
      </c>
      <c r="DW1760" s="100">
        <v>2</v>
      </c>
      <c r="DY1760" s="100">
        <v>1</v>
      </c>
      <c r="DZ1760" s="100">
        <v>3</v>
      </c>
      <c r="EA1760" s="100">
        <v>2</v>
      </c>
      <c r="EF1760" s="100">
        <v>1</v>
      </c>
      <c r="EG1760" s="100">
        <v>5</v>
      </c>
      <c r="EI1760" s="100">
        <v>4</v>
      </c>
      <c r="EJ1760" s="100">
        <v>2</v>
      </c>
      <c r="EL1760" s="100">
        <v>2</v>
      </c>
      <c r="EX1760" s="100">
        <v>1</v>
      </c>
      <c r="FB1760" s="100">
        <v>1</v>
      </c>
      <c r="ON1760" s="100">
        <f t="shared" si="538"/>
        <v>0</v>
      </c>
    </row>
    <row r="1761" spans="1:404" ht="23.25" customHeight="1">
      <c r="A1761" s="97" t="str">
        <f t="shared" si="543"/>
        <v>006/BOTANICO-2166-51012-S2-B</v>
      </c>
      <c r="B1761" s="95">
        <v>44640</v>
      </c>
      <c r="C1761" s="97">
        <f t="shared" ca="1" si="542"/>
        <v>-424</v>
      </c>
      <c r="D1761" s="112" t="s">
        <v>1511</v>
      </c>
      <c r="E1761" s="255" t="s">
        <v>419</v>
      </c>
      <c r="F1761" s="98" t="str">
        <f t="shared" si="541"/>
        <v>B</v>
      </c>
      <c r="G1761" s="110">
        <f ca="1">SUMIF($A:E,$A1761,K:K)</f>
        <v>12</v>
      </c>
      <c r="H1761" s="97" t="s">
        <v>616</v>
      </c>
      <c r="I1761" s="175">
        <v>6</v>
      </c>
      <c r="J1761" s="115">
        <v>6</v>
      </c>
      <c r="K1761" s="143">
        <f t="shared" si="537"/>
        <v>12</v>
      </c>
      <c r="L1761" s="144">
        <f t="shared" si="544"/>
        <v>-6</v>
      </c>
      <c r="M1761" s="275">
        <f t="shared" si="546"/>
        <v>12</v>
      </c>
      <c r="N1761" s="98">
        <v>2</v>
      </c>
      <c r="O1761" s="93">
        <f t="shared" si="545"/>
        <v>200</v>
      </c>
      <c r="OH1761" s="100">
        <v>1</v>
      </c>
      <c r="OI1761" s="100">
        <v>2</v>
      </c>
      <c r="OJ1761" s="100">
        <v>2</v>
      </c>
      <c r="OK1761" s="100">
        <v>1</v>
      </c>
      <c r="ON1761" s="100">
        <f t="shared" si="538"/>
        <v>6</v>
      </c>
    </row>
    <row r="1762" spans="1:404" ht="23.25" customHeight="1">
      <c r="A1762" s="97" t="str">
        <f t="shared" si="543"/>
        <v>001/ERMITAZAS-2166-50719-S2-B</v>
      </c>
      <c r="B1762" s="95">
        <v>44649</v>
      </c>
      <c r="C1762" s="97">
        <f t="shared" ca="1" si="542"/>
        <v>-415</v>
      </c>
      <c r="D1762" s="112" t="s">
        <v>1495</v>
      </c>
      <c r="E1762" s="123" t="s">
        <v>1499</v>
      </c>
      <c r="F1762" s="98" t="str">
        <f t="shared" si="541"/>
        <v>B</v>
      </c>
      <c r="G1762" s="110">
        <f ca="1">SUMIF($A:E,$A1762,K:K)</f>
        <v>0</v>
      </c>
      <c r="H1762" s="112" t="s">
        <v>1494</v>
      </c>
      <c r="I1762" s="175">
        <v>32</v>
      </c>
      <c r="J1762" s="115">
        <v>32</v>
      </c>
      <c r="K1762" s="143">
        <f t="shared" si="537"/>
        <v>0</v>
      </c>
      <c r="L1762" s="144">
        <f t="shared" si="544"/>
        <v>32</v>
      </c>
      <c r="M1762" s="275">
        <f t="shared" si="546"/>
        <v>64</v>
      </c>
      <c r="N1762" s="98">
        <v>1</v>
      </c>
      <c r="O1762" s="93">
        <f t="shared" si="545"/>
        <v>0</v>
      </c>
      <c r="ON1762" s="100">
        <f t="shared" si="538"/>
        <v>0</v>
      </c>
    </row>
    <row r="1763" spans="1:404" ht="23.25" customHeight="1">
      <c r="A1763" s="97" t="str">
        <f t="shared" si="543"/>
        <v>001/ERMITAZAS-2166-50319-S2-B</v>
      </c>
      <c r="B1763" s="95">
        <v>44649</v>
      </c>
      <c r="C1763" s="97">
        <f t="shared" ca="1" si="542"/>
        <v>-415</v>
      </c>
      <c r="D1763" s="112" t="s">
        <v>1495</v>
      </c>
      <c r="E1763" s="123" t="s">
        <v>1498</v>
      </c>
      <c r="F1763" s="98" t="str">
        <f t="shared" si="541"/>
        <v>B</v>
      </c>
      <c r="G1763" s="110">
        <f ca="1">SUMIF($A:E,$A1763,K:K)</f>
        <v>0</v>
      </c>
      <c r="H1763" s="112" t="s">
        <v>1494</v>
      </c>
      <c r="I1763" s="175">
        <v>30</v>
      </c>
      <c r="J1763" s="115">
        <v>30</v>
      </c>
      <c r="K1763" s="143">
        <f t="shared" si="537"/>
        <v>0</v>
      </c>
      <c r="L1763" s="144">
        <f t="shared" si="544"/>
        <v>30</v>
      </c>
      <c r="M1763" s="275">
        <f t="shared" si="546"/>
        <v>60</v>
      </c>
      <c r="N1763" s="98"/>
      <c r="O1763" s="93">
        <f t="shared" si="545"/>
        <v>0</v>
      </c>
      <c r="ON1763" s="100">
        <f t="shared" si="538"/>
        <v>0</v>
      </c>
    </row>
    <row r="1764" spans="1:404" ht="23.25" customHeight="1">
      <c r="A1764" s="97" t="str">
        <f>D1764&amp;E1766</f>
        <v>001/SEVEA_SR-2166-49600-S1-B</v>
      </c>
      <c r="B1764" s="95">
        <v>44404</v>
      </c>
      <c r="C1764" s="97">
        <f t="shared" ca="1" si="542"/>
        <v>-660</v>
      </c>
      <c r="D1764" s="96" t="s">
        <v>1174</v>
      </c>
      <c r="E1764" s="94" t="s">
        <v>1176</v>
      </c>
      <c r="F1764" s="98" t="str">
        <f t="shared" si="541"/>
        <v>B</v>
      </c>
      <c r="G1764" s="110">
        <f ca="1">SUMIF($A:E,$A1764,K:K)</f>
        <v>1</v>
      </c>
      <c r="H1764" s="97" t="s">
        <v>933</v>
      </c>
      <c r="I1764" s="98">
        <v>1</v>
      </c>
      <c r="J1764" s="99">
        <v>1</v>
      </c>
      <c r="K1764" s="143">
        <f t="shared" si="537"/>
        <v>1</v>
      </c>
      <c r="L1764" s="144">
        <f t="shared" si="544"/>
        <v>0</v>
      </c>
      <c r="M1764" s="275">
        <f t="shared" si="546"/>
        <v>1</v>
      </c>
      <c r="N1764" s="98">
        <v>1</v>
      </c>
      <c r="O1764" s="93">
        <f t="shared" si="545"/>
        <v>100</v>
      </c>
      <c r="FQ1764" s="100">
        <v>1</v>
      </c>
      <c r="ON1764" s="100">
        <f t="shared" si="538"/>
        <v>0</v>
      </c>
    </row>
    <row r="1765" spans="1:404" ht="23.25" customHeight="1">
      <c r="A1765" s="97" t="s">
        <v>1992</v>
      </c>
      <c r="B1765" s="95">
        <v>44489</v>
      </c>
      <c r="C1765" s="97">
        <f t="shared" ca="1" si="542"/>
        <v>-575</v>
      </c>
      <c r="D1765" s="112" t="s">
        <v>1330</v>
      </c>
      <c r="E1765" s="123" t="s">
        <v>1176</v>
      </c>
      <c r="F1765" s="98" t="s">
        <v>561</v>
      </c>
      <c r="G1765" s="110">
        <v>0</v>
      </c>
      <c r="H1765" s="97" t="s">
        <v>508</v>
      </c>
      <c r="I1765" s="175">
        <v>74</v>
      </c>
      <c r="J1765" s="115">
        <v>50</v>
      </c>
      <c r="K1765" s="143">
        <f t="shared" si="537"/>
        <v>50</v>
      </c>
      <c r="L1765" s="144">
        <f t="shared" si="544"/>
        <v>0</v>
      </c>
      <c r="M1765" s="275">
        <f t="shared" si="546"/>
        <v>74</v>
      </c>
      <c r="N1765" s="98">
        <v>2</v>
      </c>
      <c r="O1765" s="93">
        <f t="shared" si="545"/>
        <v>100</v>
      </c>
      <c r="JT1765" s="100">
        <v>19</v>
      </c>
      <c r="JU1765" s="100">
        <v>5</v>
      </c>
      <c r="JV1765" s="100">
        <v>26</v>
      </c>
      <c r="ON1765" s="100">
        <f t="shared" si="538"/>
        <v>0</v>
      </c>
    </row>
    <row r="1766" spans="1:404" ht="23.25" customHeight="1">
      <c r="A1766" s="97" t="str">
        <f>D1766&amp;E1766</f>
        <v>036/POTTERYBARN-2166-49600-S1-B</v>
      </c>
      <c r="B1766" s="95">
        <v>44489</v>
      </c>
      <c r="C1766" s="97">
        <f t="shared" ca="1" si="542"/>
        <v>-575</v>
      </c>
      <c r="D1766" s="112" t="s">
        <v>1330</v>
      </c>
      <c r="E1766" s="123" t="s">
        <v>1176</v>
      </c>
      <c r="F1766" s="98" t="str">
        <f>MID(E1766,13,2)</f>
        <v>B</v>
      </c>
      <c r="G1766" s="110">
        <f ca="1">SUMIF($A:E,$A1766,K:K)</f>
        <v>74</v>
      </c>
      <c r="H1766" s="97" t="s">
        <v>508</v>
      </c>
      <c r="I1766" s="175">
        <v>74</v>
      </c>
      <c r="J1766" s="115">
        <v>24</v>
      </c>
      <c r="K1766" s="143">
        <f t="shared" si="537"/>
        <v>24</v>
      </c>
      <c r="L1766" s="144">
        <f t="shared" si="544"/>
        <v>0</v>
      </c>
      <c r="M1766" s="275">
        <f t="shared" si="546"/>
        <v>74</v>
      </c>
      <c r="N1766" s="98">
        <v>1</v>
      </c>
      <c r="O1766" s="93">
        <f t="shared" si="545"/>
        <v>100</v>
      </c>
      <c r="JV1766" s="100">
        <v>24</v>
      </c>
      <c r="ON1766" s="100">
        <f t="shared" si="538"/>
        <v>0</v>
      </c>
    </row>
    <row r="1767" spans="1:404" ht="23.25" customHeight="1">
      <c r="A1767" s="97" t="s">
        <v>1831</v>
      </c>
      <c r="B1767" s="95">
        <v>44489</v>
      </c>
      <c r="C1767" s="97">
        <f t="shared" ca="1" si="542"/>
        <v>-575</v>
      </c>
      <c r="D1767" s="112" t="s">
        <v>1333</v>
      </c>
      <c r="E1767" s="123" t="s">
        <v>1176</v>
      </c>
      <c r="F1767" s="98" t="s">
        <v>561</v>
      </c>
      <c r="G1767" s="110">
        <v>0</v>
      </c>
      <c r="H1767" s="97" t="s">
        <v>1891</v>
      </c>
      <c r="I1767" s="175">
        <v>432</v>
      </c>
      <c r="J1767" s="115">
        <v>232</v>
      </c>
      <c r="K1767" s="143">
        <f t="shared" si="537"/>
        <v>232</v>
      </c>
      <c r="L1767" s="144">
        <f t="shared" si="544"/>
        <v>0</v>
      </c>
      <c r="M1767" s="275">
        <f t="shared" si="546"/>
        <v>432</v>
      </c>
      <c r="N1767" s="98">
        <v>1</v>
      </c>
      <c r="O1767" s="93">
        <f t="shared" si="545"/>
        <v>100</v>
      </c>
      <c r="IS1767" s="100">
        <v>14</v>
      </c>
      <c r="IT1767" s="100">
        <v>7</v>
      </c>
      <c r="JG1767" s="100">
        <f>33-6</f>
        <v>27</v>
      </c>
      <c r="JH1767" s="100">
        <v>14</v>
      </c>
      <c r="JI1767" s="100">
        <v>40</v>
      </c>
      <c r="JK1767" s="100">
        <v>7</v>
      </c>
      <c r="JM1767" s="100">
        <v>19</v>
      </c>
      <c r="JO1767" s="100">
        <v>2</v>
      </c>
      <c r="JP1767" s="100">
        <v>25</v>
      </c>
      <c r="JQ1767" s="100">
        <v>6</v>
      </c>
      <c r="JR1767" s="100">
        <v>27</v>
      </c>
      <c r="JU1767" s="100">
        <v>37</v>
      </c>
      <c r="JV1767" s="100">
        <v>7</v>
      </c>
      <c r="ON1767" s="100">
        <f t="shared" si="538"/>
        <v>0</v>
      </c>
    </row>
    <row r="1768" spans="1:404" ht="23.25" customHeight="1">
      <c r="A1768" s="97" t="str">
        <f>D1768&amp;E1768</f>
        <v>037/POTTERYBARN-2166-49600-S1-B</v>
      </c>
      <c r="B1768" s="95">
        <v>44489</v>
      </c>
      <c r="C1768" s="97">
        <f t="shared" ca="1" si="542"/>
        <v>-575</v>
      </c>
      <c r="D1768" s="112" t="s">
        <v>1333</v>
      </c>
      <c r="E1768" s="123" t="s">
        <v>1176</v>
      </c>
      <c r="F1768" s="98" t="str">
        <f>MID(E1768,13,2)</f>
        <v>B</v>
      </c>
      <c r="G1768" s="110">
        <f ca="1">SUMIF($A:E,$A1768,K:K)</f>
        <v>432</v>
      </c>
      <c r="H1768" s="97" t="s">
        <v>1891</v>
      </c>
      <c r="I1768" s="175">
        <v>432</v>
      </c>
      <c r="J1768" s="115">
        <f>432-J1767</f>
        <v>200</v>
      </c>
      <c r="K1768" s="143">
        <f t="shared" si="537"/>
        <v>200</v>
      </c>
      <c r="L1768" s="144">
        <f t="shared" ref="L1768:L1770" si="547">J1768-K1768</f>
        <v>0</v>
      </c>
      <c r="M1768" s="275">
        <f t="shared" si="546"/>
        <v>432</v>
      </c>
      <c r="N1768" s="98">
        <v>2</v>
      </c>
      <c r="O1768" s="93">
        <f t="shared" si="545"/>
        <v>100</v>
      </c>
      <c r="IY1768" s="100">
        <v>29</v>
      </c>
      <c r="IZ1768" s="100">
        <v>10</v>
      </c>
      <c r="JC1768" s="100">
        <v>7</v>
      </c>
      <c r="JG1768" s="100">
        <v>47</v>
      </c>
      <c r="JK1768" s="100">
        <v>33</v>
      </c>
      <c r="JP1768" s="100">
        <v>50</v>
      </c>
      <c r="JT1768" s="100">
        <v>24</v>
      </c>
      <c r="ON1768" s="100">
        <f t="shared" si="538"/>
        <v>0</v>
      </c>
    </row>
    <row r="1769" spans="1:404" ht="23.25" customHeight="1">
      <c r="A1769" s="97" t="s">
        <v>1993</v>
      </c>
      <c r="B1769" s="95">
        <v>44501</v>
      </c>
      <c r="C1769" s="97">
        <f t="shared" ca="1" si="542"/>
        <v>-563</v>
      </c>
      <c r="D1769" s="112" t="s">
        <v>1465</v>
      </c>
      <c r="E1769" s="215" t="s">
        <v>1176</v>
      </c>
      <c r="F1769" s="98" t="s">
        <v>561</v>
      </c>
      <c r="G1769" s="110">
        <v>0</v>
      </c>
      <c r="H1769" s="97" t="s">
        <v>616</v>
      </c>
      <c r="I1769" s="175">
        <v>300</v>
      </c>
      <c r="J1769" s="115">
        <v>140</v>
      </c>
      <c r="K1769" s="143">
        <f t="shared" si="537"/>
        <v>140</v>
      </c>
      <c r="L1769" s="144">
        <f t="shared" si="547"/>
        <v>0</v>
      </c>
      <c r="M1769" s="275">
        <f t="shared" si="546"/>
        <v>300</v>
      </c>
      <c r="N1769" s="98">
        <v>1</v>
      </c>
      <c r="O1769" s="93">
        <f t="shared" si="545"/>
        <v>100</v>
      </c>
      <c r="JV1769" s="100">
        <v>7</v>
      </c>
      <c r="JY1769" s="100">
        <v>7</v>
      </c>
      <c r="KA1769" s="100">
        <v>41</v>
      </c>
      <c r="KC1769" s="100">
        <v>11</v>
      </c>
      <c r="KD1769" s="100">
        <v>20</v>
      </c>
      <c r="KE1769" s="100">
        <v>40</v>
      </c>
      <c r="KG1769" s="100">
        <v>14</v>
      </c>
      <c r="ON1769" s="100">
        <f t="shared" si="538"/>
        <v>0</v>
      </c>
    </row>
    <row r="1770" spans="1:404" ht="23.25" customHeight="1">
      <c r="A1770" s="97" t="str">
        <f t="shared" ref="A1770:A1773" si="548">D1770&amp;E1770</f>
        <v>001/POTTERYBARN-VG-2166-49600-S1-B</v>
      </c>
      <c r="B1770" s="95">
        <v>44501</v>
      </c>
      <c r="C1770" s="97">
        <f t="shared" ca="1" si="542"/>
        <v>-563</v>
      </c>
      <c r="D1770" s="112" t="s">
        <v>1465</v>
      </c>
      <c r="E1770" s="215" t="s">
        <v>1176</v>
      </c>
      <c r="F1770" s="98" t="str">
        <f t="shared" ref="F1770:F1773" si="549">MID(E1770,13,2)</f>
        <v>B</v>
      </c>
      <c r="G1770" s="110">
        <f ca="1">SUMIF($A:E,$A1770,K:K)</f>
        <v>300</v>
      </c>
      <c r="H1770" s="97" t="s">
        <v>616</v>
      </c>
      <c r="I1770" s="175">
        <v>300</v>
      </c>
      <c r="J1770" s="115">
        <v>160</v>
      </c>
      <c r="K1770" s="143">
        <f t="shared" si="537"/>
        <v>160</v>
      </c>
      <c r="L1770" s="144">
        <f t="shared" si="547"/>
        <v>0</v>
      </c>
      <c r="M1770" s="275">
        <f t="shared" si="546"/>
        <v>300</v>
      </c>
      <c r="N1770" s="98">
        <v>2</v>
      </c>
      <c r="O1770" s="93">
        <f t="shared" si="545"/>
        <v>100</v>
      </c>
      <c r="JV1770" s="100">
        <v>12</v>
      </c>
      <c r="KA1770" s="100">
        <v>25</v>
      </c>
      <c r="KB1770" s="100">
        <v>39</v>
      </c>
      <c r="KC1770" s="100">
        <v>32</v>
      </c>
      <c r="KG1770" s="100">
        <v>52</v>
      </c>
      <c r="ON1770" s="100">
        <f t="shared" si="538"/>
        <v>0</v>
      </c>
    </row>
    <row r="1771" spans="1:404" ht="23.25" customHeight="1">
      <c r="A1771" s="97" t="str">
        <f t="shared" si="548"/>
        <v xml:space="preserve"> 054_SR-21( Pottery Barn)66-49600-S1-B</v>
      </c>
      <c r="B1771" s="95">
        <v>44417</v>
      </c>
      <c r="C1771" s="97">
        <f t="shared" ca="1" si="542"/>
        <v>-647</v>
      </c>
      <c r="D1771" s="112" t="s">
        <v>1602</v>
      </c>
      <c r="E1771" s="123" t="s">
        <v>1176</v>
      </c>
      <c r="F1771" s="98" t="str">
        <f t="shared" si="549"/>
        <v>B</v>
      </c>
      <c r="G1771" s="110">
        <f ca="1">SUMIF($A:E,$A1771,K:K)</f>
        <v>2</v>
      </c>
      <c r="H1771" s="112" t="s">
        <v>1603</v>
      </c>
      <c r="I1771" s="98">
        <v>2</v>
      </c>
      <c r="J1771" s="99">
        <v>2</v>
      </c>
      <c r="K1771" s="143">
        <f t="shared" si="537"/>
        <v>2</v>
      </c>
      <c r="L1771" s="144">
        <f t="shared" si="544"/>
        <v>0</v>
      </c>
      <c r="M1771" s="275">
        <f t="shared" si="546"/>
        <v>2</v>
      </c>
      <c r="N1771" s="98">
        <v>5</v>
      </c>
      <c r="O1771" s="93">
        <f t="shared" si="545"/>
        <v>100</v>
      </c>
      <c r="HB1771" s="100">
        <v>2</v>
      </c>
      <c r="ON1771" s="100">
        <f t="shared" si="538"/>
        <v>0</v>
      </c>
    </row>
    <row r="1772" spans="1:404" ht="23.25" customHeight="1">
      <c r="A1772" s="97" t="str">
        <f t="shared" si="548"/>
        <v>024/SR-21(WESTELM)66-44200-S1-B</v>
      </c>
      <c r="B1772" s="95">
        <v>44463</v>
      </c>
      <c r="C1772" s="97">
        <f t="shared" ref="C1772:C1773" ca="1" si="550">B1772-TODAY()</f>
        <v>-601</v>
      </c>
      <c r="D1772" s="112" t="s">
        <v>1861</v>
      </c>
      <c r="E1772" s="123" t="s">
        <v>1862</v>
      </c>
      <c r="F1772" s="98" t="str">
        <f t="shared" si="549"/>
        <v>B</v>
      </c>
      <c r="G1772" s="110">
        <f ca="1">SUMIF($A:E,$A1772,K:K)</f>
        <v>2</v>
      </c>
      <c r="H1772" s="97" t="s">
        <v>1864</v>
      </c>
      <c r="I1772" s="175">
        <v>2</v>
      </c>
      <c r="J1772" s="115">
        <v>2</v>
      </c>
      <c r="K1772" s="144">
        <f t="shared" si="537"/>
        <v>2</v>
      </c>
      <c r="L1772" s="144">
        <f t="shared" si="544"/>
        <v>0</v>
      </c>
      <c r="M1772" s="275">
        <f t="shared" si="546"/>
        <v>2</v>
      </c>
      <c r="N1772" s="98">
        <v>3</v>
      </c>
      <c r="O1772" s="93">
        <f t="shared" si="545"/>
        <v>100</v>
      </c>
      <c r="IW1772" s="100">
        <v>2</v>
      </c>
      <c r="ON1772" s="100">
        <f t="shared" si="538"/>
        <v>0</v>
      </c>
    </row>
    <row r="1773" spans="1:404" ht="23.25" customHeight="1">
      <c r="A1773" s="97" t="str">
        <f t="shared" si="548"/>
        <v>003/ANNA-VG-21(đ3)66-44200-S1-A</v>
      </c>
      <c r="B1773" s="95">
        <v>44577</v>
      </c>
      <c r="C1773" s="97">
        <f t="shared" ca="1" si="550"/>
        <v>-487</v>
      </c>
      <c r="D1773" s="112" t="s">
        <v>1646</v>
      </c>
      <c r="E1773" s="279" t="s">
        <v>1649</v>
      </c>
      <c r="F1773" s="98" t="str">
        <f t="shared" si="549"/>
        <v>A</v>
      </c>
      <c r="G1773" s="110">
        <f ca="1">SUMIF($A:E,$A1773,K:K)</f>
        <v>20</v>
      </c>
      <c r="H1773" s="112" t="s">
        <v>990</v>
      </c>
      <c r="I1773" s="175">
        <v>20</v>
      </c>
      <c r="J1773" s="115">
        <v>20</v>
      </c>
      <c r="K1773" s="143">
        <f t="shared" si="537"/>
        <v>20</v>
      </c>
      <c r="L1773" s="144">
        <f t="shared" si="544"/>
        <v>0</v>
      </c>
      <c r="M1773" s="275">
        <f t="shared" si="546"/>
        <v>20</v>
      </c>
      <c r="N1773" s="98" t="s">
        <v>1776</v>
      </c>
      <c r="O1773" s="93">
        <f t="shared" ref="O1773:O1784" si="551">K1773/J1773*100</f>
        <v>100</v>
      </c>
      <c r="MB1773" s="100">
        <v>2</v>
      </c>
      <c r="MD1773" s="100">
        <v>1</v>
      </c>
      <c r="ME1773" s="100">
        <v>3</v>
      </c>
      <c r="MM1773" s="100">
        <v>2</v>
      </c>
      <c r="MO1773" s="100">
        <v>6</v>
      </c>
      <c r="MQ1773" s="100">
        <v>2</v>
      </c>
      <c r="MU1773" s="100">
        <v>2</v>
      </c>
      <c r="MW1773" s="100">
        <v>2</v>
      </c>
      <c r="ON1773" s="100">
        <f t="shared" si="538"/>
        <v>0</v>
      </c>
    </row>
    <row r="1774" spans="1:404" ht="23.25" customHeight="1">
      <c r="A1774" s="97" t="s">
        <v>1786</v>
      </c>
      <c r="B1774" s="95" t="s">
        <v>1286</v>
      </c>
      <c r="C1774" s="97">
        <v>38</v>
      </c>
      <c r="D1774" s="96" t="s">
        <v>1291</v>
      </c>
      <c r="E1774" s="280" t="s">
        <v>1288</v>
      </c>
      <c r="F1774" s="98" t="s">
        <v>561</v>
      </c>
      <c r="G1774" s="110">
        <v>148</v>
      </c>
      <c r="H1774" s="97" t="s">
        <v>933</v>
      </c>
      <c r="I1774" s="98">
        <v>360</v>
      </c>
      <c r="J1774" s="97">
        <v>213</v>
      </c>
      <c r="K1774" s="143">
        <f t="shared" si="537"/>
        <v>213</v>
      </c>
      <c r="L1774" s="144">
        <f t="shared" si="544"/>
        <v>0</v>
      </c>
      <c r="M1774" s="275">
        <f t="shared" si="546"/>
        <v>1080</v>
      </c>
      <c r="N1774" s="98" t="s">
        <v>1776</v>
      </c>
      <c r="O1774" s="93">
        <f t="shared" si="551"/>
        <v>100</v>
      </c>
      <c r="IG1774" s="100">
        <v>14</v>
      </c>
      <c r="IH1774" s="100">
        <v>18</v>
      </c>
      <c r="IK1774" s="100">
        <v>15</v>
      </c>
      <c r="IL1774" s="100">
        <v>7</v>
      </c>
      <c r="IM1774" s="100">
        <v>9</v>
      </c>
      <c r="IN1774" s="100">
        <v>8</v>
      </c>
      <c r="IP1774" s="100">
        <v>6</v>
      </c>
      <c r="IR1774" s="100">
        <v>7</v>
      </c>
      <c r="IS1774" s="100">
        <v>5</v>
      </c>
      <c r="IT1774" s="100">
        <v>4</v>
      </c>
      <c r="IU1774" s="100">
        <v>6</v>
      </c>
      <c r="IV1774" s="100">
        <v>7</v>
      </c>
      <c r="IW1774" s="100">
        <v>11</v>
      </c>
      <c r="IY1774" s="100">
        <v>10</v>
      </c>
      <c r="JA1774" s="100">
        <v>14</v>
      </c>
      <c r="JB1774" s="100">
        <v>7</v>
      </c>
      <c r="JC1774" s="100">
        <v>7</v>
      </c>
      <c r="JF1774" s="100">
        <v>7</v>
      </c>
      <c r="JG1774" s="100">
        <v>15</v>
      </c>
      <c r="JH1774" s="100">
        <v>7</v>
      </c>
      <c r="JJ1774" s="100">
        <v>14</v>
      </c>
      <c r="JM1774" s="100">
        <v>7</v>
      </c>
      <c r="JN1774" s="100">
        <v>7</v>
      </c>
      <c r="JO1774" s="100">
        <v>1</v>
      </c>
      <c r="ON1774" s="100">
        <f t="shared" si="538"/>
        <v>0</v>
      </c>
    </row>
    <row r="1775" spans="1:404" ht="23.25" customHeight="1">
      <c r="A1775" s="97" t="str">
        <f t="shared" ref="A1775:A1792" si="552">D1775&amp;E1775</f>
        <v>001/TK MAXX-2166-39629-S3-B</v>
      </c>
      <c r="B1775" s="95" t="s">
        <v>1286</v>
      </c>
      <c r="C1775" s="97">
        <f t="shared" ref="C1775:C1808" ca="1" si="553">B1775-TODAY()</f>
        <v>-578</v>
      </c>
      <c r="D1775" s="96" t="s">
        <v>1291</v>
      </c>
      <c r="E1775" s="94" t="s">
        <v>1288</v>
      </c>
      <c r="F1775" s="98" t="str">
        <f t="shared" ref="F1775:F1790" si="554">MID(E1775,13,2)</f>
        <v>B</v>
      </c>
      <c r="G1775" s="110">
        <f ca="1">SUMIF($A:E,$A1775,K:K)</f>
        <v>360</v>
      </c>
      <c r="H1775" s="97" t="s">
        <v>933</v>
      </c>
      <c r="I1775" s="98">
        <v>360</v>
      </c>
      <c r="J1775" s="97">
        <v>147</v>
      </c>
      <c r="K1775" s="143">
        <f t="shared" si="537"/>
        <v>147</v>
      </c>
      <c r="L1775" s="144">
        <f t="shared" si="544"/>
        <v>0</v>
      </c>
      <c r="M1775" s="275">
        <f t="shared" si="546"/>
        <v>1080</v>
      </c>
      <c r="N1775" s="98">
        <v>5</v>
      </c>
      <c r="O1775" s="93">
        <f t="shared" si="551"/>
        <v>100</v>
      </c>
      <c r="HE1775" s="100">
        <v>8</v>
      </c>
      <c r="HI1775" s="100">
        <v>4</v>
      </c>
      <c r="HK1775" s="100">
        <v>3</v>
      </c>
      <c r="HL1775" s="100">
        <v>2</v>
      </c>
      <c r="HN1775" s="100">
        <v>4</v>
      </c>
      <c r="HP1775" s="100">
        <v>9</v>
      </c>
      <c r="HQ1775" s="100">
        <v>10</v>
      </c>
      <c r="HR1775" s="100">
        <v>9</v>
      </c>
      <c r="HS1775" s="100">
        <v>2</v>
      </c>
      <c r="HT1775" s="100">
        <v>24</v>
      </c>
      <c r="HU1775" s="100">
        <v>10</v>
      </c>
      <c r="HW1775" s="100">
        <v>9</v>
      </c>
      <c r="HX1775" s="100">
        <v>8</v>
      </c>
      <c r="HY1775" s="100">
        <v>14</v>
      </c>
      <c r="IB1775" s="100">
        <v>10</v>
      </c>
      <c r="IE1775" s="100">
        <v>21</v>
      </c>
      <c r="ON1775" s="100">
        <f t="shared" si="538"/>
        <v>0</v>
      </c>
    </row>
    <row r="1776" spans="1:404" ht="23.25" customHeight="1">
      <c r="A1776" s="97" t="str">
        <f t="shared" si="552"/>
        <v>002/TK MAXX-2166-39629-S3-B</v>
      </c>
      <c r="B1776" s="95">
        <v>44541</v>
      </c>
      <c r="C1776" s="97">
        <f t="shared" ca="1" si="553"/>
        <v>-523</v>
      </c>
      <c r="D1776" s="96" t="s">
        <v>1287</v>
      </c>
      <c r="E1776" s="94" t="s">
        <v>1288</v>
      </c>
      <c r="F1776" s="98" t="str">
        <f t="shared" si="554"/>
        <v>B</v>
      </c>
      <c r="G1776" s="110">
        <f ca="1">SUMIF($A:E,$A1776,K:K)</f>
        <v>180</v>
      </c>
      <c r="H1776" s="97" t="s">
        <v>933</v>
      </c>
      <c r="I1776" s="98">
        <v>180</v>
      </c>
      <c r="J1776" s="97">
        <v>180</v>
      </c>
      <c r="K1776" s="143">
        <f t="shared" si="537"/>
        <v>180</v>
      </c>
      <c r="L1776" s="144">
        <f t="shared" si="544"/>
        <v>0</v>
      </c>
      <c r="M1776" s="275">
        <f t="shared" si="546"/>
        <v>540</v>
      </c>
      <c r="N1776" s="98">
        <v>4</v>
      </c>
      <c r="O1776" s="93">
        <f t="shared" si="551"/>
        <v>100</v>
      </c>
      <c r="KB1776" s="100">
        <v>29</v>
      </c>
      <c r="KC1776" s="100">
        <v>7</v>
      </c>
      <c r="KD1776" s="100">
        <v>11</v>
      </c>
      <c r="KE1776" s="100">
        <v>2</v>
      </c>
      <c r="KF1776" s="100">
        <v>12</v>
      </c>
      <c r="KG1776" s="100">
        <v>7</v>
      </c>
      <c r="KH1776" s="100">
        <v>7</v>
      </c>
      <c r="KI1776" s="100">
        <v>6</v>
      </c>
      <c r="KJ1776" s="100">
        <v>1</v>
      </c>
      <c r="KN1776" s="100">
        <v>14</v>
      </c>
      <c r="KO1776" s="100">
        <v>1</v>
      </c>
      <c r="KQ1776" s="100">
        <v>14</v>
      </c>
      <c r="KR1776" s="100">
        <v>14</v>
      </c>
      <c r="KV1776" s="100">
        <v>7</v>
      </c>
      <c r="KW1776" s="100">
        <v>13</v>
      </c>
      <c r="KX1776" s="100">
        <v>8</v>
      </c>
      <c r="KZ1776" s="100">
        <v>14</v>
      </c>
      <c r="LC1776" s="100">
        <v>11</v>
      </c>
      <c r="LD1776" s="100">
        <v>1</v>
      </c>
      <c r="LF1776" s="100">
        <v>1</v>
      </c>
      <c r="ON1776" s="100">
        <f t="shared" si="538"/>
        <v>0</v>
      </c>
    </row>
    <row r="1777" spans="1:404" ht="23.25" customHeight="1">
      <c r="A1777" s="97" t="str">
        <f t="shared" si="552"/>
        <v>038/VG_SR-21( TJX)66-39629-S3-B</v>
      </c>
      <c r="B1777" s="95">
        <v>44392</v>
      </c>
      <c r="C1777" s="97">
        <f t="shared" ca="1" si="553"/>
        <v>-672</v>
      </c>
      <c r="D1777" s="112" t="s">
        <v>1297</v>
      </c>
      <c r="E1777" s="123" t="s">
        <v>1288</v>
      </c>
      <c r="F1777" s="98" t="str">
        <f t="shared" si="554"/>
        <v>B</v>
      </c>
      <c r="G1777" s="110">
        <f ca="1">SUMIF($A:E,$A1777,K:K)</f>
        <v>2</v>
      </c>
      <c r="H1777" s="97" t="s">
        <v>508</v>
      </c>
      <c r="I1777" s="98">
        <v>2</v>
      </c>
      <c r="J1777" s="99">
        <v>2</v>
      </c>
      <c r="K1777" s="143">
        <f t="shared" si="537"/>
        <v>2</v>
      </c>
      <c r="L1777" s="144">
        <f t="shared" si="544"/>
        <v>0</v>
      </c>
      <c r="M1777" s="275">
        <f t="shared" si="546"/>
        <v>6</v>
      </c>
      <c r="N1777" s="211">
        <v>2</v>
      </c>
      <c r="O1777" s="93">
        <f t="shared" si="551"/>
        <v>100</v>
      </c>
      <c r="GD1777" s="100">
        <v>1</v>
      </c>
      <c r="GE1777" s="100">
        <v>1</v>
      </c>
      <c r="ON1777" s="100">
        <f t="shared" si="538"/>
        <v>0</v>
      </c>
    </row>
    <row r="1778" spans="1:404" ht="23.25" customHeight="1">
      <c r="A1778" s="97" t="str">
        <f t="shared" si="552"/>
        <v>001/TK MAXX-USA-2166-39629-L2-B</v>
      </c>
      <c r="B1778" s="95">
        <v>44602</v>
      </c>
      <c r="C1778" s="97">
        <f t="shared" ca="1" si="553"/>
        <v>-462</v>
      </c>
      <c r="D1778" s="112" t="s">
        <v>1363</v>
      </c>
      <c r="E1778" s="123" t="s">
        <v>1269</v>
      </c>
      <c r="F1778" s="98" t="str">
        <f t="shared" si="554"/>
        <v>B</v>
      </c>
      <c r="G1778" s="110">
        <f ca="1">SUMIF($A:E,$A1778,K:K)</f>
        <v>72</v>
      </c>
      <c r="H1778" s="97" t="s">
        <v>1368</v>
      </c>
      <c r="I1778" s="175">
        <v>72</v>
      </c>
      <c r="J1778" s="115">
        <v>72</v>
      </c>
      <c r="K1778" s="143">
        <f t="shared" si="537"/>
        <v>72</v>
      </c>
      <c r="L1778" s="144">
        <f t="shared" si="544"/>
        <v>0</v>
      </c>
      <c r="M1778" s="275">
        <f t="shared" si="546"/>
        <v>144</v>
      </c>
      <c r="N1778" s="98">
        <v>6</v>
      </c>
      <c r="O1778" s="93">
        <f t="shared" si="551"/>
        <v>100</v>
      </c>
      <c r="MM1778" s="100">
        <v>12</v>
      </c>
      <c r="MN1778" s="100">
        <v>14</v>
      </c>
      <c r="MO1778" s="100">
        <v>18</v>
      </c>
      <c r="MP1778" s="100">
        <v>6</v>
      </c>
      <c r="MQ1778" s="100">
        <v>13</v>
      </c>
      <c r="MR1778" s="100">
        <v>9</v>
      </c>
      <c r="ON1778" s="100">
        <f t="shared" si="538"/>
        <v>0</v>
      </c>
    </row>
    <row r="1779" spans="1:404" ht="23.25" customHeight="1">
      <c r="A1779" s="97" t="str">
        <f t="shared" si="552"/>
        <v>001/SIERRA-2166-39629-L2-B</v>
      </c>
      <c r="B1779" s="206">
        <v>44523</v>
      </c>
      <c r="C1779" s="97">
        <f t="shared" ca="1" si="553"/>
        <v>-541</v>
      </c>
      <c r="D1779" s="112" t="s">
        <v>1369</v>
      </c>
      <c r="E1779" s="123" t="s">
        <v>1269</v>
      </c>
      <c r="F1779" s="98" t="str">
        <f t="shared" si="554"/>
        <v>B</v>
      </c>
      <c r="G1779" s="110">
        <f ca="1">SUMIF($A:E,$A1779,K:K)</f>
        <v>48</v>
      </c>
      <c r="H1779" s="97" t="s">
        <v>507</v>
      </c>
      <c r="I1779" s="175">
        <v>48</v>
      </c>
      <c r="J1779" s="115">
        <v>48</v>
      </c>
      <c r="K1779" s="143">
        <f t="shared" si="537"/>
        <v>48</v>
      </c>
      <c r="L1779" s="144">
        <f t="shared" si="544"/>
        <v>0</v>
      </c>
      <c r="M1779" s="275">
        <f t="shared" si="546"/>
        <v>96</v>
      </c>
      <c r="N1779" s="98">
        <v>5</v>
      </c>
      <c r="O1779" s="93">
        <f t="shared" si="551"/>
        <v>100</v>
      </c>
      <c r="GH1779" s="100">
        <v>12</v>
      </c>
      <c r="GI1779" s="100">
        <v>8</v>
      </c>
      <c r="GJ1779" s="100">
        <v>7</v>
      </c>
      <c r="GK1779" s="100">
        <v>3</v>
      </c>
      <c r="GL1779" s="100">
        <v>8</v>
      </c>
      <c r="GN1779" s="100">
        <v>8</v>
      </c>
      <c r="GO1779" s="100">
        <v>2</v>
      </c>
      <c r="ON1779" s="100">
        <f t="shared" si="538"/>
        <v>0</v>
      </c>
    </row>
    <row r="1780" spans="1:404" ht="23.25" customHeight="1">
      <c r="A1780" s="97" t="str">
        <f t="shared" si="552"/>
        <v>003/CANADIAN_SR-2166-39629-03-B</v>
      </c>
      <c r="B1780" s="95">
        <v>44372</v>
      </c>
      <c r="C1780" s="97">
        <f t="shared" ca="1" si="553"/>
        <v>-692</v>
      </c>
      <c r="D1780" s="96" t="s">
        <v>1110</v>
      </c>
      <c r="E1780" s="94" t="s">
        <v>1111</v>
      </c>
      <c r="F1780" s="98" t="str">
        <f t="shared" si="554"/>
        <v>B</v>
      </c>
      <c r="G1780" s="110">
        <f ca="1">SUMIF($A:E,$A1780,K:K)</f>
        <v>1</v>
      </c>
      <c r="H1780" s="97" t="s">
        <v>601</v>
      </c>
      <c r="I1780" s="98">
        <v>1</v>
      </c>
      <c r="J1780" s="99">
        <v>1</v>
      </c>
      <c r="K1780" s="143">
        <f t="shared" si="537"/>
        <v>1</v>
      </c>
      <c r="L1780" s="144">
        <f t="shared" si="544"/>
        <v>0</v>
      </c>
      <c r="M1780" s="275">
        <f t="shared" si="546"/>
        <v>1</v>
      </c>
      <c r="N1780" s="98">
        <v>2</v>
      </c>
      <c r="O1780" s="93">
        <f t="shared" si="551"/>
        <v>100</v>
      </c>
      <c r="FJ1780" s="100">
        <v>1</v>
      </c>
      <c r="ON1780" s="100">
        <f t="shared" si="538"/>
        <v>0</v>
      </c>
    </row>
    <row r="1781" spans="1:404" ht="23.25" customHeight="1">
      <c r="A1781" s="97" t="str">
        <f t="shared" si="552"/>
        <v xml:space="preserve">	001/DANSON DECOR-VG-2166-39624-02-B</v>
      </c>
      <c r="B1781" s="95">
        <v>44622</v>
      </c>
      <c r="C1781" s="97">
        <f t="shared" ca="1" si="553"/>
        <v>-442</v>
      </c>
      <c r="D1781" s="111" t="s">
        <v>1869</v>
      </c>
      <c r="E1781" s="123" t="s">
        <v>613</v>
      </c>
      <c r="F1781" s="98" t="str">
        <f t="shared" si="554"/>
        <v>B</v>
      </c>
      <c r="G1781" s="110">
        <f ca="1">SUMIF($A:E,$A1781,K:K)</f>
        <v>0</v>
      </c>
      <c r="H1781" s="97" t="s">
        <v>616</v>
      </c>
      <c r="I1781" s="98">
        <v>72</v>
      </c>
      <c r="J1781" s="99">
        <v>72</v>
      </c>
      <c r="K1781" s="144">
        <f t="shared" si="537"/>
        <v>0</v>
      </c>
      <c r="L1781" s="144">
        <f t="shared" si="544"/>
        <v>72</v>
      </c>
      <c r="M1781" s="275">
        <f t="shared" si="546"/>
        <v>72</v>
      </c>
      <c r="N1781" s="98"/>
      <c r="O1781" s="93">
        <f t="shared" si="551"/>
        <v>0</v>
      </c>
      <c r="ON1781" s="100">
        <f t="shared" si="538"/>
        <v>0</v>
      </c>
    </row>
    <row r="1782" spans="1:404" ht="23.25" customHeight="1">
      <c r="A1782" s="97" t="str">
        <f t="shared" si="552"/>
        <v xml:space="preserve">	001/NORTHCOAST-VG-2166-39609-S3-B</v>
      </c>
      <c r="B1782" s="95">
        <v>44660</v>
      </c>
      <c r="C1782" s="97">
        <f t="shared" ca="1" si="553"/>
        <v>-404</v>
      </c>
      <c r="D1782" s="112" t="s">
        <v>1880</v>
      </c>
      <c r="E1782" s="123" t="s">
        <v>1883</v>
      </c>
      <c r="F1782" s="98" t="str">
        <f t="shared" si="554"/>
        <v>B</v>
      </c>
      <c r="G1782" s="110">
        <f ca="1">SUMIF($A:E,$A1782,K:K)</f>
        <v>0</v>
      </c>
      <c r="H1782" s="97" t="s">
        <v>927</v>
      </c>
      <c r="I1782" s="98">
        <v>108</v>
      </c>
      <c r="J1782" s="115">
        <v>108</v>
      </c>
      <c r="K1782" s="143">
        <f t="shared" si="537"/>
        <v>0</v>
      </c>
      <c r="L1782" s="144">
        <f t="shared" si="544"/>
        <v>108</v>
      </c>
      <c r="M1782" s="275">
        <f t="shared" si="546"/>
        <v>324</v>
      </c>
      <c r="N1782" s="98"/>
      <c r="O1782" s="93">
        <f t="shared" si="551"/>
        <v>0</v>
      </c>
      <c r="ON1782" s="100">
        <f t="shared" si="538"/>
        <v>0</v>
      </c>
    </row>
    <row r="1783" spans="1:404" ht="23.25" customHeight="1">
      <c r="A1783" s="97" t="str">
        <f t="shared" si="552"/>
        <v>001/LH IMPORTS-VG_SR-2166-39609-01-B</v>
      </c>
      <c r="B1783" s="95">
        <v>44408</v>
      </c>
      <c r="C1783" s="97">
        <f t="shared" ca="1" si="553"/>
        <v>-656</v>
      </c>
      <c r="D1783" s="112" t="s">
        <v>1505</v>
      </c>
      <c r="E1783" s="123" t="s">
        <v>1506</v>
      </c>
      <c r="F1783" s="98" t="str">
        <f t="shared" si="554"/>
        <v>B</v>
      </c>
      <c r="G1783" s="110">
        <f ca="1">SUMIF($A:E,$A1783,K:K)</f>
        <v>1</v>
      </c>
      <c r="H1783" s="97" t="s">
        <v>1510</v>
      </c>
      <c r="I1783" s="98">
        <v>1</v>
      </c>
      <c r="J1783" s="99">
        <v>1</v>
      </c>
      <c r="K1783" s="143">
        <f t="shared" si="537"/>
        <v>1</v>
      </c>
      <c r="L1783" s="144">
        <f t="shared" si="544"/>
        <v>0</v>
      </c>
      <c r="M1783" s="275">
        <f t="shared" si="546"/>
        <v>1</v>
      </c>
      <c r="N1783" s="98">
        <v>1</v>
      </c>
      <c r="O1783" s="93">
        <f t="shared" si="551"/>
        <v>100</v>
      </c>
      <c r="GR1783" s="100">
        <v>1</v>
      </c>
      <c r="ON1783" s="100">
        <f t="shared" si="538"/>
        <v>0</v>
      </c>
    </row>
    <row r="1784" spans="1:404" ht="23.25" customHeight="1">
      <c r="A1784" s="97" t="str">
        <f t="shared" si="552"/>
        <v>001A/NEVE YARAK-VG-2166-39600-L2-B</v>
      </c>
      <c r="B1784" s="218">
        <v>44661</v>
      </c>
      <c r="C1784" s="97">
        <f t="shared" ca="1" si="553"/>
        <v>-403</v>
      </c>
      <c r="D1784" s="112" t="s">
        <v>1709</v>
      </c>
      <c r="E1784" s="123" t="s">
        <v>1710</v>
      </c>
      <c r="F1784" s="98" t="str">
        <f t="shared" si="554"/>
        <v>B</v>
      </c>
      <c r="G1784" s="110">
        <f ca="1">SUMIF($A:E,$A1784,K:K)</f>
        <v>124</v>
      </c>
      <c r="H1784" s="97" t="s">
        <v>927</v>
      </c>
      <c r="I1784" s="98">
        <v>180</v>
      </c>
      <c r="J1784" s="115">
        <v>180</v>
      </c>
      <c r="K1784" s="143">
        <f t="shared" si="537"/>
        <v>124</v>
      </c>
      <c r="L1784" s="144">
        <f t="shared" si="544"/>
        <v>56</v>
      </c>
      <c r="M1784" s="275">
        <f t="shared" si="546"/>
        <v>360</v>
      </c>
      <c r="N1784" s="98">
        <v>6</v>
      </c>
      <c r="O1784" s="93">
        <f t="shared" si="551"/>
        <v>68.888888888888886</v>
      </c>
      <c r="NY1784" s="100">
        <v>13</v>
      </c>
      <c r="NZ1784" s="100">
        <v>3</v>
      </c>
      <c r="OA1784" s="100">
        <v>5</v>
      </c>
      <c r="OC1784" s="100">
        <v>3</v>
      </c>
      <c r="OD1784" s="100">
        <v>2</v>
      </c>
      <c r="OF1784" s="100">
        <v>5</v>
      </c>
      <c r="OG1784" s="100">
        <v>5</v>
      </c>
      <c r="OH1784" s="100">
        <v>6</v>
      </c>
      <c r="OI1784" s="100">
        <v>8</v>
      </c>
      <c r="OJ1784" s="100">
        <v>1</v>
      </c>
      <c r="OK1784" s="100">
        <v>8</v>
      </c>
      <c r="OM1784" s="100">
        <v>3</v>
      </c>
      <c r="ON1784" s="100">
        <f t="shared" si="538"/>
        <v>62</v>
      </c>
    </row>
    <row r="1785" spans="1:404" ht="23.25" customHeight="1">
      <c r="A1785" s="97" t="str">
        <f t="shared" si="552"/>
        <v>003/ANNA-VG-21(đ4)66-39600-03-A</v>
      </c>
      <c r="B1785" s="95">
        <v>44579</v>
      </c>
      <c r="C1785" s="97">
        <f t="shared" ca="1" si="553"/>
        <v>-485</v>
      </c>
      <c r="D1785" s="112" t="s">
        <v>1652</v>
      </c>
      <c r="E1785" s="279" t="s">
        <v>1658</v>
      </c>
      <c r="F1785" s="98" t="str">
        <f t="shared" si="554"/>
        <v>A</v>
      </c>
      <c r="G1785" s="110">
        <f ca="1">SUMIF($A:E,$A1785,K:K)</f>
        <v>200</v>
      </c>
      <c r="H1785" s="112" t="s">
        <v>990</v>
      </c>
      <c r="I1785" s="98">
        <v>200</v>
      </c>
      <c r="J1785" s="115">
        <v>200</v>
      </c>
      <c r="K1785" s="143">
        <f t="shared" si="537"/>
        <v>200</v>
      </c>
      <c r="L1785" s="144">
        <f t="shared" si="544"/>
        <v>0</v>
      </c>
      <c r="M1785" s="275">
        <f t="shared" si="546"/>
        <v>200</v>
      </c>
      <c r="N1785" s="98">
        <v>3</v>
      </c>
      <c r="O1785" s="93">
        <f t="shared" ref="O1785:O1788" si="555">K1785/J1785*100</f>
        <v>100</v>
      </c>
      <c r="MF1785" s="100">
        <v>8</v>
      </c>
      <c r="MG1785" s="100">
        <v>7</v>
      </c>
      <c r="MH1785" s="100">
        <v>5</v>
      </c>
      <c r="MK1785" s="100">
        <v>10</v>
      </c>
      <c r="MN1785" s="100">
        <v>5</v>
      </c>
      <c r="MO1785" s="100">
        <v>5</v>
      </c>
      <c r="MR1785" s="100">
        <v>9</v>
      </c>
      <c r="MS1785" s="100">
        <v>6</v>
      </c>
      <c r="MT1785" s="100">
        <v>20</v>
      </c>
      <c r="MW1785" s="100">
        <v>11</v>
      </c>
      <c r="MY1785" s="100">
        <v>15</v>
      </c>
      <c r="NA1785" s="100">
        <v>34</v>
      </c>
      <c r="ND1785" s="100">
        <v>19</v>
      </c>
      <c r="NF1785" s="100">
        <v>39</v>
      </c>
      <c r="NI1785" s="100">
        <v>7</v>
      </c>
      <c r="ON1785" s="100">
        <f t="shared" si="538"/>
        <v>0</v>
      </c>
    </row>
    <row r="1786" spans="1:404" ht="23.25" customHeight="1">
      <c r="A1786" s="97" t="str">
        <f t="shared" si="552"/>
        <v>003/ANNA-VG-21(đ1)66-39600-02-A</v>
      </c>
      <c r="B1786" s="95">
        <v>44547</v>
      </c>
      <c r="C1786" s="97">
        <f t="shared" ca="1" si="553"/>
        <v>-517</v>
      </c>
      <c r="D1786" s="319" t="s">
        <v>1622</v>
      </c>
      <c r="E1786" s="279" t="s">
        <v>1633</v>
      </c>
      <c r="F1786" s="98" t="str">
        <f t="shared" si="554"/>
        <v>A</v>
      </c>
      <c r="G1786" s="110">
        <f ca="1">SUMIF($A:E,$A1786,K:K)</f>
        <v>84</v>
      </c>
      <c r="H1786" s="112" t="s">
        <v>990</v>
      </c>
      <c r="I1786" s="98">
        <v>84</v>
      </c>
      <c r="J1786" s="115">
        <v>84</v>
      </c>
      <c r="K1786" s="143">
        <f t="shared" si="537"/>
        <v>84</v>
      </c>
      <c r="L1786" s="144">
        <f t="shared" si="544"/>
        <v>0</v>
      </c>
      <c r="M1786" s="275">
        <f t="shared" si="546"/>
        <v>84</v>
      </c>
      <c r="N1786" s="98">
        <v>4</v>
      </c>
      <c r="O1786" s="93">
        <f t="shared" si="555"/>
        <v>100</v>
      </c>
      <c r="LS1786" s="100">
        <v>10</v>
      </c>
      <c r="LT1786" s="100">
        <v>10</v>
      </c>
      <c r="LU1786" s="100">
        <v>19</v>
      </c>
      <c r="LW1786" s="100">
        <v>1</v>
      </c>
      <c r="LX1786" s="100">
        <v>5</v>
      </c>
      <c r="LZ1786" s="100">
        <v>19</v>
      </c>
      <c r="MA1786" s="100">
        <v>6</v>
      </c>
      <c r="MB1786" s="100">
        <v>14</v>
      </c>
      <c r="ON1786" s="100">
        <f t="shared" si="538"/>
        <v>0</v>
      </c>
    </row>
    <row r="1787" spans="1:404" ht="23.25" customHeight="1">
      <c r="A1787" s="97" t="str">
        <f t="shared" si="552"/>
        <v>003/ANNA-VG-21(đ1)66-39600-01-A</v>
      </c>
      <c r="B1787" s="95">
        <v>44547</v>
      </c>
      <c r="C1787" s="97">
        <f t="shared" ca="1" si="553"/>
        <v>-517</v>
      </c>
      <c r="D1787" s="112" t="s">
        <v>1622</v>
      </c>
      <c r="E1787" s="279" t="s">
        <v>1632</v>
      </c>
      <c r="F1787" s="98" t="str">
        <f t="shared" si="554"/>
        <v>A</v>
      </c>
      <c r="G1787" s="110">
        <f ca="1">SUMIF($A:E,$A1787,K:K)</f>
        <v>36</v>
      </c>
      <c r="H1787" s="112" t="s">
        <v>990</v>
      </c>
      <c r="I1787" s="98">
        <v>36</v>
      </c>
      <c r="J1787" s="115">
        <v>36</v>
      </c>
      <c r="K1787" s="143">
        <f t="shared" si="537"/>
        <v>36</v>
      </c>
      <c r="L1787" s="144">
        <f t="shared" si="544"/>
        <v>0</v>
      </c>
      <c r="M1787" s="275">
        <f t="shared" si="546"/>
        <v>36</v>
      </c>
      <c r="N1787" s="98">
        <v>4</v>
      </c>
      <c r="O1787" s="93">
        <f t="shared" si="555"/>
        <v>100</v>
      </c>
      <c r="LE1787" s="100">
        <v>3</v>
      </c>
      <c r="LG1787" s="100">
        <v>4</v>
      </c>
      <c r="LI1787" s="100">
        <v>1</v>
      </c>
      <c r="LL1787" s="100">
        <v>4</v>
      </c>
      <c r="LM1787" s="100">
        <v>3</v>
      </c>
      <c r="LQ1787" s="100">
        <v>4</v>
      </c>
      <c r="LR1787" s="100">
        <v>2</v>
      </c>
      <c r="LS1787" s="100">
        <v>2</v>
      </c>
      <c r="LT1787" s="100">
        <v>2</v>
      </c>
      <c r="LU1787" s="100">
        <v>3</v>
      </c>
      <c r="LW1787" s="100">
        <v>1</v>
      </c>
      <c r="LX1787" s="100">
        <v>1</v>
      </c>
      <c r="LY1787" s="100">
        <v>4</v>
      </c>
      <c r="MA1787" s="100">
        <v>2</v>
      </c>
      <c r="ON1787" s="100">
        <f t="shared" si="538"/>
        <v>0</v>
      </c>
    </row>
    <row r="1788" spans="1:404" ht="23.25" customHeight="1">
      <c r="A1788" s="97" t="str">
        <f t="shared" si="552"/>
        <v xml:space="preserve">	001/DANSON DECOR-VG-2166-38900-S1-B</v>
      </c>
      <c r="B1788" s="95">
        <v>44622</v>
      </c>
      <c r="C1788" s="97">
        <f t="shared" ca="1" si="553"/>
        <v>-442</v>
      </c>
      <c r="D1788" s="111" t="s">
        <v>1869</v>
      </c>
      <c r="E1788" s="225" t="s">
        <v>1870</v>
      </c>
      <c r="F1788" s="98" t="str">
        <f t="shared" si="554"/>
        <v>B</v>
      </c>
      <c r="G1788" s="110">
        <f ca="1">SUMIF($A:E,$A1788,K:K)</f>
        <v>0</v>
      </c>
      <c r="H1788" s="97" t="s">
        <v>616</v>
      </c>
      <c r="I1788" s="98">
        <v>25</v>
      </c>
      <c r="J1788" s="99">
        <v>25</v>
      </c>
      <c r="K1788" s="144">
        <f t="shared" si="537"/>
        <v>0</v>
      </c>
      <c r="L1788" s="144">
        <f t="shared" si="544"/>
        <v>25</v>
      </c>
      <c r="M1788" s="275">
        <f t="shared" si="546"/>
        <v>25</v>
      </c>
      <c r="N1788" s="98"/>
      <c r="O1788" s="93">
        <f t="shared" si="555"/>
        <v>0</v>
      </c>
      <c r="ON1788" s="100">
        <f t="shared" si="538"/>
        <v>0</v>
      </c>
    </row>
    <row r="1789" spans="1:404" ht="23.25" customHeight="1">
      <c r="A1789" s="97" t="str">
        <f t="shared" si="552"/>
        <v>003/ANNA-VG-21(đ3)66-34800-S1-A</v>
      </c>
      <c r="B1789" s="95">
        <v>44577</v>
      </c>
      <c r="C1789" s="97">
        <f t="shared" ca="1" si="553"/>
        <v>-487</v>
      </c>
      <c r="D1789" s="112" t="s">
        <v>1646</v>
      </c>
      <c r="E1789" s="279" t="s">
        <v>1648</v>
      </c>
      <c r="F1789" s="98" t="str">
        <f t="shared" si="554"/>
        <v>A</v>
      </c>
      <c r="G1789" s="110">
        <f ca="1">SUMIF($A:E,$A1789,K:K)</f>
        <v>135</v>
      </c>
      <c r="H1789" s="112" t="s">
        <v>990</v>
      </c>
      <c r="I1789" s="98">
        <v>135</v>
      </c>
      <c r="J1789" s="115">
        <v>135</v>
      </c>
      <c r="K1789" s="143">
        <f t="shared" si="537"/>
        <v>135</v>
      </c>
      <c r="L1789" s="144">
        <f t="shared" ref="L1789:L1823" si="556">J1789-K1789</f>
        <v>0</v>
      </c>
      <c r="M1789" s="275">
        <f t="shared" si="546"/>
        <v>135</v>
      </c>
      <c r="N1789" s="98" t="s">
        <v>1776</v>
      </c>
      <c r="O1789" s="93">
        <f t="shared" ref="O1789:O1797" si="557">K1789/J1789*100</f>
        <v>100</v>
      </c>
      <c r="MH1789" s="100">
        <v>5</v>
      </c>
      <c r="MK1789" s="100">
        <v>10</v>
      </c>
      <c r="ML1789" s="100">
        <v>5</v>
      </c>
      <c r="MM1789" s="100">
        <v>9</v>
      </c>
      <c r="MN1789" s="100">
        <v>9</v>
      </c>
      <c r="MO1789" s="100">
        <v>2</v>
      </c>
      <c r="MP1789" s="100">
        <v>13</v>
      </c>
      <c r="MQ1789" s="100">
        <v>5</v>
      </c>
      <c r="MR1789" s="100">
        <v>5</v>
      </c>
      <c r="MS1789" s="100">
        <v>10</v>
      </c>
      <c r="MT1789" s="100">
        <v>5</v>
      </c>
      <c r="MU1789" s="100">
        <v>10</v>
      </c>
      <c r="MW1789" s="100">
        <v>5</v>
      </c>
      <c r="MX1789" s="100">
        <v>10</v>
      </c>
      <c r="MY1789" s="100">
        <v>10</v>
      </c>
      <c r="MZ1789" s="100">
        <v>20</v>
      </c>
      <c r="ND1789" s="100">
        <v>2</v>
      </c>
      <c r="ON1789" s="100">
        <f t="shared" si="538"/>
        <v>0</v>
      </c>
    </row>
    <row r="1790" spans="1:404" ht="23.25" customHeight="1">
      <c r="A1790" s="97" t="str">
        <f t="shared" si="552"/>
        <v>003/ANNA-VG-21(đ7)66-34700-S1-A</v>
      </c>
      <c r="B1790" s="95">
        <v>44605</v>
      </c>
      <c r="C1790" s="97">
        <f t="shared" ca="1" si="553"/>
        <v>-459</v>
      </c>
      <c r="D1790" s="112" t="s">
        <v>1671</v>
      </c>
      <c r="E1790" s="279" t="s">
        <v>1674</v>
      </c>
      <c r="F1790" s="98" t="str">
        <f t="shared" si="554"/>
        <v>A</v>
      </c>
      <c r="G1790" s="110">
        <f ca="1">SUMIF($A:E,$A1790,K:K)</f>
        <v>141</v>
      </c>
      <c r="H1790" s="112" t="s">
        <v>990</v>
      </c>
      <c r="I1790" s="98">
        <v>108</v>
      </c>
      <c r="J1790" s="115">
        <v>108</v>
      </c>
      <c r="K1790" s="143">
        <f t="shared" si="537"/>
        <v>141</v>
      </c>
      <c r="L1790" s="144">
        <f t="shared" si="556"/>
        <v>-33</v>
      </c>
      <c r="M1790" s="275">
        <f t="shared" si="546"/>
        <v>108</v>
      </c>
      <c r="N1790" s="98">
        <v>3</v>
      </c>
      <c r="O1790" s="93">
        <f t="shared" si="557"/>
        <v>130.55555555555557</v>
      </c>
      <c r="MQ1790" s="100">
        <v>2</v>
      </c>
      <c r="NA1790" s="100">
        <v>7</v>
      </c>
      <c r="ND1790" s="100">
        <v>7</v>
      </c>
      <c r="NF1790" s="100">
        <v>8</v>
      </c>
      <c r="NG1790" s="100">
        <v>16</v>
      </c>
      <c r="NI1790" s="100">
        <v>15</v>
      </c>
      <c r="NM1790" s="100">
        <v>12</v>
      </c>
      <c r="NN1790" s="100">
        <v>8</v>
      </c>
      <c r="NS1790" s="100">
        <v>8</v>
      </c>
      <c r="NT1790" s="100">
        <v>8</v>
      </c>
      <c r="NV1790" s="100">
        <v>16</v>
      </c>
      <c r="OA1790" s="100">
        <v>1</v>
      </c>
      <c r="ON1790" s="100">
        <f t="shared" si="538"/>
        <v>33</v>
      </c>
    </row>
    <row r="1791" spans="1:404" ht="23.25" customHeight="1">
      <c r="A1791" s="97" t="str">
        <f t="shared" si="552"/>
        <v>001/COCOON-2166-34700-S1-05</v>
      </c>
      <c r="B1791" s="95">
        <v>44324</v>
      </c>
      <c r="C1791" s="97">
        <f t="shared" ca="1" si="553"/>
        <v>-740</v>
      </c>
      <c r="D1791" s="145" t="s">
        <v>717</v>
      </c>
      <c r="E1791" s="253" t="s">
        <v>608</v>
      </c>
      <c r="F1791" s="98" t="str">
        <f t="shared" ref="F1791:F1808" si="558">MID(E1791,13,2)</f>
        <v>05</v>
      </c>
      <c r="G1791" s="110">
        <f ca="1">SUMIF($A:E,$A1791,K:K)</f>
        <v>60</v>
      </c>
      <c r="H1791" s="97" t="s">
        <v>721</v>
      </c>
      <c r="I1791" s="98">
        <v>6030</v>
      </c>
      <c r="J1791" s="146">
        <v>60</v>
      </c>
      <c r="K1791" s="143">
        <f t="shared" si="537"/>
        <v>60</v>
      </c>
      <c r="L1791" s="144">
        <f t="shared" si="556"/>
        <v>0</v>
      </c>
      <c r="M1791" s="275">
        <f t="shared" ref="M1791:M1829" si="559">IF(OR(MID(E1791,10,1)="0",MID(E1791,10,1)="F"),I1791,IF(OR(,MID(E1791,10,1)="S",MID(E1791,10,1)="L",MID(E1791,10,1)="B",MID(E1791,10,1)="X"),MID(E1791,11,1)*I1791,0))</f>
        <v>6030</v>
      </c>
      <c r="N1791" s="98">
        <v>5</v>
      </c>
      <c r="O1791" s="93">
        <f t="shared" si="557"/>
        <v>100</v>
      </c>
      <c r="CQ1791" s="101">
        <v>5</v>
      </c>
      <c r="CR1791" s="101">
        <v>4</v>
      </c>
      <c r="CS1791" s="101">
        <v>6</v>
      </c>
      <c r="CT1791" s="101">
        <v>5</v>
      </c>
      <c r="CU1791" s="101">
        <v>5</v>
      </c>
      <c r="CW1791" s="101">
        <v>4</v>
      </c>
      <c r="CX1791" s="101">
        <v>5</v>
      </c>
      <c r="CZ1791" s="101">
        <v>5</v>
      </c>
      <c r="DA1791" s="101">
        <v>5</v>
      </c>
      <c r="DB1791" s="101">
        <v>5</v>
      </c>
      <c r="DD1791" s="101">
        <v>4</v>
      </c>
      <c r="DE1791" s="101">
        <v>5</v>
      </c>
      <c r="DK1791" s="101">
        <v>1</v>
      </c>
      <c r="DO1791" s="101">
        <v>1</v>
      </c>
      <c r="ON1791" s="100">
        <f t="shared" si="538"/>
        <v>0</v>
      </c>
    </row>
    <row r="1792" spans="1:404" ht="23.25" customHeight="1">
      <c r="A1792" s="97" t="str">
        <f t="shared" si="552"/>
        <v>001/COCOON-2166-34700-S1-01</v>
      </c>
      <c r="B1792" s="95">
        <v>44324</v>
      </c>
      <c r="C1792" s="97">
        <f t="shared" ca="1" si="553"/>
        <v>-740</v>
      </c>
      <c r="D1792" s="145" t="s">
        <v>717</v>
      </c>
      <c r="E1792" s="253" t="s">
        <v>607</v>
      </c>
      <c r="F1792" s="98" t="str">
        <f t="shared" si="558"/>
        <v>01</v>
      </c>
      <c r="G1792" s="110">
        <f ca="1">SUMIF($A:E,$A1792,K:K)</f>
        <v>60</v>
      </c>
      <c r="H1792" s="97" t="s">
        <v>721</v>
      </c>
      <c r="I1792" s="98">
        <v>60</v>
      </c>
      <c r="J1792" s="146">
        <v>60</v>
      </c>
      <c r="K1792" s="143">
        <f t="shared" si="537"/>
        <v>60</v>
      </c>
      <c r="L1792" s="144">
        <f t="shared" si="556"/>
        <v>0</v>
      </c>
      <c r="M1792" s="275">
        <f t="shared" si="559"/>
        <v>60</v>
      </c>
      <c r="N1792" s="98">
        <v>5</v>
      </c>
      <c r="O1792" s="93">
        <f t="shared" si="557"/>
        <v>100</v>
      </c>
      <c r="CD1792" s="101">
        <v>4</v>
      </c>
      <c r="CE1792" s="101">
        <v>4</v>
      </c>
      <c r="CF1792" s="101">
        <v>4</v>
      </c>
      <c r="CG1792" s="101">
        <v>7</v>
      </c>
      <c r="CI1792" s="101">
        <v>6</v>
      </c>
      <c r="CJ1792" s="101">
        <v>12</v>
      </c>
      <c r="CL1792" s="101">
        <v>20</v>
      </c>
      <c r="CM1792" s="101">
        <v>3</v>
      </c>
      <c r="ON1792" s="100">
        <f t="shared" si="538"/>
        <v>0</v>
      </c>
    </row>
    <row r="1793" spans="1:404" ht="23.25" customHeight="1">
      <c r="A1793" s="97" t="s">
        <v>1370</v>
      </c>
      <c r="B1793" s="95">
        <v>44611</v>
      </c>
      <c r="C1793" s="97">
        <f t="shared" ca="1" si="553"/>
        <v>-453</v>
      </c>
      <c r="D1793" s="112" t="s">
        <v>2337</v>
      </c>
      <c r="E1793" s="123" t="s">
        <v>1376</v>
      </c>
      <c r="F1793" s="98" t="str">
        <f t="shared" si="558"/>
        <v>B</v>
      </c>
      <c r="G1793" s="130">
        <f ca="1">SUMIF($A:E,$A1793,K:K)</f>
        <v>5654</v>
      </c>
      <c r="H1793" s="112" t="s">
        <v>2505</v>
      </c>
      <c r="I1793" s="98">
        <v>54</v>
      </c>
      <c r="J1793" s="115">
        <v>54</v>
      </c>
      <c r="K1793" s="143">
        <f t="shared" si="537"/>
        <v>54</v>
      </c>
      <c r="L1793" s="144">
        <f t="shared" si="556"/>
        <v>0</v>
      </c>
      <c r="M1793" s="275">
        <f t="shared" si="559"/>
        <v>54</v>
      </c>
      <c r="N1793" s="98">
        <v>1</v>
      </c>
      <c r="O1793" s="93">
        <f t="shared" si="557"/>
        <v>100</v>
      </c>
      <c r="NE1793" s="100">
        <v>5</v>
      </c>
      <c r="NF1793" s="100">
        <v>5</v>
      </c>
      <c r="NG1793" s="100">
        <v>8</v>
      </c>
      <c r="NI1793" s="100">
        <v>1</v>
      </c>
      <c r="NK1793" s="100">
        <v>14</v>
      </c>
      <c r="NL1793" s="100">
        <v>12</v>
      </c>
      <c r="NN1793" s="100">
        <v>9</v>
      </c>
      <c r="ON1793" s="100">
        <f t="shared" si="538"/>
        <v>0</v>
      </c>
    </row>
    <row r="1794" spans="1:404" ht="23.25" customHeight="1">
      <c r="A1794" s="97" t="str">
        <f t="shared" ref="A1794:A1804" si="560">D1794&amp;E1794</f>
        <v>001/LH IMPORTS-VG_SR-2166-34609-S1-B</v>
      </c>
      <c r="B1794" s="95">
        <v>44408</v>
      </c>
      <c r="C1794" s="97">
        <f t="shared" ca="1" si="553"/>
        <v>-656</v>
      </c>
      <c r="D1794" s="112" t="s">
        <v>1505</v>
      </c>
      <c r="E1794" s="123" t="s">
        <v>1376</v>
      </c>
      <c r="F1794" s="98" t="str">
        <f t="shared" si="558"/>
        <v>B</v>
      </c>
      <c r="G1794" s="110">
        <f ca="1">SUMIF($A:E,$A1794,K:K)</f>
        <v>1</v>
      </c>
      <c r="H1794" s="97" t="s">
        <v>1510</v>
      </c>
      <c r="I1794" s="98">
        <v>1</v>
      </c>
      <c r="J1794" s="99">
        <v>1</v>
      </c>
      <c r="K1794" s="143">
        <f t="shared" si="537"/>
        <v>1</v>
      </c>
      <c r="L1794" s="144">
        <f t="shared" si="556"/>
        <v>0</v>
      </c>
      <c r="M1794" s="275">
        <f t="shared" si="559"/>
        <v>1</v>
      </c>
      <c r="N1794" s="98">
        <v>1</v>
      </c>
      <c r="O1794" s="93">
        <f t="shared" si="557"/>
        <v>100</v>
      </c>
      <c r="GR1794" s="100">
        <v>1</v>
      </c>
      <c r="ON1794" s="100">
        <f t="shared" si="538"/>
        <v>0</v>
      </c>
    </row>
    <row r="1795" spans="1:404" ht="23.25" customHeight="1">
      <c r="A1795" s="97" t="str">
        <f t="shared" si="560"/>
        <v>002/INTRATUIN-2166-34609-S1-B</v>
      </c>
      <c r="B1795" s="95">
        <v>44552</v>
      </c>
      <c r="C1795" s="97">
        <f t="shared" ca="1" si="553"/>
        <v>-512</v>
      </c>
      <c r="D1795" s="112" t="s">
        <v>1594</v>
      </c>
      <c r="E1795" s="123" t="s">
        <v>1376</v>
      </c>
      <c r="F1795" s="98" t="str">
        <f t="shared" si="558"/>
        <v>B</v>
      </c>
      <c r="G1795" s="110">
        <f ca="1">SUMIF($A:E,$A1795,K:K)</f>
        <v>14</v>
      </c>
      <c r="H1795" s="97" t="s">
        <v>927</v>
      </c>
      <c r="I1795" s="98">
        <v>14</v>
      </c>
      <c r="J1795" s="97">
        <v>14</v>
      </c>
      <c r="K1795" s="143">
        <f t="shared" si="537"/>
        <v>14</v>
      </c>
      <c r="L1795" s="144">
        <f t="shared" si="556"/>
        <v>0</v>
      </c>
      <c r="M1795" s="275">
        <f t="shared" si="559"/>
        <v>14</v>
      </c>
      <c r="N1795" s="98">
        <v>2</v>
      </c>
      <c r="O1795" s="93">
        <f t="shared" si="557"/>
        <v>100</v>
      </c>
      <c r="MD1795" s="100">
        <v>7</v>
      </c>
      <c r="ME1795" s="100">
        <v>2</v>
      </c>
      <c r="MF1795" s="100">
        <v>3</v>
      </c>
      <c r="MG1795" s="100">
        <v>2</v>
      </c>
      <c r="ON1795" s="100">
        <f t="shared" si="538"/>
        <v>0</v>
      </c>
    </row>
    <row r="1796" spans="1:404" ht="23.25" customHeight="1">
      <c r="A1796" s="97" t="str">
        <f t="shared" si="560"/>
        <v xml:space="preserve">	001/NORTHCOAST-VG-2166-34609-S1-B</v>
      </c>
      <c r="B1796" s="95">
        <v>44660</v>
      </c>
      <c r="C1796" s="97">
        <f t="shared" ca="1" si="553"/>
        <v>-404</v>
      </c>
      <c r="D1796" s="112" t="s">
        <v>1880</v>
      </c>
      <c r="E1796" s="123" t="s">
        <v>1376</v>
      </c>
      <c r="F1796" s="98" t="str">
        <f t="shared" si="558"/>
        <v>B</v>
      </c>
      <c r="G1796" s="110">
        <f ca="1">SUMIF($A:E,$A1796,K:K)</f>
        <v>0</v>
      </c>
      <c r="H1796" s="97" t="s">
        <v>927</v>
      </c>
      <c r="I1796" s="98">
        <v>21</v>
      </c>
      <c r="J1796" s="115">
        <v>21</v>
      </c>
      <c r="K1796" s="143">
        <f t="shared" ref="K1796:K1859" si="561">SUM(P1796:BBC1796)</f>
        <v>0</v>
      </c>
      <c r="L1796" s="144">
        <f t="shared" si="556"/>
        <v>21</v>
      </c>
      <c r="M1796" s="275">
        <f t="shared" si="559"/>
        <v>21</v>
      </c>
      <c r="N1796" s="98"/>
      <c r="O1796" s="93">
        <f t="shared" si="557"/>
        <v>0</v>
      </c>
      <c r="ON1796" s="100">
        <f t="shared" ref="ON1796:ON1859" si="562">SUM(NS1796:OM1796)</f>
        <v>0</v>
      </c>
    </row>
    <row r="1797" spans="1:404" ht="23.25" customHeight="1">
      <c r="A1797" s="97" t="str">
        <f t="shared" si="560"/>
        <v>001/NEVE YARAK-VG-2166-34600-S1-B</v>
      </c>
      <c r="B1797" s="218">
        <v>44661</v>
      </c>
      <c r="C1797" s="97">
        <f t="shared" ca="1" si="553"/>
        <v>-403</v>
      </c>
      <c r="D1797" s="112" t="s">
        <v>1705</v>
      </c>
      <c r="E1797" s="123" t="s">
        <v>728</v>
      </c>
      <c r="F1797" s="98" t="str">
        <f t="shared" si="558"/>
        <v>B</v>
      </c>
      <c r="G1797" s="110">
        <f ca="1">SUMIF($A:E,$A1797,K:K)</f>
        <v>128</v>
      </c>
      <c r="H1797" s="97" t="s">
        <v>927</v>
      </c>
      <c r="I1797" s="98">
        <v>105</v>
      </c>
      <c r="J1797" s="115">
        <v>105</v>
      </c>
      <c r="K1797" s="143">
        <f t="shared" si="561"/>
        <v>128</v>
      </c>
      <c r="L1797" s="144">
        <f t="shared" si="556"/>
        <v>-23</v>
      </c>
      <c r="M1797" s="275">
        <f t="shared" si="559"/>
        <v>105</v>
      </c>
      <c r="N1797" s="98">
        <v>1</v>
      </c>
      <c r="O1797" s="93">
        <f t="shared" si="557"/>
        <v>121.90476190476191</v>
      </c>
      <c r="OC1797" s="100">
        <v>8</v>
      </c>
      <c r="OD1797" s="100">
        <v>3</v>
      </c>
      <c r="OF1797" s="100">
        <v>4</v>
      </c>
      <c r="OG1797" s="100">
        <v>5</v>
      </c>
      <c r="OH1797" s="100">
        <v>8</v>
      </c>
      <c r="OI1797" s="100">
        <v>11</v>
      </c>
      <c r="OJ1797" s="100">
        <v>9</v>
      </c>
      <c r="OK1797" s="100">
        <v>8</v>
      </c>
      <c r="OM1797" s="100">
        <v>8</v>
      </c>
      <c r="ON1797" s="100">
        <f t="shared" si="562"/>
        <v>64</v>
      </c>
    </row>
    <row r="1798" spans="1:404" ht="23.25" customHeight="1">
      <c r="A1798" s="97" t="str">
        <f t="shared" si="560"/>
        <v>001/COCOON-2166-34600-S1-05</v>
      </c>
      <c r="B1798" s="95">
        <v>44324</v>
      </c>
      <c r="C1798" s="97">
        <f t="shared" ca="1" si="553"/>
        <v>-740</v>
      </c>
      <c r="D1798" s="145" t="s">
        <v>717</v>
      </c>
      <c r="E1798" s="253" t="s">
        <v>620</v>
      </c>
      <c r="F1798" s="98" t="str">
        <f t="shared" si="558"/>
        <v>05</v>
      </c>
      <c r="G1798" s="110">
        <f ca="1">SUMIF($A:E,$A1798,K:K)</f>
        <v>18</v>
      </c>
      <c r="H1798" s="97" t="s">
        <v>721</v>
      </c>
      <c r="I1798" s="98">
        <v>18</v>
      </c>
      <c r="J1798" s="146">
        <v>18</v>
      </c>
      <c r="K1798" s="143">
        <f t="shared" si="561"/>
        <v>18</v>
      </c>
      <c r="L1798" s="144">
        <f t="shared" si="556"/>
        <v>0</v>
      </c>
      <c r="M1798" s="275">
        <f t="shared" si="559"/>
        <v>18</v>
      </c>
      <c r="N1798" s="98">
        <v>2</v>
      </c>
      <c r="O1798" s="93">
        <f t="shared" ref="O1798:O1802" si="563">K1798/J1798*100</f>
        <v>100</v>
      </c>
      <c r="DK1798" s="101">
        <v>6</v>
      </c>
      <c r="DL1798" s="101">
        <v>8</v>
      </c>
      <c r="DM1798" s="101">
        <v>2</v>
      </c>
      <c r="DO1798" s="101">
        <v>2</v>
      </c>
      <c r="ON1798" s="100">
        <f t="shared" si="562"/>
        <v>0</v>
      </c>
    </row>
    <row r="1799" spans="1:404" ht="23.25" customHeight="1">
      <c r="A1799" s="97" t="str">
        <f t="shared" si="560"/>
        <v>001/COCOON-2166-34600-S1-01</v>
      </c>
      <c r="B1799" s="95">
        <v>44324</v>
      </c>
      <c r="C1799" s="97">
        <f t="shared" ca="1" si="553"/>
        <v>-740</v>
      </c>
      <c r="D1799" s="145" t="s">
        <v>717</v>
      </c>
      <c r="E1799" s="253" t="s">
        <v>619</v>
      </c>
      <c r="F1799" s="98" t="str">
        <f t="shared" si="558"/>
        <v>01</v>
      </c>
      <c r="G1799" s="110">
        <f ca="1">SUMIF($A:E,$A1799,K:K)</f>
        <v>18</v>
      </c>
      <c r="H1799" s="97" t="s">
        <v>721</v>
      </c>
      <c r="I1799" s="98">
        <v>18</v>
      </c>
      <c r="J1799" s="146">
        <v>18</v>
      </c>
      <c r="K1799" s="143">
        <f t="shared" si="561"/>
        <v>18</v>
      </c>
      <c r="L1799" s="144">
        <f t="shared" si="556"/>
        <v>0</v>
      </c>
      <c r="M1799" s="275">
        <f t="shared" si="559"/>
        <v>18</v>
      </c>
      <c r="N1799" s="98">
        <v>2</v>
      </c>
      <c r="O1799" s="93">
        <f t="shared" si="563"/>
        <v>100</v>
      </c>
      <c r="CX1799" s="101">
        <v>7</v>
      </c>
      <c r="CZ1799" s="101">
        <v>2</v>
      </c>
      <c r="DA1799" s="101">
        <v>4</v>
      </c>
      <c r="DB1799" s="101">
        <v>2</v>
      </c>
      <c r="DK1799" s="101">
        <v>2</v>
      </c>
      <c r="DO1799" s="101">
        <v>1</v>
      </c>
      <c r="ON1799" s="100">
        <f t="shared" si="562"/>
        <v>0</v>
      </c>
    </row>
    <row r="1800" spans="1:404" ht="23.25" customHeight="1">
      <c r="A1800" s="97" t="str">
        <f t="shared" si="560"/>
        <v>001/ERMITAZAS-2166-34024-S1-B</v>
      </c>
      <c r="B1800" s="95">
        <v>44649</v>
      </c>
      <c r="C1800" s="97">
        <f t="shared" ca="1" si="553"/>
        <v>-415</v>
      </c>
      <c r="D1800" s="112" t="s">
        <v>1495</v>
      </c>
      <c r="E1800" s="123" t="s">
        <v>1497</v>
      </c>
      <c r="F1800" s="98" t="str">
        <f t="shared" si="558"/>
        <v>B</v>
      </c>
      <c r="G1800" s="110">
        <f ca="1">SUMIF($A:E,$A1800,K:K)</f>
        <v>0</v>
      </c>
      <c r="H1800" s="112" t="s">
        <v>1494</v>
      </c>
      <c r="I1800" s="98">
        <v>54</v>
      </c>
      <c r="J1800" s="115">
        <v>54</v>
      </c>
      <c r="K1800" s="143">
        <f t="shared" si="561"/>
        <v>0</v>
      </c>
      <c r="L1800" s="144">
        <f t="shared" si="556"/>
        <v>54</v>
      </c>
      <c r="M1800" s="275">
        <f t="shared" si="559"/>
        <v>54</v>
      </c>
      <c r="N1800" s="98">
        <v>4</v>
      </c>
      <c r="O1800" s="93">
        <f t="shared" si="563"/>
        <v>0</v>
      </c>
      <c r="ON1800" s="100">
        <f t="shared" si="562"/>
        <v>0</v>
      </c>
    </row>
    <row r="1801" spans="1:404" ht="23.25" customHeight="1">
      <c r="A1801" s="97" t="str">
        <f t="shared" si="560"/>
        <v>003/ANNA-VG-21(đ1)66-33900-S1-A</v>
      </c>
      <c r="B1801" s="95">
        <v>44547</v>
      </c>
      <c r="C1801" s="97">
        <f t="shared" ca="1" si="553"/>
        <v>-517</v>
      </c>
      <c r="D1801" s="319" t="s">
        <v>1622</v>
      </c>
      <c r="E1801" s="279" t="s">
        <v>1631</v>
      </c>
      <c r="F1801" s="98" t="str">
        <f t="shared" si="558"/>
        <v>A</v>
      </c>
      <c r="G1801" s="110">
        <f ca="1">SUMIF($A:E,$A1801,K:K)</f>
        <v>22</v>
      </c>
      <c r="H1801" s="112" t="s">
        <v>990</v>
      </c>
      <c r="I1801" s="98">
        <v>22</v>
      </c>
      <c r="J1801" s="115">
        <v>22</v>
      </c>
      <c r="K1801" s="143">
        <f t="shared" si="561"/>
        <v>22</v>
      </c>
      <c r="L1801" s="144">
        <f t="shared" si="556"/>
        <v>0</v>
      </c>
      <c r="M1801" s="275">
        <f t="shared" si="559"/>
        <v>22</v>
      </c>
      <c r="N1801" s="98" t="s">
        <v>1776</v>
      </c>
      <c r="O1801" s="93">
        <f t="shared" si="563"/>
        <v>100</v>
      </c>
      <c r="LN1801" s="100">
        <v>2</v>
      </c>
      <c r="LR1801" s="100">
        <v>4</v>
      </c>
      <c r="LS1801" s="100">
        <v>3</v>
      </c>
      <c r="LT1801" s="100">
        <v>3</v>
      </c>
      <c r="LW1801" s="100">
        <v>2</v>
      </c>
      <c r="LX1801" s="100">
        <v>6</v>
      </c>
      <c r="LZ1801" s="100">
        <v>2</v>
      </c>
      <c r="ON1801" s="100">
        <f t="shared" si="562"/>
        <v>0</v>
      </c>
    </row>
    <row r="1802" spans="1:404" ht="23.25" customHeight="1">
      <c r="A1802" s="97" t="str">
        <f t="shared" si="560"/>
        <v>024/SR-21(WESTELM)66-33800-S1-B</v>
      </c>
      <c r="B1802" s="95">
        <v>44463</v>
      </c>
      <c r="C1802" s="97">
        <f t="shared" ca="1" si="553"/>
        <v>-601</v>
      </c>
      <c r="D1802" s="112" t="s">
        <v>1861</v>
      </c>
      <c r="E1802" s="123" t="s">
        <v>1863</v>
      </c>
      <c r="F1802" s="98" t="str">
        <f t="shared" si="558"/>
        <v>B</v>
      </c>
      <c r="G1802" s="110">
        <f ca="1">SUMIF($A:E,$A1802,K:K)</f>
        <v>2</v>
      </c>
      <c r="H1802" s="97" t="s">
        <v>1865</v>
      </c>
      <c r="I1802" s="98">
        <v>2</v>
      </c>
      <c r="J1802" s="115">
        <v>2</v>
      </c>
      <c r="K1802" s="144">
        <f t="shared" si="561"/>
        <v>2</v>
      </c>
      <c r="L1802" s="144">
        <f t="shared" si="556"/>
        <v>0</v>
      </c>
      <c r="M1802" s="275">
        <f t="shared" si="559"/>
        <v>2</v>
      </c>
      <c r="N1802" s="98">
        <v>1</v>
      </c>
      <c r="O1802" s="93">
        <f t="shared" si="563"/>
        <v>100</v>
      </c>
      <c r="IU1802" s="100">
        <v>2</v>
      </c>
      <c r="ON1802" s="100">
        <f t="shared" si="562"/>
        <v>0</v>
      </c>
    </row>
    <row r="1803" spans="1:404" ht="23.25" customHeight="1">
      <c r="A1803" s="97" t="str">
        <f t="shared" si="560"/>
        <v>003/ANNA-VG-21(đ7)66-33800-S1-A</v>
      </c>
      <c r="B1803" s="95">
        <v>44634</v>
      </c>
      <c r="C1803" s="97">
        <f t="shared" ca="1" si="553"/>
        <v>-430</v>
      </c>
      <c r="D1803" s="112" t="s">
        <v>1671</v>
      </c>
      <c r="E1803" s="279" t="s">
        <v>698</v>
      </c>
      <c r="F1803" s="98" t="str">
        <f t="shared" si="558"/>
        <v>A</v>
      </c>
      <c r="G1803" s="110">
        <f ca="1">SUMIF($A:E,$A1803,K:K)</f>
        <v>15</v>
      </c>
      <c r="H1803" s="112" t="s">
        <v>990</v>
      </c>
      <c r="I1803" s="98">
        <v>15</v>
      </c>
      <c r="J1803" s="115">
        <v>15</v>
      </c>
      <c r="K1803" s="143">
        <f t="shared" si="561"/>
        <v>15</v>
      </c>
      <c r="L1803" s="144">
        <f t="shared" si="556"/>
        <v>0</v>
      </c>
      <c r="M1803" s="275">
        <f t="shared" si="559"/>
        <v>15</v>
      </c>
      <c r="N1803" s="98" t="s">
        <v>1776</v>
      </c>
      <c r="O1803" s="93">
        <f>K1803/J1803*100</f>
        <v>100</v>
      </c>
      <c r="MQ1803" s="100">
        <v>3</v>
      </c>
      <c r="MR1803" s="100">
        <v>1</v>
      </c>
      <c r="MW1803" s="100">
        <v>4</v>
      </c>
      <c r="MY1803" s="100">
        <v>2</v>
      </c>
      <c r="MZ1803" s="100">
        <v>3</v>
      </c>
      <c r="ND1803" s="100">
        <v>2</v>
      </c>
      <c r="ON1803" s="100">
        <f t="shared" si="562"/>
        <v>0</v>
      </c>
    </row>
    <row r="1804" spans="1:404" ht="23.25" customHeight="1">
      <c r="A1804" s="97" t="str">
        <f t="shared" si="560"/>
        <v>001/CALUCKY-2166-33224-S1-B</v>
      </c>
      <c r="B1804" s="95">
        <v>44312</v>
      </c>
      <c r="C1804" s="97">
        <f t="shared" ca="1" si="553"/>
        <v>-752</v>
      </c>
      <c r="D1804" s="96" t="s">
        <v>771</v>
      </c>
      <c r="E1804" s="94" t="s">
        <v>498</v>
      </c>
      <c r="F1804" s="98" t="str">
        <f t="shared" si="558"/>
        <v>B</v>
      </c>
      <c r="G1804" s="110">
        <f ca="1">SUMIF($A:E,$A1804,K:K)</f>
        <v>40</v>
      </c>
      <c r="H1804" s="97" t="s">
        <v>616</v>
      </c>
      <c r="I1804" s="98">
        <v>40</v>
      </c>
      <c r="J1804" s="99">
        <v>40</v>
      </c>
      <c r="K1804" s="143">
        <f t="shared" si="561"/>
        <v>40</v>
      </c>
      <c r="L1804" s="144">
        <f t="shared" si="556"/>
        <v>0</v>
      </c>
      <c r="M1804" s="275">
        <f t="shared" si="559"/>
        <v>40</v>
      </c>
      <c r="N1804" s="98">
        <v>1</v>
      </c>
      <c r="O1804" s="93">
        <f t="shared" ref="O1804:O1805" si="564">K1804/J1804*100</f>
        <v>100</v>
      </c>
      <c r="CB1804" s="101">
        <v>2</v>
      </c>
      <c r="CC1804" s="101">
        <v>2</v>
      </c>
      <c r="CD1804" s="101">
        <v>1</v>
      </c>
      <c r="CE1804" s="101">
        <v>2</v>
      </c>
      <c r="CG1804" s="101">
        <v>4</v>
      </c>
      <c r="CH1804" s="101">
        <v>2</v>
      </c>
      <c r="CJ1804" s="101">
        <v>2</v>
      </c>
      <c r="CK1804" s="101">
        <v>1</v>
      </c>
      <c r="CL1804" s="101">
        <v>2</v>
      </c>
      <c r="CN1804" s="101">
        <v>4</v>
      </c>
      <c r="CP1804" s="101">
        <v>1</v>
      </c>
      <c r="CR1804" s="101">
        <v>1</v>
      </c>
      <c r="CS1804" s="101">
        <v>3</v>
      </c>
      <c r="CU1804" s="101">
        <v>2</v>
      </c>
      <c r="CZ1804" s="101">
        <v>8</v>
      </c>
      <c r="DA1804" s="101">
        <v>1</v>
      </c>
      <c r="DB1804" s="101">
        <v>1</v>
      </c>
      <c r="DD1804" s="101">
        <v>1</v>
      </c>
      <c r="ON1804" s="100">
        <f t="shared" si="562"/>
        <v>0</v>
      </c>
    </row>
    <row r="1805" spans="1:404" ht="23.25" customHeight="1">
      <c r="A1805" s="97" t="str">
        <f>D1805&amp;E1806</f>
        <v>009/COMERZIA-2166-33205-S1-B1</v>
      </c>
      <c r="B1805" s="95">
        <v>44569</v>
      </c>
      <c r="C1805" s="97">
        <f t="shared" ca="1" si="553"/>
        <v>-495</v>
      </c>
      <c r="D1805" s="96" t="s">
        <v>1232</v>
      </c>
      <c r="E1805" s="94" t="s">
        <v>498</v>
      </c>
      <c r="F1805" s="98" t="str">
        <f t="shared" si="558"/>
        <v>B</v>
      </c>
      <c r="G1805" s="110">
        <f ca="1">SUMIF($A:E,$A1805,K:K)</f>
        <v>16</v>
      </c>
      <c r="H1805" s="97" t="s">
        <v>508</v>
      </c>
      <c r="I1805" s="98">
        <v>16</v>
      </c>
      <c r="J1805" s="97">
        <v>16</v>
      </c>
      <c r="K1805" s="143">
        <f t="shared" si="561"/>
        <v>16</v>
      </c>
      <c r="L1805" s="144">
        <f t="shared" si="556"/>
        <v>0</v>
      </c>
      <c r="M1805" s="275">
        <f t="shared" si="559"/>
        <v>16</v>
      </c>
      <c r="N1805" s="98">
        <v>2</v>
      </c>
      <c r="O1805" s="93">
        <f t="shared" si="564"/>
        <v>100</v>
      </c>
      <c r="LN1805" s="100">
        <v>3</v>
      </c>
      <c r="LP1805" s="100">
        <v>1</v>
      </c>
      <c r="LS1805" s="100">
        <v>4</v>
      </c>
      <c r="LT1805" s="100">
        <v>5</v>
      </c>
      <c r="LU1805" s="100">
        <v>3</v>
      </c>
      <c r="ON1805" s="100">
        <f t="shared" si="562"/>
        <v>0</v>
      </c>
    </row>
    <row r="1806" spans="1:404" ht="23.25" customHeight="1">
      <c r="A1806" s="97" t="str">
        <f t="shared" ref="A1806:A1817" si="565">D1806&amp;E1806</f>
        <v xml:space="preserve">	001/AL-FARES-VG-2166-33205-S1-B1</v>
      </c>
      <c r="B1806" s="95">
        <v>44686</v>
      </c>
      <c r="C1806" s="97">
        <f t="shared" ca="1" si="553"/>
        <v>-378</v>
      </c>
      <c r="D1806" s="112" t="s">
        <v>1814</v>
      </c>
      <c r="E1806" s="279" t="s">
        <v>1818</v>
      </c>
      <c r="F1806" s="98" t="str">
        <f t="shared" si="558"/>
        <v>B1</v>
      </c>
      <c r="G1806" s="110">
        <f ca="1">SUMIF($A:E,$A1806,K:K)</f>
        <v>0</v>
      </c>
      <c r="H1806" s="112" t="s">
        <v>1561</v>
      </c>
      <c r="I1806" s="98">
        <v>32</v>
      </c>
      <c r="J1806" s="115">
        <v>32</v>
      </c>
      <c r="K1806" s="143">
        <f t="shared" si="561"/>
        <v>0</v>
      </c>
      <c r="L1806" s="144">
        <f t="shared" si="556"/>
        <v>32</v>
      </c>
      <c r="M1806" s="275">
        <f t="shared" si="559"/>
        <v>32</v>
      </c>
      <c r="N1806" s="98"/>
      <c r="O1806" s="93">
        <f t="shared" ref="O1806:O1810" si="566">K1806/J1806*100</f>
        <v>0</v>
      </c>
      <c r="ON1806" s="100">
        <f t="shared" si="562"/>
        <v>0</v>
      </c>
    </row>
    <row r="1807" spans="1:404" ht="23.25" customHeight="1">
      <c r="A1807" s="97" t="str">
        <f t="shared" si="565"/>
        <v>003/MOJAY-2166-33200-S1-B</v>
      </c>
      <c r="B1807" s="95">
        <v>44347</v>
      </c>
      <c r="C1807" s="97">
        <f t="shared" ca="1" si="553"/>
        <v>-717</v>
      </c>
      <c r="D1807" s="145" t="s">
        <v>748</v>
      </c>
      <c r="E1807" s="253" t="s">
        <v>497</v>
      </c>
      <c r="F1807" s="98" t="str">
        <f t="shared" si="558"/>
        <v>B</v>
      </c>
      <c r="G1807" s="110">
        <f ca="1">SUMIF($A:E,$A1807,K:K)</f>
        <v>32</v>
      </c>
      <c r="H1807" s="97" t="s">
        <v>508</v>
      </c>
      <c r="I1807" s="98">
        <v>32</v>
      </c>
      <c r="J1807" s="146">
        <v>32</v>
      </c>
      <c r="K1807" s="143">
        <f t="shared" si="561"/>
        <v>32</v>
      </c>
      <c r="L1807" s="144">
        <f t="shared" si="556"/>
        <v>0</v>
      </c>
      <c r="M1807" s="275">
        <f t="shared" si="559"/>
        <v>32</v>
      </c>
      <c r="N1807" s="98">
        <v>1</v>
      </c>
      <c r="O1807" s="93">
        <f t="shared" si="566"/>
        <v>100</v>
      </c>
      <c r="DW1807" s="100">
        <v>2</v>
      </c>
      <c r="DZ1807" s="100">
        <v>2</v>
      </c>
      <c r="EC1807" s="100">
        <v>1</v>
      </c>
      <c r="ED1807" s="100">
        <v>6</v>
      </c>
      <c r="EF1807" s="100">
        <v>5</v>
      </c>
      <c r="EG1807" s="100">
        <v>1</v>
      </c>
      <c r="EH1807" s="100">
        <v>6</v>
      </c>
      <c r="EJ1807" s="100">
        <v>2</v>
      </c>
      <c r="EK1807" s="100">
        <v>2</v>
      </c>
      <c r="EL1807" s="100">
        <v>2</v>
      </c>
      <c r="EM1807" s="100">
        <v>3</v>
      </c>
      <c r="ON1807" s="100">
        <f t="shared" si="562"/>
        <v>0</v>
      </c>
    </row>
    <row r="1808" spans="1:404" ht="23.25" customHeight="1">
      <c r="A1808" s="97" t="str">
        <f t="shared" si="565"/>
        <v>001/MOJAY-2166-33200-S1-B</v>
      </c>
      <c r="B1808" s="95">
        <v>44311</v>
      </c>
      <c r="C1808" s="97">
        <f t="shared" ca="1" si="553"/>
        <v>-753</v>
      </c>
      <c r="D1808" s="145" t="s">
        <v>742</v>
      </c>
      <c r="E1808" s="253" t="s">
        <v>497</v>
      </c>
      <c r="F1808" s="98" t="str">
        <f t="shared" si="558"/>
        <v>B</v>
      </c>
      <c r="G1808" s="110">
        <f ca="1">SUMIF($A:E,$A1808,K:K)</f>
        <v>32</v>
      </c>
      <c r="H1808" s="97" t="s">
        <v>508</v>
      </c>
      <c r="I1808" s="98">
        <v>32</v>
      </c>
      <c r="J1808" s="146">
        <v>32</v>
      </c>
      <c r="K1808" s="143">
        <f t="shared" si="561"/>
        <v>32</v>
      </c>
      <c r="L1808" s="144">
        <f t="shared" si="556"/>
        <v>0</v>
      </c>
      <c r="M1808" s="275">
        <f t="shared" si="559"/>
        <v>32</v>
      </c>
      <c r="N1808" s="98">
        <v>1</v>
      </c>
      <c r="O1808" s="93">
        <f t="shared" si="566"/>
        <v>100</v>
      </c>
      <c r="CE1808" s="101">
        <v>4</v>
      </c>
      <c r="CG1808" s="101">
        <v>2</v>
      </c>
      <c r="CH1808" s="101">
        <v>4</v>
      </c>
      <c r="CI1808" s="101">
        <v>1</v>
      </c>
      <c r="CJ1808" s="101">
        <v>4</v>
      </c>
      <c r="CK1808" s="101">
        <v>1</v>
      </c>
      <c r="CL1808" s="101">
        <v>4</v>
      </c>
      <c r="CN1808" s="101">
        <v>7</v>
      </c>
      <c r="CR1808" s="101">
        <v>3</v>
      </c>
      <c r="DD1808" s="101">
        <v>2</v>
      </c>
      <c r="ON1808" s="100">
        <f t="shared" si="562"/>
        <v>0</v>
      </c>
    </row>
    <row r="1809" spans="1:404" ht="23.25" customHeight="1">
      <c r="A1809" s="97" t="str">
        <f t="shared" si="565"/>
        <v>002/MOJAY-2166-33200-S1-B</v>
      </c>
      <c r="B1809" s="95">
        <v>44340</v>
      </c>
      <c r="C1809" s="97">
        <f t="shared" ref="C1809:C1858" ca="1" si="567">B1809-TODAY()</f>
        <v>-724</v>
      </c>
      <c r="D1809" s="145" t="s">
        <v>735</v>
      </c>
      <c r="E1809" s="253" t="s">
        <v>497</v>
      </c>
      <c r="F1809" s="98" t="str">
        <f t="shared" ref="F1809:F1826" si="568">MID(E1809,13,2)</f>
        <v>B</v>
      </c>
      <c r="G1809" s="110">
        <f ca="1">SUMIF($A:E,$A1809,K:K)</f>
        <v>32</v>
      </c>
      <c r="H1809" s="97" t="s">
        <v>508</v>
      </c>
      <c r="I1809" s="98">
        <v>32</v>
      </c>
      <c r="J1809" s="146">
        <v>32</v>
      </c>
      <c r="K1809" s="143">
        <f t="shared" si="561"/>
        <v>32</v>
      </c>
      <c r="L1809" s="144">
        <f t="shared" si="556"/>
        <v>0</v>
      </c>
      <c r="M1809" s="275">
        <f t="shared" si="559"/>
        <v>32</v>
      </c>
      <c r="N1809" s="98">
        <v>1</v>
      </c>
      <c r="O1809" s="93">
        <f t="shared" si="566"/>
        <v>100</v>
      </c>
      <c r="DL1809" s="101">
        <v>3</v>
      </c>
      <c r="DN1809" s="101">
        <v>2</v>
      </c>
      <c r="DP1809" s="101">
        <v>9</v>
      </c>
      <c r="DR1809" s="101">
        <v>1</v>
      </c>
      <c r="DS1809" s="100">
        <v>7</v>
      </c>
      <c r="DU1809" s="100">
        <v>2</v>
      </c>
      <c r="DV1809" s="100">
        <v>2</v>
      </c>
      <c r="DW1809" s="100">
        <v>6</v>
      </c>
      <c r="ON1809" s="100">
        <f t="shared" si="562"/>
        <v>0</v>
      </c>
    </row>
    <row r="1810" spans="1:404" ht="23.25" customHeight="1">
      <c r="A1810" s="97" t="str">
        <f t="shared" si="565"/>
        <v>001/NEVE YARAK-VG-2166-33200-S1-B</v>
      </c>
      <c r="B1810" s="218">
        <v>44661</v>
      </c>
      <c r="C1810" s="97">
        <f t="shared" ca="1" si="567"/>
        <v>-403</v>
      </c>
      <c r="D1810" s="112" t="s">
        <v>1705</v>
      </c>
      <c r="E1810" s="123" t="s">
        <v>497</v>
      </c>
      <c r="F1810" s="98" t="str">
        <f t="shared" si="568"/>
        <v>B</v>
      </c>
      <c r="G1810" s="110">
        <f ca="1">SUMIF($A:E,$A1810,K:K)</f>
        <v>0</v>
      </c>
      <c r="H1810" s="97" t="s">
        <v>927</v>
      </c>
      <c r="I1810" s="98">
        <v>128</v>
      </c>
      <c r="J1810" s="115">
        <v>128</v>
      </c>
      <c r="K1810" s="143">
        <f t="shared" si="561"/>
        <v>0</v>
      </c>
      <c r="L1810" s="144">
        <f t="shared" si="556"/>
        <v>128</v>
      </c>
      <c r="M1810" s="275">
        <f t="shared" si="559"/>
        <v>128</v>
      </c>
      <c r="N1810" s="98"/>
      <c r="O1810" s="93">
        <f t="shared" si="566"/>
        <v>0</v>
      </c>
      <c r="ON1810" s="100">
        <f t="shared" si="562"/>
        <v>0</v>
      </c>
    </row>
    <row r="1811" spans="1:404" ht="23.25" customHeight="1">
      <c r="A1811" s="127" t="str">
        <f t="shared" si="565"/>
        <v>001/COCOON-2166-33200-S1-05</v>
      </c>
      <c r="B1811" s="95">
        <v>44324</v>
      </c>
      <c r="C1811" s="97">
        <f t="shared" ca="1" si="567"/>
        <v>-740</v>
      </c>
      <c r="D1811" s="145" t="s">
        <v>717</v>
      </c>
      <c r="E1811" s="253" t="s">
        <v>618</v>
      </c>
      <c r="F1811" s="98" t="str">
        <f t="shared" si="568"/>
        <v>05</v>
      </c>
      <c r="G1811" s="110">
        <f ca="1">SUMIF($A:E,$A1811,K:K)</f>
        <v>16</v>
      </c>
      <c r="H1811" s="97" t="s">
        <v>721</v>
      </c>
      <c r="I1811" s="98">
        <v>16</v>
      </c>
      <c r="J1811" s="146">
        <v>16</v>
      </c>
      <c r="K1811" s="160">
        <f t="shared" si="561"/>
        <v>16</v>
      </c>
      <c r="L1811" s="151">
        <f t="shared" si="556"/>
        <v>0</v>
      </c>
      <c r="M1811" s="275">
        <f t="shared" si="559"/>
        <v>16</v>
      </c>
      <c r="N1811" s="98">
        <v>1</v>
      </c>
      <c r="O1811" s="93">
        <f t="shared" ref="O1811:O1819" si="569">K1811/J1811*100</f>
        <v>100</v>
      </c>
      <c r="CQ1811" s="101">
        <v>5</v>
      </c>
      <c r="CR1811" s="101">
        <v>2</v>
      </c>
      <c r="CS1811" s="101">
        <v>2</v>
      </c>
      <c r="CT1811" s="101">
        <v>2</v>
      </c>
      <c r="CW1811" s="101">
        <v>4</v>
      </c>
      <c r="DG1811" s="101">
        <v>1</v>
      </c>
      <c r="ON1811" s="100">
        <f t="shared" si="562"/>
        <v>0</v>
      </c>
    </row>
    <row r="1812" spans="1:404" ht="23.25" customHeight="1">
      <c r="A1812" s="127" t="str">
        <f t="shared" si="565"/>
        <v>001/COCOON-2166-33200-S1-01</v>
      </c>
      <c r="B1812" s="126">
        <v>44324</v>
      </c>
      <c r="C1812" s="97">
        <f t="shared" ca="1" si="567"/>
        <v>-740</v>
      </c>
      <c r="D1812" s="152" t="s">
        <v>717</v>
      </c>
      <c r="E1812" s="254" t="s">
        <v>617</v>
      </c>
      <c r="F1812" s="132" t="str">
        <f t="shared" si="568"/>
        <v>01</v>
      </c>
      <c r="G1812" s="130">
        <f ca="1">SUMIF($A:E,$A1812,K:K)</f>
        <v>16</v>
      </c>
      <c r="H1812" s="127" t="s">
        <v>721</v>
      </c>
      <c r="I1812" s="98">
        <v>16</v>
      </c>
      <c r="J1812" s="153">
        <v>16</v>
      </c>
      <c r="K1812" s="160">
        <f t="shared" si="561"/>
        <v>16</v>
      </c>
      <c r="L1812" s="151">
        <f t="shared" si="556"/>
        <v>0</v>
      </c>
      <c r="M1812" s="275">
        <f t="shared" si="559"/>
        <v>16</v>
      </c>
      <c r="N1812" s="132">
        <v>1</v>
      </c>
      <c r="O1812" s="93">
        <f t="shared" si="569"/>
        <v>100</v>
      </c>
      <c r="DB1812" s="101">
        <v>6</v>
      </c>
      <c r="DD1812" s="101">
        <v>2</v>
      </c>
      <c r="DE1812" s="101">
        <v>4</v>
      </c>
      <c r="DG1812" s="101">
        <v>2</v>
      </c>
      <c r="DK1812" s="101">
        <v>2</v>
      </c>
      <c r="ON1812" s="100">
        <f t="shared" si="562"/>
        <v>0</v>
      </c>
    </row>
    <row r="1813" spans="1:404" ht="23.25" customHeight="1">
      <c r="A1813" s="97" t="str">
        <f t="shared" si="565"/>
        <v xml:space="preserve">	001/AL-FARES-VG-2166-33105-S1-B1</v>
      </c>
      <c r="B1813" s="95">
        <v>44686</v>
      </c>
      <c r="C1813" s="97">
        <f t="shared" ca="1" si="567"/>
        <v>-378</v>
      </c>
      <c r="D1813" s="112" t="s">
        <v>1814</v>
      </c>
      <c r="E1813" s="279" t="s">
        <v>1817</v>
      </c>
      <c r="F1813" s="98" t="str">
        <f t="shared" si="568"/>
        <v>B1</v>
      </c>
      <c r="G1813" s="110">
        <f ca="1">SUMIF($A:E,$A1813,K:K)</f>
        <v>0</v>
      </c>
      <c r="H1813" s="112" t="s">
        <v>1561</v>
      </c>
      <c r="I1813" s="98">
        <v>20</v>
      </c>
      <c r="J1813" s="115">
        <v>20</v>
      </c>
      <c r="K1813" s="143">
        <f t="shared" si="561"/>
        <v>0</v>
      </c>
      <c r="L1813" s="144">
        <f t="shared" si="556"/>
        <v>20</v>
      </c>
      <c r="M1813" s="275">
        <f t="shared" si="559"/>
        <v>20</v>
      </c>
      <c r="N1813" s="98"/>
      <c r="O1813" s="93">
        <f t="shared" si="569"/>
        <v>0</v>
      </c>
      <c r="ON1813" s="100">
        <f t="shared" si="562"/>
        <v>0</v>
      </c>
    </row>
    <row r="1814" spans="1:404" ht="23.25" customHeight="1">
      <c r="A1814" s="97" t="str">
        <f t="shared" si="565"/>
        <v>001/MOJAY-2166-33100-S1-B</v>
      </c>
      <c r="B1814" s="95">
        <v>44311</v>
      </c>
      <c r="C1814" s="97">
        <f t="shared" ca="1" si="567"/>
        <v>-753</v>
      </c>
      <c r="D1814" s="145" t="s">
        <v>742</v>
      </c>
      <c r="E1814" s="253" t="s">
        <v>593</v>
      </c>
      <c r="F1814" s="98" t="str">
        <f t="shared" si="568"/>
        <v>B</v>
      </c>
      <c r="G1814" s="110">
        <f ca="1">SUMIF($A:E,$A1814,K:K)</f>
        <v>32</v>
      </c>
      <c r="H1814" s="97" t="s">
        <v>507</v>
      </c>
      <c r="I1814" s="98">
        <v>32</v>
      </c>
      <c r="J1814" s="146">
        <v>32</v>
      </c>
      <c r="K1814" s="143">
        <f t="shared" si="561"/>
        <v>32</v>
      </c>
      <c r="L1814" s="144">
        <f t="shared" si="556"/>
        <v>0</v>
      </c>
      <c r="M1814" s="275">
        <f t="shared" si="559"/>
        <v>32</v>
      </c>
      <c r="N1814" s="98">
        <v>5</v>
      </c>
      <c r="O1814" s="93">
        <f t="shared" si="569"/>
        <v>100</v>
      </c>
      <c r="BW1814" s="101">
        <v>2</v>
      </c>
      <c r="BX1814" s="101">
        <v>2</v>
      </c>
      <c r="BY1814" s="101">
        <v>2</v>
      </c>
      <c r="BZ1814" s="101">
        <v>2</v>
      </c>
      <c r="CB1814" s="101">
        <v>2</v>
      </c>
      <c r="CC1814" s="101">
        <v>2</v>
      </c>
      <c r="CD1814" s="101">
        <v>4</v>
      </c>
      <c r="CE1814" s="101">
        <v>2</v>
      </c>
      <c r="CF1814" s="101">
        <v>2</v>
      </c>
      <c r="CG1814" s="101">
        <v>2</v>
      </c>
      <c r="CH1814" s="101">
        <v>2</v>
      </c>
      <c r="CJ1814" s="101">
        <v>2</v>
      </c>
      <c r="CK1814" s="101">
        <v>4</v>
      </c>
      <c r="CL1814" s="101">
        <v>2</v>
      </c>
      <c r="ON1814" s="100">
        <f t="shared" si="562"/>
        <v>0</v>
      </c>
    </row>
    <row r="1815" spans="1:404" ht="23.25" customHeight="1">
      <c r="A1815" s="97" t="str">
        <f t="shared" si="565"/>
        <v>002/MOJAY-2166-33100-S1-B</v>
      </c>
      <c r="B1815" s="95">
        <v>44340</v>
      </c>
      <c r="C1815" s="97">
        <f t="shared" ca="1" si="567"/>
        <v>-724</v>
      </c>
      <c r="D1815" s="145" t="s">
        <v>735</v>
      </c>
      <c r="E1815" s="253" t="s">
        <v>593</v>
      </c>
      <c r="F1815" s="132" t="str">
        <f t="shared" si="568"/>
        <v>B</v>
      </c>
      <c r="G1815" s="130">
        <f ca="1">SUMIF($A:E,$A1815,K:K)</f>
        <v>32</v>
      </c>
      <c r="H1815" s="97" t="s">
        <v>508</v>
      </c>
      <c r="I1815" s="98">
        <v>32</v>
      </c>
      <c r="J1815" s="146">
        <v>32</v>
      </c>
      <c r="K1815" s="143">
        <f t="shared" si="561"/>
        <v>32</v>
      </c>
      <c r="L1815" s="144">
        <f t="shared" si="556"/>
        <v>0</v>
      </c>
      <c r="M1815" s="275">
        <f t="shared" si="559"/>
        <v>32</v>
      </c>
      <c r="N1815" s="98">
        <v>5</v>
      </c>
      <c r="O1815" s="93">
        <f t="shared" si="569"/>
        <v>100</v>
      </c>
      <c r="DR1815" s="101">
        <v>6</v>
      </c>
      <c r="DS1815" s="100">
        <v>2</v>
      </c>
      <c r="DU1815" s="100">
        <v>5</v>
      </c>
      <c r="DV1815" s="100">
        <v>6</v>
      </c>
      <c r="DW1815" s="100">
        <v>4</v>
      </c>
      <c r="DY1815" s="100">
        <v>4</v>
      </c>
      <c r="DZ1815" s="100">
        <v>3</v>
      </c>
      <c r="EA1815" s="100">
        <v>2</v>
      </c>
      <c r="ON1815" s="100">
        <f t="shared" si="562"/>
        <v>0</v>
      </c>
    </row>
    <row r="1816" spans="1:404" ht="23.25" customHeight="1">
      <c r="A1816" s="97" t="str">
        <f t="shared" si="565"/>
        <v>003/MOJAY-2166-33100-S1-B</v>
      </c>
      <c r="B1816" s="95">
        <v>44347</v>
      </c>
      <c r="C1816" s="97">
        <f t="shared" ca="1" si="567"/>
        <v>-717</v>
      </c>
      <c r="D1816" s="145" t="s">
        <v>748</v>
      </c>
      <c r="E1816" s="253" t="s">
        <v>593</v>
      </c>
      <c r="F1816" s="132" t="str">
        <f t="shared" si="568"/>
        <v>B</v>
      </c>
      <c r="G1816" s="130">
        <f ca="1">SUMIF($A:E,$A1816,K:K)</f>
        <v>32</v>
      </c>
      <c r="H1816" s="97" t="s">
        <v>508</v>
      </c>
      <c r="I1816" s="98">
        <v>32</v>
      </c>
      <c r="J1816" s="146">
        <v>32</v>
      </c>
      <c r="K1816" s="143">
        <f t="shared" si="561"/>
        <v>32</v>
      </c>
      <c r="L1816" s="144">
        <f t="shared" si="556"/>
        <v>0</v>
      </c>
      <c r="M1816" s="275">
        <f t="shared" si="559"/>
        <v>32</v>
      </c>
      <c r="N1816" s="98">
        <v>5</v>
      </c>
      <c r="O1816" s="93">
        <f t="shared" si="569"/>
        <v>100</v>
      </c>
      <c r="EA1816" s="100">
        <v>1</v>
      </c>
      <c r="EC1816" s="100">
        <v>5</v>
      </c>
      <c r="ED1816" s="100">
        <v>4</v>
      </c>
      <c r="EF1816" s="100">
        <v>4</v>
      </c>
      <c r="EG1816" s="100">
        <v>5</v>
      </c>
      <c r="EH1816" s="100">
        <v>4</v>
      </c>
      <c r="EI1816" s="100">
        <v>4</v>
      </c>
      <c r="EJ1816" s="100">
        <v>3</v>
      </c>
      <c r="EM1816" s="100">
        <v>2</v>
      </c>
      <c r="ON1816" s="100">
        <f t="shared" si="562"/>
        <v>0</v>
      </c>
    </row>
    <row r="1817" spans="1:404" ht="23.25" customHeight="1">
      <c r="A1817" s="97" t="str">
        <f t="shared" si="565"/>
        <v>170/KHBS-2166-33100-S1-B</v>
      </c>
      <c r="B1817" s="95">
        <v>44325</v>
      </c>
      <c r="C1817" s="97">
        <f t="shared" ca="1" si="567"/>
        <v>-739</v>
      </c>
      <c r="D1817" s="96" t="s">
        <v>959</v>
      </c>
      <c r="E1817" s="94" t="s">
        <v>593</v>
      </c>
      <c r="F1817" s="132" t="str">
        <f t="shared" si="568"/>
        <v>B</v>
      </c>
      <c r="G1817" s="130">
        <f ca="1">SUMIF($A:E,$A1817,K:K)</f>
        <v>1</v>
      </c>
      <c r="H1817" s="97" t="s">
        <v>933</v>
      </c>
      <c r="I1817" s="98">
        <v>1</v>
      </c>
      <c r="J1817" s="99">
        <v>1</v>
      </c>
      <c r="K1817" s="143">
        <f t="shared" si="561"/>
        <v>1</v>
      </c>
      <c r="L1817" s="144">
        <f t="shared" si="556"/>
        <v>0</v>
      </c>
      <c r="M1817" s="275">
        <f t="shared" si="559"/>
        <v>1</v>
      </c>
      <c r="N1817" s="98">
        <v>5</v>
      </c>
      <c r="O1817" s="93">
        <f t="shared" si="569"/>
        <v>100</v>
      </c>
      <c r="DN1817" s="101">
        <v>1</v>
      </c>
      <c r="ON1817" s="100">
        <f t="shared" si="562"/>
        <v>0</v>
      </c>
    </row>
    <row r="1818" spans="1:404" ht="23.25" customHeight="1">
      <c r="A1818" s="127" t="str">
        <f>D1818&amp;E1819</f>
        <v>208/KHBS-2166-33100-S1-B</v>
      </c>
      <c r="B1818" s="95">
        <v>44375</v>
      </c>
      <c r="C1818" s="127">
        <f t="shared" ca="1" si="567"/>
        <v>-689</v>
      </c>
      <c r="D1818" s="128" t="s">
        <v>1169</v>
      </c>
      <c r="E1818" s="129" t="s">
        <v>593</v>
      </c>
      <c r="F1818" s="132" t="str">
        <f t="shared" si="568"/>
        <v>B</v>
      </c>
      <c r="G1818" s="130">
        <f ca="1">SUMIF($A:E,$A1818,K:K)</f>
        <v>1</v>
      </c>
      <c r="H1818" s="127" t="s">
        <v>933</v>
      </c>
      <c r="I1818" s="98">
        <v>1</v>
      </c>
      <c r="J1818" s="131">
        <v>1</v>
      </c>
      <c r="K1818" s="160">
        <f t="shared" si="561"/>
        <v>1</v>
      </c>
      <c r="L1818" s="151">
        <f t="shared" si="556"/>
        <v>0</v>
      </c>
      <c r="M1818" s="275">
        <f t="shared" si="559"/>
        <v>1</v>
      </c>
      <c r="N1818" s="132">
        <v>5</v>
      </c>
      <c r="O1818" s="93">
        <f t="shared" si="569"/>
        <v>100</v>
      </c>
      <c r="FM1818" s="100">
        <v>1</v>
      </c>
      <c r="ON1818" s="100">
        <f t="shared" si="562"/>
        <v>0</v>
      </c>
    </row>
    <row r="1819" spans="1:404" ht="23.25" customHeight="1">
      <c r="A1819" s="97" t="str">
        <f t="shared" ref="A1819:A1825" si="570">D1819&amp;E1819</f>
        <v>001/NEVE YARAK-VG-2166-33100-S1-B</v>
      </c>
      <c r="B1819" s="218">
        <v>44661</v>
      </c>
      <c r="C1819" s="97">
        <f t="shared" ca="1" si="567"/>
        <v>-403</v>
      </c>
      <c r="D1819" s="112" t="s">
        <v>1705</v>
      </c>
      <c r="E1819" s="123" t="s">
        <v>593</v>
      </c>
      <c r="F1819" s="132" t="str">
        <f t="shared" si="568"/>
        <v>B</v>
      </c>
      <c r="G1819" s="130">
        <f ca="1">SUMIF($A:E,$A1819,K:K)</f>
        <v>140</v>
      </c>
      <c r="H1819" s="97" t="s">
        <v>927</v>
      </c>
      <c r="I1819" s="98">
        <v>120</v>
      </c>
      <c r="J1819" s="115">
        <v>120</v>
      </c>
      <c r="K1819" s="143">
        <f t="shared" si="561"/>
        <v>140</v>
      </c>
      <c r="L1819" s="144">
        <f t="shared" si="556"/>
        <v>-20</v>
      </c>
      <c r="M1819" s="275">
        <f t="shared" si="559"/>
        <v>120</v>
      </c>
      <c r="N1819" s="98">
        <v>4</v>
      </c>
      <c r="O1819" s="93">
        <f t="shared" si="569"/>
        <v>116.66666666666667</v>
      </c>
      <c r="NS1819" s="100">
        <v>3</v>
      </c>
      <c r="NU1819" s="100">
        <v>3</v>
      </c>
      <c r="NV1819" s="100">
        <v>2</v>
      </c>
      <c r="NY1819" s="100">
        <v>2</v>
      </c>
      <c r="NZ1819" s="100">
        <v>2</v>
      </c>
      <c r="OA1819" s="100">
        <v>4</v>
      </c>
      <c r="OB1819" s="100">
        <v>5</v>
      </c>
      <c r="OC1819" s="100">
        <v>6</v>
      </c>
      <c r="OD1819" s="100">
        <v>6</v>
      </c>
      <c r="OG1819" s="100">
        <v>9</v>
      </c>
      <c r="OH1819" s="100">
        <v>6</v>
      </c>
      <c r="OI1819" s="100">
        <v>5</v>
      </c>
      <c r="OJ1819" s="100">
        <v>6</v>
      </c>
      <c r="OK1819" s="100">
        <v>6</v>
      </c>
      <c r="OM1819" s="100">
        <v>5</v>
      </c>
      <c r="ON1819" s="100">
        <f t="shared" si="562"/>
        <v>70</v>
      </c>
    </row>
    <row r="1820" spans="1:404" ht="23.25" customHeight="1">
      <c r="A1820" s="127" t="str">
        <f t="shared" si="570"/>
        <v>003/ANNA-VG-21(đ3)66-33100-S1-A</v>
      </c>
      <c r="B1820" s="126">
        <v>44577</v>
      </c>
      <c r="C1820" s="127">
        <f t="shared" ca="1" si="567"/>
        <v>-487</v>
      </c>
      <c r="D1820" s="208" t="s">
        <v>1646</v>
      </c>
      <c r="E1820" s="282" t="s">
        <v>697</v>
      </c>
      <c r="F1820" s="132" t="str">
        <f t="shared" si="568"/>
        <v>A</v>
      </c>
      <c r="G1820" s="130">
        <f ca="1">SUMIF($A:E,$A1820,K:K)</f>
        <v>24</v>
      </c>
      <c r="H1820" s="112" t="s">
        <v>990</v>
      </c>
      <c r="I1820" s="98">
        <v>24</v>
      </c>
      <c r="J1820" s="115">
        <v>24</v>
      </c>
      <c r="K1820" s="143">
        <f t="shared" si="561"/>
        <v>24</v>
      </c>
      <c r="L1820" s="144">
        <f t="shared" si="556"/>
        <v>0</v>
      </c>
      <c r="M1820" s="275">
        <f t="shared" si="559"/>
        <v>24</v>
      </c>
      <c r="N1820" s="98" t="s">
        <v>1776</v>
      </c>
      <c r="O1820" s="93">
        <f t="shared" ref="O1820:O1842" si="571">K1820/J1820*100</f>
        <v>100</v>
      </c>
      <c r="MF1820" s="100">
        <v>9</v>
      </c>
      <c r="MK1820" s="100">
        <v>4</v>
      </c>
      <c r="ML1820" s="100">
        <v>2</v>
      </c>
      <c r="MM1820" s="100">
        <v>3</v>
      </c>
      <c r="MN1820" s="100">
        <v>2</v>
      </c>
      <c r="MO1820" s="100">
        <v>1</v>
      </c>
      <c r="MP1820" s="100">
        <v>2</v>
      </c>
      <c r="MQ1820" s="100">
        <v>1</v>
      </c>
      <c r="ON1820" s="100">
        <f t="shared" si="562"/>
        <v>0</v>
      </c>
    </row>
    <row r="1821" spans="1:404" ht="50.25" customHeight="1">
      <c r="A1821" s="97" t="str">
        <f t="shared" si="570"/>
        <v>001/COCOON-2166-33100-S1-05</v>
      </c>
      <c r="B1821" s="95">
        <v>44324</v>
      </c>
      <c r="C1821" s="97">
        <f t="shared" ca="1" si="567"/>
        <v>-740</v>
      </c>
      <c r="D1821" s="145" t="s">
        <v>717</v>
      </c>
      <c r="E1821" s="253" t="s">
        <v>609</v>
      </c>
      <c r="F1821" s="98" t="str">
        <f t="shared" si="568"/>
        <v>05</v>
      </c>
      <c r="G1821" s="110">
        <f ca="1">SUMIF($A:E,$A1821,K:K)</f>
        <v>24</v>
      </c>
      <c r="H1821" s="97" t="s">
        <v>721</v>
      </c>
      <c r="I1821" s="98">
        <v>24</v>
      </c>
      <c r="J1821" s="146">
        <v>24</v>
      </c>
      <c r="K1821" s="143">
        <f t="shared" si="561"/>
        <v>24</v>
      </c>
      <c r="L1821" s="144">
        <f t="shared" si="556"/>
        <v>0</v>
      </c>
      <c r="M1821" s="275">
        <f t="shared" si="559"/>
        <v>24</v>
      </c>
      <c r="N1821" s="98">
        <v>5</v>
      </c>
      <c r="O1821" s="93">
        <f t="shared" si="571"/>
        <v>100</v>
      </c>
      <c r="CQ1821" s="101">
        <v>2</v>
      </c>
      <c r="CR1821" s="101">
        <v>2</v>
      </c>
      <c r="CS1821" s="101">
        <v>2</v>
      </c>
      <c r="CT1821" s="101">
        <v>2</v>
      </c>
      <c r="CU1821" s="101">
        <v>2</v>
      </c>
      <c r="CW1821" s="101">
        <v>2</v>
      </c>
      <c r="CX1821" s="101">
        <v>2</v>
      </c>
      <c r="CZ1821" s="101">
        <v>2</v>
      </c>
      <c r="DA1821" s="101">
        <v>2</v>
      </c>
      <c r="DB1821" s="101">
        <v>3</v>
      </c>
      <c r="DD1821" s="101">
        <v>3</v>
      </c>
      <c r="ON1821" s="100">
        <f t="shared" si="562"/>
        <v>0</v>
      </c>
    </row>
    <row r="1822" spans="1:404" ht="23.25" customHeight="1">
      <c r="A1822" s="97" t="str">
        <f t="shared" si="570"/>
        <v>001/COCOON-2166-33100-S1-01</v>
      </c>
      <c r="B1822" s="95">
        <v>44324</v>
      </c>
      <c r="C1822" s="97">
        <f t="shared" ca="1" si="567"/>
        <v>-740</v>
      </c>
      <c r="D1822" s="145" t="s">
        <v>717</v>
      </c>
      <c r="E1822" s="253" t="s">
        <v>606</v>
      </c>
      <c r="F1822" s="98" t="str">
        <f t="shared" si="568"/>
        <v>01</v>
      </c>
      <c r="G1822" s="110">
        <f ca="1">SUMIF($A:E,$A1822,K:K)</f>
        <v>24</v>
      </c>
      <c r="H1822" s="97" t="s">
        <v>721</v>
      </c>
      <c r="I1822" s="98">
        <v>24</v>
      </c>
      <c r="J1822" s="146">
        <v>24</v>
      </c>
      <c r="K1822" s="143">
        <f t="shared" si="561"/>
        <v>24</v>
      </c>
      <c r="L1822" s="144">
        <f t="shared" si="556"/>
        <v>0</v>
      </c>
      <c r="M1822" s="275">
        <f t="shared" si="559"/>
        <v>24</v>
      </c>
      <c r="N1822" s="98">
        <v>5</v>
      </c>
      <c r="O1822" s="93">
        <f t="shared" si="571"/>
        <v>100</v>
      </c>
      <c r="DD1822" s="101">
        <v>2</v>
      </c>
      <c r="DE1822" s="101">
        <v>2</v>
      </c>
      <c r="DF1822" s="101">
        <v>4</v>
      </c>
      <c r="DG1822" s="101">
        <v>4</v>
      </c>
      <c r="DK1822" s="101">
        <v>4</v>
      </c>
      <c r="DL1822" s="101">
        <v>2</v>
      </c>
      <c r="DM1822" s="101">
        <v>3</v>
      </c>
      <c r="DN1822" s="101">
        <v>2</v>
      </c>
      <c r="DO1822" s="101">
        <v>1</v>
      </c>
      <c r="ON1822" s="100">
        <f t="shared" si="562"/>
        <v>0</v>
      </c>
    </row>
    <row r="1823" spans="1:404" ht="23.25" customHeight="1">
      <c r="A1823" s="97" t="str">
        <f t="shared" si="570"/>
        <v>003/ANNA-VG-21(đ1)66-32000-S4-A</v>
      </c>
      <c r="B1823" s="95">
        <v>44545</v>
      </c>
      <c r="C1823" s="97">
        <f t="shared" ca="1" si="567"/>
        <v>-519</v>
      </c>
      <c r="D1823" s="319" t="s">
        <v>1622</v>
      </c>
      <c r="E1823" s="279" t="s">
        <v>1630</v>
      </c>
      <c r="F1823" s="98" t="str">
        <f t="shared" si="568"/>
        <v>A</v>
      </c>
      <c r="G1823" s="110">
        <f ca="1">SUMIF($A:E,$A1823,K:K)</f>
        <v>30</v>
      </c>
      <c r="H1823" s="112" t="s">
        <v>990</v>
      </c>
      <c r="I1823" s="98">
        <v>30</v>
      </c>
      <c r="J1823" s="115">
        <v>30</v>
      </c>
      <c r="K1823" s="143">
        <f t="shared" si="561"/>
        <v>30</v>
      </c>
      <c r="L1823" s="144">
        <f t="shared" si="556"/>
        <v>0</v>
      </c>
      <c r="M1823" s="275">
        <f t="shared" si="559"/>
        <v>120</v>
      </c>
      <c r="N1823" s="98" t="s">
        <v>1776</v>
      </c>
      <c r="O1823" s="93">
        <f t="shared" si="571"/>
        <v>100</v>
      </c>
      <c r="LQ1823" s="100">
        <v>10</v>
      </c>
      <c r="LR1823" s="100">
        <v>4</v>
      </c>
      <c r="LS1823" s="100">
        <v>4</v>
      </c>
      <c r="LT1823" s="100">
        <v>6</v>
      </c>
      <c r="LU1823" s="100">
        <v>5</v>
      </c>
      <c r="LW1823" s="100">
        <v>1</v>
      </c>
      <c r="ON1823" s="100">
        <f t="shared" si="562"/>
        <v>0</v>
      </c>
    </row>
    <row r="1824" spans="1:404" ht="23.25" customHeight="1">
      <c r="A1824" s="97" t="str">
        <f t="shared" si="570"/>
        <v>002/OBI-2166-32000-04-B</v>
      </c>
      <c r="B1824" s="95">
        <v>44409</v>
      </c>
      <c r="C1824" s="97">
        <f t="shared" ca="1" si="567"/>
        <v>-655</v>
      </c>
      <c r="D1824" s="96" t="s">
        <v>938</v>
      </c>
      <c r="E1824" s="94" t="s">
        <v>955</v>
      </c>
      <c r="F1824" s="98" t="str">
        <f t="shared" si="568"/>
        <v>B</v>
      </c>
      <c r="G1824" s="110">
        <f ca="1">SUMIF($A:E,$A1824,K:K)</f>
        <v>636</v>
      </c>
      <c r="H1824" s="97" t="s">
        <v>508</v>
      </c>
      <c r="I1824" s="98">
        <v>318</v>
      </c>
      <c r="J1824" s="97">
        <v>318</v>
      </c>
      <c r="K1824" s="143">
        <f t="shared" si="561"/>
        <v>318</v>
      </c>
      <c r="L1824" s="144">
        <f t="shared" ref="L1824:L1877" si="572">J1824-K1824</f>
        <v>0</v>
      </c>
      <c r="M1824" s="275">
        <f t="shared" si="559"/>
        <v>318</v>
      </c>
      <c r="N1824" s="98">
        <v>1</v>
      </c>
      <c r="O1824" s="93">
        <f t="shared" si="571"/>
        <v>100</v>
      </c>
      <c r="DO1824" s="101">
        <v>2</v>
      </c>
      <c r="DP1824" s="101">
        <v>1</v>
      </c>
      <c r="DR1824" s="101">
        <v>4</v>
      </c>
      <c r="DS1824" s="100">
        <v>3</v>
      </c>
      <c r="DT1824" s="100">
        <v>4</v>
      </c>
      <c r="DU1824" s="100">
        <v>3</v>
      </c>
      <c r="DV1824" s="100">
        <v>7</v>
      </c>
      <c r="DW1824" s="100">
        <v>5</v>
      </c>
      <c r="DY1824" s="100">
        <v>5</v>
      </c>
      <c r="DZ1824" s="100">
        <v>2</v>
      </c>
      <c r="EA1824" s="100">
        <v>7</v>
      </c>
      <c r="EC1824" s="100">
        <v>2</v>
      </c>
      <c r="ED1824" s="100">
        <v>9</v>
      </c>
      <c r="EG1824" s="100">
        <v>11</v>
      </c>
      <c r="EH1824" s="100">
        <v>2</v>
      </c>
      <c r="EI1824" s="100">
        <v>4</v>
      </c>
      <c r="EJ1824" s="100">
        <v>10</v>
      </c>
      <c r="EM1824" s="100">
        <v>14</v>
      </c>
      <c r="EN1824" s="100">
        <v>5</v>
      </c>
      <c r="EO1824" s="100">
        <v>5</v>
      </c>
      <c r="EP1824" s="100">
        <v>5</v>
      </c>
      <c r="EQ1824" s="100">
        <v>5</v>
      </c>
      <c r="ER1824" s="100">
        <v>5</v>
      </c>
      <c r="EU1824" s="100">
        <v>7</v>
      </c>
      <c r="EV1824" s="100">
        <v>8</v>
      </c>
      <c r="EW1824" s="100">
        <v>5</v>
      </c>
      <c r="EX1824" s="100">
        <v>5</v>
      </c>
      <c r="EY1824" s="100">
        <v>7</v>
      </c>
      <c r="FA1824" s="100">
        <v>8</v>
      </c>
      <c r="FB1824" s="100">
        <v>8</v>
      </c>
      <c r="FD1824" s="100">
        <v>4</v>
      </c>
      <c r="FE1824" s="100">
        <v>15</v>
      </c>
      <c r="FH1824" s="100">
        <v>9</v>
      </c>
      <c r="FI1824" s="100">
        <v>5</v>
      </c>
      <c r="FJ1824" s="100">
        <v>1</v>
      </c>
      <c r="FK1824" s="100">
        <v>18</v>
      </c>
      <c r="FL1824" s="100">
        <v>5</v>
      </c>
      <c r="FM1824" s="100">
        <v>10</v>
      </c>
      <c r="FO1824" s="100">
        <v>10</v>
      </c>
      <c r="FP1824" s="100">
        <v>13</v>
      </c>
      <c r="FQ1824" s="100">
        <v>10</v>
      </c>
      <c r="FR1824" s="100">
        <v>4</v>
      </c>
      <c r="FS1824" s="100">
        <v>16</v>
      </c>
      <c r="FT1824" s="100">
        <v>5</v>
      </c>
      <c r="FU1824" s="100">
        <v>9</v>
      </c>
      <c r="FV1824" s="100">
        <v>5</v>
      </c>
      <c r="FW1824" s="100">
        <v>11</v>
      </c>
      <c r="ON1824" s="100">
        <f t="shared" si="562"/>
        <v>0</v>
      </c>
    </row>
    <row r="1825" spans="1:404" ht="23.25" customHeight="1">
      <c r="A1825" s="97" t="str">
        <f t="shared" si="570"/>
        <v>002/OBI-2166-32000-04-B</v>
      </c>
      <c r="B1825" s="95">
        <v>44409</v>
      </c>
      <c r="C1825" s="97">
        <f t="shared" ca="1" si="567"/>
        <v>-655</v>
      </c>
      <c r="D1825" s="96" t="s">
        <v>938</v>
      </c>
      <c r="E1825" s="94" t="s">
        <v>955</v>
      </c>
      <c r="F1825" s="98" t="str">
        <f t="shared" si="568"/>
        <v>B</v>
      </c>
      <c r="G1825" s="110">
        <f ca="1">SUMIF($A:E,$A1825,K:K)</f>
        <v>636</v>
      </c>
      <c r="H1825" s="97" t="s">
        <v>508</v>
      </c>
      <c r="I1825" s="98">
        <v>318</v>
      </c>
      <c r="J1825" s="97">
        <f>636-J1824</f>
        <v>318</v>
      </c>
      <c r="K1825" s="143">
        <f t="shared" si="561"/>
        <v>318</v>
      </c>
      <c r="L1825" s="144">
        <f t="shared" si="572"/>
        <v>0</v>
      </c>
      <c r="M1825" s="275">
        <f t="shared" si="559"/>
        <v>318</v>
      </c>
      <c r="N1825" s="98">
        <v>2</v>
      </c>
      <c r="O1825" s="93">
        <f t="shared" si="571"/>
        <v>100</v>
      </c>
      <c r="DN1825" s="101">
        <v>1</v>
      </c>
      <c r="DO1825" s="101">
        <v>4</v>
      </c>
      <c r="DP1825" s="101">
        <v>2</v>
      </c>
      <c r="DR1825" s="101">
        <v>4</v>
      </c>
      <c r="DS1825" s="100">
        <v>2</v>
      </c>
      <c r="DT1825" s="100">
        <v>2</v>
      </c>
      <c r="DU1825" s="100">
        <v>9</v>
      </c>
      <c r="DV1825" s="100">
        <v>3</v>
      </c>
      <c r="DY1825" s="100">
        <v>6</v>
      </c>
      <c r="DZ1825" s="100">
        <v>6</v>
      </c>
      <c r="EA1825" s="100">
        <v>3</v>
      </c>
      <c r="EC1825" s="100">
        <v>8</v>
      </c>
      <c r="ED1825" s="100">
        <v>8</v>
      </c>
      <c r="EF1825" s="100">
        <v>3</v>
      </c>
      <c r="EH1825" s="100">
        <v>12</v>
      </c>
      <c r="EI1825" s="100">
        <v>6</v>
      </c>
      <c r="EJ1825" s="100">
        <v>3</v>
      </c>
      <c r="EK1825" s="100">
        <v>6</v>
      </c>
      <c r="EM1825" s="100">
        <v>8</v>
      </c>
      <c r="EN1825" s="100">
        <v>4</v>
      </c>
      <c r="EO1825" s="100">
        <v>7</v>
      </c>
      <c r="EP1825" s="100">
        <v>5</v>
      </c>
      <c r="EQ1825" s="100">
        <v>4</v>
      </c>
      <c r="ER1825" s="100">
        <v>2</v>
      </c>
      <c r="ET1825" s="100">
        <v>4</v>
      </c>
      <c r="EU1825" s="100">
        <v>7</v>
      </c>
      <c r="EV1825" s="100">
        <v>10</v>
      </c>
      <c r="EW1825" s="100">
        <v>2</v>
      </c>
      <c r="EX1825" s="100">
        <v>13</v>
      </c>
      <c r="EY1825" s="100">
        <v>9</v>
      </c>
      <c r="FA1825" s="100">
        <v>3</v>
      </c>
      <c r="FC1825" s="100">
        <v>6</v>
      </c>
      <c r="FD1825" s="100">
        <v>8</v>
      </c>
      <c r="FE1825" s="100">
        <v>9</v>
      </c>
      <c r="FF1825" s="100">
        <v>10</v>
      </c>
      <c r="FH1825" s="100">
        <v>9</v>
      </c>
      <c r="FI1825" s="100">
        <v>5</v>
      </c>
      <c r="FJ1825" s="100">
        <v>7</v>
      </c>
      <c r="FK1825" s="100">
        <v>14</v>
      </c>
      <c r="FL1825" s="100">
        <v>9</v>
      </c>
      <c r="FM1825" s="100">
        <v>10</v>
      </c>
      <c r="FO1825" s="100">
        <v>9</v>
      </c>
      <c r="FP1825" s="100">
        <v>8</v>
      </c>
      <c r="FQ1825" s="100">
        <v>10</v>
      </c>
      <c r="FS1825" s="100">
        <v>18</v>
      </c>
      <c r="FT1825" s="100">
        <v>7</v>
      </c>
      <c r="FU1825" s="100">
        <v>9</v>
      </c>
      <c r="FV1825" s="100">
        <v>4</v>
      </c>
      <c r="ON1825" s="100">
        <f t="shared" si="562"/>
        <v>0</v>
      </c>
    </row>
    <row r="1826" spans="1:404" ht="23.25" customHeight="1">
      <c r="A1826" s="97"/>
      <c r="B1826" s="95">
        <v>44416</v>
      </c>
      <c r="C1826" s="97">
        <f t="shared" ca="1" si="567"/>
        <v>-648</v>
      </c>
      <c r="D1826" s="112" t="s">
        <v>1047</v>
      </c>
      <c r="E1826" s="123" t="s">
        <v>955</v>
      </c>
      <c r="F1826" s="98" t="str">
        <f t="shared" si="568"/>
        <v>B</v>
      </c>
      <c r="G1826" s="110">
        <f ca="1">SUMIF($A:E,$A1826,K:K)</f>
        <v>4</v>
      </c>
      <c r="H1826" s="97" t="s">
        <v>616</v>
      </c>
      <c r="I1826" s="98">
        <v>52</v>
      </c>
      <c r="J1826" s="115">
        <v>152</v>
      </c>
      <c r="K1826" s="143">
        <f t="shared" si="561"/>
        <v>152</v>
      </c>
      <c r="L1826" s="144">
        <f t="shared" si="572"/>
        <v>0</v>
      </c>
      <c r="M1826" s="275">
        <f t="shared" si="559"/>
        <v>52</v>
      </c>
      <c r="N1826" s="98">
        <v>1</v>
      </c>
      <c r="O1826" s="93">
        <f t="shared" si="571"/>
        <v>100</v>
      </c>
      <c r="FW1826" s="100">
        <v>5</v>
      </c>
      <c r="FX1826" s="100">
        <v>4</v>
      </c>
      <c r="FZ1826" s="100">
        <v>9</v>
      </c>
      <c r="GA1826" s="100">
        <v>9</v>
      </c>
      <c r="GB1826" s="100">
        <v>9</v>
      </c>
      <c r="GC1826" s="100">
        <v>3</v>
      </c>
      <c r="GD1826" s="100">
        <v>8</v>
      </c>
      <c r="GE1826" s="100">
        <v>7</v>
      </c>
      <c r="GG1826" s="100">
        <v>4</v>
      </c>
      <c r="GI1826" s="100">
        <v>6</v>
      </c>
      <c r="GK1826" s="100">
        <v>13</v>
      </c>
      <c r="GL1826" s="100">
        <v>8</v>
      </c>
      <c r="GN1826" s="100">
        <v>10</v>
      </c>
      <c r="GO1826" s="100">
        <v>7</v>
      </c>
      <c r="GP1826" s="100">
        <v>3</v>
      </c>
      <c r="GQ1826" s="100">
        <v>13</v>
      </c>
      <c r="GS1826" s="100">
        <v>5</v>
      </c>
      <c r="GU1826" s="100">
        <v>8</v>
      </c>
      <c r="GV1826" s="100">
        <v>9</v>
      </c>
      <c r="GW1826" s="100">
        <v>4</v>
      </c>
      <c r="GX1826" s="100">
        <v>4</v>
      </c>
      <c r="GY1826" s="100">
        <v>2</v>
      </c>
      <c r="HC1826" s="100">
        <v>2</v>
      </c>
      <c r="ON1826" s="100">
        <f t="shared" si="562"/>
        <v>0</v>
      </c>
    </row>
    <row r="1827" spans="1:404" ht="23.25" customHeight="1">
      <c r="A1827" s="97" t="str">
        <f>D1827&amp;E1827</f>
        <v>002T/OBI-2166-32000-04-B</v>
      </c>
      <c r="B1827" s="95">
        <v>44416</v>
      </c>
      <c r="C1827" s="97">
        <f t="shared" ca="1" si="567"/>
        <v>-648</v>
      </c>
      <c r="D1827" s="112" t="s">
        <v>1047</v>
      </c>
      <c r="E1827" s="123" t="s">
        <v>955</v>
      </c>
      <c r="F1827" s="98" t="str">
        <f t="shared" ref="F1827:F1858" si="573">MID(E1827,13,2)</f>
        <v>B</v>
      </c>
      <c r="G1827" s="110">
        <f ca="1">SUMIF($A:E,$A1827,K:K)</f>
        <v>200</v>
      </c>
      <c r="H1827" s="97" t="s">
        <v>616</v>
      </c>
      <c r="I1827" s="98">
        <v>200</v>
      </c>
      <c r="J1827" s="115">
        <f>352-J1826</f>
        <v>200</v>
      </c>
      <c r="K1827" s="143">
        <f t="shared" si="561"/>
        <v>200</v>
      </c>
      <c r="L1827" s="144">
        <f t="shared" si="572"/>
        <v>0</v>
      </c>
      <c r="M1827" s="275">
        <f t="shared" si="559"/>
        <v>200</v>
      </c>
      <c r="N1827" s="98">
        <v>2</v>
      </c>
      <c r="O1827" s="93">
        <f t="shared" si="571"/>
        <v>100</v>
      </c>
      <c r="FV1827" s="100">
        <v>6</v>
      </c>
      <c r="FW1827" s="100">
        <v>8</v>
      </c>
      <c r="FX1827" s="100">
        <v>4</v>
      </c>
      <c r="GA1827" s="100">
        <v>22</v>
      </c>
      <c r="GB1827" s="100">
        <v>3</v>
      </c>
      <c r="GD1827" s="100">
        <v>3</v>
      </c>
      <c r="GE1827" s="100">
        <v>15</v>
      </c>
      <c r="GG1827" s="100">
        <v>16</v>
      </c>
      <c r="GH1827" s="100">
        <v>5</v>
      </c>
      <c r="GI1827" s="100">
        <v>4</v>
      </c>
      <c r="GJ1827" s="100">
        <v>9</v>
      </c>
      <c r="GK1827" s="100">
        <v>11</v>
      </c>
      <c r="GL1827" s="100">
        <v>12</v>
      </c>
      <c r="GN1827" s="100">
        <v>3</v>
      </c>
      <c r="GO1827" s="100">
        <v>10</v>
      </c>
      <c r="GP1827" s="100">
        <v>9</v>
      </c>
      <c r="GQ1827" s="100">
        <v>7</v>
      </c>
      <c r="GR1827" s="100">
        <v>5</v>
      </c>
      <c r="GS1827" s="100">
        <v>14</v>
      </c>
      <c r="GU1827" s="100">
        <v>10</v>
      </c>
      <c r="GV1827" s="100">
        <v>3</v>
      </c>
      <c r="GW1827" s="100">
        <v>10</v>
      </c>
      <c r="GX1827" s="100">
        <v>5</v>
      </c>
      <c r="GZ1827" s="100">
        <v>4</v>
      </c>
      <c r="HC1827" s="100">
        <v>2</v>
      </c>
      <c r="ON1827" s="100">
        <f t="shared" si="562"/>
        <v>0</v>
      </c>
    </row>
    <row r="1828" spans="1:404" ht="23.25" customHeight="1">
      <c r="A1828" s="97" t="s">
        <v>1370</v>
      </c>
      <c r="B1828" s="95">
        <v>44534</v>
      </c>
      <c r="C1828" s="97">
        <f t="shared" ca="1" si="567"/>
        <v>-530</v>
      </c>
      <c r="D1828" s="112" t="s">
        <v>1400</v>
      </c>
      <c r="E1828" s="123" t="s">
        <v>955</v>
      </c>
      <c r="F1828" s="98" t="str">
        <f t="shared" si="573"/>
        <v>B</v>
      </c>
      <c r="G1828" s="110">
        <f ca="1">SUMIF($A:E,$A1828,K:K)</f>
        <v>5654</v>
      </c>
      <c r="H1828" s="97" t="s">
        <v>1402</v>
      </c>
      <c r="I1828" s="98">
        <v>64</v>
      </c>
      <c r="J1828" s="115">
        <v>64</v>
      </c>
      <c r="K1828" s="143">
        <f t="shared" si="561"/>
        <v>64</v>
      </c>
      <c r="L1828" s="144">
        <f t="shared" si="572"/>
        <v>0</v>
      </c>
      <c r="M1828" s="275">
        <f t="shared" si="559"/>
        <v>64</v>
      </c>
      <c r="N1828" s="98">
        <v>1</v>
      </c>
      <c r="O1828" s="93">
        <f t="shared" si="571"/>
        <v>100</v>
      </c>
      <c r="LG1828" s="100">
        <v>3</v>
      </c>
      <c r="LI1828" s="100">
        <v>11</v>
      </c>
      <c r="LJ1828" s="100">
        <v>1</v>
      </c>
      <c r="LK1828" s="100">
        <v>5</v>
      </c>
      <c r="LL1828" s="100">
        <v>19</v>
      </c>
      <c r="LN1828" s="100">
        <v>15</v>
      </c>
      <c r="LP1828" s="100">
        <v>10</v>
      </c>
      <c r="ON1828" s="100">
        <f t="shared" si="562"/>
        <v>0</v>
      </c>
    </row>
    <row r="1829" spans="1:404" ht="23.25" customHeight="1">
      <c r="A1829" s="97" t="str">
        <f>D1829&amp;E1829</f>
        <v>237/KHBS-21(002/OBI-21)66-32000-04-B</v>
      </c>
      <c r="B1829" s="95">
        <v>44421</v>
      </c>
      <c r="C1829" s="97">
        <f t="shared" ca="1" si="567"/>
        <v>-643</v>
      </c>
      <c r="D1829" s="112" t="s">
        <v>1621</v>
      </c>
      <c r="E1829" s="123" t="s">
        <v>955</v>
      </c>
      <c r="F1829" s="98" t="str">
        <f t="shared" si="573"/>
        <v>B</v>
      </c>
      <c r="G1829" s="110">
        <f ca="1">SUMIF($A:E,$A1829,K:K)</f>
        <v>1</v>
      </c>
      <c r="H1829" s="97" t="s">
        <v>616</v>
      </c>
      <c r="I1829" s="98">
        <v>1</v>
      </c>
      <c r="J1829" s="99">
        <v>1</v>
      </c>
      <c r="K1829" s="143">
        <f t="shared" si="561"/>
        <v>1</v>
      </c>
      <c r="L1829" s="144">
        <f t="shared" si="572"/>
        <v>0</v>
      </c>
      <c r="M1829" s="275">
        <f t="shared" si="559"/>
        <v>1</v>
      </c>
      <c r="N1829" s="98">
        <v>2</v>
      </c>
      <c r="O1829" s="93">
        <f t="shared" si="571"/>
        <v>100</v>
      </c>
      <c r="HE1829" s="100">
        <v>1</v>
      </c>
      <c r="ON1829" s="100">
        <f t="shared" si="562"/>
        <v>0</v>
      </c>
    </row>
    <row r="1830" spans="1:404" ht="23.25" customHeight="1">
      <c r="A1830" s="97" t="str">
        <f>D1830&amp;E1830</f>
        <v>250/KHBS-21(002/OBI-21)66-32000-04-B</v>
      </c>
      <c r="B1830" s="95">
        <v>44437</v>
      </c>
      <c r="C1830" s="97">
        <f t="shared" ca="1" si="567"/>
        <v>-627</v>
      </c>
      <c r="D1830" s="112" t="s">
        <v>1762</v>
      </c>
      <c r="E1830" s="123" t="s">
        <v>955</v>
      </c>
      <c r="F1830" s="98" t="str">
        <f t="shared" si="573"/>
        <v>B</v>
      </c>
      <c r="G1830" s="110">
        <f ca="1">SUMIF($A:E,$A1830,K:K)</f>
        <v>2</v>
      </c>
      <c r="H1830" s="97" t="s">
        <v>616</v>
      </c>
      <c r="I1830" s="98">
        <v>2</v>
      </c>
      <c r="J1830" s="99">
        <v>2</v>
      </c>
      <c r="K1830" s="143">
        <f t="shared" si="561"/>
        <v>2</v>
      </c>
      <c r="L1830" s="144">
        <f t="shared" si="572"/>
        <v>0</v>
      </c>
      <c r="M1830" s="275">
        <f t="shared" ref="M1830:M1883" si="574">IF(OR(MID(E1830,10,1)="0",MID(E1830,10,1)="F"),I1830,IF(OR(,MID(E1830,10,1)="S",MID(E1830,10,1)="L",MID(E1830,10,1)="B",MID(E1830,10,1)="X"),MID(E1830,11,1)*I1830,0))</f>
        <v>2</v>
      </c>
      <c r="N1830" s="98">
        <v>1</v>
      </c>
      <c r="O1830" s="93">
        <f t="shared" si="571"/>
        <v>100</v>
      </c>
      <c r="HY1830" s="100">
        <v>2</v>
      </c>
      <c r="ON1830" s="100">
        <f t="shared" si="562"/>
        <v>0</v>
      </c>
    </row>
    <row r="1831" spans="1:404" ht="23.25" customHeight="1">
      <c r="A1831" s="97" t="str">
        <f>D1831&amp;E1831</f>
        <v>252/KHBS-21(002/OBI-21)66-32000-04-B</v>
      </c>
      <c r="B1831" s="95">
        <v>44437</v>
      </c>
      <c r="C1831" s="97">
        <f t="shared" ca="1" si="567"/>
        <v>-627</v>
      </c>
      <c r="D1831" s="112" t="s">
        <v>1763</v>
      </c>
      <c r="E1831" s="94" t="s">
        <v>955</v>
      </c>
      <c r="F1831" s="98" t="str">
        <f t="shared" si="573"/>
        <v>B</v>
      </c>
      <c r="G1831" s="110">
        <f ca="1">SUMIF($A:E,$A1831,K:K)</f>
        <v>1</v>
      </c>
      <c r="H1831" s="97" t="s">
        <v>616</v>
      </c>
      <c r="I1831" s="98">
        <v>1</v>
      </c>
      <c r="J1831" s="99">
        <v>1</v>
      </c>
      <c r="K1831" s="143">
        <f t="shared" si="561"/>
        <v>1</v>
      </c>
      <c r="L1831" s="144">
        <f t="shared" si="572"/>
        <v>0</v>
      </c>
      <c r="M1831" s="275">
        <f t="shared" si="574"/>
        <v>1</v>
      </c>
      <c r="N1831" s="98">
        <v>1</v>
      </c>
      <c r="O1831" s="93">
        <f t="shared" si="571"/>
        <v>100</v>
      </c>
      <c r="HW1831" s="100">
        <v>1</v>
      </c>
      <c r="ON1831" s="100">
        <f t="shared" si="562"/>
        <v>0</v>
      </c>
    </row>
    <row r="1832" spans="1:404" ht="23.25" customHeight="1">
      <c r="A1832" s="97" t="str">
        <f>D1832&amp;E1832</f>
        <v>002/OBI-2166-32000-03-B</v>
      </c>
      <c r="B1832" s="95">
        <v>44409</v>
      </c>
      <c r="C1832" s="97">
        <f t="shared" ca="1" si="567"/>
        <v>-655</v>
      </c>
      <c r="D1832" s="96" t="s">
        <v>938</v>
      </c>
      <c r="E1832" s="94" t="s">
        <v>954</v>
      </c>
      <c r="F1832" s="98" t="str">
        <f t="shared" si="573"/>
        <v>B</v>
      </c>
      <c r="G1832" s="110">
        <f ca="1">SUMIF($A:E,$A1832,K:K)</f>
        <v>636</v>
      </c>
      <c r="H1832" s="97" t="s">
        <v>508</v>
      </c>
      <c r="I1832" s="98">
        <v>318</v>
      </c>
      <c r="J1832" s="97">
        <v>318</v>
      </c>
      <c r="K1832" s="143">
        <f t="shared" si="561"/>
        <v>318</v>
      </c>
      <c r="L1832" s="144">
        <f t="shared" si="572"/>
        <v>0</v>
      </c>
      <c r="M1832" s="275">
        <f t="shared" si="574"/>
        <v>318</v>
      </c>
      <c r="N1832" s="98">
        <v>1</v>
      </c>
      <c r="O1832" s="93">
        <f t="shared" si="571"/>
        <v>100</v>
      </c>
      <c r="DO1832" s="101">
        <v>2</v>
      </c>
      <c r="DP1832" s="101">
        <v>1</v>
      </c>
      <c r="DR1832" s="101">
        <v>4</v>
      </c>
      <c r="DS1832" s="100">
        <v>3</v>
      </c>
      <c r="DT1832" s="100">
        <v>4</v>
      </c>
      <c r="DU1832" s="100">
        <v>3</v>
      </c>
      <c r="DV1832" s="100">
        <v>7</v>
      </c>
      <c r="DW1832" s="100">
        <v>5</v>
      </c>
      <c r="DY1832" s="100">
        <v>5</v>
      </c>
      <c r="DZ1832" s="100">
        <v>2</v>
      </c>
      <c r="EA1832" s="100">
        <v>7</v>
      </c>
      <c r="EC1832" s="100">
        <v>2</v>
      </c>
      <c r="ED1832" s="100">
        <v>9</v>
      </c>
      <c r="EG1832" s="100">
        <v>11</v>
      </c>
      <c r="EH1832" s="100">
        <v>2</v>
      </c>
      <c r="EI1832" s="100">
        <v>4</v>
      </c>
      <c r="EJ1832" s="100">
        <v>10</v>
      </c>
      <c r="EM1832" s="100">
        <v>14</v>
      </c>
      <c r="EN1832" s="100">
        <v>5</v>
      </c>
      <c r="EO1832" s="100">
        <v>5</v>
      </c>
      <c r="EP1832" s="100">
        <v>5</v>
      </c>
      <c r="EQ1832" s="100">
        <v>5</v>
      </c>
      <c r="ER1832" s="100">
        <v>5</v>
      </c>
      <c r="EU1832" s="100">
        <v>7</v>
      </c>
      <c r="EV1832" s="100">
        <v>8</v>
      </c>
      <c r="EW1832" s="100">
        <v>5</v>
      </c>
      <c r="EX1832" s="100">
        <v>5</v>
      </c>
      <c r="EY1832" s="100">
        <v>7</v>
      </c>
      <c r="FA1832" s="100">
        <v>8</v>
      </c>
      <c r="FB1832" s="100">
        <v>8</v>
      </c>
      <c r="FD1832" s="100">
        <v>4</v>
      </c>
      <c r="FE1832" s="100">
        <v>15</v>
      </c>
      <c r="FH1832" s="100">
        <v>9</v>
      </c>
      <c r="FI1832" s="100">
        <v>5</v>
      </c>
      <c r="FJ1832" s="100">
        <v>1</v>
      </c>
      <c r="FK1832" s="100">
        <v>18</v>
      </c>
      <c r="FL1832" s="100">
        <v>5</v>
      </c>
      <c r="FM1832" s="100">
        <v>10</v>
      </c>
      <c r="FO1832" s="100">
        <v>10</v>
      </c>
      <c r="FP1832" s="100">
        <v>13</v>
      </c>
      <c r="FQ1832" s="100">
        <v>10</v>
      </c>
      <c r="FR1832" s="100">
        <v>4</v>
      </c>
      <c r="FS1832" s="100">
        <v>16</v>
      </c>
      <c r="FT1832" s="100">
        <v>5</v>
      </c>
      <c r="FU1832" s="100">
        <v>9</v>
      </c>
      <c r="FV1832" s="100">
        <v>5</v>
      </c>
      <c r="FW1832" s="100">
        <v>11</v>
      </c>
      <c r="ON1832" s="100">
        <f t="shared" si="562"/>
        <v>0</v>
      </c>
    </row>
    <row r="1833" spans="1:404" ht="23.25" customHeight="1">
      <c r="A1833" s="97" t="str">
        <f>D1833&amp;E1833</f>
        <v>002/OBI-2166-32000-03-B</v>
      </c>
      <c r="B1833" s="95">
        <v>44409</v>
      </c>
      <c r="C1833" s="97">
        <f t="shared" ca="1" si="567"/>
        <v>-655</v>
      </c>
      <c r="D1833" s="96" t="s">
        <v>938</v>
      </c>
      <c r="E1833" s="94" t="s">
        <v>954</v>
      </c>
      <c r="F1833" s="98" t="str">
        <f t="shared" si="573"/>
        <v>B</v>
      </c>
      <c r="G1833" s="110">
        <f ca="1">SUMIF($A:E,$A1833,K:K)</f>
        <v>636</v>
      </c>
      <c r="H1833" s="97" t="s">
        <v>508</v>
      </c>
      <c r="I1833" s="98">
        <v>318</v>
      </c>
      <c r="J1833" s="97">
        <v>318</v>
      </c>
      <c r="K1833" s="143">
        <f t="shared" si="561"/>
        <v>318</v>
      </c>
      <c r="L1833" s="144">
        <f t="shared" si="572"/>
        <v>0</v>
      </c>
      <c r="M1833" s="275">
        <f t="shared" si="574"/>
        <v>318</v>
      </c>
      <c r="N1833" s="98">
        <v>2</v>
      </c>
      <c r="O1833" s="93">
        <f t="shared" si="571"/>
        <v>100</v>
      </c>
      <c r="DN1833" s="101">
        <v>1</v>
      </c>
      <c r="DO1833" s="101">
        <v>4</v>
      </c>
      <c r="DP1833" s="101">
        <v>2</v>
      </c>
      <c r="DR1833" s="101">
        <v>4</v>
      </c>
      <c r="DS1833" s="100">
        <v>2</v>
      </c>
      <c r="DT1833" s="100">
        <v>2</v>
      </c>
      <c r="DU1833" s="100">
        <v>9</v>
      </c>
      <c r="DV1833" s="100">
        <v>3</v>
      </c>
      <c r="DY1833" s="100">
        <v>6</v>
      </c>
      <c r="DZ1833" s="100">
        <v>6</v>
      </c>
      <c r="EA1833" s="100">
        <v>3</v>
      </c>
      <c r="EC1833" s="100">
        <v>8</v>
      </c>
      <c r="ED1833" s="100">
        <v>8</v>
      </c>
      <c r="EF1833" s="100">
        <v>3</v>
      </c>
      <c r="EH1833" s="100">
        <v>12</v>
      </c>
      <c r="EI1833" s="100">
        <v>6</v>
      </c>
      <c r="EJ1833" s="100">
        <v>3</v>
      </c>
      <c r="EK1833" s="100">
        <v>6</v>
      </c>
      <c r="EM1833" s="100">
        <v>8</v>
      </c>
      <c r="EN1833" s="100">
        <v>4</v>
      </c>
      <c r="EO1833" s="100">
        <v>7</v>
      </c>
      <c r="EP1833" s="100">
        <v>5</v>
      </c>
      <c r="EQ1833" s="100">
        <v>4</v>
      </c>
      <c r="ER1833" s="100">
        <v>2</v>
      </c>
      <c r="ET1833" s="100">
        <v>4</v>
      </c>
      <c r="EU1833" s="100">
        <v>7</v>
      </c>
      <c r="EV1833" s="100">
        <v>10</v>
      </c>
      <c r="EW1833" s="100">
        <v>2</v>
      </c>
      <c r="EX1833" s="100">
        <v>13</v>
      </c>
      <c r="EY1833" s="100">
        <v>9</v>
      </c>
      <c r="FA1833" s="100">
        <v>3</v>
      </c>
      <c r="FB1833" s="100">
        <v>4</v>
      </c>
      <c r="FC1833" s="100">
        <v>6</v>
      </c>
      <c r="FD1833" s="100">
        <v>8</v>
      </c>
      <c r="FE1833" s="100">
        <v>5</v>
      </c>
      <c r="FF1833" s="100">
        <v>10</v>
      </c>
      <c r="FH1833" s="100">
        <v>9</v>
      </c>
      <c r="FI1833" s="100">
        <v>5</v>
      </c>
      <c r="FJ1833" s="100">
        <v>7</v>
      </c>
      <c r="FK1833" s="100">
        <v>14</v>
      </c>
      <c r="FL1833" s="100">
        <v>9</v>
      </c>
      <c r="FM1833" s="100">
        <v>10</v>
      </c>
      <c r="FO1833" s="100">
        <v>9</v>
      </c>
      <c r="FP1833" s="100">
        <v>8</v>
      </c>
      <c r="FQ1833" s="100">
        <v>10</v>
      </c>
      <c r="FS1833" s="100">
        <v>18</v>
      </c>
      <c r="FT1833" s="100">
        <v>7</v>
      </c>
      <c r="FU1833" s="100">
        <v>9</v>
      </c>
      <c r="FV1833" s="100">
        <v>4</v>
      </c>
      <c r="ON1833" s="100">
        <f t="shared" si="562"/>
        <v>0</v>
      </c>
    </row>
    <row r="1834" spans="1:404" ht="23.25" customHeight="1">
      <c r="A1834" s="97"/>
      <c r="B1834" s="95">
        <v>44416</v>
      </c>
      <c r="C1834" s="97">
        <f t="shared" ca="1" si="567"/>
        <v>-648</v>
      </c>
      <c r="D1834" s="112" t="s">
        <v>1047</v>
      </c>
      <c r="E1834" s="123" t="s">
        <v>954</v>
      </c>
      <c r="F1834" s="98" t="str">
        <f t="shared" si="573"/>
        <v>B</v>
      </c>
      <c r="G1834" s="110">
        <f ca="1">SUMIF($A:E,$A1834,K:K)</f>
        <v>4</v>
      </c>
      <c r="H1834" s="97" t="s">
        <v>616</v>
      </c>
      <c r="I1834" s="98">
        <v>152</v>
      </c>
      <c r="J1834" s="115">
        <v>152</v>
      </c>
      <c r="K1834" s="143">
        <f t="shared" si="561"/>
        <v>152</v>
      </c>
      <c r="L1834" s="144">
        <f t="shared" si="572"/>
        <v>0</v>
      </c>
      <c r="M1834" s="275">
        <f t="shared" si="574"/>
        <v>152</v>
      </c>
      <c r="N1834" s="98">
        <v>1</v>
      </c>
      <c r="O1834" s="93">
        <f t="shared" si="571"/>
        <v>100</v>
      </c>
      <c r="FW1834" s="100">
        <v>5</v>
      </c>
      <c r="FX1834" s="100">
        <v>4</v>
      </c>
      <c r="FZ1834" s="100">
        <v>9</v>
      </c>
      <c r="GA1834" s="100">
        <v>9</v>
      </c>
      <c r="GB1834" s="100">
        <v>9</v>
      </c>
      <c r="GC1834" s="100">
        <v>3</v>
      </c>
      <c r="GD1834" s="100">
        <v>8</v>
      </c>
      <c r="GE1834" s="100">
        <v>7</v>
      </c>
      <c r="GG1834" s="100">
        <v>4</v>
      </c>
      <c r="GH1834" s="100">
        <v>4</v>
      </c>
      <c r="GI1834" s="100">
        <v>6</v>
      </c>
      <c r="GK1834" s="100">
        <v>13</v>
      </c>
      <c r="GL1834" s="100">
        <v>8</v>
      </c>
      <c r="GN1834" s="100">
        <v>10</v>
      </c>
      <c r="GO1834" s="100">
        <v>7</v>
      </c>
      <c r="GP1834" s="100">
        <v>3</v>
      </c>
      <c r="GQ1834" s="100">
        <v>10</v>
      </c>
      <c r="GS1834" s="100">
        <v>5</v>
      </c>
      <c r="GU1834" s="100">
        <v>8</v>
      </c>
      <c r="GV1834" s="100">
        <v>9</v>
      </c>
      <c r="GW1834" s="100">
        <v>3</v>
      </c>
      <c r="GX1834" s="100">
        <v>4</v>
      </c>
      <c r="GY1834" s="100">
        <v>2</v>
      </c>
      <c r="HC1834" s="100">
        <v>2</v>
      </c>
      <c r="ON1834" s="100">
        <f t="shared" si="562"/>
        <v>0</v>
      </c>
    </row>
    <row r="1835" spans="1:404" ht="23.25" customHeight="1">
      <c r="A1835" s="97" t="str">
        <f>D1835&amp;E1835</f>
        <v>002T/OBI-2166-32000-03-B</v>
      </c>
      <c r="B1835" s="95">
        <v>44416</v>
      </c>
      <c r="C1835" s="97">
        <f t="shared" ca="1" si="567"/>
        <v>-648</v>
      </c>
      <c r="D1835" s="112" t="s">
        <v>1047</v>
      </c>
      <c r="E1835" s="123" t="s">
        <v>954</v>
      </c>
      <c r="F1835" s="98" t="str">
        <f t="shared" si="573"/>
        <v>B</v>
      </c>
      <c r="G1835" s="110">
        <f ca="1">SUMIF($A:E,$A1835,K:K)</f>
        <v>200</v>
      </c>
      <c r="H1835" s="97" t="s">
        <v>616</v>
      </c>
      <c r="I1835" s="98">
        <v>200</v>
      </c>
      <c r="J1835" s="115">
        <f>352-J1834</f>
        <v>200</v>
      </c>
      <c r="K1835" s="143">
        <f t="shared" si="561"/>
        <v>200</v>
      </c>
      <c r="L1835" s="144">
        <f t="shared" si="572"/>
        <v>0</v>
      </c>
      <c r="M1835" s="275">
        <f t="shared" si="574"/>
        <v>200</v>
      </c>
      <c r="N1835" s="98">
        <v>2</v>
      </c>
      <c r="O1835" s="93">
        <f t="shared" si="571"/>
        <v>100</v>
      </c>
      <c r="FV1835" s="100">
        <v>6</v>
      </c>
      <c r="FW1835" s="100">
        <v>8</v>
      </c>
      <c r="FX1835" s="100">
        <v>4</v>
      </c>
      <c r="GA1835" s="100">
        <v>22</v>
      </c>
      <c r="GB1835" s="100">
        <v>3</v>
      </c>
      <c r="GD1835" s="100">
        <v>3</v>
      </c>
      <c r="GE1835" s="100">
        <v>15</v>
      </c>
      <c r="GG1835" s="100">
        <v>16</v>
      </c>
      <c r="GH1835" s="100">
        <v>5</v>
      </c>
      <c r="GI1835" s="100">
        <v>4</v>
      </c>
      <c r="GJ1835" s="100">
        <v>9</v>
      </c>
      <c r="GK1835" s="100">
        <v>11</v>
      </c>
      <c r="GL1835" s="100">
        <v>12</v>
      </c>
      <c r="GN1835" s="100">
        <v>3</v>
      </c>
      <c r="GO1835" s="100">
        <v>10</v>
      </c>
      <c r="GP1835" s="100">
        <v>9</v>
      </c>
      <c r="GQ1835" s="100">
        <v>7</v>
      </c>
      <c r="GR1835" s="100">
        <v>5</v>
      </c>
      <c r="GS1835" s="100">
        <v>14</v>
      </c>
      <c r="GU1835" s="100">
        <v>10</v>
      </c>
      <c r="GV1835" s="100">
        <v>3</v>
      </c>
      <c r="GW1835" s="100">
        <v>10</v>
      </c>
      <c r="GX1835" s="100">
        <v>5</v>
      </c>
      <c r="GZ1835" s="100">
        <v>4</v>
      </c>
      <c r="HC1835" s="100">
        <v>2</v>
      </c>
      <c r="ON1835" s="100">
        <f t="shared" si="562"/>
        <v>0</v>
      </c>
    </row>
    <row r="1836" spans="1:404" ht="23.25" customHeight="1">
      <c r="A1836" s="97" t="s">
        <v>1370</v>
      </c>
      <c r="B1836" s="95">
        <v>44534</v>
      </c>
      <c r="C1836" s="97">
        <f t="shared" ca="1" si="567"/>
        <v>-530</v>
      </c>
      <c r="D1836" s="112" t="s">
        <v>1400</v>
      </c>
      <c r="E1836" s="123" t="s">
        <v>954</v>
      </c>
      <c r="F1836" s="98" t="str">
        <f t="shared" si="573"/>
        <v>B</v>
      </c>
      <c r="G1836" s="110">
        <f ca="1">SUMIF($A:E,$A1836,K:K)</f>
        <v>5654</v>
      </c>
      <c r="H1836" s="97" t="s">
        <v>1402</v>
      </c>
      <c r="I1836" s="98">
        <v>64</v>
      </c>
      <c r="J1836" s="115">
        <v>64</v>
      </c>
      <c r="K1836" s="143">
        <f t="shared" si="561"/>
        <v>64</v>
      </c>
      <c r="L1836" s="144">
        <f t="shared" si="572"/>
        <v>0</v>
      </c>
      <c r="M1836" s="275">
        <f t="shared" si="574"/>
        <v>64</v>
      </c>
      <c r="N1836" s="98">
        <v>1</v>
      </c>
      <c r="O1836" s="93">
        <f t="shared" si="571"/>
        <v>100</v>
      </c>
      <c r="LG1836" s="100">
        <v>3</v>
      </c>
      <c r="LI1836" s="100">
        <v>11</v>
      </c>
      <c r="LJ1836" s="100">
        <v>1</v>
      </c>
      <c r="LK1836" s="100">
        <v>5</v>
      </c>
      <c r="LL1836" s="100">
        <v>19</v>
      </c>
      <c r="LN1836" s="100">
        <v>15</v>
      </c>
      <c r="LP1836" s="100">
        <v>10</v>
      </c>
      <c r="ON1836" s="100">
        <f t="shared" si="562"/>
        <v>0</v>
      </c>
    </row>
    <row r="1837" spans="1:404" ht="23.25" customHeight="1">
      <c r="A1837" s="97" t="str">
        <f>D1837&amp;E1837</f>
        <v>002/OBI-2166-32000-02-B</v>
      </c>
      <c r="B1837" s="95">
        <v>44409</v>
      </c>
      <c r="C1837" s="97">
        <f t="shared" ca="1" si="567"/>
        <v>-655</v>
      </c>
      <c r="D1837" s="96" t="s">
        <v>938</v>
      </c>
      <c r="E1837" s="94" t="s">
        <v>953</v>
      </c>
      <c r="F1837" s="98" t="str">
        <f t="shared" si="573"/>
        <v>B</v>
      </c>
      <c r="G1837" s="110">
        <f ca="1">SUMIF($A:E,$A1837,K:K)</f>
        <v>636</v>
      </c>
      <c r="H1837" s="97" t="s">
        <v>508</v>
      </c>
      <c r="I1837" s="98">
        <v>318</v>
      </c>
      <c r="J1837" s="97">
        <v>318</v>
      </c>
      <c r="K1837" s="143">
        <f t="shared" si="561"/>
        <v>318</v>
      </c>
      <c r="L1837" s="144">
        <f t="shared" si="572"/>
        <v>0</v>
      </c>
      <c r="M1837" s="275">
        <f t="shared" si="574"/>
        <v>318</v>
      </c>
      <c r="N1837" s="98">
        <v>1</v>
      </c>
      <c r="O1837" s="93">
        <f t="shared" si="571"/>
        <v>100</v>
      </c>
      <c r="DO1837" s="101">
        <v>2</v>
      </c>
      <c r="DP1837" s="101">
        <v>1</v>
      </c>
      <c r="DR1837" s="101">
        <v>4</v>
      </c>
      <c r="DS1837" s="100">
        <v>3</v>
      </c>
      <c r="DT1837" s="100">
        <v>4</v>
      </c>
      <c r="DU1837" s="100">
        <v>3</v>
      </c>
      <c r="DV1837" s="100">
        <v>7</v>
      </c>
      <c r="DW1837" s="100">
        <v>5</v>
      </c>
      <c r="DY1837" s="100">
        <v>5</v>
      </c>
      <c r="DZ1837" s="100">
        <v>2</v>
      </c>
      <c r="EA1837" s="100">
        <v>7</v>
      </c>
      <c r="EC1837" s="100">
        <v>2</v>
      </c>
      <c r="ED1837" s="100">
        <v>9</v>
      </c>
      <c r="EG1837" s="100">
        <v>11</v>
      </c>
      <c r="EH1837" s="100">
        <v>2</v>
      </c>
      <c r="EI1837" s="100">
        <v>4</v>
      </c>
      <c r="EJ1837" s="100">
        <v>10</v>
      </c>
      <c r="EM1837" s="100">
        <v>14</v>
      </c>
      <c r="EN1837" s="100">
        <v>5</v>
      </c>
      <c r="EO1837" s="100">
        <v>5</v>
      </c>
      <c r="EP1837" s="100">
        <v>5</v>
      </c>
      <c r="EQ1837" s="100">
        <v>5</v>
      </c>
      <c r="ER1837" s="100">
        <v>5</v>
      </c>
      <c r="EU1837" s="100">
        <v>7</v>
      </c>
      <c r="EV1837" s="100">
        <v>8</v>
      </c>
      <c r="EW1837" s="100">
        <v>5</v>
      </c>
      <c r="EX1837" s="100">
        <v>5</v>
      </c>
      <c r="EY1837" s="100">
        <v>7</v>
      </c>
      <c r="FA1837" s="100">
        <v>8</v>
      </c>
      <c r="FB1837" s="100">
        <v>8</v>
      </c>
      <c r="FD1837" s="100">
        <v>4</v>
      </c>
      <c r="FE1837" s="100">
        <v>15</v>
      </c>
      <c r="FH1837" s="100">
        <v>9</v>
      </c>
      <c r="FI1837" s="100">
        <v>5</v>
      </c>
      <c r="FJ1837" s="100">
        <v>1</v>
      </c>
      <c r="FK1837" s="100">
        <v>18</v>
      </c>
      <c r="FL1837" s="100">
        <v>5</v>
      </c>
      <c r="FM1837" s="100">
        <v>10</v>
      </c>
      <c r="FO1837" s="100">
        <v>10</v>
      </c>
      <c r="FP1837" s="100">
        <v>13</v>
      </c>
      <c r="FQ1837" s="100">
        <v>10</v>
      </c>
      <c r="FR1837" s="100">
        <v>4</v>
      </c>
      <c r="FS1837" s="100">
        <v>16</v>
      </c>
      <c r="FT1837" s="100">
        <v>5</v>
      </c>
      <c r="FU1837" s="100">
        <v>9</v>
      </c>
      <c r="FV1837" s="100">
        <v>5</v>
      </c>
      <c r="FW1837" s="100">
        <v>11</v>
      </c>
      <c r="ON1837" s="100">
        <f t="shared" si="562"/>
        <v>0</v>
      </c>
    </row>
    <row r="1838" spans="1:404" ht="23.25" customHeight="1">
      <c r="A1838" s="97" t="str">
        <f>D1838&amp;E1838</f>
        <v>002/OBI-2166-32000-02-B</v>
      </c>
      <c r="B1838" s="95">
        <v>44409</v>
      </c>
      <c r="C1838" s="97">
        <f t="shared" ca="1" si="567"/>
        <v>-655</v>
      </c>
      <c r="D1838" s="96" t="s">
        <v>938</v>
      </c>
      <c r="E1838" s="94" t="s">
        <v>953</v>
      </c>
      <c r="F1838" s="98" t="str">
        <f t="shared" si="573"/>
        <v>B</v>
      </c>
      <c r="G1838" s="110">
        <f ca="1">SUMIF($A:E,$A1838,K:K)</f>
        <v>636</v>
      </c>
      <c r="H1838" s="97" t="s">
        <v>508</v>
      </c>
      <c r="I1838" s="98">
        <v>318</v>
      </c>
      <c r="J1838" s="97">
        <f>636-J1837</f>
        <v>318</v>
      </c>
      <c r="K1838" s="143">
        <f t="shared" si="561"/>
        <v>318</v>
      </c>
      <c r="L1838" s="144">
        <f t="shared" si="572"/>
        <v>0</v>
      </c>
      <c r="M1838" s="275">
        <f t="shared" si="574"/>
        <v>318</v>
      </c>
      <c r="N1838" s="98">
        <v>2</v>
      </c>
      <c r="O1838" s="93">
        <f t="shared" si="571"/>
        <v>100</v>
      </c>
      <c r="DN1838" s="101">
        <v>1</v>
      </c>
      <c r="DO1838" s="101">
        <v>4</v>
      </c>
      <c r="DP1838" s="101">
        <v>2</v>
      </c>
      <c r="DR1838" s="101">
        <v>4</v>
      </c>
      <c r="DS1838" s="100">
        <v>2</v>
      </c>
      <c r="DT1838" s="100">
        <v>2</v>
      </c>
      <c r="DU1838" s="100">
        <v>9</v>
      </c>
      <c r="DV1838" s="100">
        <v>3</v>
      </c>
      <c r="DY1838" s="100">
        <v>6</v>
      </c>
      <c r="DZ1838" s="100">
        <v>6</v>
      </c>
      <c r="EA1838" s="100">
        <v>3</v>
      </c>
      <c r="EC1838" s="100">
        <v>8</v>
      </c>
      <c r="ED1838" s="100">
        <v>8</v>
      </c>
      <c r="EF1838" s="100">
        <v>3</v>
      </c>
      <c r="EH1838" s="100">
        <v>12</v>
      </c>
      <c r="EI1838" s="100">
        <v>6</v>
      </c>
      <c r="EJ1838" s="100">
        <v>3</v>
      </c>
      <c r="EK1838" s="100">
        <v>6</v>
      </c>
      <c r="EM1838" s="100">
        <v>8</v>
      </c>
      <c r="EN1838" s="100">
        <v>4</v>
      </c>
      <c r="EO1838" s="100">
        <v>7</v>
      </c>
      <c r="EP1838" s="100">
        <v>5</v>
      </c>
      <c r="EQ1838" s="100">
        <v>4</v>
      </c>
      <c r="ER1838" s="100">
        <v>2</v>
      </c>
      <c r="ET1838" s="100">
        <v>4</v>
      </c>
      <c r="EU1838" s="100">
        <v>7</v>
      </c>
      <c r="EV1838" s="100">
        <v>10</v>
      </c>
      <c r="EW1838" s="100">
        <v>2</v>
      </c>
      <c r="EX1838" s="100">
        <v>13</v>
      </c>
      <c r="EY1838" s="100">
        <v>9</v>
      </c>
      <c r="FA1838" s="100">
        <v>3</v>
      </c>
      <c r="FB1838" s="100">
        <v>4</v>
      </c>
      <c r="FC1838" s="100">
        <v>6</v>
      </c>
      <c r="FD1838" s="100">
        <v>8</v>
      </c>
      <c r="FE1838" s="100">
        <v>5</v>
      </c>
      <c r="FF1838" s="100">
        <v>10</v>
      </c>
      <c r="FH1838" s="100">
        <v>9</v>
      </c>
      <c r="FI1838" s="100">
        <v>5</v>
      </c>
      <c r="FJ1838" s="100">
        <v>7</v>
      </c>
      <c r="FK1838" s="100">
        <v>14</v>
      </c>
      <c r="FL1838" s="100">
        <v>9</v>
      </c>
      <c r="FM1838" s="100">
        <v>10</v>
      </c>
      <c r="FO1838" s="100">
        <v>9</v>
      </c>
      <c r="FP1838" s="100">
        <v>8</v>
      </c>
      <c r="FQ1838" s="100">
        <v>10</v>
      </c>
      <c r="FS1838" s="100">
        <v>18</v>
      </c>
      <c r="FT1838" s="100">
        <v>7</v>
      </c>
      <c r="FU1838" s="100">
        <v>9</v>
      </c>
      <c r="FV1838" s="100">
        <v>4</v>
      </c>
      <c r="ON1838" s="100">
        <f t="shared" si="562"/>
        <v>0</v>
      </c>
    </row>
    <row r="1839" spans="1:404" ht="23.25" customHeight="1">
      <c r="A1839" s="97"/>
      <c r="B1839" s="95">
        <v>44416</v>
      </c>
      <c r="C1839" s="97">
        <f t="shared" ca="1" si="567"/>
        <v>-648</v>
      </c>
      <c r="D1839" s="112" t="s">
        <v>1047</v>
      </c>
      <c r="E1839" s="123" t="s">
        <v>953</v>
      </c>
      <c r="F1839" s="98" t="str">
        <f t="shared" si="573"/>
        <v>B</v>
      </c>
      <c r="G1839" s="110">
        <f ca="1">SUMIF($A:E,$A1839,K:K)</f>
        <v>4</v>
      </c>
      <c r="H1839" s="97" t="s">
        <v>616</v>
      </c>
      <c r="I1839" s="98">
        <v>152</v>
      </c>
      <c r="J1839" s="115">
        <v>152</v>
      </c>
      <c r="K1839" s="143">
        <f t="shared" si="561"/>
        <v>152</v>
      </c>
      <c r="L1839" s="144">
        <f t="shared" si="572"/>
        <v>0</v>
      </c>
      <c r="M1839" s="275">
        <f t="shared" si="574"/>
        <v>152</v>
      </c>
      <c r="N1839" s="98">
        <v>1</v>
      </c>
      <c r="O1839" s="93">
        <f t="shared" si="571"/>
        <v>100</v>
      </c>
      <c r="FW1839" s="100">
        <v>5</v>
      </c>
      <c r="FX1839" s="100">
        <v>4</v>
      </c>
      <c r="FZ1839" s="100">
        <v>9</v>
      </c>
      <c r="GA1839" s="100">
        <v>9</v>
      </c>
      <c r="GB1839" s="100">
        <v>9</v>
      </c>
      <c r="GC1839" s="100">
        <v>3</v>
      </c>
      <c r="GD1839" s="100">
        <v>8</v>
      </c>
      <c r="GE1839" s="100">
        <v>7</v>
      </c>
      <c r="GG1839" s="100">
        <v>4</v>
      </c>
      <c r="GH1839" s="100">
        <v>4</v>
      </c>
      <c r="GI1839" s="100">
        <v>6</v>
      </c>
      <c r="GK1839" s="100">
        <v>13</v>
      </c>
      <c r="GL1839" s="100">
        <v>8</v>
      </c>
      <c r="GN1839" s="100">
        <v>10</v>
      </c>
      <c r="GO1839" s="100">
        <v>7</v>
      </c>
      <c r="GP1839" s="100">
        <v>3</v>
      </c>
      <c r="GQ1839" s="100">
        <v>10</v>
      </c>
      <c r="GS1839" s="100">
        <v>5</v>
      </c>
      <c r="GU1839" s="100">
        <v>8</v>
      </c>
      <c r="GV1839" s="100">
        <v>9</v>
      </c>
      <c r="GW1839" s="100">
        <v>3</v>
      </c>
      <c r="GX1839" s="100">
        <v>4</v>
      </c>
      <c r="GY1839" s="100">
        <v>2</v>
      </c>
      <c r="HC1839" s="100">
        <v>2</v>
      </c>
      <c r="ON1839" s="100">
        <f t="shared" si="562"/>
        <v>0</v>
      </c>
    </row>
    <row r="1840" spans="1:404" ht="23.25" customHeight="1">
      <c r="A1840" s="97" t="str">
        <f>D1840&amp;E1840</f>
        <v>002T/OBI-2166-32000-02-B</v>
      </c>
      <c r="B1840" s="95">
        <v>44416</v>
      </c>
      <c r="C1840" s="97">
        <f t="shared" ca="1" si="567"/>
        <v>-648</v>
      </c>
      <c r="D1840" s="112" t="s">
        <v>1047</v>
      </c>
      <c r="E1840" s="123" t="s">
        <v>953</v>
      </c>
      <c r="F1840" s="98" t="str">
        <f t="shared" si="573"/>
        <v>B</v>
      </c>
      <c r="G1840" s="110">
        <f ca="1">SUMIF($A:E,$A1840,K:K)</f>
        <v>200</v>
      </c>
      <c r="H1840" s="97" t="s">
        <v>616</v>
      </c>
      <c r="I1840" s="98">
        <v>200</v>
      </c>
      <c r="J1840" s="115">
        <f>352-J1839</f>
        <v>200</v>
      </c>
      <c r="K1840" s="143">
        <f t="shared" si="561"/>
        <v>200</v>
      </c>
      <c r="L1840" s="144">
        <f t="shared" si="572"/>
        <v>0</v>
      </c>
      <c r="M1840" s="275">
        <f t="shared" si="574"/>
        <v>200</v>
      </c>
      <c r="N1840" s="98">
        <v>2</v>
      </c>
      <c r="O1840" s="93">
        <f t="shared" si="571"/>
        <v>100</v>
      </c>
      <c r="FV1840" s="100">
        <v>6</v>
      </c>
      <c r="FW1840" s="100">
        <v>8</v>
      </c>
      <c r="FX1840" s="100">
        <v>4</v>
      </c>
      <c r="GA1840" s="100">
        <v>22</v>
      </c>
      <c r="GB1840" s="100">
        <v>3</v>
      </c>
      <c r="GD1840" s="100">
        <v>3</v>
      </c>
      <c r="GE1840" s="100">
        <v>15</v>
      </c>
      <c r="GG1840" s="100">
        <v>16</v>
      </c>
      <c r="GH1840" s="100">
        <v>5</v>
      </c>
      <c r="GI1840" s="100">
        <v>4</v>
      </c>
      <c r="GJ1840" s="100">
        <v>9</v>
      </c>
      <c r="GK1840" s="100">
        <v>11</v>
      </c>
      <c r="GL1840" s="100">
        <v>12</v>
      </c>
      <c r="GN1840" s="100">
        <v>3</v>
      </c>
      <c r="GO1840" s="100">
        <v>10</v>
      </c>
      <c r="GP1840" s="100">
        <v>9</v>
      </c>
      <c r="GQ1840" s="100">
        <v>7</v>
      </c>
      <c r="GR1840" s="100">
        <v>5</v>
      </c>
      <c r="GS1840" s="100">
        <v>14</v>
      </c>
      <c r="GU1840" s="100">
        <v>10</v>
      </c>
      <c r="GV1840" s="100">
        <v>3</v>
      </c>
      <c r="GW1840" s="100">
        <v>10</v>
      </c>
      <c r="GX1840" s="100">
        <v>5</v>
      </c>
      <c r="GZ1840" s="100">
        <v>4</v>
      </c>
      <c r="HC1840" s="100">
        <v>2</v>
      </c>
      <c r="ON1840" s="100">
        <f t="shared" si="562"/>
        <v>0</v>
      </c>
    </row>
    <row r="1841" spans="1:404" ht="23.25" customHeight="1">
      <c r="A1841" s="97" t="s">
        <v>1370</v>
      </c>
      <c r="B1841" s="95">
        <v>44534</v>
      </c>
      <c r="C1841" s="97">
        <f t="shared" ca="1" si="567"/>
        <v>-530</v>
      </c>
      <c r="D1841" s="112" t="s">
        <v>1400</v>
      </c>
      <c r="E1841" s="123" t="s">
        <v>953</v>
      </c>
      <c r="F1841" s="98" t="str">
        <f t="shared" si="573"/>
        <v>B</v>
      </c>
      <c r="G1841" s="110">
        <f ca="1">SUMIF($A:E,$A1841,K:K)</f>
        <v>5654</v>
      </c>
      <c r="H1841" s="97" t="s">
        <v>1402</v>
      </c>
      <c r="I1841" s="98">
        <v>64</v>
      </c>
      <c r="J1841" s="115">
        <v>64</v>
      </c>
      <c r="K1841" s="143">
        <f t="shared" si="561"/>
        <v>64</v>
      </c>
      <c r="L1841" s="144">
        <f t="shared" si="572"/>
        <v>0</v>
      </c>
      <c r="M1841" s="275">
        <f t="shared" si="574"/>
        <v>64</v>
      </c>
      <c r="N1841" s="98">
        <v>1</v>
      </c>
      <c r="O1841" s="93">
        <f t="shared" si="571"/>
        <v>100</v>
      </c>
      <c r="LG1841" s="100">
        <v>3</v>
      </c>
      <c r="LI1841" s="100">
        <v>11</v>
      </c>
      <c r="LJ1841" s="100">
        <v>1</v>
      </c>
      <c r="LK1841" s="100">
        <v>5</v>
      </c>
      <c r="LL1841" s="100">
        <v>19</v>
      </c>
      <c r="LN1841" s="100">
        <v>15</v>
      </c>
      <c r="LP1841" s="100">
        <v>10</v>
      </c>
      <c r="ON1841" s="100">
        <f t="shared" si="562"/>
        <v>0</v>
      </c>
    </row>
    <row r="1842" spans="1:404" ht="23.25" customHeight="1">
      <c r="A1842" s="97" t="str">
        <f>D1842&amp;E1842</f>
        <v>226/KHBS-2166-32000-02-B</v>
      </c>
      <c r="B1842" s="95">
        <v>44404</v>
      </c>
      <c r="C1842" s="97">
        <f t="shared" ca="1" si="567"/>
        <v>-660</v>
      </c>
      <c r="D1842" s="96" t="s">
        <v>1413</v>
      </c>
      <c r="E1842" s="94" t="s">
        <v>953</v>
      </c>
      <c r="F1842" s="98" t="str">
        <f t="shared" si="573"/>
        <v>B</v>
      </c>
      <c r="G1842" s="110">
        <f ca="1">SUMIF($A:E,$A1842,K:K)</f>
        <v>1</v>
      </c>
      <c r="H1842" s="97" t="s">
        <v>616</v>
      </c>
      <c r="I1842" s="98">
        <v>1</v>
      </c>
      <c r="J1842" s="99">
        <v>1</v>
      </c>
      <c r="K1842" s="143">
        <f t="shared" si="561"/>
        <v>1</v>
      </c>
      <c r="L1842" s="144">
        <f t="shared" si="572"/>
        <v>0</v>
      </c>
      <c r="M1842" s="275">
        <f t="shared" si="574"/>
        <v>1</v>
      </c>
      <c r="N1842" s="98">
        <v>2</v>
      </c>
      <c r="O1842" s="93">
        <f t="shared" si="571"/>
        <v>100</v>
      </c>
      <c r="HB1842" s="100">
        <v>1</v>
      </c>
      <c r="ON1842" s="100">
        <f t="shared" si="562"/>
        <v>0</v>
      </c>
    </row>
    <row r="1843" spans="1:404" ht="23.25" customHeight="1">
      <c r="A1843" s="97" t="str">
        <f>D1843&amp;E1843</f>
        <v>003/ANNA-VG-21(đ2)66-32000-02-A</v>
      </c>
      <c r="B1843" s="95">
        <v>44564</v>
      </c>
      <c r="C1843" s="97">
        <f t="shared" ca="1" si="567"/>
        <v>-500</v>
      </c>
      <c r="D1843" s="112" t="s">
        <v>1638</v>
      </c>
      <c r="E1843" s="279" t="s">
        <v>1645</v>
      </c>
      <c r="F1843" s="98" t="str">
        <f t="shared" si="573"/>
        <v>A</v>
      </c>
      <c r="G1843" s="110">
        <f ca="1">SUMIF($A:E,$A1843,K:K)</f>
        <v>108</v>
      </c>
      <c r="H1843" s="112" t="s">
        <v>990</v>
      </c>
      <c r="I1843" s="98">
        <v>108</v>
      </c>
      <c r="J1843" s="115">
        <v>108</v>
      </c>
      <c r="K1843" s="143">
        <f t="shared" si="561"/>
        <v>108</v>
      </c>
      <c r="L1843" s="144">
        <f t="shared" si="572"/>
        <v>0</v>
      </c>
      <c r="M1843" s="275">
        <f t="shared" si="574"/>
        <v>108</v>
      </c>
      <c r="N1843" s="98" t="s">
        <v>1776</v>
      </c>
      <c r="O1843" s="93">
        <f t="shared" ref="O1843:O1870" si="575">K1843/J1843*100</f>
        <v>100</v>
      </c>
      <c r="MB1843" s="100">
        <v>7</v>
      </c>
      <c r="MD1843" s="100">
        <v>12</v>
      </c>
      <c r="ME1843" s="100">
        <v>8</v>
      </c>
      <c r="MF1843" s="100">
        <v>14</v>
      </c>
      <c r="MG1843" s="100">
        <v>14</v>
      </c>
      <c r="MH1843" s="100">
        <v>7</v>
      </c>
      <c r="MK1843" s="100">
        <v>7</v>
      </c>
      <c r="ML1843" s="100">
        <v>7</v>
      </c>
      <c r="MM1843" s="100">
        <v>10</v>
      </c>
      <c r="MN1843" s="100">
        <v>18</v>
      </c>
      <c r="MO1843" s="100">
        <v>3</v>
      </c>
      <c r="MP1843" s="100">
        <v>1</v>
      </c>
      <c r="ON1843" s="100">
        <f t="shared" si="562"/>
        <v>0</v>
      </c>
    </row>
    <row r="1844" spans="1:404" ht="23.25" customHeight="1">
      <c r="A1844" s="97" t="str">
        <f>D1844&amp;E1844</f>
        <v>002/OBI-2166-32000-01-B</v>
      </c>
      <c r="B1844" s="95">
        <v>44409</v>
      </c>
      <c r="C1844" s="97">
        <f t="shared" ca="1" si="567"/>
        <v>-655</v>
      </c>
      <c r="D1844" s="96" t="s">
        <v>938</v>
      </c>
      <c r="E1844" s="94" t="s">
        <v>952</v>
      </c>
      <c r="F1844" s="98" t="str">
        <f t="shared" si="573"/>
        <v>B</v>
      </c>
      <c r="G1844" s="110">
        <f ca="1">SUMIF($A:E,$A1844,K:K)</f>
        <v>636</v>
      </c>
      <c r="H1844" s="97" t="s">
        <v>508</v>
      </c>
      <c r="I1844" s="98">
        <v>318</v>
      </c>
      <c r="J1844" s="97">
        <v>318</v>
      </c>
      <c r="K1844" s="143">
        <f t="shared" si="561"/>
        <v>318</v>
      </c>
      <c r="L1844" s="144">
        <f t="shared" si="572"/>
        <v>0</v>
      </c>
      <c r="M1844" s="275">
        <f t="shared" si="574"/>
        <v>318</v>
      </c>
      <c r="N1844" s="98">
        <v>1</v>
      </c>
      <c r="O1844" s="93">
        <f t="shared" si="575"/>
        <v>100</v>
      </c>
      <c r="DO1844" s="101">
        <v>2</v>
      </c>
      <c r="DP1844" s="101">
        <v>1</v>
      </c>
      <c r="DR1844" s="101">
        <v>4</v>
      </c>
      <c r="DS1844" s="100">
        <v>3</v>
      </c>
      <c r="DT1844" s="100">
        <v>4</v>
      </c>
      <c r="DU1844" s="100">
        <v>3</v>
      </c>
      <c r="DV1844" s="100">
        <v>7</v>
      </c>
      <c r="DW1844" s="100">
        <v>5</v>
      </c>
      <c r="DY1844" s="100">
        <v>5</v>
      </c>
      <c r="DZ1844" s="100">
        <v>2</v>
      </c>
      <c r="EA1844" s="100">
        <v>7</v>
      </c>
      <c r="EC1844" s="100">
        <v>2</v>
      </c>
      <c r="ED1844" s="100">
        <v>9</v>
      </c>
      <c r="EG1844" s="100">
        <v>11</v>
      </c>
      <c r="EH1844" s="100">
        <v>2</v>
      </c>
      <c r="EI1844" s="100">
        <v>4</v>
      </c>
      <c r="EJ1844" s="100">
        <v>10</v>
      </c>
      <c r="EM1844" s="100">
        <v>14</v>
      </c>
      <c r="EN1844" s="100">
        <v>5</v>
      </c>
      <c r="EO1844" s="100">
        <v>5</v>
      </c>
      <c r="EP1844" s="100">
        <v>5</v>
      </c>
      <c r="EQ1844" s="100">
        <v>5</v>
      </c>
      <c r="ER1844" s="100">
        <v>5</v>
      </c>
      <c r="EU1844" s="100">
        <v>7</v>
      </c>
      <c r="EV1844" s="100">
        <v>8</v>
      </c>
      <c r="EW1844" s="100">
        <v>5</v>
      </c>
      <c r="EX1844" s="100">
        <v>5</v>
      </c>
      <c r="EY1844" s="100">
        <v>7</v>
      </c>
      <c r="FA1844" s="100">
        <v>8</v>
      </c>
      <c r="FB1844" s="100">
        <v>8</v>
      </c>
      <c r="FD1844" s="100">
        <v>4</v>
      </c>
      <c r="FE1844" s="100">
        <v>15</v>
      </c>
      <c r="FH1844" s="100">
        <v>9</v>
      </c>
      <c r="FI1844" s="100">
        <v>5</v>
      </c>
      <c r="FJ1844" s="100">
        <v>1</v>
      </c>
      <c r="FK1844" s="100">
        <v>18</v>
      </c>
      <c r="FL1844" s="100">
        <v>5</v>
      </c>
      <c r="FM1844" s="100">
        <v>10</v>
      </c>
      <c r="FO1844" s="100">
        <v>10</v>
      </c>
      <c r="FP1844" s="100">
        <v>13</v>
      </c>
      <c r="FQ1844" s="100">
        <v>10</v>
      </c>
      <c r="FR1844" s="100">
        <v>4</v>
      </c>
      <c r="FS1844" s="100">
        <v>16</v>
      </c>
      <c r="FT1844" s="100">
        <v>5</v>
      </c>
      <c r="FU1844" s="100">
        <v>9</v>
      </c>
      <c r="FV1844" s="100">
        <v>5</v>
      </c>
      <c r="FW1844" s="100">
        <v>11</v>
      </c>
      <c r="ON1844" s="100">
        <f t="shared" si="562"/>
        <v>0</v>
      </c>
    </row>
    <row r="1845" spans="1:404" ht="23.25" customHeight="1">
      <c r="A1845" s="97" t="str">
        <f>D1845&amp;E1845</f>
        <v>002/OBI-2166-32000-01-B</v>
      </c>
      <c r="B1845" s="95">
        <v>44409</v>
      </c>
      <c r="C1845" s="97">
        <f t="shared" ca="1" si="567"/>
        <v>-655</v>
      </c>
      <c r="D1845" s="96" t="s">
        <v>938</v>
      </c>
      <c r="E1845" s="94" t="s">
        <v>952</v>
      </c>
      <c r="F1845" s="98" t="str">
        <f t="shared" si="573"/>
        <v>B</v>
      </c>
      <c r="G1845" s="110">
        <f ca="1">SUMIF($A:E,$A1845,K:K)</f>
        <v>636</v>
      </c>
      <c r="H1845" s="97" t="s">
        <v>508</v>
      </c>
      <c r="I1845" s="98">
        <v>318</v>
      </c>
      <c r="J1845" s="97">
        <f>636-J1844</f>
        <v>318</v>
      </c>
      <c r="K1845" s="143">
        <f t="shared" si="561"/>
        <v>318</v>
      </c>
      <c r="L1845" s="144">
        <f t="shared" si="572"/>
        <v>0</v>
      </c>
      <c r="M1845" s="275">
        <f t="shared" si="574"/>
        <v>318</v>
      </c>
      <c r="N1845" s="98">
        <v>2</v>
      </c>
      <c r="O1845" s="93">
        <f t="shared" si="575"/>
        <v>100</v>
      </c>
      <c r="DN1845" s="101">
        <v>1</v>
      </c>
      <c r="DO1845" s="101">
        <v>4</v>
      </c>
      <c r="DP1845" s="101">
        <v>2</v>
      </c>
      <c r="DR1845" s="101">
        <v>4</v>
      </c>
      <c r="DS1845" s="100">
        <v>2</v>
      </c>
      <c r="DT1845" s="100">
        <v>2</v>
      </c>
      <c r="DU1845" s="100">
        <v>9</v>
      </c>
      <c r="DV1845" s="100">
        <v>3</v>
      </c>
      <c r="DY1845" s="100">
        <v>6</v>
      </c>
      <c r="DZ1845" s="100">
        <v>6</v>
      </c>
      <c r="EA1845" s="100">
        <v>3</v>
      </c>
      <c r="EC1845" s="100">
        <v>8</v>
      </c>
      <c r="ED1845" s="100">
        <v>8</v>
      </c>
      <c r="EF1845" s="100">
        <v>3</v>
      </c>
      <c r="EH1845" s="100">
        <v>12</v>
      </c>
      <c r="EI1845" s="100">
        <v>6</v>
      </c>
      <c r="EJ1845" s="100">
        <v>3</v>
      </c>
      <c r="EK1845" s="100">
        <v>6</v>
      </c>
      <c r="EM1845" s="100">
        <v>8</v>
      </c>
      <c r="EN1845" s="100">
        <v>4</v>
      </c>
      <c r="EO1845" s="100">
        <v>7</v>
      </c>
      <c r="EP1845" s="100">
        <v>5</v>
      </c>
      <c r="EQ1845" s="100">
        <v>4</v>
      </c>
      <c r="ER1845" s="100">
        <v>2</v>
      </c>
      <c r="ET1845" s="100">
        <v>4</v>
      </c>
      <c r="EU1845" s="100">
        <v>7</v>
      </c>
      <c r="EV1845" s="100">
        <v>10</v>
      </c>
      <c r="EW1845" s="100">
        <v>2</v>
      </c>
      <c r="EX1845" s="100">
        <v>13</v>
      </c>
      <c r="EY1845" s="100">
        <v>9</v>
      </c>
      <c r="FA1845" s="100">
        <v>3</v>
      </c>
      <c r="FB1845" s="100">
        <v>4</v>
      </c>
      <c r="FC1845" s="100">
        <v>6</v>
      </c>
      <c r="FD1845" s="100">
        <v>8</v>
      </c>
      <c r="FE1845" s="100">
        <v>5</v>
      </c>
      <c r="FF1845" s="100">
        <v>10</v>
      </c>
      <c r="FH1845" s="100">
        <v>9</v>
      </c>
      <c r="FI1845" s="100">
        <v>5</v>
      </c>
      <c r="FJ1845" s="100">
        <v>7</v>
      </c>
      <c r="FK1845" s="100">
        <v>14</v>
      </c>
      <c r="FL1845" s="100">
        <v>9</v>
      </c>
      <c r="FM1845" s="100">
        <v>10</v>
      </c>
      <c r="FO1845" s="100">
        <v>9</v>
      </c>
      <c r="FP1845" s="100">
        <v>8</v>
      </c>
      <c r="FQ1845" s="100">
        <v>10</v>
      </c>
      <c r="FS1845" s="100">
        <v>18</v>
      </c>
      <c r="FT1845" s="100">
        <v>7</v>
      </c>
      <c r="FU1845" s="100">
        <v>9</v>
      </c>
      <c r="FV1845" s="100">
        <v>4</v>
      </c>
      <c r="ON1845" s="100">
        <f t="shared" si="562"/>
        <v>0</v>
      </c>
    </row>
    <row r="1846" spans="1:404" ht="23.25" customHeight="1">
      <c r="A1846" s="97"/>
      <c r="B1846" s="95">
        <v>44416</v>
      </c>
      <c r="C1846" s="97">
        <f t="shared" ca="1" si="567"/>
        <v>-648</v>
      </c>
      <c r="D1846" s="112" t="s">
        <v>1047</v>
      </c>
      <c r="E1846" s="123" t="s">
        <v>952</v>
      </c>
      <c r="F1846" s="98" t="str">
        <f t="shared" si="573"/>
        <v>B</v>
      </c>
      <c r="G1846" s="110">
        <f ca="1">SUMIF($A:E,$A1846,K:K)</f>
        <v>4</v>
      </c>
      <c r="H1846" s="97" t="s">
        <v>616</v>
      </c>
      <c r="I1846" s="98">
        <v>152</v>
      </c>
      <c r="J1846" s="115">
        <v>152</v>
      </c>
      <c r="K1846" s="143">
        <f t="shared" si="561"/>
        <v>152</v>
      </c>
      <c r="L1846" s="144">
        <f t="shared" si="572"/>
        <v>0</v>
      </c>
      <c r="M1846" s="275">
        <f t="shared" si="574"/>
        <v>152</v>
      </c>
      <c r="N1846" s="98">
        <v>1</v>
      </c>
      <c r="O1846" s="93">
        <f t="shared" si="575"/>
        <v>100</v>
      </c>
      <c r="FW1846" s="100">
        <v>5</v>
      </c>
      <c r="FX1846" s="100">
        <v>4</v>
      </c>
      <c r="FZ1846" s="100">
        <v>9</v>
      </c>
      <c r="GA1846" s="100">
        <v>9</v>
      </c>
      <c r="GB1846" s="100">
        <v>9</v>
      </c>
      <c r="GC1846" s="100">
        <v>3</v>
      </c>
      <c r="GD1846" s="100">
        <v>8</v>
      </c>
      <c r="GE1846" s="100">
        <v>7</v>
      </c>
      <c r="GG1846" s="100">
        <v>4</v>
      </c>
      <c r="GH1846" s="100">
        <v>4</v>
      </c>
      <c r="GI1846" s="100">
        <v>6</v>
      </c>
      <c r="GK1846" s="100">
        <v>13</v>
      </c>
      <c r="GL1846" s="100">
        <v>8</v>
      </c>
      <c r="GN1846" s="100">
        <v>10</v>
      </c>
      <c r="GO1846" s="100">
        <v>7</v>
      </c>
      <c r="GP1846" s="100">
        <v>3</v>
      </c>
      <c r="GQ1846" s="100">
        <v>10</v>
      </c>
      <c r="GS1846" s="100">
        <v>5</v>
      </c>
      <c r="GU1846" s="100">
        <v>8</v>
      </c>
      <c r="GV1846" s="100">
        <v>9</v>
      </c>
      <c r="GW1846" s="100">
        <v>3</v>
      </c>
      <c r="GX1846" s="100">
        <v>4</v>
      </c>
      <c r="GY1846" s="100">
        <v>2</v>
      </c>
      <c r="HC1846" s="100">
        <v>2</v>
      </c>
      <c r="ON1846" s="100">
        <f t="shared" si="562"/>
        <v>0</v>
      </c>
    </row>
    <row r="1847" spans="1:404" ht="23.25" customHeight="1">
      <c r="A1847" s="97" t="str">
        <f>D1847&amp;E1847</f>
        <v>002T/OBI-2166-32000-01-B</v>
      </c>
      <c r="B1847" s="95">
        <v>44416</v>
      </c>
      <c r="C1847" s="97">
        <f t="shared" ca="1" si="567"/>
        <v>-648</v>
      </c>
      <c r="D1847" s="112" t="s">
        <v>1047</v>
      </c>
      <c r="E1847" s="123" t="s">
        <v>952</v>
      </c>
      <c r="F1847" s="98" t="str">
        <f t="shared" si="573"/>
        <v>B</v>
      </c>
      <c r="G1847" s="110">
        <f ca="1">SUMIF($A:E,$A1847,K:K)</f>
        <v>200</v>
      </c>
      <c r="H1847" s="97" t="s">
        <v>616</v>
      </c>
      <c r="I1847" s="98">
        <v>20</v>
      </c>
      <c r="J1847" s="115">
        <f>352-J1846</f>
        <v>200</v>
      </c>
      <c r="K1847" s="143">
        <f t="shared" si="561"/>
        <v>200</v>
      </c>
      <c r="L1847" s="144">
        <f t="shared" si="572"/>
        <v>0</v>
      </c>
      <c r="M1847" s="275">
        <f t="shared" si="574"/>
        <v>20</v>
      </c>
      <c r="N1847" s="98">
        <v>2</v>
      </c>
      <c r="O1847" s="93">
        <f t="shared" si="575"/>
        <v>100</v>
      </c>
      <c r="FV1847" s="100">
        <v>6</v>
      </c>
      <c r="FW1847" s="100">
        <v>8</v>
      </c>
      <c r="FX1847" s="100">
        <v>4</v>
      </c>
      <c r="GA1847" s="100">
        <v>22</v>
      </c>
      <c r="GB1847" s="100">
        <v>3</v>
      </c>
      <c r="GD1847" s="100">
        <v>3</v>
      </c>
      <c r="GE1847" s="100">
        <v>15</v>
      </c>
      <c r="GG1847" s="100">
        <v>16</v>
      </c>
      <c r="GH1847" s="100">
        <v>5</v>
      </c>
      <c r="GI1847" s="100">
        <v>4</v>
      </c>
      <c r="GJ1847" s="100">
        <v>9</v>
      </c>
      <c r="GK1847" s="100">
        <v>11</v>
      </c>
      <c r="GL1847" s="100">
        <v>12</v>
      </c>
      <c r="GN1847" s="100">
        <v>3</v>
      </c>
      <c r="GO1847" s="100">
        <v>10</v>
      </c>
      <c r="GP1847" s="100">
        <v>9</v>
      </c>
      <c r="GQ1847" s="100">
        <v>7</v>
      </c>
      <c r="GR1847" s="100">
        <v>5</v>
      </c>
      <c r="GS1847" s="100">
        <v>14</v>
      </c>
      <c r="GU1847" s="100">
        <v>10</v>
      </c>
      <c r="GV1847" s="100">
        <v>3</v>
      </c>
      <c r="GW1847" s="100">
        <v>10</v>
      </c>
      <c r="GX1847" s="100">
        <v>5</v>
      </c>
      <c r="GZ1847" s="100">
        <v>4</v>
      </c>
      <c r="HC1847" s="100">
        <v>2</v>
      </c>
      <c r="ON1847" s="100">
        <f t="shared" si="562"/>
        <v>0</v>
      </c>
    </row>
    <row r="1848" spans="1:404" ht="23.25" customHeight="1">
      <c r="A1848" s="97" t="s">
        <v>1370</v>
      </c>
      <c r="B1848" s="95">
        <v>44534</v>
      </c>
      <c r="C1848" s="97">
        <f t="shared" ca="1" si="567"/>
        <v>-530</v>
      </c>
      <c r="D1848" s="112" t="s">
        <v>1400</v>
      </c>
      <c r="E1848" s="123" t="s">
        <v>952</v>
      </c>
      <c r="F1848" s="98" t="str">
        <f t="shared" si="573"/>
        <v>B</v>
      </c>
      <c r="G1848" s="110">
        <f ca="1">SUMIF($A:E,$A1848,K:K)</f>
        <v>5654</v>
      </c>
      <c r="H1848" s="97" t="s">
        <v>1402</v>
      </c>
      <c r="I1848" s="98">
        <v>64</v>
      </c>
      <c r="J1848" s="115">
        <v>64</v>
      </c>
      <c r="K1848" s="143">
        <f t="shared" si="561"/>
        <v>64</v>
      </c>
      <c r="L1848" s="144">
        <f t="shared" si="572"/>
        <v>0</v>
      </c>
      <c r="M1848" s="275">
        <f t="shared" si="574"/>
        <v>64</v>
      </c>
      <c r="N1848" s="98">
        <v>1</v>
      </c>
      <c r="O1848" s="93">
        <f t="shared" si="575"/>
        <v>100</v>
      </c>
      <c r="LG1848" s="100">
        <v>3</v>
      </c>
      <c r="LI1848" s="100">
        <v>11</v>
      </c>
      <c r="LJ1848" s="100">
        <v>1</v>
      </c>
      <c r="LK1848" s="100">
        <v>5</v>
      </c>
      <c r="LL1848" s="100">
        <v>19</v>
      </c>
      <c r="LN1848" s="100">
        <v>15</v>
      </c>
      <c r="LP1848" s="100">
        <v>10</v>
      </c>
      <c r="ON1848" s="100">
        <f t="shared" si="562"/>
        <v>0</v>
      </c>
    </row>
    <row r="1849" spans="1:404" ht="23.25" customHeight="1">
      <c r="A1849" s="97" t="str">
        <f>D1849&amp;E1849</f>
        <v>252/KHBS-21(002/OBI-21)66-32000-01-B</v>
      </c>
      <c r="B1849" s="95">
        <v>44437</v>
      </c>
      <c r="C1849" s="97">
        <f t="shared" ca="1" si="567"/>
        <v>-627</v>
      </c>
      <c r="D1849" s="112" t="s">
        <v>1763</v>
      </c>
      <c r="E1849" s="94" t="s">
        <v>952</v>
      </c>
      <c r="F1849" s="98" t="str">
        <f t="shared" si="573"/>
        <v>B</v>
      </c>
      <c r="G1849" s="110">
        <f ca="1">SUMIF($A:E,$A1849,K:K)</f>
        <v>1</v>
      </c>
      <c r="H1849" s="97" t="s">
        <v>616</v>
      </c>
      <c r="I1849" s="98">
        <v>1</v>
      </c>
      <c r="J1849" s="99">
        <v>1</v>
      </c>
      <c r="K1849" s="143">
        <f t="shared" si="561"/>
        <v>1</v>
      </c>
      <c r="L1849" s="144">
        <f t="shared" si="572"/>
        <v>0</v>
      </c>
      <c r="M1849" s="275">
        <f t="shared" si="574"/>
        <v>1</v>
      </c>
      <c r="N1849" s="98">
        <v>1</v>
      </c>
      <c r="O1849" s="93">
        <f t="shared" si="575"/>
        <v>100</v>
      </c>
      <c r="HW1849" s="100">
        <v>1</v>
      </c>
      <c r="ON1849" s="100">
        <f t="shared" si="562"/>
        <v>0</v>
      </c>
    </row>
    <row r="1850" spans="1:404" ht="23.25" customHeight="1">
      <c r="A1850" s="97" t="str">
        <f>D1850&amp;E1850</f>
        <v>002/OBI-2166-31900-04-B</v>
      </c>
      <c r="B1850" s="95">
        <v>44409</v>
      </c>
      <c r="C1850" s="97">
        <f t="shared" ca="1" si="567"/>
        <v>-655</v>
      </c>
      <c r="D1850" s="96" t="s">
        <v>938</v>
      </c>
      <c r="E1850" s="94" t="s">
        <v>951</v>
      </c>
      <c r="F1850" s="98" t="str">
        <f t="shared" si="573"/>
        <v>B</v>
      </c>
      <c r="G1850" s="110">
        <f ca="1">SUMIF($A:E,$A1850,K:K)</f>
        <v>636</v>
      </c>
      <c r="H1850" s="97" t="s">
        <v>508</v>
      </c>
      <c r="I1850" s="98">
        <v>318</v>
      </c>
      <c r="J1850" s="97">
        <v>318</v>
      </c>
      <c r="K1850" s="143">
        <f t="shared" si="561"/>
        <v>318</v>
      </c>
      <c r="L1850" s="144">
        <f t="shared" si="572"/>
        <v>0</v>
      </c>
      <c r="M1850" s="275">
        <f t="shared" si="574"/>
        <v>318</v>
      </c>
      <c r="N1850" s="98">
        <v>5</v>
      </c>
      <c r="O1850" s="93">
        <f t="shared" si="575"/>
        <v>100</v>
      </c>
      <c r="DN1850" s="101">
        <v>2</v>
      </c>
      <c r="DO1850" s="101">
        <v>18</v>
      </c>
      <c r="DP1850" s="101">
        <v>5</v>
      </c>
      <c r="DR1850" s="101">
        <v>10</v>
      </c>
      <c r="DS1850" s="100">
        <v>5</v>
      </c>
      <c r="DU1850" s="100">
        <v>7</v>
      </c>
      <c r="DV1850" s="100">
        <v>3</v>
      </c>
      <c r="DW1850" s="100">
        <v>2</v>
      </c>
      <c r="DY1850" s="100">
        <v>11</v>
      </c>
      <c r="DZ1850" s="100">
        <v>2</v>
      </c>
      <c r="EA1850" s="100">
        <v>11</v>
      </c>
      <c r="EC1850" s="100">
        <v>9</v>
      </c>
      <c r="ED1850" s="100">
        <v>7</v>
      </c>
      <c r="EF1850" s="100">
        <v>10</v>
      </c>
      <c r="EH1850" s="100">
        <v>10</v>
      </c>
      <c r="EI1850" s="100">
        <v>10</v>
      </c>
      <c r="EJ1850" s="100">
        <v>12</v>
      </c>
      <c r="EK1850" s="100">
        <v>17</v>
      </c>
      <c r="EL1850" s="100">
        <v>9</v>
      </c>
      <c r="EM1850" s="100">
        <v>6</v>
      </c>
      <c r="EN1850" s="100">
        <v>5</v>
      </c>
      <c r="EO1850" s="100">
        <v>9</v>
      </c>
      <c r="EP1850" s="100">
        <v>10</v>
      </c>
      <c r="EQ1850" s="100">
        <v>9</v>
      </c>
      <c r="ER1850" s="100">
        <v>11</v>
      </c>
      <c r="ET1850" s="100">
        <v>5</v>
      </c>
      <c r="EU1850" s="100">
        <v>5</v>
      </c>
      <c r="EV1850" s="100">
        <v>10</v>
      </c>
      <c r="EW1850" s="100">
        <v>13</v>
      </c>
      <c r="EX1850" s="100">
        <v>1</v>
      </c>
      <c r="EY1850" s="100">
        <v>5</v>
      </c>
      <c r="FA1850" s="100">
        <v>5</v>
      </c>
      <c r="FB1850" s="100">
        <v>5</v>
      </c>
      <c r="FC1850" s="100">
        <v>13</v>
      </c>
      <c r="FD1850" s="100">
        <v>3</v>
      </c>
      <c r="FE1850" s="100">
        <v>5</v>
      </c>
      <c r="FF1850" s="100">
        <v>9</v>
      </c>
      <c r="FH1850" s="100">
        <v>1</v>
      </c>
      <c r="FI1850" s="100">
        <v>13</v>
      </c>
      <c r="FJ1850" s="100">
        <v>10</v>
      </c>
      <c r="FK1850" s="100">
        <v>4</v>
      </c>
      <c r="FL1850" s="100">
        <v>1</v>
      </c>
      <c r="ON1850" s="100">
        <f t="shared" si="562"/>
        <v>0</v>
      </c>
    </row>
    <row r="1851" spans="1:404" ht="23.25" customHeight="1">
      <c r="A1851" s="97" t="str">
        <f>D1851&amp;E1851</f>
        <v>002/OBI-2166-31900-04-B</v>
      </c>
      <c r="B1851" s="95">
        <v>44409</v>
      </c>
      <c r="C1851" s="97">
        <f t="shared" ca="1" si="567"/>
        <v>-655</v>
      </c>
      <c r="D1851" s="96" t="s">
        <v>938</v>
      </c>
      <c r="E1851" s="94" t="s">
        <v>951</v>
      </c>
      <c r="F1851" s="98" t="str">
        <f t="shared" si="573"/>
        <v>B</v>
      </c>
      <c r="G1851" s="110">
        <f ca="1">SUMIF($A:E,$A1851,K:K)</f>
        <v>636</v>
      </c>
      <c r="H1851" s="97" t="s">
        <v>508</v>
      </c>
      <c r="I1851" s="98">
        <v>318</v>
      </c>
      <c r="J1851" s="97">
        <v>318</v>
      </c>
      <c r="K1851" s="143">
        <f t="shared" si="561"/>
        <v>318</v>
      </c>
      <c r="L1851" s="144">
        <f t="shared" si="572"/>
        <v>0</v>
      </c>
      <c r="M1851" s="275">
        <f t="shared" si="574"/>
        <v>318</v>
      </c>
      <c r="N1851" s="98">
        <v>3</v>
      </c>
      <c r="O1851" s="93">
        <f t="shared" si="575"/>
        <v>100</v>
      </c>
      <c r="DR1851" s="101">
        <v>5</v>
      </c>
      <c r="DT1851" s="100">
        <v>11</v>
      </c>
      <c r="DU1851" s="100">
        <v>4</v>
      </c>
      <c r="DW1851" s="100">
        <v>6</v>
      </c>
      <c r="DZ1851" s="100">
        <v>17</v>
      </c>
      <c r="EA1851" s="100">
        <v>13</v>
      </c>
      <c r="EC1851" s="100">
        <v>12</v>
      </c>
      <c r="ED1851" s="100">
        <v>6</v>
      </c>
      <c r="EF1851" s="100">
        <v>7</v>
      </c>
      <c r="EG1851" s="100">
        <v>4</v>
      </c>
      <c r="EH1851" s="100">
        <v>5</v>
      </c>
      <c r="EI1851" s="100">
        <v>7</v>
      </c>
      <c r="EJ1851" s="100">
        <v>20</v>
      </c>
      <c r="EK1851" s="100">
        <v>10</v>
      </c>
      <c r="EL1851" s="100">
        <v>8</v>
      </c>
      <c r="EM1851" s="100">
        <v>7</v>
      </c>
      <c r="EN1851" s="100">
        <v>5</v>
      </c>
      <c r="EO1851" s="100">
        <v>5</v>
      </c>
      <c r="EP1851" s="100">
        <v>5</v>
      </c>
      <c r="EQ1851" s="100">
        <v>10</v>
      </c>
      <c r="ER1851" s="100">
        <v>6</v>
      </c>
      <c r="EU1851" s="100">
        <v>22</v>
      </c>
      <c r="EV1851" s="100">
        <v>7</v>
      </c>
      <c r="EW1851" s="100">
        <v>1</v>
      </c>
      <c r="EX1851" s="100">
        <v>12</v>
      </c>
      <c r="EY1851" s="100">
        <v>10</v>
      </c>
      <c r="FA1851" s="100">
        <v>7</v>
      </c>
      <c r="FB1851" s="100">
        <v>5</v>
      </c>
      <c r="FC1851" s="100">
        <v>2</v>
      </c>
      <c r="FD1851" s="100">
        <v>22</v>
      </c>
      <c r="FE1851" s="100">
        <v>5</v>
      </c>
      <c r="FF1851" s="100">
        <v>6</v>
      </c>
      <c r="FH1851" s="100">
        <v>14</v>
      </c>
      <c r="FI1851" s="100">
        <v>3</v>
      </c>
      <c r="FJ1851" s="100">
        <v>10</v>
      </c>
      <c r="FK1851" s="100">
        <v>11</v>
      </c>
      <c r="FL1851" s="100">
        <v>8</v>
      </c>
      <c r="ON1851" s="100">
        <f t="shared" si="562"/>
        <v>0</v>
      </c>
    </row>
    <row r="1852" spans="1:404" ht="23.25" customHeight="1">
      <c r="A1852" s="97" t="str">
        <f>D1852&amp;E1852</f>
        <v>002T/OBI-2166-31900-04-B</v>
      </c>
      <c r="B1852" s="95">
        <v>44416</v>
      </c>
      <c r="C1852" s="97">
        <f t="shared" ca="1" si="567"/>
        <v>-648</v>
      </c>
      <c r="D1852" s="112" t="s">
        <v>1047</v>
      </c>
      <c r="E1852" s="123" t="s">
        <v>951</v>
      </c>
      <c r="F1852" s="98" t="str">
        <f t="shared" si="573"/>
        <v>B</v>
      </c>
      <c r="G1852" s="110">
        <f ca="1">SUMIF($A:E,$A1852,K:K)</f>
        <v>352</v>
      </c>
      <c r="H1852" s="97" t="s">
        <v>616</v>
      </c>
      <c r="I1852" s="98">
        <v>176</v>
      </c>
      <c r="J1852" s="115">
        <v>176</v>
      </c>
      <c r="K1852" s="143">
        <f t="shared" si="561"/>
        <v>176</v>
      </c>
      <c r="L1852" s="144">
        <f t="shared" si="572"/>
        <v>0</v>
      </c>
      <c r="M1852" s="275">
        <f t="shared" si="574"/>
        <v>176</v>
      </c>
      <c r="N1852" s="98">
        <v>3</v>
      </c>
      <c r="O1852" s="93">
        <f t="shared" si="575"/>
        <v>100</v>
      </c>
      <c r="FL1852" s="100">
        <v>2</v>
      </c>
      <c r="FM1852" s="100">
        <v>9</v>
      </c>
      <c r="FO1852" s="100">
        <v>9</v>
      </c>
      <c r="FP1852" s="100">
        <v>6</v>
      </c>
      <c r="FQ1852" s="100">
        <v>10</v>
      </c>
      <c r="FS1852" s="100">
        <v>9</v>
      </c>
      <c r="FT1852" s="100">
        <v>15</v>
      </c>
      <c r="FU1852" s="100">
        <v>11</v>
      </c>
      <c r="FV1852" s="100">
        <v>10</v>
      </c>
      <c r="FW1852" s="100">
        <v>10</v>
      </c>
      <c r="FX1852" s="100">
        <v>7</v>
      </c>
      <c r="FZ1852" s="100">
        <v>13</v>
      </c>
      <c r="GA1852" s="100">
        <v>5</v>
      </c>
      <c r="GB1852" s="100">
        <v>8</v>
      </c>
      <c r="GC1852" s="100">
        <v>12</v>
      </c>
      <c r="GD1852" s="100">
        <v>8</v>
      </c>
      <c r="GE1852" s="100">
        <v>2</v>
      </c>
      <c r="GG1852" s="100">
        <v>20</v>
      </c>
      <c r="GH1852" s="100">
        <v>6</v>
      </c>
      <c r="GI1852" s="100">
        <v>1</v>
      </c>
      <c r="GJ1852" s="100">
        <v>1</v>
      </c>
      <c r="GL1852" s="100">
        <v>2</v>
      </c>
      <c r="ON1852" s="100">
        <f t="shared" si="562"/>
        <v>0</v>
      </c>
    </row>
    <row r="1853" spans="1:404" ht="23.25" customHeight="1">
      <c r="A1853" s="97" t="str">
        <f>D1853&amp;E1853</f>
        <v>002T/OBI-2166-31900-04-B</v>
      </c>
      <c r="B1853" s="95">
        <v>44416</v>
      </c>
      <c r="C1853" s="97">
        <f t="shared" ca="1" si="567"/>
        <v>-648</v>
      </c>
      <c r="D1853" s="112" t="s">
        <v>1047</v>
      </c>
      <c r="E1853" s="123" t="s">
        <v>951</v>
      </c>
      <c r="F1853" s="98" t="str">
        <f t="shared" si="573"/>
        <v>B</v>
      </c>
      <c r="G1853" s="130">
        <f ca="1">SUMIF($A:E,$A1853,K:K)</f>
        <v>352</v>
      </c>
      <c r="H1853" s="97" t="s">
        <v>616</v>
      </c>
      <c r="I1853" s="98">
        <v>176</v>
      </c>
      <c r="J1853" s="115">
        <f>352-J1852</f>
        <v>176</v>
      </c>
      <c r="K1853" s="143">
        <f t="shared" si="561"/>
        <v>176</v>
      </c>
      <c r="L1853" s="144">
        <f t="shared" si="572"/>
        <v>0</v>
      </c>
      <c r="M1853" s="275">
        <f t="shared" si="574"/>
        <v>176</v>
      </c>
      <c r="N1853" s="98">
        <v>5</v>
      </c>
      <c r="O1853" s="93">
        <f t="shared" si="575"/>
        <v>100</v>
      </c>
      <c r="FL1853" s="100">
        <v>4</v>
      </c>
      <c r="FM1853" s="100">
        <v>8</v>
      </c>
      <c r="FO1853" s="100">
        <v>6</v>
      </c>
      <c r="FP1853" s="100">
        <v>5</v>
      </c>
      <c r="FQ1853" s="100">
        <v>5</v>
      </c>
      <c r="FR1853" s="100">
        <v>10</v>
      </c>
      <c r="FS1853" s="100">
        <v>4</v>
      </c>
      <c r="FT1853" s="100">
        <v>6</v>
      </c>
      <c r="FU1853" s="100">
        <v>10</v>
      </c>
      <c r="FV1853" s="100">
        <v>5</v>
      </c>
      <c r="FW1853" s="100">
        <v>10</v>
      </c>
      <c r="FX1853" s="100">
        <v>9</v>
      </c>
      <c r="FZ1853" s="100">
        <v>10</v>
      </c>
      <c r="GA1853" s="100">
        <v>5</v>
      </c>
      <c r="GB1853" s="100">
        <v>10</v>
      </c>
      <c r="GC1853" s="100">
        <v>10</v>
      </c>
      <c r="GD1853" s="100">
        <v>10</v>
      </c>
      <c r="GE1853" s="100">
        <v>5</v>
      </c>
      <c r="GG1853" s="100">
        <v>5</v>
      </c>
      <c r="GH1853" s="100">
        <v>5</v>
      </c>
      <c r="GI1853" s="100">
        <v>2</v>
      </c>
      <c r="GK1853" s="100">
        <v>12</v>
      </c>
      <c r="GL1853" s="100">
        <v>5</v>
      </c>
      <c r="GN1853" s="100">
        <v>9</v>
      </c>
      <c r="GO1853" s="100">
        <v>4</v>
      </c>
      <c r="GP1853" s="100">
        <v>2</v>
      </c>
      <c r="ON1853" s="100">
        <f t="shared" si="562"/>
        <v>0</v>
      </c>
    </row>
    <row r="1854" spans="1:404" ht="23.25" customHeight="1">
      <c r="A1854" s="97" t="s">
        <v>1370</v>
      </c>
      <c r="B1854" s="95">
        <v>44534</v>
      </c>
      <c r="C1854" s="97">
        <f t="shared" ca="1" si="567"/>
        <v>-530</v>
      </c>
      <c r="D1854" s="112" t="s">
        <v>1400</v>
      </c>
      <c r="E1854" s="123" t="s">
        <v>951</v>
      </c>
      <c r="F1854" s="98" t="str">
        <f t="shared" si="573"/>
        <v>B</v>
      </c>
      <c r="G1854" s="110">
        <f ca="1">SUMIF($A:E,$A1854,K:K)</f>
        <v>5654</v>
      </c>
      <c r="H1854" s="97" t="s">
        <v>1402</v>
      </c>
      <c r="I1854" s="98">
        <v>64</v>
      </c>
      <c r="J1854" s="115">
        <v>64</v>
      </c>
      <c r="K1854" s="143">
        <f t="shared" si="561"/>
        <v>64</v>
      </c>
      <c r="L1854" s="144">
        <f t="shared" si="572"/>
        <v>0</v>
      </c>
      <c r="M1854" s="275">
        <f t="shared" si="574"/>
        <v>64</v>
      </c>
      <c r="N1854" s="98">
        <v>1</v>
      </c>
      <c r="O1854" s="93">
        <f t="shared" si="575"/>
        <v>100</v>
      </c>
      <c r="LG1854" s="100">
        <v>3</v>
      </c>
      <c r="LJ1854" s="100">
        <v>10</v>
      </c>
      <c r="LK1854" s="100">
        <v>5</v>
      </c>
      <c r="LL1854" s="100">
        <v>13</v>
      </c>
      <c r="LM1854" s="100">
        <v>7</v>
      </c>
      <c r="LN1854" s="100">
        <v>8</v>
      </c>
      <c r="LP1854" s="100">
        <v>18</v>
      </c>
      <c r="ON1854" s="100">
        <f t="shared" si="562"/>
        <v>0</v>
      </c>
    </row>
    <row r="1855" spans="1:404" ht="23.25" customHeight="1">
      <c r="A1855" s="97" t="str">
        <f>D1855&amp;E1855</f>
        <v>002/OBI-2166-31900-03-B</v>
      </c>
      <c r="B1855" s="95">
        <v>44409</v>
      </c>
      <c r="C1855" s="97">
        <f t="shared" ca="1" si="567"/>
        <v>-655</v>
      </c>
      <c r="D1855" s="96" t="s">
        <v>938</v>
      </c>
      <c r="E1855" s="94" t="s">
        <v>950</v>
      </c>
      <c r="F1855" s="98" t="str">
        <f t="shared" si="573"/>
        <v>B</v>
      </c>
      <c r="G1855" s="110">
        <f ca="1">SUMIF($A:E,$A1855,K:K)</f>
        <v>636</v>
      </c>
      <c r="H1855" s="97" t="s">
        <v>508</v>
      </c>
      <c r="I1855" s="98">
        <v>318</v>
      </c>
      <c r="J1855" s="97">
        <v>318</v>
      </c>
      <c r="K1855" s="143">
        <f t="shared" si="561"/>
        <v>318</v>
      </c>
      <c r="L1855" s="144">
        <f t="shared" si="572"/>
        <v>0</v>
      </c>
      <c r="M1855" s="275">
        <f t="shared" si="574"/>
        <v>318</v>
      </c>
      <c r="N1855" s="98">
        <v>5</v>
      </c>
      <c r="O1855" s="93">
        <f t="shared" si="575"/>
        <v>100</v>
      </c>
      <c r="DN1855" s="101">
        <v>2</v>
      </c>
      <c r="DO1855" s="101">
        <v>18</v>
      </c>
      <c r="DP1855" s="101">
        <v>5</v>
      </c>
      <c r="DR1855" s="101">
        <v>10</v>
      </c>
      <c r="DS1855" s="100">
        <v>5</v>
      </c>
      <c r="DU1855" s="100">
        <v>7</v>
      </c>
      <c r="DV1855" s="100">
        <v>3</v>
      </c>
      <c r="DW1855" s="100">
        <v>2</v>
      </c>
      <c r="DY1855" s="100">
        <v>11</v>
      </c>
      <c r="DZ1855" s="100">
        <v>2</v>
      </c>
      <c r="EA1855" s="100">
        <v>11</v>
      </c>
      <c r="EC1855" s="100">
        <v>9</v>
      </c>
      <c r="ED1855" s="100">
        <v>7</v>
      </c>
      <c r="EF1855" s="100">
        <v>10</v>
      </c>
      <c r="EH1855" s="100">
        <v>10</v>
      </c>
      <c r="EI1855" s="100">
        <v>10</v>
      </c>
      <c r="EJ1855" s="100">
        <v>12</v>
      </c>
      <c r="EK1855" s="100">
        <v>17</v>
      </c>
      <c r="EL1855" s="100">
        <v>9</v>
      </c>
      <c r="EM1855" s="100">
        <v>6</v>
      </c>
      <c r="EN1855" s="100">
        <v>5</v>
      </c>
      <c r="EO1855" s="100">
        <v>9</v>
      </c>
      <c r="EP1855" s="100">
        <v>10</v>
      </c>
      <c r="EQ1855" s="100">
        <v>9</v>
      </c>
      <c r="ER1855" s="100">
        <v>11</v>
      </c>
      <c r="ET1855" s="100">
        <v>5</v>
      </c>
      <c r="EU1855" s="100">
        <v>5</v>
      </c>
      <c r="EV1855" s="100">
        <v>10</v>
      </c>
      <c r="EW1855" s="100">
        <v>13</v>
      </c>
      <c r="EX1855" s="100">
        <v>1</v>
      </c>
      <c r="EY1855" s="100">
        <v>5</v>
      </c>
      <c r="FA1855" s="100">
        <v>5</v>
      </c>
      <c r="FB1855" s="100">
        <v>5</v>
      </c>
      <c r="FC1855" s="100">
        <v>13</v>
      </c>
      <c r="FD1855" s="100">
        <v>3</v>
      </c>
      <c r="FE1855" s="100">
        <v>5</v>
      </c>
      <c r="FF1855" s="100">
        <v>9</v>
      </c>
      <c r="FH1855" s="100">
        <v>1</v>
      </c>
      <c r="FI1855" s="100">
        <v>13</v>
      </c>
      <c r="FJ1855" s="100">
        <v>10</v>
      </c>
      <c r="FK1855" s="100">
        <v>4</v>
      </c>
      <c r="FL1855" s="100">
        <v>1</v>
      </c>
      <c r="ON1855" s="100">
        <f t="shared" si="562"/>
        <v>0</v>
      </c>
    </row>
    <row r="1856" spans="1:404" ht="23.25" customHeight="1">
      <c r="A1856" s="97" t="str">
        <f>D1856&amp;E1856</f>
        <v>002/OBI-2166-31900-03-B</v>
      </c>
      <c r="B1856" s="95">
        <v>44409</v>
      </c>
      <c r="C1856" s="97">
        <f t="shared" ca="1" si="567"/>
        <v>-655</v>
      </c>
      <c r="D1856" s="96" t="s">
        <v>938</v>
      </c>
      <c r="E1856" s="94" t="s">
        <v>950</v>
      </c>
      <c r="F1856" s="98" t="str">
        <f t="shared" si="573"/>
        <v>B</v>
      </c>
      <c r="G1856" s="110">
        <f ca="1">SUMIF($A:E,$A1856,K:K)</f>
        <v>636</v>
      </c>
      <c r="H1856" s="97" t="s">
        <v>508</v>
      </c>
      <c r="I1856" s="98">
        <v>318</v>
      </c>
      <c r="J1856" s="97">
        <v>318</v>
      </c>
      <c r="K1856" s="143">
        <f t="shared" si="561"/>
        <v>318</v>
      </c>
      <c r="L1856" s="144">
        <f t="shared" si="572"/>
        <v>0</v>
      </c>
      <c r="M1856" s="275">
        <f t="shared" si="574"/>
        <v>318</v>
      </c>
      <c r="N1856" s="98">
        <v>3</v>
      </c>
      <c r="O1856" s="93">
        <f t="shared" si="575"/>
        <v>100</v>
      </c>
      <c r="DR1856" s="101">
        <v>5</v>
      </c>
      <c r="DT1856" s="100">
        <v>11</v>
      </c>
      <c r="DU1856" s="100">
        <v>4</v>
      </c>
      <c r="DW1856" s="100">
        <v>6</v>
      </c>
      <c r="DZ1856" s="100">
        <v>17</v>
      </c>
      <c r="EA1856" s="100">
        <v>13</v>
      </c>
      <c r="EC1856" s="100">
        <v>12</v>
      </c>
      <c r="EF1856" s="100">
        <f>7+6</f>
        <v>13</v>
      </c>
      <c r="EG1856" s="100">
        <v>4</v>
      </c>
      <c r="EH1856" s="100">
        <v>5</v>
      </c>
      <c r="EI1856" s="100">
        <v>7</v>
      </c>
      <c r="EJ1856" s="100">
        <v>20</v>
      </c>
      <c r="EK1856" s="100">
        <v>10</v>
      </c>
      <c r="EL1856" s="100">
        <v>8</v>
      </c>
      <c r="EM1856" s="100">
        <v>7</v>
      </c>
      <c r="EN1856" s="100">
        <v>5</v>
      </c>
      <c r="EO1856" s="100">
        <v>5</v>
      </c>
      <c r="EP1856" s="100">
        <v>5</v>
      </c>
      <c r="EQ1856" s="100">
        <v>10</v>
      </c>
      <c r="ER1856" s="100">
        <v>6</v>
      </c>
      <c r="EU1856" s="100">
        <v>22</v>
      </c>
      <c r="EV1856" s="100">
        <v>7</v>
      </c>
      <c r="EW1856" s="100">
        <v>1</v>
      </c>
      <c r="EX1856" s="100">
        <v>12</v>
      </c>
      <c r="EY1856" s="100">
        <v>10</v>
      </c>
      <c r="FA1856" s="100">
        <v>7</v>
      </c>
      <c r="FB1856" s="100">
        <v>5</v>
      </c>
      <c r="FC1856" s="100">
        <v>2</v>
      </c>
      <c r="FD1856" s="100">
        <v>22</v>
      </c>
      <c r="FE1856" s="100">
        <v>5</v>
      </c>
      <c r="FF1856" s="100">
        <v>6</v>
      </c>
      <c r="FH1856" s="100">
        <v>14</v>
      </c>
      <c r="FI1856" s="100">
        <v>3</v>
      </c>
      <c r="FJ1856" s="100">
        <v>10</v>
      </c>
      <c r="FK1856" s="100">
        <v>11</v>
      </c>
      <c r="FL1856" s="100">
        <v>8</v>
      </c>
      <c r="ON1856" s="100">
        <f t="shared" si="562"/>
        <v>0</v>
      </c>
    </row>
    <row r="1857" spans="1:404" ht="23.25" customHeight="1">
      <c r="A1857" s="97" t="str">
        <f>D1857&amp;E1857</f>
        <v>002T/OBI-2166-31900-03-B</v>
      </c>
      <c r="B1857" s="95">
        <v>44416</v>
      </c>
      <c r="C1857" s="97">
        <f t="shared" ca="1" si="567"/>
        <v>-648</v>
      </c>
      <c r="D1857" s="112" t="s">
        <v>1047</v>
      </c>
      <c r="E1857" s="123" t="s">
        <v>950</v>
      </c>
      <c r="F1857" s="98" t="str">
        <f t="shared" si="573"/>
        <v>B</v>
      </c>
      <c r="G1857" s="110">
        <f ca="1">SUMIF($A:E,$A1857,K:K)</f>
        <v>352</v>
      </c>
      <c r="H1857" s="97" t="s">
        <v>616</v>
      </c>
      <c r="I1857" s="98">
        <v>176</v>
      </c>
      <c r="J1857" s="115">
        <v>176</v>
      </c>
      <c r="K1857" s="143">
        <f t="shared" si="561"/>
        <v>176</v>
      </c>
      <c r="L1857" s="144">
        <f t="shared" si="572"/>
        <v>0</v>
      </c>
      <c r="M1857" s="275">
        <f t="shared" si="574"/>
        <v>176</v>
      </c>
      <c r="N1857" s="98">
        <v>3</v>
      </c>
      <c r="O1857" s="93">
        <f t="shared" si="575"/>
        <v>100</v>
      </c>
      <c r="FL1857" s="100">
        <v>2</v>
      </c>
      <c r="FM1857" s="100">
        <v>9</v>
      </c>
      <c r="FO1857" s="100">
        <v>9</v>
      </c>
      <c r="FP1857" s="100">
        <v>6</v>
      </c>
      <c r="FQ1857" s="100">
        <v>10</v>
      </c>
      <c r="FS1857" s="100">
        <v>9</v>
      </c>
      <c r="FT1857" s="100">
        <v>15</v>
      </c>
      <c r="FU1857" s="100">
        <v>11</v>
      </c>
      <c r="FV1857" s="100">
        <v>10</v>
      </c>
      <c r="FW1857" s="100">
        <v>10</v>
      </c>
      <c r="FX1857" s="100">
        <v>7</v>
      </c>
      <c r="FZ1857" s="100">
        <v>13</v>
      </c>
      <c r="GA1857" s="100">
        <v>5</v>
      </c>
      <c r="GB1857" s="100">
        <v>8</v>
      </c>
      <c r="GC1857" s="100">
        <v>12</v>
      </c>
      <c r="GD1857" s="100">
        <v>8</v>
      </c>
      <c r="GE1857" s="100">
        <v>2</v>
      </c>
      <c r="GG1857" s="100">
        <v>20</v>
      </c>
      <c r="GH1857" s="100">
        <v>6</v>
      </c>
      <c r="GI1857" s="100">
        <v>1</v>
      </c>
      <c r="GJ1857" s="100">
        <v>1</v>
      </c>
      <c r="GL1857" s="100">
        <v>2</v>
      </c>
      <c r="ON1857" s="100">
        <f t="shared" si="562"/>
        <v>0</v>
      </c>
    </row>
    <row r="1858" spans="1:404" ht="23.25" customHeight="1">
      <c r="A1858" s="97" t="str">
        <f>D1858&amp;E1858</f>
        <v>002T/OBI-2166-31900-03-B</v>
      </c>
      <c r="B1858" s="95">
        <v>44416</v>
      </c>
      <c r="C1858" s="97">
        <f t="shared" ca="1" si="567"/>
        <v>-648</v>
      </c>
      <c r="D1858" s="112" t="s">
        <v>1047</v>
      </c>
      <c r="E1858" s="123" t="s">
        <v>950</v>
      </c>
      <c r="F1858" s="98" t="str">
        <f t="shared" si="573"/>
        <v>B</v>
      </c>
      <c r="G1858" s="110">
        <f ca="1">SUMIF($A:E,$A1858,K:K)</f>
        <v>352</v>
      </c>
      <c r="H1858" s="97" t="s">
        <v>616</v>
      </c>
      <c r="I1858" s="98">
        <v>176</v>
      </c>
      <c r="J1858" s="115">
        <f>352-J1857</f>
        <v>176</v>
      </c>
      <c r="K1858" s="143">
        <f t="shared" si="561"/>
        <v>176</v>
      </c>
      <c r="L1858" s="144">
        <f t="shared" si="572"/>
        <v>0</v>
      </c>
      <c r="M1858" s="275">
        <f t="shared" si="574"/>
        <v>176</v>
      </c>
      <c r="N1858" s="98">
        <v>5</v>
      </c>
      <c r="O1858" s="93">
        <f t="shared" si="575"/>
        <v>100</v>
      </c>
      <c r="FL1858" s="100">
        <v>4</v>
      </c>
      <c r="FM1858" s="100">
        <v>8</v>
      </c>
      <c r="FO1858" s="100">
        <v>6</v>
      </c>
      <c r="FP1858" s="100">
        <v>5</v>
      </c>
      <c r="FQ1858" s="100">
        <v>5</v>
      </c>
      <c r="FR1858" s="100">
        <v>10</v>
      </c>
      <c r="FS1858" s="100">
        <v>4</v>
      </c>
      <c r="FT1858" s="100">
        <v>6</v>
      </c>
      <c r="FU1858" s="100">
        <v>10</v>
      </c>
      <c r="FV1858" s="100">
        <v>5</v>
      </c>
      <c r="FW1858" s="100">
        <v>10</v>
      </c>
      <c r="FX1858" s="100">
        <v>9</v>
      </c>
      <c r="FZ1858" s="100">
        <v>10</v>
      </c>
      <c r="GA1858" s="100">
        <v>5</v>
      </c>
      <c r="GB1858" s="100">
        <v>10</v>
      </c>
      <c r="GC1858" s="100">
        <v>10</v>
      </c>
      <c r="GD1858" s="100">
        <v>10</v>
      </c>
      <c r="GE1858" s="100">
        <v>5</v>
      </c>
      <c r="GG1858" s="100">
        <v>5</v>
      </c>
      <c r="GH1858" s="100">
        <v>5</v>
      </c>
      <c r="GI1858" s="100">
        <v>2</v>
      </c>
      <c r="GK1858" s="100">
        <v>12</v>
      </c>
      <c r="GL1858" s="100">
        <v>5</v>
      </c>
      <c r="GN1858" s="100">
        <v>9</v>
      </c>
      <c r="GO1858" s="100">
        <v>4</v>
      </c>
      <c r="GP1858" s="100">
        <v>2</v>
      </c>
      <c r="ON1858" s="100">
        <f t="shared" si="562"/>
        <v>0</v>
      </c>
    </row>
    <row r="1859" spans="1:404" ht="23.25" customHeight="1">
      <c r="A1859" s="97" t="s">
        <v>1370</v>
      </c>
      <c r="B1859" s="95">
        <v>44534</v>
      </c>
      <c r="C1859" s="97">
        <f t="shared" ref="C1859:C1910" ca="1" si="576">B1859-TODAY()</f>
        <v>-530</v>
      </c>
      <c r="D1859" s="112" t="s">
        <v>1400</v>
      </c>
      <c r="E1859" s="123" t="s">
        <v>950</v>
      </c>
      <c r="F1859" s="98" t="str">
        <f t="shared" ref="F1859:F1880" si="577">MID(E1859,13,2)</f>
        <v>B</v>
      </c>
      <c r="G1859" s="110">
        <f ca="1">SUMIF($A:E,$A1859,K:K)</f>
        <v>5654</v>
      </c>
      <c r="H1859" s="97" t="s">
        <v>1402</v>
      </c>
      <c r="I1859" s="98">
        <v>64</v>
      </c>
      <c r="J1859" s="115">
        <v>64</v>
      </c>
      <c r="K1859" s="143">
        <f t="shared" si="561"/>
        <v>64</v>
      </c>
      <c r="L1859" s="144">
        <f t="shared" si="572"/>
        <v>0</v>
      </c>
      <c r="M1859" s="275">
        <f t="shared" si="574"/>
        <v>64</v>
      </c>
      <c r="N1859" s="98">
        <v>1</v>
      </c>
      <c r="O1859" s="93">
        <f t="shared" si="575"/>
        <v>100</v>
      </c>
      <c r="LG1859" s="100">
        <v>3</v>
      </c>
      <c r="LJ1859" s="100">
        <v>10</v>
      </c>
      <c r="LK1859" s="100">
        <v>5</v>
      </c>
      <c r="LL1859" s="100">
        <v>13</v>
      </c>
      <c r="LM1859" s="100">
        <v>7</v>
      </c>
      <c r="LN1859" s="100">
        <v>8</v>
      </c>
      <c r="LP1859" s="100">
        <v>18</v>
      </c>
      <c r="ON1859" s="100">
        <f t="shared" si="562"/>
        <v>0</v>
      </c>
    </row>
    <row r="1860" spans="1:404" ht="23.25" customHeight="1">
      <c r="A1860" s="97" t="str">
        <f>D1860&amp;E1860</f>
        <v>002/OBI-2166-31900-02-B</v>
      </c>
      <c r="B1860" s="95">
        <v>44409</v>
      </c>
      <c r="C1860" s="97">
        <f t="shared" ca="1" si="576"/>
        <v>-655</v>
      </c>
      <c r="D1860" s="96" t="s">
        <v>938</v>
      </c>
      <c r="E1860" s="94" t="s">
        <v>949</v>
      </c>
      <c r="F1860" s="98" t="str">
        <f t="shared" si="577"/>
        <v>B</v>
      </c>
      <c r="G1860" s="110">
        <f ca="1">SUMIF($A:E,$A1860,K:K)</f>
        <v>636</v>
      </c>
      <c r="H1860" s="97" t="s">
        <v>508</v>
      </c>
      <c r="I1860" s="98">
        <v>318</v>
      </c>
      <c r="J1860" s="97">
        <v>318</v>
      </c>
      <c r="K1860" s="143">
        <f t="shared" ref="K1860:K1923" si="578">SUM(P1860:BBC1860)</f>
        <v>318</v>
      </c>
      <c r="L1860" s="144">
        <f t="shared" si="572"/>
        <v>0</v>
      </c>
      <c r="M1860" s="275">
        <f t="shared" si="574"/>
        <v>318</v>
      </c>
      <c r="N1860" s="98">
        <v>5</v>
      </c>
      <c r="O1860" s="93">
        <f t="shared" si="575"/>
        <v>100</v>
      </c>
      <c r="DN1860" s="101">
        <v>2</v>
      </c>
      <c r="DO1860" s="101">
        <v>18</v>
      </c>
      <c r="DP1860" s="101">
        <v>5</v>
      </c>
      <c r="DR1860" s="101">
        <v>10</v>
      </c>
      <c r="DS1860" s="100">
        <v>5</v>
      </c>
      <c r="DU1860" s="100">
        <v>7</v>
      </c>
      <c r="DV1860" s="100">
        <v>3</v>
      </c>
      <c r="DW1860" s="100">
        <v>2</v>
      </c>
      <c r="DY1860" s="100">
        <v>11</v>
      </c>
      <c r="DZ1860" s="100">
        <v>2</v>
      </c>
      <c r="EA1860" s="100">
        <v>11</v>
      </c>
      <c r="EC1860" s="100">
        <v>9</v>
      </c>
      <c r="ED1860" s="100">
        <v>7</v>
      </c>
      <c r="EF1860" s="100">
        <v>10</v>
      </c>
      <c r="EH1860" s="100">
        <v>10</v>
      </c>
      <c r="EI1860" s="100">
        <v>10</v>
      </c>
      <c r="EJ1860" s="100">
        <v>12</v>
      </c>
      <c r="EK1860" s="100">
        <v>17</v>
      </c>
      <c r="EL1860" s="100">
        <v>9</v>
      </c>
      <c r="EM1860" s="100">
        <v>6</v>
      </c>
      <c r="EN1860" s="100">
        <v>5</v>
      </c>
      <c r="EO1860" s="100">
        <v>9</v>
      </c>
      <c r="EP1860" s="100">
        <v>10</v>
      </c>
      <c r="EQ1860" s="100">
        <v>9</v>
      </c>
      <c r="ER1860" s="100">
        <v>11</v>
      </c>
      <c r="ET1860" s="100">
        <v>5</v>
      </c>
      <c r="EU1860" s="100">
        <v>5</v>
      </c>
      <c r="EV1860" s="100">
        <v>10</v>
      </c>
      <c r="EW1860" s="100">
        <v>13</v>
      </c>
      <c r="EX1860" s="100">
        <v>1</v>
      </c>
      <c r="EY1860" s="100">
        <v>5</v>
      </c>
      <c r="FA1860" s="100">
        <v>5</v>
      </c>
      <c r="FB1860" s="100">
        <v>5</v>
      </c>
      <c r="FC1860" s="100">
        <v>13</v>
      </c>
      <c r="FD1860" s="100">
        <v>3</v>
      </c>
      <c r="FE1860" s="100">
        <v>5</v>
      </c>
      <c r="FF1860" s="100">
        <v>9</v>
      </c>
      <c r="FH1860" s="100">
        <v>1</v>
      </c>
      <c r="FI1860" s="100">
        <v>13</v>
      </c>
      <c r="FJ1860" s="100">
        <v>10</v>
      </c>
      <c r="FK1860" s="100">
        <v>4</v>
      </c>
      <c r="FL1860" s="100">
        <v>1</v>
      </c>
      <c r="ON1860" s="100">
        <f t="shared" ref="ON1860:ON1923" si="579">SUM(NS1860:OM1860)</f>
        <v>0</v>
      </c>
    </row>
    <row r="1861" spans="1:404" ht="23.25" customHeight="1">
      <c r="A1861" s="97" t="str">
        <f>D1861&amp;E1861</f>
        <v>002/OBI-2166-31900-02-B</v>
      </c>
      <c r="B1861" s="95">
        <v>44409</v>
      </c>
      <c r="C1861" s="97">
        <f t="shared" ca="1" si="576"/>
        <v>-655</v>
      </c>
      <c r="D1861" s="96" t="s">
        <v>938</v>
      </c>
      <c r="E1861" s="94" t="s">
        <v>949</v>
      </c>
      <c r="F1861" s="98" t="str">
        <f t="shared" si="577"/>
        <v>B</v>
      </c>
      <c r="G1861" s="110">
        <f ca="1">SUMIF($A:E,$A1861,K:K)</f>
        <v>636</v>
      </c>
      <c r="H1861" s="97" t="s">
        <v>508</v>
      </c>
      <c r="I1861" s="98">
        <v>318</v>
      </c>
      <c r="J1861" s="97">
        <v>318</v>
      </c>
      <c r="K1861" s="143">
        <f t="shared" si="578"/>
        <v>318</v>
      </c>
      <c r="L1861" s="144">
        <f t="shared" si="572"/>
        <v>0</v>
      </c>
      <c r="M1861" s="275">
        <f t="shared" si="574"/>
        <v>318</v>
      </c>
      <c r="N1861" s="98">
        <v>3</v>
      </c>
      <c r="O1861" s="93">
        <f t="shared" si="575"/>
        <v>100</v>
      </c>
      <c r="DR1861" s="101">
        <v>5</v>
      </c>
      <c r="DT1861" s="100">
        <v>11</v>
      </c>
      <c r="DU1861" s="100">
        <v>4</v>
      </c>
      <c r="DW1861" s="100">
        <v>6</v>
      </c>
      <c r="DZ1861" s="100">
        <v>17</v>
      </c>
      <c r="EA1861" s="100">
        <v>13</v>
      </c>
      <c r="EC1861" s="100">
        <v>12</v>
      </c>
      <c r="ED1861" s="100">
        <v>6</v>
      </c>
      <c r="EF1861" s="100">
        <v>7</v>
      </c>
      <c r="EG1861" s="100">
        <v>4</v>
      </c>
      <c r="EH1861" s="100">
        <v>5</v>
      </c>
      <c r="EI1861" s="100">
        <v>7</v>
      </c>
      <c r="EJ1861" s="100">
        <v>20</v>
      </c>
      <c r="EK1861" s="100">
        <v>10</v>
      </c>
      <c r="EL1861" s="100">
        <v>8</v>
      </c>
      <c r="EM1861" s="100">
        <v>7</v>
      </c>
      <c r="EN1861" s="100">
        <v>5</v>
      </c>
      <c r="EO1861" s="100">
        <v>5</v>
      </c>
      <c r="EP1861" s="100">
        <v>5</v>
      </c>
      <c r="EQ1861" s="100">
        <v>10</v>
      </c>
      <c r="ER1861" s="100">
        <v>6</v>
      </c>
      <c r="EU1861" s="100">
        <v>22</v>
      </c>
      <c r="EV1861" s="100">
        <v>7</v>
      </c>
      <c r="EW1861" s="100">
        <v>1</v>
      </c>
      <c r="EX1861" s="100">
        <v>12</v>
      </c>
      <c r="EY1861" s="100">
        <v>10</v>
      </c>
      <c r="FA1861" s="100">
        <v>7</v>
      </c>
      <c r="FB1861" s="100">
        <v>5</v>
      </c>
      <c r="FC1861" s="100">
        <v>2</v>
      </c>
      <c r="FD1861" s="100">
        <v>22</v>
      </c>
      <c r="FE1861" s="100">
        <v>5</v>
      </c>
      <c r="FF1861" s="100">
        <v>6</v>
      </c>
      <c r="FH1861" s="100">
        <v>14</v>
      </c>
      <c r="FI1861" s="100">
        <v>3</v>
      </c>
      <c r="FJ1861" s="100">
        <v>10</v>
      </c>
      <c r="FK1861" s="100">
        <v>11</v>
      </c>
      <c r="FL1861" s="100">
        <v>8</v>
      </c>
      <c r="ON1861" s="100">
        <f t="shared" si="579"/>
        <v>0</v>
      </c>
    </row>
    <row r="1862" spans="1:404" ht="23.25" customHeight="1">
      <c r="A1862" s="97" t="str">
        <f>D1862&amp;E1862</f>
        <v>002T/OBI-2166-31900-02-B</v>
      </c>
      <c r="B1862" s="95">
        <v>44416</v>
      </c>
      <c r="C1862" s="97">
        <f t="shared" ca="1" si="576"/>
        <v>-648</v>
      </c>
      <c r="D1862" s="112" t="s">
        <v>1047</v>
      </c>
      <c r="E1862" s="123" t="s">
        <v>949</v>
      </c>
      <c r="F1862" s="98" t="str">
        <f t="shared" si="577"/>
        <v>B</v>
      </c>
      <c r="G1862" s="110">
        <f ca="1">SUMIF($A:E,$A1862,K:K)</f>
        <v>352</v>
      </c>
      <c r="H1862" s="97" t="s">
        <v>616</v>
      </c>
      <c r="I1862" s="98">
        <v>176</v>
      </c>
      <c r="J1862" s="115">
        <v>176</v>
      </c>
      <c r="K1862" s="143">
        <f t="shared" si="578"/>
        <v>176</v>
      </c>
      <c r="L1862" s="144">
        <f t="shared" si="572"/>
        <v>0</v>
      </c>
      <c r="M1862" s="275">
        <f t="shared" si="574"/>
        <v>176</v>
      </c>
      <c r="N1862" s="98">
        <v>5</v>
      </c>
      <c r="O1862" s="93">
        <f t="shared" si="575"/>
        <v>100</v>
      </c>
      <c r="FL1862" s="100">
        <v>4</v>
      </c>
      <c r="FM1862" s="100">
        <v>8</v>
      </c>
      <c r="FO1862" s="100">
        <v>6</v>
      </c>
      <c r="FP1862" s="100">
        <v>5</v>
      </c>
      <c r="FQ1862" s="100">
        <v>5</v>
      </c>
      <c r="FR1862" s="100">
        <v>10</v>
      </c>
      <c r="FS1862" s="100">
        <v>4</v>
      </c>
      <c r="FT1862" s="100">
        <v>6</v>
      </c>
      <c r="FU1862" s="100">
        <v>10</v>
      </c>
      <c r="FV1862" s="100">
        <v>5</v>
      </c>
      <c r="FW1862" s="100">
        <v>10</v>
      </c>
      <c r="FX1862" s="100">
        <v>9</v>
      </c>
      <c r="FZ1862" s="100">
        <v>10</v>
      </c>
      <c r="GA1862" s="100">
        <v>5</v>
      </c>
      <c r="GB1862" s="100">
        <v>10</v>
      </c>
      <c r="GC1862" s="100">
        <v>10</v>
      </c>
      <c r="GD1862" s="100">
        <v>10</v>
      </c>
      <c r="GE1862" s="100">
        <v>5</v>
      </c>
      <c r="GG1862" s="100">
        <v>5</v>
      </c>
      <c r="GH1862" s="100">
        <v>5</v>
      </c>
      <c r="GI1862" s="100">
        <v>2</v>
      </c>
      <c r="GK1862" s="100">
        <v>12</v>
      </c>
      <c r="GL1862" s="100">
        <v>5</v>
      </c>
      <c r="GN1862" s="100">
        <v>9</v>
      </c>
      <c r="GO1862" s="100">
        <v>4</v>
      </c>
      <c r="GP1862" s="100">
        <v>2</v>
      </c>
      <c r="ON1862" s="100">
        <f t="shared" si="579"/>
        <v>0</v>
      </c>
    </row>
    <row r="1863" spans="1:404" ht="23.25" customHeight="1">
      <c r="A1863" s="97" t="str">
        <f>D1863&amp;E1863</f>
        <v>002T/OBI-2166-31900-02-B</v>
      </c>
      <c r="B1863" s="95">
        <v>44416</v>
      </c>
      <c r="C1863" s="97">
        <f t="shared" ca="1" si="576"/>
        <v>-648</v>
      </c>
      <c r="D1863" s="112" t="s">
        <v>1047</v>
      </c>
      <c r="E1863" s="123" t="s">
        <v>949</v>
      </c>
      <c r="F1863" s="98" t="str">
        <f t="shared" si="577"/>
        <v>B</v>
      </c>
      <c r="G1863" s="110">
        <f ca="1">SUMIF($A:E,$A1863,K:K)</f>
        <v>352</v>
      </c>
      <c r="H1863" s="97" t="s">
        <v>616</v>
      </c>
      <c r="I1863" s="98">
        <v>176</v>
      </c>
      <c r="J1863" s="115">
        <f>352-J1862</f>
        <v>176</v>
      </c>
      <c r="K1863" s="143">
        <f t="shared" si="578"/>
        <v>176</v>
      </c>
      <c r="L1863" s="144">
        <f t="shared" si="572"/>
        <v>0</v>
      </c>
      <c r="M1863" s="275">
        <f t="shared" si="574"/>
        <v>176</v>
      </c>
      <c r="N1863" s="98">
        <v>3</v>
      </c>
      <c r="O1863" s="93">
        <f t="shared" si="575"/>
        <v>100</v>
      </c>
      <c r="FL1863" s="100">
        <v>2</v>
      </c>
      <c r="FM1863" s="100">
        <v>9</v>
      </c>
      <c r="FO1863" s="100">
        <v>9</v>
      </c>
      <c r="FP1863" s="100">
        <v>6</v>
      </c>
      <c r="FQ1863" s="100">
        <v>10</v>
      </c>
      <c r="FS1863" s="100">
        <v>9</v>
      </c>
      <c r="FT1863" s="100">
        <v>15</v>
      </c>
      <c r="FU1863" s="100">
        <v>11</v>
      </c>
      <c r="FV1863" s="100">
        <v>10</v>
      </c>
      <c r="FW1863" s="100">
        <v>10</v>
      </c>
      <c r="FX1863" s="100">
        <v>7</v>
      </c>
      <c r="FZ1863" s="100">
        <v>13</v>
      </c>
      <c r="GA1863" s="100">
        <v>5</v>
      </c>
      <c r="GB1863" s="100">
        <v>8</v>
      </c>
      <c r="GC1863" s="100">
        <v>12</v>
      </c>
      <c r="GD1863" s="100">
        <v>8</v>
      </c>
      <c r="GE1863" s="100">
        <v>2</v>
      </c>
      <c r="GG1863" s="100">
        <v>20</v>
      </c>
      <c r="GH1863" s="100">
        <v>6</v>
      </c>
      <c r="GI1863" s="100">
        <v>1</v>
      </c>
      <c r="GJ1863" s="100">
        <v>1</v>
      </c>
      <c r="GL1863" s="100">
        <v>2</v>
      </c>
      <c r="ON1863" s="100">
        <f t="shared" si="579"/>
        <v>0</v>
      </c>
    </row>
    <row r="1864" spans="1:404" ht="23.25" customHeight="1">
      <c r="A1864" s="97" t="s">
        <v>1370</v>
      </c>
      <c r="B1864" s="95">
        <v>44534</v>
      </c>
      <c r="C1864" s="97">
        <f t="shared" ca="1" si="576"/>
        <v>-530</v>
      </c>
      <c r="D1864" s="112" t="s">
        <v>1400</v>
      </c>
      <c r="E1864" s="123" t="s">
        <v>949</v>
      </c>
      <c r="F1864" s="98" t="str">
        <f t="shared" si="577"/>
        <v>B</v>
      </c>
      <c r="G1864" s="110">
        <f ca="1">SUMIF($A:E,$A1864,K:K)</f>
        <v>5654</v>
      </c>
      <c r="H1864" s="97" t="s">
        <v>1402</v>
      </c>
      <c r="I1864" s="98">
        <v>64</v>
      </c>
      <c r="J1864" s="115">
        <v>64</v>
      </c>
      <c r="K1864" s="143">
        <f t="shared" si="578"/>
        <v>64</v>
      </c>
      <c r="L1864" s="144">
        <f t="shared" si="572"/>
        <v>0</v>
      </c>
      <c r="M1864" s="275">
        <f t="shared" si="574"/>
        <v>64</v>
      </c>
      <c r="N1864" s="98">
        <v>1</v>
      </c>
      <c r="O1864" s="93">
        <f t="shared" si="575"/>
        <v>100</v>
      </c>
      <c r="LG1864" s="100">
        <v>3</v>
      </c>
      <c r="LJ1864" s="100">
        <v>10</v>
      </c>
      <c r="LK1864" s="100">
        <v>5</v>
      </c>
      <c r="LL1864" s="100">
        <v>13</v>
      </c>
      <c r="LM1864" s="100">
        <v>7</v>
      </c>
      <c r="LN1864" s="100">
        <v>8</v>
      </c>
      <c r="LP1864" s="100">
        <v>18</v>
      </c>
      <c r="ON1864" s="100">
        <f t="shared" si="579"/>
        <v>0</v>
      </c>
    </row>
    <row r="1865" spans="1:404" ht="23.25" customHeight="1">
      <c r="A1865" s="97" t="str">
        <f>D1865&amp;E1865</f>
        <v>002/OBI-2166-31900-01-B</v>
      </c>
      <c r="B1865" s="95">
        <v>44409</v>
      </c>
      <c r="C1865" s="97">
        <f t="shared" ca="1" si="576"/>
        <v>-655</v>
      </c>
      <c r="D1865" s="96" t="s">
        <v>938</v>
      </c>
      <c r="E1865" s="94" t="s">
        <v>948</v>
      </c>
      <c r="F1865" s="98" t="str">
        <f t="shared" si="577"/>
        <v>B</v>
      </c>
      <c r="G1865" s="110">
        <f ca="1">SUMIF($A:E,$A1865,K:K)</f>
        <v>636</v>
      </c>
      <c r="H1865" s="97" t="s">
        <v>508</v>
      </c>
      <c r="I1865" s="98">
        <v>318</v>
      </c>
      <c r="J1865" s="97">
        <v>318</v>
      </c>
      <c r="K1865" s="143">
        <f t="shared" si="578"/>
        <v>318</v>
      </c>
      <c r="L1865" s="144">
        <f t="shared" si="572"/>
        <v>0</v>
      </c>
      <c r="M1865" s="275">
        <f t="shared" si="574"/>
        <v>318</v>
      </c>
      <c r="N1865" s="98">
        <v>5</v>
      </c>
      <c r="O1865" s="93">
        <f t="shared" si="575"/>
        <v>100</v>
      </c>
      <c r="DN1865" s="101">
        <v>2</v>
      </c>
      <c r="DO1865" s="101">
        <v>18</v>
      </c>
      <c r="DP1865" s="101">
        <v>5</v>
      </c>
      <c r="DR1865" s="101">
        <v>10</v>
      </c>
      <c r="DS1865" s="100">
        <v>5</v>
      </c>
      <c r="DU1865" s="100">
        <v>7</v>
      </c>
      <c r="DV1865" s="100">
        <v>3</v>
      </c>
      <c r="DW1865" s="100">
        <v>2</v>
      </c>
      <c r="DY1865" s="100">
        <v>11</v>
      </c>
      <c r="DZ1865" s="100">
        <v>2</v>
      </c>
      <c r="EA1865" s="100">
        <v>11</v>
      </c>
      <c r="EC1865" s="100">
        <v>9</v>
      </c>
      <c r="ED1865" s="100">
        <v>7</v>
      </c>
      <c r="EF1865" s="100">
        <v>10</v>
      </c>
      <c r="EH1865" s="100">
        <v>10</v>
      </c>
      <c r="EI1865" s="100">
        <v>10</v>
      </c>
      <c r="EJ1865" s="100">
        <v>12</v>
      </c>
      <c r="EK1865" s="100">
        <v>17</v>
      </c>
      <c r="EL1865" s="100">
        <v>9</v>
      </c>
      <c r="EM1865" s="100">
        <v>6</v>
      </c>
      <c r="EN1865" s="100">
        <v>5</v>
      </c>
      <c r="EO1865" s="100">
        <v>9</v>
      </c>
      <c r="EP1865" s="100">
        <v>10</v>
      </c>
      <c r="EQ1865" s="100">
        <v>9</v>
      </c>
      <c r="ER1865" s="100">
        <v>11</v>
      </c>
      <c r="ET1865" s="100">
        <v>5</v>
      </c>
      <c r="EU1865" s="100">
        <v>5</v>
      </c>
      <c r="EV1865" s="100">
        <v>10</v>
      </c>
      <c r="EW1865" s="100">
        <v>13</v>
      </c>
      <c r="EX1865" s="100">
        <v>1</v>
      </c>
      <c r="EY1865" s="100">
        <v>5</v>
      </c>
      <c r="FA1865" s="100">
        <v>5</v>
      </c>
      <c r="FB1865" s="100">
        <v>5</v>
      </c>
      <c r="FC1865" s="100">
        <v>13</v>
      </c>
      <c r="FD1865" s="100">
        <v>3</v>
      </c>
      <c r="FE1865" s="100">
        <v>5</v>
      </c>
      <c r="FF1865" s="100">
        <v>9</v>
      </c>
      <c r="FH1865" s="100">
        <v>1</v>
      </c>
      <c r="FI1865" s="100">
        <v>13</v>
      </c>
      <c r="FJ1865" s="100">
        <v>10</v>
      </c>
      <c r="FK1865" s="100">
        <v>4</v>
      </c>
      <c r="FL1865" s="100">
        <v>1</v>
      </c>
      <c r="ON1865" s="100">
        <f t="shared" si="579"/>
        <v>0</v>
      </c>
    </row>
    <row r="1866" spans="1:404" ht="23.25" customHeight="1">
      <c r="A1866" s="97" t="str">
        <f>D1866&amp;E1866</f>
        <v>002/OBI-2166-31900-01-B</v>
      </c>
      <c r="B1866" s="95">
        <v>44409</v>
      </c>
      <c r="C1866" s="97">
        <f t="shared" ca="1" si="576"/>
        <v>-655</v>
      </c>
      <c r="D1866" s="96" t="s">
        <v>938</v>
      </c>
      <c r="E1866" s="94" t="s">
        <v>948</v>
      </c>
      <c r="F1866" s="98" t="str">
        <f t="shared" si="577"/>
        <v>B</v>
      </c>
      <c r="G1866" s="110">
        <f ca="1">SUMIF($A:E,$A1866,K:K)</f>
        <v>636</v>
      </c>
      <c r="H1866" s="97" t="s">
        <v>508</v>
      </c>
      <c r="I1866" s="98">
        <v>318</v>
      </c>
      <c r="J1866" s="97">
        <v>318</v>
      </c>
      <c r="K1866" s="143">
        <f t="shared" si="578"/>
        <v>318</v>
      </c>
      <c r="L1866" s="144">
        <f t="shared" si="572"/>
        <v>0</v>
      </c>
      <c r="M1866" s="275">
        <f t="shared" si="574"/>
        <v>318</v>
      </c>
      <c r="N1866" s="98">
        <v>3</v>
      </c>
      <c r="O1866" s="93">
        <f t="shared" si="575"/>
        <v>100</v>
      </c>
      <c r="DR1866" s="101">
        <v>5</v>
      </c>
      <c r="DT1866" s="100">
        <v>11</v>
      </c>
      <c r="DU1866" s="100">
        <v>4</v>
      </c>
      <c r="DW1866" s="100">
        <v>6</v>
      </c>
      <c r="DZ1866" s="100">
        <v>17</v>
      </c>
      <c r="EA1866" s="100">
        <v>13</v>
      </c>
      <c r="EC1866" s="100">
        <v>12</v>
      </c>
      <c r="ED1866" s="100">
        <v>6</v>
      </c>
      <c r="EF1866" s="100">
        <v>7</v>
      </c>
      <c r="EG1866" s="100">
        <v>4</v>
      </c>
      <c r="EH1866" s="100">
        <v>5</v>
      </c>
      <c r="EI1866" s="100">
        <v>7</v>
      </c>
      <c r="EJ1866" s="100">
        <v>20</v>
      </c>
      <c r="EK1866" s="100">
        <v>10</v>
      </c>
      <c r="EL1866" s="100">
        <v>8</v>
      </c>
      <c r="EM1866" s="100">
        <v>7</v>
      </c>
      <c r="EN1866" s="100">
        <v>5</v>
      </c>
      <c r="EO1866" s="100">
        <v>5</v>
      </c>
      <c r="EP1866" s="100">
        <v>5</v>
      </c>
      <c r="EQ1866" s="100">
        <v>10</v>
      </c>
      <c r="ER1866" s="100">
        <v>6</v>
      </c>
      <c r="EU1866" s="100">
        <v>22</v>
      </c>
      <c r="EV1866" s="100">
        <v>7</v>
      </c>
      <c r="EW1866" s="100">
        <v>1</v>
      </c>
      <c r="EX1866" s="100">
        <v>12</v>
      </c>
      <c r="EY1866" s="100">
        <v>10</v>
      </c>
      <c r="FA1866" s="100">
        <v>7</v>
      </c>
      <c r="FB1866" s="100">
        <v>5</v>
      </c>
      <c r="FC1866" s="100">
        <v>2</v>
      </c>
      <c r="FD1866" s="100">
        <v>22</v>
      </c>
      <c r="FE1866" s="100">
        <v>5</v>
      </c>
      <c r="FF1866" s="100">
        <v>6</v>
      </c>
      <c r="FH1866" s="100">
        <v>14</v>
      </c>
      <c r="FI1866" s="100">
        <v>3</v>
      </c>
      <c r="FJ1866" s="100">
        <v>10</v>
      </c>
      <c r="FK1866" s="100">
        <v>11</v>
      </c>
      <c r="FL1866" s="100">
        <v>8</v>
      </c>
      <c r="ON1866" s="100">
        <f t="shared" si="579"/>
        <v>0</v>
      </c>
    </row>
    <row r="1867" spans="1:404" ht="23.25" customHeight="1">
      <c r="A1867" s="97" t="str">
        <f>D1867&amp;E1867</f>
        <v>002T/OBI-2166-31900-01-B</v>
      </c>
      <c r="B1867" s="95">
        <v>44416</v>
      </c>
      <c r="C1867" s="97">
        <f t="shared" ca="1" si="576"/>
        <v>-648</v>
      </c>
      <c r="D1867" s="112" t="s">
        <v>1047</v>
      </c>
      <c r="E1867" s="123" t="s">
        <v>948</v>
      </c>
      <c r="F1867" s="98" t="str">
        <f t="shared" si="577"/>
        <v>B</v>
      </c>
      <c r="G1867" s="110">
        <f ca="1">SUMIF($A:E,$A1867,K:K)</f>
        <v>352</v>
      </c>
      <c r="H1867" s="97" t="s">
        <v>616</v>
      </c>
      <c r="I1867" s="98">
        <v>176</v>
      </c>
      <c r="J1867" s="115">
        <v>176</v>
      </c>
      <c r="K1867" s="143">
        <f t="shared" si="578"/>
        <v>176</v>
      </c>
      <c r="L1867" s="144">
        <f t="shared" si="572"/>
        <v>0</v>
      </c>
      <c r="M1867" s="275">
        <f t="shared" si="574"/>
        <v>176</v>
      </c>
      <c r="N1867" s="98">
        <v>5</v>
      </c>
      <c r="O1867" s="93">
        <f t="shared" si="575"/>
        <v>100</v>
      </c>
      <c r="FL1867" s="100">
        <v>4</v>
      </c>
      <c r="FM1867" s="100">
        <v>8</v>
      </c>
      <c r="FO1867" s="100">
        <v>6</v>
      </c>
      <c r="FP1867" s="100">
        <v>5</v>
      </c>
      <c r="FQ1867" s="100">
        <v>5</v>
      </c>
      <c r="FR1867" s="100">
        <v>10</v>
      </c>
      <c r="FS1867" s="100">
        <v>4</v>
      </c>
      <c r="FT1867" s="100">
        <v>6</v>
      </c>
      <c r="FU1867" s="100">
        <v>10</v>
      </c>
      <c r="FV1867" s="100">
        <v>5</v>
      </c>
      <c r="FW1867" s="100">
        <v>10</v>
      </c>
      <c r="FX1867" s="100">
        <v>9</v>
      </c>
      <c r="FZ1867" s="100">
        <v>10</v>
      </c>
      <c r="GA1867" s="100">
        <v>5</v>
      </c>
      <c r="GB1867" s="100">
        <v>10</v>
      </c>
      <c r="GC1867" s="100">
        <v>10</v>
      </c>
      <c r="GD1867" s="100">
        <v>10</v>
      </c>
      <c r="GE1867" s="100">
        <v>5</v>
      </c>
      <c r="GG1867" s="100">
        <v>5</v>
      </c>
      <c r="GH1867" s="100">
        <v>5</v>
      </c>
      <c r="GI1867" s="100">
        <v>2</v>
      </c>
      <c r="GK1867" s="100">
        <v>12</v>
      </c>
      <c r="GL1867" s="100">
        <v>5</v>
      </c>
      <c r="GN1867" s="100">
        <v>9</v>
      </c>
      <c r="GO1867" s="100">
        <v>4</v>
      </c>
      <c r="GP1867" s="100">
        <v>2</v>
      </c>
      <c r="ON1867" s="100">
        <f t="shared" si="579"/>
        <v>0</v>
      </c>
    </row>
    <row r="1868" spans="1:404" ht="23.25" customHeight="1">
      <c r="A1868" s="97" t="str">
        <f>D1868&amp;E1868</f>
        <v>002T/OBI-2166-31900-01-B</v>
      </c>
      <c r="B1868" s="95">
        <v>44416</v>
      </c>
      <c r="C1868" s="97">
        <f t="shared" ca="1" si="576"/>
        <v>-648</v>
      </c>
      <c r="D1868" s="112" t="s">
        <v>1047</v>
      </c>
      <c r="E1868" s="123" t="s">
        <v>948</v>
      </c>
      <c r="F1868" s="98" t="str">
        <f t="shared" si="577"/>
        <v>B</v>
      </c>
      <c r="G1868" s="110">
        <f ca="1">SUMIF($A:E,$A1868,K:K)</f>
        <v>352</v>
      </c>
      <c r="H1868" s="97" t="s">
        <v>616</v>
      </c>
      <c r="I1868" s="98">
        <v>176</v>
      </c>
      <c r="J1868" s="115">
        <f>352-J1867</f>
        <v>176</v>
      </c>
      <c r="K1868" s="143">
        <f t="shared" si="578"/>
        <v>176</v>
      </c>
      <c r="L1868" s="144">
        <f t="shared" si="572"/>
        <v>0</v>
      </c>
      <c r="M1868" s="275">
        <f t="shared" si="574"/>
        <v>176</v>
      </c>
      <c r="N1868" s="98">
        <v>3</v>
      </c>
      <c r="O1868" s="93">
        <f t="shared" si="575"/>
        <v>100</v>
      </c>
      <c r="FL1868" s="100">
        <v>2</v>
      </c>
      <c r="FM1868" s="100">
        <v>9</v>
      </c>
      <c r="FO1868" s="100">
        <v>9</v>
      </c>
      <c r="FP1868" s="100">
        <v>6</v>
      </c>
      <c r="FQ1868" s="100">
        <v>10</v>
      </c>
      <c r="FS1868" s="100">
        <v>9</v>
      </c>
      <c r="FT1868" s="100">
        <v>15</v>
      </c>
      <c r="FU1868" s="100">
        <v>11</v>
      </c>
      <c r="FV1868" s="100">
        <v>10</v>
      </c>
      <c r="FW1868" s="100">
        <v>10</v>
      </c>
      <c r="FX1868" s="100">
        <v>7</v>
      </c>
      <c r="FZ1868" s="100">
        <v>13</v>
      </c>
      <c r="GA1868" s="100">
        <v>5</v>
      </c>
      <c r="GB1868" s="100">
        <v>8</v>
      </c>
      <c r="GC1868" s="100">
        <v>12</v>
      </c>
      <c r="GD1868" s="100">
        <v>8</v>
      </c>
      <c r="GE1868" s="100">
        <v>2</v>
      </c>
      <c r="GG1868" s="100">
        <v>20</v>
      </c>
      <c r="GH1868" s="100">
        <v>6</v>
      </c>
      <c r="GI1868" s="100">
        <v>1</v>
      </c>
      <c r="GJ1868" s="100">
        <v>1</v>
      </c>
      <c r="GL1868" s="100">
        <v>2</v>
      </c>
      <c r="ON1868" s="100">
        <f t="shared" si="579"/>
        <v>0</v>
      </c>
    </row>
    <row r="1869" spans="1:404" ht="23.25" customHeight="1">
      <c r="A1869" s="97" t="s">
        <v>1370</v>
      </c>
      <c r="B1869" s="95">
        <v>44534</v>
      </c>
      <c r="C1869" s="97">
        <f t="shared" ca="1" si="576"/>
        <v>-530</v>
      </c>
      <c r="D1869" s="112" t="s">
        <v>1400</v>
      </c>
      <c r="E1869" s="123" t="s">
        <v>948</v>
      </c>
      <c r="F1869" s="98" t="str">
        <f t="shared" si="577"/>
        <v>B</v>
      </c>
      <c r="G1869" s="110">
        <f ca="1">SUMIF($A:E,$A1869,K:K)</f>
        <v>5654</v>
      </c>
      <c r="H1869" s="97" t="s">
        <v>1402</v>
      </c>
      <c r="I1869" s="98">
        <v>64</v>
      </c>
      <c r="J1869" s="115">
        <v>64</v>
      </c>
      <c r="K1869" s="143">
        <f t="shared" si="578"/>
        <v>64</v>
      </c>
      <c r="L1869" s="144">
        <f t="shared" si="572"/>
        <v>0</v>
      </c>
      <c r="M1869" s="275">
        <f t="shared" si="574"/>
        <v>64</v>
      </c>
      <c r="N1869" s="98">
        <v>1</v>
      </c>
      <c r="O1869" s="93">
        <f t="shared" si="575"/>
        <v>100</v>
      </c>
      <c r="LG1869" s="100">
        <v>3</v>
      </c>
      <c r="LJ1869" s="100">
        <v>10</v>
      </c>
      <c r="LK1869" s="100">
        <v>5</v>
      </c>
      <c r="LL1869" s="100">
        <v>13</v>
      </c>
      <c r="LM1869" s="100">
        <v>7</v>
      </c>
      <c r="LN1869" s="100">
        <v>8</v>
      </c>
      <c r="LP1869" s="100">
        <v>18</v>
      </c>
      <c r="ON1869" s="100">
        <f t="shared" si="579"/>
        <v>0</v>
      </c>
    </row>
    <row r="1870" spans="1:404" ht="23.25" customHeight="1">
      <c r="A1870" s="97" t="str">
        <f t="shared" ref="A1870:A1873" si="580">D1870&amp;E1870</f>
        <v>001/CALUCKY-2166-28524-S1-B</v>
      </c>
      <c r="B1870" s="95">
        <v>44312</v>
      </c>
      <c r="C1870" s="97">
        <f t="shared" ca="1" si="576"/>
        <v>-752</v>
      </c>
      <c r="D1870" s="96" t="s">
        <v>771</v>
      </c>
      <c r="E1870" s="94" t="s">
        <v>772</v>
      </c>
      <c r="F1870" s="98" t="str">
        <f t="shared" si="577"/>
        <v>B</v>
      </c>
      <c r="G1870" s="110">
        <f ca="1">SUMIF($A:E,$A1870,K:K)</f>
        <v>40</v>
      </c>
      <c r="H1870" s="97" t="s">
        <v>616</v>
      </c>
      <c r="I1870" s="98">
        <v>40</v>
      </c>
      <c r="J1870" s="99">
        <v>40</v>
      </c>
      <c r="K1870" s="143">
        <f t="shared" si="578"/>
        <v>40</v>
      </c>
      <c r="L1870" s="144">
        <f t="shared" si="572"/>
        <v>0</v>
      </c>
      <c r="M1870" s="275">
        <f t="shared" si="574"/>
        <v>40</v>
      </c>
      <c r="N1870" s="98">
        <v>1</v>
      </c>
      <c r="O1870" s="93">
        <f t="shared" si="575"/>
        <v>100</v>
      </c>
      <c r="CC1870" s="101">
        <v>4</v>
      </c>
      <c r="CD1870" s="101">
        <v>2</v>
      </c>
      <c r="CE1870" s="101">
        <v>2</v>
      </c>
      <c r="CG1870" s="101">
        <v>2</v>
      </c>
      <c r="CJ1870" s="101">
        <v>2</v>
      </c>
      <c r="CK1870" s="101">
        <v>4</v>
      </c>
      <c r="CL1870" s="101">
        <v>2</v>
      </c>
      <c r="CN1870" s="101">
        <v>2</v>
      </c>
      <c r="CQ1870" s="101">
        <v>6</v>
      </c>
      <c r="CR1870" s="101">
        <v>3</v>
      </c>
      <c r="CS1870" s="101">
        <v>2</v>
      </c>
      <c r="CU1870" s="101">
        <v>1</v>
      </c>
      <c r="CZ1870" s="101">
        <v>5</v>
      </c>
      <c r="DA1870" s="101">
        <v>1</v>
      </c>
      <c r="DD1870" s="101">
        <v>2</v>
      </c>
      <c r="ON1870" s="100">
        <f t="shared" si="579"/>
        <v>0</v>
      </c>
    </row>
    <row r="1871" spans="1:404" ht="23.25" customHeight="1">
      <c r="A1871" s="97" t="str">
        <f t="shared" si="580"/>
        <v xml:space="preserve">	001/NORTHCOAST-VG-2166-28509-S1-B</v>
      </c>
      <c r="B1871" s="95">
        <v>44660</v>
      </c>
      <c r="C1871" s="97">
        <f t="shared" ca="1" si="576"/>
        <v>-404</v>
      </c>
      <c r="D1871" s="112" t="s">
        <v>1880</v>
      </c>
      <c r="E1871" s="123" t="s">
        <v>1882</v>
      </c>
      <c r="F1871" s="98" t="str">
        <f t="shared" si="577"/>
        <v>B</v>
      </c>
      <c r="G1871" s="110">
        <f ca="1">SUMIF($A:E,$A1871,K:K)</f>
        <v>0</v>
      </c>
      <c r="H1871" s="97" t="s">
        <v>927</v>
      </c>
      <c r="I1871" s="98">
        <v>18</v>
      </c>
      <c r="J1871" s="115">
        <v>18</v>
      </c>
      <c r="K1871" s="143">
        <f t="shared" si="578"/>
        <v>0</v>
      </c>
      <c r="L1871" s="144">
        <f>J1871-K1871</f>
        <v>18</v>
      </c>
      <c r="M1871" s="275">
        <f t="shared" si="574"/>
        <v>18</v>
      </c>
      <c r="N1871" s="98">
        <v>1</v>
      </c>
      <c r="O1871" s="93">
        <f t="shared" ref="O1871:O1872" si="581">K1871/J1871*100</f>
        <v>0</v>
      </c>
      <c r="ON1871" s="100">
        <f t="shared" si="579"/>
        <v>0</v>
      </c>
    </row>
    <row r="1872" spans="1:404" ht="23.25" customHeight="1">
      <c r="A1872" s="97" t="str">
        <f t="shared" si="580"/>
        <v>001/NEVE YARAK-VG-2166-28500-S1-B</v>
      </c>
      <c r="B1872" s="218">
        <v>44661</v>
      </c>
      <c r="C1872" s="97">
        <f t="shared" ca="1" si="576"/>
        <v>-403</v>
      </c>
      <c r="D1872" s="112" t="s">
        <v>1705</v>
      </c>
      <c r="E1872" s="123" t="s">
        <v>496</v>
      </c>
      <c r="F1872" s="98" t="str">
        <f t="shared" si="577"/>
        <v>B</v>
      </c>
      <c r="G1872" s="110">
        <f ca="1">SUMIF($A:E,$A1872,K:K)</f>
        <v>74</v>
      </c>
      <c r="H1872" s="97" t="s">
        <v>927</v>
      </c>
      <c r="I1872" s="98">
        <v>108</v>
      </c>
      <c r="J1872" s="115">
        <v>108</v>
      </c>
      <c r="K1872" s="143">
        <f t="shared" si="578"/>
        <v>74</v>
      </c>
      <c r="L1872" s="144">
        <f t="shared" si="572"/>
        <v>34</v>
      </c>
      <c r="M1872" s="275">
        <f t="shared" si="574"/>
        <v>108</v>
      </c>
      <c r="N1872" s="98">
        <v>1</v>
      </c>
      <c r="O1872" s="93">
        <f t="shared" si="581"/>
        <v>68.518518518518519</v>
      </c>
      <c r="OF1872" s="100">
        <v>9</v>
      </c>
      <c r="OH1872" s="100">
        <v>5</v>
      </c>
      <c r="OI1872" s="100">
        <v>9</v>
      </c>
      <c r="OJ1872" s="100">
        <v>9</v>
      </c>
      <c r="OK1872" s="100">
        <v>5</v>
      </c>
      <c r="ON1872" s="100">
        <f t="shared" si="579"/>
        <v>37</v>
      </c>
    </row>
    <row r="1873" spans="1:404" ht="23.25" customHeight="1">
      <c r="A1873" s="97" t="str">
        <f t="shared" si="580"/>
        <v xml:space="preserve">	001/AL-FARES-VG-2166-28405-S1-B1</v>
      </c>
      <c r="B1873" s="95">
        <v>44686</v>
      </c>
      <c r="C1873" s="97">
        <f t="shared" ca="1" si="576"/>
        <v>-378</v>
      </c>
      <c r="D1873" s="112" t="s">
        <v>1814</v>
      </c>
      <c r="E1873" s="279" t="s">
        <v>1816</v>
      </c>
      <c r="F1873" s="98" t="str">
        <f t="shared" si="577"/>
        <v>B1</v>
      </c>
      <c r="G1873" s="110">
        <f ca="1">SUMIF($A:E,$A1873,K:K)</f>
        <v>0</v>
      </c>
      <c r="H1873" s="112" t="s">
        <v>1561</v>
      </c>
      <c r="I1873" s="98">
        <v>16</v>
      </c>
      <c r="J1873" s="115">
        <v>16</v>
      </c>
      <c r="K1873" s="143">
        <f t="shared" si="578"/>
        <v>0</v>
      </c>
      <c r="L1873" s="144">
        <f t="shared" si="572"/>
        <v>16</v>
      </c>
      <c r="M1873" s="275">
        <f t="shared" si="574"/>
        <v>16</v>
      </c>
      <c r="N1873" s="98"/>
      <c r="O1873" s="93">
        <f t="shared" ref="O1873:O1874" si="582">K1873/J1873*100</f>
        <v>0</v>
      </c>
      <c r="ON1873" s="100">
        <f t="shared" si="579"/>
        <v>0</v>
      </c>
    </row>
    <row r="1874" spans="1:404" ht="23.25" customHeight="1">
      <c r="A1874" s="97" t="str">
        <f>D1874&amp;F1874</f>
        <v>001/KHBS-21B</v>
      </c>
      <c r="B1874" s="95">
        <v>44203</v>
      </c>
      <c r="C1874" s="97">
        <f t="shared" ca="1" si="576"/>
        <v>-861</v>
      </c>
      <c r="D1874" s="96" t="s">
        <v>653</v>
      </c>
      <c r="E1874" s="94" t="s">
        <v>495</v>
      </c>
      <c r="F1874" s="98" t="str">
        <f t="shared" si="577"/>
        <v>B</v>
      </c>
      <c r="G1874" s="110">
        <f ca="1">SUMIF($A:E,$A1874,K:K)</f>
        <v>3</v>
      </c>
      <c r="H1874" s="97" t="s">
        <v>508</v>
      </c>
      <c r="I1874" s="98">
        <v>3</v>
      </c>
      <c r="J1874" s="99">
        <v>3</v>
      </c>
      <c r="K1874" s="143">
        <f t="shared" si="578"/>
        <v>3</v>
      </c>
      <c r="L1874" s="144">
        <f t="shared" si="572"/>
        <v>0</v>
      </c>
      <c r="M1874" s="275">
        <f t="shared" si="574"/>
        <v>3</v>
      </c>
      <c r="N1874" s="98">
        <v>1</v>
      </c>
      <c r="O1874" s="93">
        <f t="shared" si="582"/>
        <v>100</v>
      </c>
      <c r="U1874" s="101">
        <v>3</v>
      </c>
      <c r="ON1874" s="100">
        <f t="shared" si="579"/>
        <v>0</v>
      </c>
    </row>
    <row r="1875" spans="1:404" ht="23.25" customHeight="1">
      <c r="A1875" s="97" t="str">
        <f t="shared" ref="A1875:A1882" si="583">D1875&amp;E1875</f>
        <v>003/ANNA-VG-21(đ2)66-28400-S1-A</v>
      </c>
      <c r="B1875" s="95">
        <v>44564</v>
      </c>
      <c r="C1875" s="97">
        <f t="shared" ca="1" si="576"/>
        <v>-500</v>
      </c>
      <c r="D1875" s="112" t="s">
        <v>1638</v>
      </c>
      <c r="E1875" s="279" t="s">
        <v>696</v>
      </c>
      <c r="F1875" s="98" t="str">
        <f t="shared" si="577"/>
        <v>A</v>
      </c>
      <c r="G1875" s="110">
        <f ca="1">SUMIF($A:E,$A1875,K:K)</f>
        <v>16</v>
      </c>
      <c r="H1875" s="112" t="s">
        <v>990</v>
      </c>
      <c r="I1875" s="98">
        <v>16</v>
      </c>
      <c r="J1875" s="115">
        <v>16</v>
      </c>
      <c r="K1875" s="143">
        <f t="shared" si="578"/>
        <v>16</v>
      </c>
      <c r="L1875" s="144">
        <f t="shared" si="572"/>
        <v>0</v>
      </c>
      <c r="M1875" s="275">
        <f t="shared" si="574"/>
        <v>16</v>
      </c>
      <c r="N1875" s="98" t="s">
        <v>1776</v>
      </c>
      <c r="O1875" s="93">
        <f t="shared" ref="O1875:O1894" si="584">K1875/J1875*100</f>
        <v>100</v>
      </c>
      <c r="MB1875" s="100">
        <v>2</v>
      </c>
      <c r="ME1875" s="100">
        <v>6</v>
      </c>
      <c r="MF1875" s="100">
        <v>4</v>
      </c>
      <c r="MG1875" s="100">
        <v>4</v>
      </c>
      <c r="ON1875" s="100">
        <f t="shared" si="579"/>
        <v>0</v>
      </c>
    </row>
    <row r="1876" spans="1:404" ht="23.25" customHeight="1">
      <c r="A1876" s="97" t="str">
        <f t="shared" si="583"/>
        <v>036/POTTERYBARN-2166-23000-S1-B</v>
      </c>
      <c r="B1876" s="95">
        <v>44489</v>
      </c>
      <c r="C1876" s="97">
        <f t="shared" ca="1" si="576"/>
        <v>-575</v>
      </c>
      <c r="D1876" s="112" t="s">
        <v>1330</v>
      </c>
      <c r="E1876" s="123" t="s">
        <v>1331</v>
      </c>
      <c r="F1876" s="98" t="str">
        <f t="shared" si="577"/>
        <v>B</v>
      </c>
      <c r="G1876" s="110">
        <f ca="1">SUMIF($A:E,$A1876,K:K)</f>
        <v>38</v>
      </c>
      <c r="H1876" s="97" t="s">
        <v>507</v>
      </c>
      <c r="I1876" s="98">
        <v>38</v>
      </c>
      <c r="J1876" s="115">
        <v>38</v>
      </c>
      <c r="K1876" s="143">
        <f t="shared" si="578"/>
        <v>38</v>
      </c>
      <c r="L1876" s="144">
        <f t="shared" si="572"/>
        <v>0</v>
      </c>
      <c r="M1876" s="275">
        <f t="shared" si="574"/>
        <v>38</v>
      </c>
      <c r="N1876" s="98">
        <v>3</v>
      </c>
      <c r="O1876" s="93">
        <f t="shared" si="584"/>
        <v>100</v>
      </c>
      <c r="IT1876" s="100">
        <v>10</v>
      </c>
      <c r="JA1876" s="100">
        <v>21</v>
      </c>
      <c r="JB1876" s="100">
        <v>7</v>
      </c>
      <c r="ON1876" s="100">
        <f t="shared" si="579"/>
        <v>0</v>
      </c>
    </row>
    <row r="1877" spans="1:404" ht="23.25" customHeight="1">
      <c r="A1877" s="97" t="str">
        <f t="shared" si="583"/>
        <v>044/VG_SR-21( POTTERYBARN66-23000-S1-B</v>
      </c>
      <c r="B1877" s="95">
        <v>44397</v>
      </c>
      <c r="C1877" s="97">
        <f t="shared" ca="1" si="576"/>
        <v>-667</v>
      </c>
      <c r="D1877" s="112" t="s">
        <v>1332</v>
      </c>
      <c r="E1877" s="123" t="s">
        <v>1331</v>
      </c>
      <c r="F1877" s="98" t="str">
        <f t="shared" si="577"/>
        <v>B</v>
      </c>
      <c r="G1877" s="110">
        <f ca="1">SUMIF($A:E,$A1877,K:K)</f>
        <v>5</v>
      </c>
      <c r="H1877" s="97" t="s">
        <v>507</v>
      </c>
      <c r="I1877" s="98">
        <v>5</v>
      </c>
      <c r="J1877" s="115">
        <v>5</v>
      </c>
      <c r="K1877" s="143">
        <f t="shared" si="578"/>
        <v>5</v>
      </c>
      <c r="L1877" s="144">
        <f t="shared" si="572"/>
        <v>0</v>
      </c>
      <c r="M1877" s="275">
        <f t="shared" si="574"/>
        <v>5</v>
      </c>
      <c r="N1877" s="98">
        <v>2</v>
      </c>
      <c r="O1877" s="93">
        <f t="shared" si="584"/>
        <v>100</v>
      </c>
      <c r="GD1877" s="100">
        <v>5</v>
      </c>
      <c r="ON1877" s="100">
        <f t="shared" si="579"/>
        <v>0</v>
      </c>
    </row>
    <row r="1878" spans="1:404" ht="23.25" customHeight="1">
      <c r="A1878" s="97" t="str">
        <f t="shared" si="583"/>
        <v>005/POTTERYBARN-VG-2166-23000-S1-B</v>
      </c>
      <c r="B1878" s="95">
        <v>44496</v>
      </c>
      <c r="C1878" s="97">
        <f t="shared" ca="1" si="576"/>
        <v>-568</v>
      </c>
      <c r="D1878" s="112" t="s">
        <v>1466</v>
      </c>
      <c r="E1878" s="123" t="s">
        <v>1331</v>
      </c>
      <c r="F1878" s="98" t="str">
        <f t="shared" si="577"/>
        <v>B</v>
      </c>
      <c r="G1878" s="110">
        <f ca="1">SUMIF($A:E,$A1878,K:K)</f>
        <v>100</v>
      </c>
      <c r="H1878" s="97" t="s">
        <v>507</v>
      </c>
      <c r="I1878" s="98">
        <v>100</v>
      </c>
      <c r="J1878" s="115">
        <v>100</v>
      </c>
      <c r="K1878" s="143">
        <f t="shared" si="578"/>
        <v>100</v>
      </c>
      <c r="L1878" s="144">
        <f t="shared" ref="L1878:L1934" si="585">J1878-K1878</f>
        <v>0</v>
      </c>
      <c r="M1878" s="275">
        <f t="shared" si="574"/>
        <v>100</v>
      </c>
      <c r="N1878" s="98">
        <v>3</v>
      </c>
      <c r="O1878" s="93">
        <f t="shared" si="584"/>
        <v>100</v>
      </c>
      <c r="JB1878" s="100">
        <v>12</v>
      </c>
      <c r="JD1878" s="100">
        <v>32</v>
      </c>
      <c r="JF1878" s="100">
        <v>6</v>
      </c>
      <c r="JG1878" s="100">
        <v>10</v>
      </c>
      <c r="JH1878" s="100">
        <v>11</v>
      </c>
      <c r="JI1878" s="100">
        <v>23</v>
      </c>
      <c r="JK1878" s="100">
        <v>6</v>
      </c>
      <c r="ON1878" s="100">
        <f t="shared" si="579"/>
        <v>0</v>
      </c>
    </row>
    <row r="1879" spans="1:404" ht="23.25" customHeight="1">
      <c r="A1879" s="97" t="str">
        <f t="shared" si="583"/>
        <v>009/POTTERYBARN-VG-2166-23000-S1-B</v>
      </c>
      <c r="B1879" s="95">
        <v>44496</v>
      </c>
      <c r="C1879" s="97">
        <f t="shared" ca="1" si="576"/>
        <v>-568</v>
      </c>
      <c r="D1879" s="112" t="s">
        <v>1467</v>
      </c>
      <c r="E1879" s="123" t="s">
        <v>1331</v>
      </c>
      <c r="F1879" s="98" t="str">
        <f t="shared" si="577"/>
        <v>B</v>
      </c>
      <c r="G1879" s="110">
        <f ca="1">SUMIF($A:E,$A1879,K:K)</f>
        <v>100</v>
      </c>
      <c r="H1879" s="97" t="s">
        <v>507</v>
      </c>
      <c r="I1879" s="98">
        <v>100</v>
      </c>
      <c r="J1879" s="115">
        <v>100</v>
      </c>
      <c r="K1879" s="143">
        <f t="shared" si="578"/>
        <v>100</v>
      </c>
      <c r="L1879" s="144">
        <f t="shared" si="585"/>
        <v>0</v>
      </c>
      <c r="M1879" s="275">
        <f t="shared" si="574"/>
        <v>100</v>
      </c>
      <c r="N1879" s="98">
        <v>3</v>
      </c>
      <c r="O1879" s="93">
        <f t="shared" si="584"/>
        <v>100</v>
      </c>
      <c r="JK1879" s="100">
        <v>13</v>
      </c>
      <c r="JM1879" s="100">
        <v>5</v>
      </c>
      <c r="JO1879" s="100">
        <v>18</v>
      </c>
      <c r="JR1879" s="100">
        <v>28</v>
      </c>
      <c r="JT1879" s="100">
        <v>23</v>
      </c>
      <c r="JV1879" s="100">
        <v>2</v>
      </c>
      <c r="JY1879" s="100">
        <v>11</v>
      </c>
      <c r="ON1879" s="100">
        <f t="shared" si="579"/>
        <v>0</v>
      </c>
    </row>
    <row r="1880" spans="1:404" ht="23.25" customHeight="1">
      <c r="A1880" s="97" t="str">
        <f t="shared" si="583"/>
        <v>013/POTTERYBARN-VG-2166-23000-S1-B</v>
      </c>
      <c r="B1880" s="95">
        <v>44501</v>
      </c>
      <c r="C1880" s="97">
        <f t="shared" ca="1" si="576"/>
        <v>-563</v>
      </c>
      <c r="D1880" s="112" t="s">
        <v>1468</v>
      </c>
      <c r="E1880" s="123" t="s">
        <v>1331</v>
      </c>
      <c r="F1880" s="98" t="str">
        <f t="shared" si="577"/>
        <v>B</v>
      </c>
      <c r="G1880" s="110">
        <f ca="1">SUMIF($A:E,$A1880,K:K)</f>
        <v>100</v>
      </c>
      <c r="H1880" s="97" t="s">
        <v>507</v>
      </c>
      <c r="I1880" s="98">
        <v>100</v>
      </c>
      <c r="J1880" s="115">
        <v>100</v>
      </c>
      <c r="K1880" s="143">
        <f t="shared" si="578"/>
        <v>100</v>
      </c>
      <c r="L1880" s="144">
        <f t="shared" si="585"/>
        <v>0</v>
      </c>
      <c r="M1880" s="275">
        <f t="shared" si="574"/>
        <v>100</v>
      </c>
      <c r="N1880" s="98">
        <v>3</v>
      </c>
      <c r="O1880" s="93">
        <f t="shared" si="584"/>
        <v>100</v>
      </c>
      <c r="JY1880" s="100">
        <v>17</v>
      </c>
      <c r="KB1880" s="100">
        <v>37</v>
      </c>
      <c r="KD1880" s="100">
        <v>25</v>
      </c>
      <c r="KG1880" s="100">
        <v>21</v>
      </c>
      <c r="ON1880" s="100">
        <f t="shared" si="579"/>
        <v>0</v>
      </c>
    </row>
    <row r="1881" spans="1:404" ht="23.25" customHeight="1">
      <c r="A1881" s="97" t="str">
        <f t="shared" si="583"/>
        <v>017/POTTERYBARN-VG-2166-23000-S1-B</v>
      </c>
      <c r="B1881" s="95">
        <v>44503</v>
      </c>
      <c r="C1881" s="97">
        <f t="shared" ca="1" si="576"/>
        <v>-561</v>
      </c>
      <c r="D1881" s="112" t="s">
        <v>1469</v>
      </c>
      <c r="E1881" s="123" t="s">
        <v>1331</v>
      </c>
      <c r="F1881" s="98" t="str">
        <f t="shared" ref="F1881:F1883" si="586">MID(E1881,13,2)</f>
        <v>B</v>
      </c>
      <c r="G1881" s="110">
        <f ca="1">SUMIF($A:E,$A1881,K:K)</f>
        <v>100</v>
      </c>
      <c r="H1881" s="97" t="s">
        <v>507</v>
      </c>
      <c r="I1881" s="98">
        <v>100</v>
      </c>
      <c r="J1881" s="115">
        <v>100</v>
      </c>
      <c r="K1881" s="143">
        <f t="shared" si="578"/>
        <v>100</v>
      </c>
      <c r="L1881" s="144">
        <f t="shared" si="585"/>
        <v>0</v>
      </c>
      <c r="M1881" s="275">
        <f t="shared" si="574"/>
        <v>100</v>
      </c>
      <c r="N1881" s="98">
        <v>3</v>
      </c>
      <c r="O1881" s="93">
        <f t="shared" si="584"/>
        <v>100</v>
      </c>
      <c r="KG1881" s="100">
        <v>14</v>
      </c>
      <c r="KH1881" s="100">
        <v>11</v>
      </c>
      <c r="KJ1881" s="100">
        <v>33</v>
      </c>
      <c r="KN1881" s="100">
        <v>16</v>
      </c>
      <c r="KO1881" s="100">
        <v>13</v>
      </c>
      <c r="KP1881" s="100">
        <v>13</v>
      </c>
      <c r="ON1881" s="100">
        <f t="shared" si="579"/>
        <v>0</v>
      </c>
    </row>
    <row r="1882" spans="1:404" ht="23.25" customHeight="1">
      <c r="A1882" s="97" t="str">
        <f t="shared" si="583"/>
        <v xml:space="preserve"> 054_SR-21( Pottery Barn)66-23000-S1-B</v>
      </c>
      <c r="B1882" s="95">
        <v>44417</v>
      </c>
      <c r="C1882" s="97">
        <f t="shared" ca="1" si="576"/>
        <v>-647</v>
      </c>
      <c r="D1882" s="112" t="s">
        <v>1602</v>
      </c>
      <c r="E1882" s="123" t="s">
        <v>1331</v>
      </c>
      <c r="F1882" s="98" t="str">
        <f t="shared" si="586"/>
        <v>B</v>
      </c>
      <c r="G1882" s="110">
        <f ca="1">SUMIF($A:E,$A1882,K:K)</f>
        <v>2</v>
      </c>
      <c r="H1882" s="112" t="s">
        <v>1603</v>
      </c>
      <c r="I1882" s="98">
        <v>2</v>
      </c>
      <c r="J1882" s="99">
        <v>2</v>
      </c>
      <c r="K1882" s="143">
        <f t="shared" si="578"/>
        <v>2</v>
      </c>
      <c r="L1882" s="144">
        <f t="shared" si="585"/>
        <v>0</v>
      </c>
      <c r="M1882" s="275">
        <f t="shared" si="574"/>
        <v>2</v>
      </c>
      <c r="N1882" s="98">
        <v>5</v>
      </c>
      <c r="O1882" s="93">
        <f t="shared" si="584"/>
        <v>100</v>
      </c>
      <c r="HB1882" s="100">
        <v>2</v>
      </c>
      <c r="ON1882" s="100">
        <f t="shared" si="579"/>
        <v>0</v>
      </c>
    </row>
    <row r="1883" spans="1:404" ht="23.25" customHeight="1">
      <c r="A1883" s="97" t="str">
        <f>D1883&amp;E1884</f>
        <v>001/SEVEA_SR-2166-22800-S1-B</v>
      </c>
      <c r="B1883" s="95">
        <v>44404</v>
      </c>
      <c r="C1883" s="97">
        <f t="shared" ca="1" si="576"/>
        <v>-660</v>
      </c>
      <c r="D1883" s="96" t="s">
        <v>1174</v>
      </c>
      <c r="E1883" s="94" t="s">
        <v>1175</v>
      </c>
      <c r="F1883" s="98" t="str">
        <f t="shared" si="586"/>
        <v>B</v>
      </c>
      <c r="G1883" s="110">
        <f ca="1">SUMIF($A:E,$A1883,K:K)</f>
        <v>2</v>
      </c>
      <c r="H1883" s="97" t="s">
        <v>933</v>
      </c>
      <c r="I1883" s="98">
        <v>1</v>
      </c>
      <c r="J1883" s="99">
        <v>1</v>
      </c>
      <c r="K1883" s="143">
        <f t="shared" si="578"/>
        <v>1</v>
      </c>
      <c r="L1883" s="144">
        <f t="shared" si="585"/>
        <v>0</v>
      </c>
      <c r="M1883" s="275">
        <f t="shared" si="574"/>
        <v>1</v>
      </c>
      <c r="N1883" s="98">
        <v>1</v>
      </c>
      <c r="O1883" s="93">
        <f t="shared" si="584"/>
        <v>100</v>
      </c>
      <c r="FQ1883" s="100">
        <v>1</v>
      </c>
      <c r="ON1883" s="100">
        <f t="shared" si="579"/>
        <v>0</v>
      </c>
    </row>
    <row r="1884" spans="1:404" ht="29.25" customHeight="1">
      <c r="A1884" s="97" t="s">
        <v>1781</v>
      </c>
      <c r="B1884" s="95">
        <v>44458</v>
      </c>
      <c r="C1884" s="97">
        <f t="shared" ca="1" si="576"/>
        <v>-606</v>
      </c>
      <c r="D1884" s="96" t="s">
        <v>1163</v>
      </c>
      <c r="E1884" s="280" t="s">
        <v>1164</v>
      </c>
      <c r="F1884" s="98" t="s">
        <v>561</v>
      </c>
      <c r="G1884" s="110">
        <v>274</v>
      </c>
      <c r="H1884" s="97" t="s">
        <v>964</v>
      </c>
      <c r="I1884" s="98">
        <v>134</v>
      </c>
      <c r="J1884" s="97">
        <f>408-J1885</f>
        <v>134</v>
      </c>
      <c r="K1884" s="143">
        <f t="shared" si="578"/>
        <v>134</v>
      </c>
      <c r="L1884" s="144">
        <f t="shared" si="585"/>
        <v>0</v>
      </c>
      <c r="M1884" s="275">
        <f t="shared" ref="M1884:M1934" si="587">IF(OR(MID(E1884,10,1)="0",MID(E1884,10,1)="F"),I1884,IF(OR(,MID(E1884,10,1)="S",MID(E1884,10,1)="L",MID(E1884,10,1)="B",MID(E1884,10,1)="X"),MID(E1884,11,1)*I1884,0))</f>
        <v>134</v>
      </c>
      <c r="N1884" s="98" t="s">
        <v>1776</v>
      </c>
      <c r="O1884" s="93">
        <f t="shared" si="584"/>
        <v>100</v>
      </c>
      <c r="IF1884" s="100">
        <v>11</v>
      </c>
      <c r="IH1884" s="100">
        <v>24</v>
      </c>
      <c r="IK1884" s="100">
        <v>12</v>
      </c>
      <c r="IL1884" s="100">
        <v>29</v>
      </c>
      <c r="IN1884" s="100">
        <v>44</v>
      </c>
      <c r="IP1884" s="100">
        <v>12</v>
      </c>
      <c r="IR1884" s="100">
        <v>2</v>
      </c>
      <c r="ON1884" s="100">
        <f t="shared" si="579"/>
        <v>0</v>
      </c>
    </row>
    <row r="1885" spans="1:404" ht="29.25" customHeight="1">
      <c r="A1885" s="97" t="str">
        <f>D1885&amp;E1885</f>
        <v>002T/POTTERYBARN-2166-22800-S1-B</v>
      </c>
      <c r="B1885" s="95">
        <v>44454</v>
      </c>
      <c r="C1885" s="97">
        <f t="shared" ca="1" si="576"/>
        <v>-610</v>
      </c>
      <c r="D1885" s="96" t="s">
        <v>1163</v>
      </c>
      <c r="E1885" s="94" t="s">
        <v>1164</v>
      </c>
      <c r="F1885" s="98" t="str">
        <f t="shared" ref="F1885:F1905" si="588">MID(E1885,13,2)</f>
        <v>B</v>
      </c>
      <c r="G1885" s="110">
        <f ca="1">SUMIF($A:E,$A1885,K:K)</f>
        <v>408</v>
      </c>
      <c r="H1885" s="97" t="s">
        <v>964</v>
      </c>
      <c r="I1885" s="98">
        <v>274</v>
      </c>
      <c r="J1885" s="97">
        <v>274</v>
      </c>
      <c r="K1885" s="143">
        <f t="shared" si="578"/>
        <v>274</v>
      </c>
      <c r="L1885" s="144">
        <f t="shared" si="585"/>
        <v>0</v>
      </c>
      <c r="M1885" s="275">
        <f t="shared" si="587"/>
        <v>274</v>
      </c>
      <c r="N1885" s="98">
        <v>5</v>
      </c>
      <c r="O1885" s="93">
        <f t="shared" si="584"/>
        <v>100</v>
      </c>
      <c r="GP1885" s="100">
        <v>3</v>
      </c>
      <c r="GR1885" s="100">
        <v>2</v>
      </c>
      <c r="GU1885" s="100">
        <v>9</v>
      </c>
      <c r="GW1885" s="100">
        <v>4</v>
      </c>
      <c r="GX1885" s="100">
        <v>6</v>
      </c>
      <c r="HB1885" s="100">
        <v>10</v>
      </c>
      <c r="HC1885" s="100">
        <v>16</v>
      </c>
      <c r="HE1885" s="100">
        <v>12</v>
      </c>
      <c r="HF1885" s="100">
        <v>23</v>
      </c>
      <c r="HG1885" s="100">
        <v>5</v>
      </c>
      <c r="HI1885" s="100">
        <v>5</v>
      </c>
      <c r="HL1885" s="100">
        <v>42</v>
      </c>
      <c r="HN1885" s="100">
        <v>5</v>
      </c>
      <c r="HP1885" s="100">
        <v>22</v>
      </c>
      <c r="HQ1885" s="100">
        <v>12</v>
      </c>
      <c r="HS1885" s="100">
        <v>14</v>
      </c>
      <c r="HT1885" s="100">
        <v>6</v>
      </c>
      <c r="HU1885" s="100">
        <v>16</v>
      </c>
      <c r="HW1885" s="100">
        <v>32</v>
      </c>
      <c r="HY1885" s="100">
        <v>12</v>
      </c>
      <c r="ID1885" s="100">
        <v>14</v>
      </c>
      <c r="IE1885" s="100">
        <v>4</v>
      </c>
      <c r="ON1885" s="100">
        <f t="shared" si="579"/>
        <v>0</v>
      </c>
    </row>
    <row r="1886" spans="1:404" ht="29.25" customHeight="1">
      <c r="A1886" s="97" t="str">
        <f>D1886&amp;E1887</f>
        <v>001/SEVEA_SR-2166-22800-S1-B</v>
      </c>
      <c r="B1886" s="95">
        <v>44404</v>
      </c>
      <c r="C1886" s="97">
        <f t="shared" ca="1" si="576"/>
        <v>-660</v>
      </c>
      <c r="D1886" s="96" t="s">
        <v>1174</v>
      </c>
      <c r="E1886" s="94" t="s">
        <v>1164</v>
      </c>
      <c r="F1886" s="98" t="str">
        <f t="shared" si="588"/>
        <v>B</v>
      </c>
      <c r="G1886" s="110">
        <f ca="1">SUMIF($A:E,$A1886,K:K)</f>
        <v>2</v>
      </c>
      <c r="H1886" s="97" t="s">
        <v>933</v>
      </c>
      <c r="I1886" s="98">
        <v>1</v>
      </c>
      <c r="J1886" s="99">
        <v>1</v>
      </c>
      <c r="K1886" s="143">
        <f t="shared" si="578"/>
        <v>1</v>
      </c>
      <c r="L1886" s="144">
        <f t="shared" si="585"/>
        <v>0</v>
      </c>
      <c r="M1886" s="275">
        <f t="shared" si="587"/>
        <v>1</v>
      </c>
      <c r="N1886" s="98">
        <v>1</v>
      </c>
      <c r="O1886" s="93">
        <f t="shared" si="584"/>
        <v>100</v>
      </c>
      <c r="FQ1886" s="100">
        <v>1</v>
      </c>
      <c r="ON1886" s="100">
        <f t="shared" si="579"/>
        <v>0</v>
      </c>
    </row>
    <row r="1887" spans="1:404" ht="29.25" customHeight="1">
      <c r="A1887" s="97" t="str">
        <f t="shared" ref="A1887:A1905" si="589">D1887&amp;E1887</f>
        <v>028/POTTERYBARN-2166-22800-S1-B</v>
      </c>
      <c r="B1887" s="95">
        <v>44489</v>
      </c>
      <c r="C1887" s="97">
        <f t="shared" ca="1" si="576"/>
        <v>-575</v>
      </c>
      <c r="D1887" s="112" t="s">
        <v>1322</v>
      </c>
      <c r="E1887" s="279" t="s">
        <v>1164</v>
      </c>
      <c r="F1887" s="98" t="str">
        <f t="shared" si="588"/>
        <v>B</v>
      </c>
      <c r="G1887" s="110">
        <f ca="1">SUMIF($A:E,$A1887,K:K)</f>
        <v>54</v>
      </c>
      <c r="H1887" s="97" t="s">
        <v>508</v>
      </c>
      <c r="I1887" s="98">
        <v>54</v>
      </c>
      <c r="J1887" s="115">
        <v>54</v>
      </c>
      <c r="K1887" s="143">
        <f t="shared" si="578"/>
        <v>54</v>
      </c>
      <c r="L1887" s="144">
        <f t="shared" si="585"/>
        <v>0</v>
      </c>
      <c r="M1887" s="275">
        <f t="shared" si="587"/>
        <v>54</v>
      </c>
      <c r="N1887" s="98" t="s">
        <v>1776</v>
      </c>
      <c r="O1887" s="93">
        <f t="shared" si="584"/>
        <v>100</v>
      </c>
      <c r="IS1887" s="100">
        <v>12</v>
      </c>
      <c r="IT1887" s="100">
        <v>12</v>
      </c>
      <c r="IU1887" s="100">
        <v>23</v>
      </c>
      <c r="IV1887" s="100">
        <v>5</v>
      </c>
      <c r="IW1887" s="100">
        <v>2</v>
      </c>
      <c r="ON1887" s="100">
        <f t="shared" si="579"/>
        <v>0</v>
      </c>
    </row>
    <row r="1888" spans="1:404" ht="23.25" customHeight="1">
      <c r="A1888" s="97" t="str">
        <f t="shared" si="589"/>
        <v>029/POTTERYBARN-2166-22800-S1-B</v>
      </c>
      <c r="B1888" s="95">
        <v>44489</v>
      </c>
      <c r="C1888" s="97">
        <f t="shared" ca="1" si="576"/>
        <v>-575</v>
      </c>
      <c r="D1888" s="112" t="s">
        <v>1323</v>
      </c>
      <c r="E1888" s="279" t="s">
        <v>1164</v>
      </c>
      <c r="F1888" s="98" t="str">
        <f t="shared" si="588"/>
        <v>B</v>
      </c>
      <c r="G1888" s="110">
        <f ca="1">SUMIF($A:E,$A1888,K:K)</f>
        <v>51</v>
      </c>
      <c r="H1888" s="97" t="s">
        <v>508</v>
      </c>
      <c r="I1888" s="98">
        <v>51</v>
      </c>
      <c r="J1888" s="115">
        <v>51</v>
      </c>
      <c r="K1888" s="143">
        <f t="shared" si="578"/>
        <v>51</v>
      </c>
      <c r="L1888" s="144">
        <f t="shared" si="585"/>
        <v>0</v>
      </c>
      <c r="M1888" s="275">
        <f t="shared" si="587"/>
        <v>51</v>
      </c>
      <c r="N1888" s="98" t="s">
        <v>1776</v>
      </c>
      <c r="O1888" s="93">
        <f t="shared" si="584"/>
        <v>100</v>
      </c>
      <c r="IW1888" s="100">
        <v>14</v>
      </c>
      <c r="IY1888" s="100">
        <v>7</v>
      </c>
      <c r="IZ1888" s="100">
        <v>14</v>
      </c>
      <c r="JA1888" s="100">
        <v>12</v>
      </c>
      <c r="JB1888" s="100">
        <v>4</v>
      </c>
      <c r="ON1888" s="100">
        <f t="shared" si="579"/>
        <v>0</v>
      </c>
    </row>
    <row r="1889" spans="1:404" ht="23.25" customHeight="1">
      <c r="A1889" s="97" t="str">
        <f t="shared" si="589"/>
        <v>030/POTTERYBARN-2166-22800-S1-B</v>
      </c>
      <c r="B1889" s="95">
        <v>44489</v>
      </c>
      <c r="C1889" s="97">
        <f t="shared" ca="1" si="576"/>
        <v>-575</v>
      </c>
      <c r="D1889" s="112" t="s">
        <v>1324</v>
      </c>
      <c r="E1889" s="279" t="s">
        <v>1164</v>
      </c>
      <c r="F1889" s="98" t="str">
        <f t="shared" si="588"/>
        <v>B</v>
      </c>
      <c r="G1889" s="110">
        <f ca="1">SUMIF($A:E,$A1889,K:K)</f>
        <v>31</v>
      </c>
      <c r="H1889" s="97" t="s">
        <v>508</v>
      </c>
      <c r="I1889" s="98">
        <v>31</v>
      </c>
      <c r="J1889" s="115">
        <v>31</v>
      </c>
      <c r="K1889" s="143">
        <f t="shared" si="578"/>
        <v>31</v>
      </c>
      <c r="L1889" s="144">
        <f t="shared" si="585"/>
        <v>0</v>
      </c>
      <c r="M1889" s="275">
        <f t="shared" si="587"/>
        <v>31</v>
      </c>
      <c r="N1889" s="98" t="s">
        <v>1776</v>
      </c>
      <c r="O1889" s="93">
        <f t="shared" si="584"/>
        <v>100</v>
      </c>
      <c r="JB1889" s="100">
        <v>12</v>
      </c>
      <c r="JC1889" s="100">
        <v>10</v>
      </c>
      <c r="JF1889" s="100">
        <v>8</v>
      </c>
      <c r="JG1889" s="100">
        <v>1</v>
      </c>
      <c r="ON1889" s="100">
        <f t="shared" si="579"/>
        <v>0</v>
      </c>
    </row>
    <row r="1890" spans="1:404" ht="23.25" customHeight="1">
      <c r="A1890" s="97" t="str">
        <f t="shared" si="589"/>
        <v>031/POTTERYBARN-2166-22800-S1-B</v>
      </c>
      <c r="B1890" s="95">
        <v>44489</v>
      </c>
      <c r="C1890" s="97">
        <f t="shared" ca="1" si="576"/>
        <v>-575</v>
      </c>
      <c r="D1890" s="112" t="s">
        <v>1325</v>
      </c>
      <c r="E1890" s="279" t="s">
        <v>1164</v>
      </c>
      <c r="F1890" s="98" t="str">
        <f t="shared" si="588"/>
        <v>B</v>
      </c>
      <c r="G1890" s="110">
        <f ca="1">SUMIF($A:E,$A1890,K:K)</f>
        <v>39</v>
      </c>
      <c r="H1890" s="97" t="s">
        <v>508</v>
      </c>
      <c r="I1890" s="98">
        <v>39</v>
      </c>
      <c r="J1890" s="115">
        <v>39</v>
      </c>
      <c r="K1890" s="143">
        <f t="shared" si="578"/>
        <v>39</v>
      </c>
      <c r="L1890" s="144">
        <f t="shared" si="585"/>
        <v>0</v>
      </c>
      <c r="M1890" s="275">
        <f t="shared" si="587"/>
        <v>39</v>
      </c>
      <c r="N1890" s="98" t="s">
        <v>1776</v>
      </c>
      <c r="O1890" s="93">
        <f t="shared" si="584"/>
        <v>100</v>
      </c>
      <c r="JG1890" s="100">
        <v>16</v>
      </c>
      <c r="JH1890" s="100">
        <v>12</v>
      </c>
      <c r="JJ1890" s="100">
        <v>11</v>
      </c>
      <c r="ON1890" s="100">
        <f t="shared" si="579"/>
        <v>0</v>
      </c>
    </row>
    <row r="1891" spans="1:404" ht="23.25" customHeight="1">
      <c r="A1891" s="97" t="str">
        <f t="shared" si="589"/>
        <v>035/POTTERYBARN-2166-22800-S1-B</v>
      </c>
      <c r="B1891" s="95">
        <v>44489</v>
      </c>
      <c r="C1891" s="97">
        <f t="shared" ca="1" si="576"/>
        <v>-575</v>
      </c>
      <c r="D1891" s="112" t="s">
        <v>1329</v>
      </c>
      <c r="E1891" s="279" t="s">
        <v>1164</v>
      </c>
      <c r="F1891" s="98" t="str">
        <f t="shared" si="588"/>
        <v>B</v>
      </c>
      <c r="G1891" s="110">
        <f ca="1">SUMIF($A:E,$A1891,K:K)</f>
        <v>84</v>
      </c>
      <c r="H1891" s="97" t="s">
        <v>2004</v>
      </c>
      <c r="I1891" s="98">
        <v>84</v>
      </c>
      <c r="J1891" s="115">
        <v>84</v>
      </c>
      <c r="K1891" s="143">
        <f t="shared" si="578"/>
        <v>84</v>
      </c>
      <c r="L1891" s="144">
        <f t="shared" si="585"/>
        <v>0</v>
      </c>
      <c r="M1891" s="275">
        <f t="shared" si="587"/>
        <v>84</v>
      </c>
      <c r="N1891" s="98" t="s">
        <v>1776</v>
      </c>
      <c r="O1891" s="93">
        <f t="shared" si="584"/>
        <v>100</v>
      </c>
      <c r="JJ1891" s="100">
        <v>13</v>
      </c>
      <c r="JK1891" s="100">
        <v>12</v>
      </c>
      <c r="JM1891" s="100">
        <v>11</v>
      </c>
      <c r="JN1891" s="100">
        <v>12</v>
      </c>
      <c r="JO1891" s="100">
        <v>12</v>
      </c>
      <c r="JP1891" s="100">
        <v>10</v>
      </c>
      <c r="JQ1891" s="100">
        <v>13</v>
      </c>
      <c r="JT1891" s="100">
        <v>1</v>
      </c>
      <c r="ON1891" s="100">
        <f t="shared" si="579"/>
        <v>0</v>
      </c>
    </row>
    <row r="1892" spans="1:404" ht="23.25" customHeight="1">
      <c r="A1892" s="97" t="str">
        <f t="shared" si="589"/>
        <v>020A/POTTERYBARN-2166-22800-S1-B</v>
      </c>
      <c r="B1892" s="95">
        <v>44461</v>
      </c>
      <c r="C1892" s="97">
        <f t="shared" ca="1" si="576"/>
        <v>-603</v>
      </c>
      <c r="D1892" s="112" t="s">
        <v>1335</v>
      </c>
      <c r="E1892" s="279" t="s">
        <v>1164</v>
      </c>
      <c r="F1892" s="98" t="str">
        <f t="shared" si="588"/>
        <v>B</v>
      </c>
      <c r="G1892" s="110">
        <f ca="1">SUMIF($A:E,$A1892,K:K)</f>
        <v>12</v>
      </c>
      <c r="H1892" s="97" t="s">
        <v>508</v>
      </c>
      <c r="I1892" s="98">
        <v>12</v>
      </c>
      <c r="J1892" s="97">
        <v>12</v>
      </c>
      <c r="K1892" s="143">
        <f t="shared" si="578"/>
        <v>12</v>
      </c>
      <c r="L1892" s="144">
        <f t="shared" si="585"/>
        <v>0</v>
      </c>
      <c r="M1892" s="275">
        <f t="shared" si="587"/>
        <v>12</v>
      </c>
      <c r="N1892" s="98" t="s">
        <v>1776</v>
      </c>
      <c r="O1892" s="93">
        <f t="shared" si="584"/>
        <v>100</v>
      </c>
      <c r="IR1892" s="100">
        <v>12</v>
      </c>
      <c r="ON1892" s="100">
        <f t="shared" si="579"/>
        <v>0</v>
      </c>
    </row>
    <row r="1893" spans="1:404" ht="23.25" customHeight="1">
      <c r="A1893" s="97" t="str">
        <f t="shared" si="589"/>
        <v xml:space="preserve"> 054_SR-21( Pottery Barn)66-22800-S1-B</v>
      </c>
      <c r="B1893" s="95">
        <v>44417</v>
      </c>
      <c r="C1893" s="97">
        <f t="shared" ca="1" si="576"/>
        <v>-647</v>
      </c>
      <c r="D1893" s="112" t="s">
        <v>1602</v>
      </c>
      <c r="E1893" s="123" t="s">
        <v>1164</v>
      </c>
      <c r="F1893" s="98" t="str">
        <f t="shared" si="588"/>
        <v>B</v>
      </c>
      <c r="G1893" s="110">
        <f ca="1">SUMIF($A:E,$A1893,K:K)</f>
        <v>2</v>
      </c>
      <c r="H1893" s="112" t="s">
        <v>1603</v>
      </c>
      <c r="I1893" s="98">
        <v>2</v>
      </c>
      <c r="J1893" s="99">
        <v>2</v>
      </c>
      <c r="K1893" s="143">
        <f t="shared" si="578"/>
        <v>2</v>
      </c>
      <c r="L1893" s="144">
        <f t="shared" si="585"/>
        <v>0</v>
      </c>
      <c r="M1893" s="275">
        <f t="shared" si="587"/>
        <v>2</v>
      </c>
      <c r="N1893" s="98">
        <v>5</v>
      </c>
      <c r="O1893" s="93">
        <f t="shared" si="584"/>
        <v>100</v>
      </c>
      <c r="HB1893" s="100">
        <v>2</v>
      </c>
      <c r="ON1893" s="100">
        <f t="shared" si="579"/>
        <v>0</v>
      </c>
    </row>
    <row r="1894" spans="1:404" ht="23.25" customHeight="1">
      <c r="A1894" s="97" t="str">
        <f t="shared" si="589"/>
        <v>001/NEVE YARAK-VG-2166-20700-S3-B</v>
      </c>
      <c r="B1894" s="218">
        <v>44661</v>
      </c>
      <c r="C1894" s="97">
        <f t="shared" ca="1" si="576"/>
        <v>-403</v>
      </c>
      <c r="D1894" s="112" t="s">
        <v>1705</v>
      </c>
      <c r="E1894" s="123" t="s">
        <v>1707</v>
      </c>
      <c r="F1894" s="98" t="str">
        <f t="shared" si="588"/>
        <v>B</v>
      </c>
      <c r="G1894" s="110">
        <f ca="1">SUMIF($A:E,$A1894,K:K)</f>
        <v>14</v>
      </c>
      <c r="H1894" s="97" t="s">
        <v>927</v>
      </c>
      <c r="I1894" s="98">
        <v>128</v>
      </c>
      <c r="J1894" s="115">
        <v>128</v>
      </c>
      <c r="K1894" s="143">
        <f t="shared" si="578"/>
        <v>14</v>
      </c>
      <c r="L1894" s="144">
        <f t="shared" si="585"/>
        <v>114</v>
      </c>
      <c r="M1894" s="275">
        <f t="shared" si="587"/>
        <v>384</v>
      </c>
      <c r="N1894" s="98">
        <v>1</v>
      </c>
      <c r="O1894" s="93">
        <f t="shared" si="584"/>
        <v>10.9375</v>
      </c>
      <c r="OM1894" s="100">
        <v>7</v>
      </c>
      <c r="ON1894" s="100">
        <f t="shared" si="579"/>
        <v>7</v>
      </c>
    </row>
    <row r="1895" spans="1:404" ht="23.25" customHeight="1">
      <c r="A1895" s="97" t="str">
        <f t="shared" si="589"/>
        <v>003/ANNA-VG-21(đ2)66-20700-S3-A</v>
      </c>
      <c r="B1895" s="95">
        <v>44564</v>
      </c>
      <c r="C1895" s="97">
        <f t="shared" ca="1" si="576"/>
        <v>-500</v>
      </c>
      <c r="D1895" s="112" t="s">
        <v>1638</v>
      </c>
      <c r="E1895" s="279" t="s">
        <v>1644</v>
      </c>
      <c r="F1895" s="98" t="str">
        <f t="shared" si="588"/>
        <v>A</v>
      </c>
      <c r="G1895" s="110">
        <f ca="1">SUMIF($A:E,$A1895,K:K)</f>
        <v>32</v>
      </c>
      <c r="H1895" s="112" t="s">
        <v>990</v>
      </c>
      <c r="I1895" s="98">
        <v>32</v>
      </c>
      <c r="J1895" s="115">
        <v>32</v>
      </c>
      <c r="K1895" s="143">
        <f t="shared" si="578"/>
        <v>32</v>
      </c>
      <c r="L1895" s="144">
        <f t="shared" si="585"/>
        <v>0</v>
      </c>
      <c r="M1895" s="275">
        <f t="shared" si="587"/>
        <v>96</v>
      </c>
      <c r="N1895" s="98">
        <v>3</v>
      </c>
      <c r="O1895" s="93">
        <f t="shared" ref="O1895:O1916" si="590">K1895/J1895*100</f>
        <v>100</v>
      </c>
      <c r="LW1895" s="100">
        <v>4</v>
      </c>
      <c r="LX1895" s="100">
        <v>10</v>
      </c>
      <c r="LZ1895" s="100">
        <v>5</v>
      </c>
      <c r="MA1895" s="100">
        <v>11</v>
      </c>
      <c r="MD1895" s="100">
        <v>2</v>
      </c>
      <c r="ON1895" s="100">
        <f t="shared" si="579"/>
        <v>0</v>
      </c>
    </row>
    <row r="1896" spans="1:404" ht="23.25" customHeight="1">
      <c r="A1896" s="97" t="str">
        <f t="shared" si="589"/>
        <v>007/MADECOM-2166-20700-B2-B</v>
      </c>
      <c r="B1896" s="95">
        <v>44372</v>
      </c>
      <c r="C1896" s="97">
        <f t="shared" ca="1" si="576"/>
        <v>-692</v>
      </c>
      <c r="D1896" s="96" t="s">
        <v>1011</v>
      </c>
      <c r="E1896" s="94" t="s">
        <v>1013</v>
      </c>
      <c r="F1896" s="98" t="str">
        <f t="shared" si="588"/>
        <v>B</v>
      </c>
      <c r="G1896" s="110">
        <f ca="1">SUMIF($A:E,$A1896,K:K)</f>
        <v>112</v>
      </c>
      <c r="H1896" s="97" t="s">
        <v>933</v>
      </c>
      <c r="I1896" s="98">
        <v>112</v>
      </c>
      <c r="J1896" s="99">
        <v>112</v>
      </c>
      <c r="K1896" s="143">
        <f t="shared" si="578"/>
        <v>112</v>
      </c>
      <c r="L1896" s="144">
        <f t="shared" si="585"/>
        <v>0</v>
      </c>
      <c r="M1896" s="275">
        <f t="shared" si="587"/>
        <v>224</v>
      </c>
      <c r="N1896" s="98">
        <v>4</v>
      </c>
      <c r="O1896" s="93">
        <f t="shared" si="590"/>
        <v>100</v>
      </c>
      <c r="ET1896" s="100">
        <v>2</v>
      </c>
      <c r="EU1896" s="100">
        <v>11</v>
      </c>
      <c r="EV1896" s="100">
        <v>3</v>
      </c>
      <c r="EX1896" s="100">
        <v>15</v>
      </c>
      <c r="EY1896" s="100">
        <v>6</v>
      </c>
      <c r="FA1896" s="100">
        <v>13</v>
      </c>
      <c r="FB1896" s="100">
        <v>12</v>
      </c>
      <c r="FD1896" s="100">
        <v>23</v>
      </c>
      <c r="FE1896" s="100">
        <v>8</v>
      </c>
      <c r="FH1896" s="100">
        <v>13</v>
      </c>
      <c r="FI1896" s="100">
        <v>6</v>
      </c>
      <c r="ON1896" s="100">
        <f t="shared" si="579"/>
        <v>0</v>
      </c>
    </row>
    <row r="1897" spans="1:404" ht="23.25" customHeight="1">
      <c r="A1897" s="97" t="str">
        <f t="shared" si="589"/>
        <v>008/MADECOM-2166-20700-B2-B</v>
      </c>
      <c r="B1897" s="95">
        <v>44395</v>
      </c>
      <c r="C1897" s="97">
        <f t="shared" ca="1" si="576"/>
        <v>-669</v>
      </c>
      <c r="D1897" s="96" t="s">
        <v>1014</v>
      </c>
      <c r="E1897" s="94" t="s">
        <v>1013</v>
      </c>
      <c r="F1897" s="98" t="str">
        <f t="shared" si="588"/>
        <v>B</v>
      </c>
      <c r="G1897" s="110">
        <f ca="1">SUMIF($A:E,$A1897,K:K)</f>
        <v>88</v>
      </c>
      <c r="H1897" s="97" t="s">
        <v>933</v>
      </c>
      <c r="I1897" s="98">
        <v>88</v>
      </c>
      <c r="J1897" s="99">
        <v>88</v>
      </c>
      <c r="K1897" s="143">
        <f t="shared" si="578"/>
        <v>88</v>
      </c>
      <c r="L1897" s="144">
        <f t="shared" si="585"/>
        <v>0</v>
      </c>
      <c r="M1897" s="275">
        <f t="shared" si="587"/>
        <v>176</v>
      </c>
      <c r="N1897" s="98">
        <v>4</v>
      </c>
      <c r="O1897" s="93">
        <f t="shared" si="590"/>
        <v>100</v>
      </c>
      <c r="FI1897" s="100">
        <v>17</v>
      </c>
      <c r="FJ1897" s="100">
        <v>11</v>
      </c>
      <c r="FK1897" s="100">
        <v>16</v>
      </c>
      <c r="FL1897" s="100">
        <v>9</v>
      </c>
      <c r="FM1897" s="100">
        <v>13</v>
      </c>
      <c r="FO1897" s="100">
        <v>11</v>
      </c>
      <c r="FP1897" s="100">
        <v>10</v>
      </c>
      <c r="FT1897" s="100">
        <v>1</v>
      </c>
      <c r="ON1897" s="100">
        <f t="shared" si="579"/>
        <v>0</v>
      </c>
    </row>
    <row r="1898" spans="1:404" ht="23.25" customHeight="1">
      <c r="A1898" s="97" t="str">
        <f t="shared" si="589"/>
        <v>007A/MADECOM-2166-20700-B2-B</v>
      </c>
      <c r="B1898" s="95">
        <v>44476</v>
      </c>
      <c r="C1898" s="97">
        <f t="shared" ca="1" si="576"/>
        <v>-588</v>
      </c>
      <c r="D1898" s="96" t="s">
        <v>1259</v>
      </c>
      <c r="E1898" s="94" t="s">
        <v>1013</v>
      </c>
      <c r="F1898" s="98" t="str">
        <f t="shared" si="588"/>
        <v>B</v>
      </c>
      <c r="G1898" s="110">
        <f ca="1">SUMIF($A:E,$A1898,K:K)</f>
        <v>20</v>
      </c>
      <c r="H1898" s="97" t="s">
        <v>933</v>
      </c>
      <c r="I1898" s="98">
        <v>20</v>
      </c>
      <c r="J1898" s="99">
        <v>20</v>
      </c>
      <c r="K1898" s="143">
        <f t="shared" si="578"/>
        <v>20</v>
      </c>
      <c r="L1898" s="144">
        <f t="shared" si="585"/>
        <v>0</v>
      </c>
      <c r="M1898" s="275">
        <f t="shared" si="587"/>
        <v>40</v>
      </c>
      <c r="N1898" s="98">
        <v>4</v>
      </c>
      <c r="O1898" s="93">
        <f t="shared" si="590"/>
        <v>100</v>
      </c>
      <c r="FW1898" s="100">
        <v>2</v>
      </c>
      <c r="FX1898" s="100">
        <v>6</v>
      </c>
      <c r="FZ1898" s="100">
        <v>6</v>
      </c>
      <c r="GA1898" s="100">
        <v>6</v>
      </c>
      <c r="ON1898" s="100">
        <f t="shared" si="579"/>
        <v>0</v>
      </c>
    </row>
    <row r="1899" spans="1:404" ht="23.25" customHeight="1">
      <c r="A1899" s="97" t="str">
        <f t="shared" si="589"/>
        <v>003/ANNA-VG-21(đ2)66-20700-B2-A</v>
      </c>
      <c r="B1899" s="95">
        <v>44564</v>
      </c>
      <c r="C1899" s="97">
        <f t="shared" ca="1" si="576"/>
        <v>-500</v>
      </c>
      <c r="D1899" s="112" t="s">
        <v>1638</v>
      </c>
      <c r="E1899" s="279" t="s">
        <v>695</v>
      </c>
      <c r="F1899" s="98" t="str">
        <f t="shared" si="588"/>
        <v>A</v>
      </c>
      <c r="G1899" s="110">
        <f ca="1">SUMIF($A:E,$A1899,K:K)</f>
        <v>180</v>
      </c>
      <c r="H1899" s="112" t="s">
        <v>990</v>
      </c>
      <c r="I1899" s="98">
        <v>180</v>
      </c>
      <c r="J1899" s="115">
        <v>180</v>
      </c>
      <c r="K1899" s="143">
        <f t="shared" si="578"/>
        <v>180</v>
      </c>
      <c r="L1899" s="144">
        <f t="shared" si="585"/>
        <v>0</v>
      </c>
      <c r="M1899" s="275">
        <f t="shared" si="587"/>
        <v>360</v>
      </c>
      <c r="N1899" s="98">
        <v>3</v>
      </c>
      <c r="O1899" s="93">
        <f t="shared" si="590"/>
        <v>100</v>
      </c>
      <c r="LW1899" s="100">
        <v>5</v>
      </c>
      <c r="LX1899" s="100">
        <v>10</v>
      </c>
      <c r="LZ1899" s="100">
        <v>5</v>
      </c>
      <c r="MA1899" s="100">
        <v>9</v>
      </c>
      <c r="MD1899" s="100">
        <v>17</v>
      </c>
      <c r="ME1899" s="100">
        <v>1</v>
      </c>
      <c r="MF1899" s="100">
        <v>10</v>
      </c>
      <c r="MG1899" s="100">
        <v>10</v>
      </c>
      <c r="MH1899" s="100">
        <v>10</v>
      </c>
      <c r="MK1899" s="100">
        <v>20</v>
      </c>
      <c r="MM1899" s="100">
        <v>10</v>
      </c>
      <c r="MN1899" s="100">
        <v>9</v>
      </c>
      <c r="MO1899" s="100">
        <v>10</v>
      </c>
      <c r="MQ1899" s="100">
        <f>54-14</f>
        <v>40</v>
      </c>
      <c r="MR1899" s="100">
        <v>13</v>
      </c>
      <c r="MT1899" s="100">
        <v>1</v>
      </c>
      <c r="ON1899" s="100">
        <f t="shared" si="579"/>
        <v>0</v>
      </c>
    </row>
    <row r="1900" spans="1:404" ht="23.25" customHeight="1">
      <c r="A1900" s="97" t="str">
        <f t="shared" si="589"/>
        <v>001/GREENPOT-VG_SR-2166-20700-03-B</v>
      </c>
      <c r="B1900" s="95">
        <v>44426</v>
      </c>
      <c r="C1900" s="97">
        <f t="shared" ca="1" si="576"/>
        <v>-638</v>
      </c>
      <c r="D1900" s="112" t="s">
        <v>1606</v>
      </c>
      <c r="E1900" s="123" t="s">
        <v>1265</v>
      </c>
      <c r="F1900" s="98" t="str">
        <f t="shared" si="588"/>
        <v>B</v>
      </c>
      <c r="G1900" s="110">
        <f ca="1">SUMIF($A:E,$A1900,K:K)</f>
        <v>3</v>
      </c>
      <c r="H1900" s="112" t="s">
        <v>1616</v>
      </c>
      <c r="I1900" s="98">
        <v>3</v>
      </c>
      <c r="J1900" s="115">
        <v>3</v>
      </c>
      <c r="K1900" s="143">
        <f t="shared" si="578"/>
        <v>3</v>
      </c>
      <c r="L1900" s="144">
        <f t="shared" si="585"/>
        <v>0</v>
      </c>
      <c r="M1900" s="275">
        <f t="shared" si="587"/>
        <v>3</v>
      </c>
      <c r="N1900" s="98">
        <v>3</v>
      </c>
      <c r="O1900" s="93">
        <f t="shared" si="590"/>
        <v>100</v>
      </c>
      <c r="HL1900" s="100">
        <v>2</v>
      </c>
      <c r="HM1900" s="100">
        <v>1</v>
      </c>
      <c r="ON1900" s="100">
        <f t="shared" si="579"/>
        <v>0</v>
      </c>
    </row>
    <row r="1901" spans="1:404" ht="23.25" customHeight="1">
      <c r="A1901" s="97" t="str">
        <f t="shared" si="589"/>
        <v>223/KHBS-2166-20700-02-B</v>
      </c>
      <c r="B1901" s="95">
        <v>44402</v>
      </c>
      <c r="C1901" s="97">
        <f t="shared" ca="1" si="576"/>
        <v>-662</v>
      </c>
      <c r="D1901" s="96" t="s">
        <v>1416</v>
      </c>
      <c r="E1901" s="94" t="s">
        <v>1264</v>
      </c>
      <c r="F1901" s="98" t="str">
        <f t="shared" si="588"/>
        <v>B</v>
      </c>
      <c r="G1901" s="110">
        <f ca="1">SUMIF($A:E,$A1901,K:K)</f>
        <v>1</v>
      </c>
      <c r="H1901" s="97" t="s">
        <v>616</v>
      </c>
      <c r="I1901" s="98">
        <v>1</v>
      </c>
      <c r="J1901" s="99">
        <v>1</v>
      </c>
      <c r="K1901" s="143">
        <f t="shared" si="578"/>
        <v>1</v>
      </c>
      <c r="L1901" s="144">
        <f t="shared" si="585"/>
        <v>0</v>
      </c>
      <c r="M1901" s="275">
        <f t="shared" si="587"/>
        <v>1</v>
      </c>
      <c r="N1901" s="98">
        <v>4</v>
      </c>
      <c r="O1901" s="93">
        <f t="shared" si="590"/>
        <v>100</v>
      </c>
      <c r="GO1901" s="100">
        <v>1</v>
      </c>
      <c r="ON1901" s="100">
        <f t="shared" si="579"/>
        <v>0</v>
      </c>
    </row>
    <row r="1902" spans="1:404" ht="23.25" customHeight="1">
      <c r="A1902" s="97" t="str">
        <f t="shared" si="589"/>
        <v>001/GREENPOT-VG_SR-2166-20700-02-B</v>
      </c>
      <c r="B1902" s="95">
        <v>44426</v>
      </c>
      <c r="C1902" s="97">
        <f t="shared" ca="1" si="576"/>
        <v>-638</v>
      </c>
      <c r="D1902" s="112" t="s">
        <v>1606</v>
      </c>
      <c r="E1902" s="123" t="s">
        <v>1264</v>
      </c>
      <c r="F1902" s="98" t="str">
        <f t="shared" si="588"/>
        <v>B</v>
      </c>
      <c r="G1902" s="110">
        <f ca="1">SUMIF($A:E,$A1902,K:K)</f>
        <v>3</v>
      </c>
      <c r="H1902" s="112" t="s">
        <v>1616</v>
      </c>
      <c r="I1902" s="98">
        <v>3</v>
      </c>
      <c r="J1902" s="115">
        <v>3</v>
      </c>
      <c r="K1902" s="143">
        <f t="shared" si="578"/>
        <v>3</v>
      </c>
      <c r="L1902" s="144">
        <f t="shared" si="585"/>
        <v>0</v>
      </c>
      <c r="M1902" s="275">
        <f t="shared" si="587"/>
        <v>3</v>
      </c>
      <c r="N1902" s="98">
        <v>3</v>
      </c>
      <c r="O1902" s="93">
        <f t="shared" si="590"/>
        <v>100</v>
      </c>
      <c r="HM1902" s="100">
        <v>3</v>
      </c>
      <c r="ON1902" s="100">
        <f t="shared" si="579"/>
        <v>0</v>
      </c>
    </row>
    <row r="1903" spans="1:404" ht="23.25" customHeight="1">
      <c r="A1903" s="97" t="str">
        <f t="shared" si="589"/>
        <v>001/GREENPOT-VG_SR-2166-20700-01-B</v>
      </c>
      <c r="B1903" s="95">
        <v>44426</v>
      </c>
      <c r="C1903" s="97">
        <f t="shared" ca="1" si="576"/>
        <v>-638</v>
      </c>
      <c r="D1903" s="112" t="s">
        <v>1606</v>
      </c>
      <c r="E1903" s="123" t="s">
        <v>1607</v>
      </c>
      <c r="F1903" s="98" t="str">
        <f t="shared" si="588"/>
        <v>B</v>
      </c>
      <c r="G1903" s="110">
        <f ca="1">SUMIF($A:E,$A1903,K:K)</f>
        <v>3</v>
      </c>
      <c r="H1903" s="112" t="s">
        <v>1616</v>
      </c>
      <c r="I1903" s="98">
        <v>3</v>
      </c>
      <c r="J1903" s="115">
        <v>3</v>
      </c>
      <c r="K1903" s="143">
        <f t="shared" si="578"/>
        <v>3</v>
      </c>
      <c r="L1903" s="144">
        <f t="shared" si="585"/>
        <v>0</v>
      </c>
      <c r="M1903" s="275">
        <f t="shared" si="587"/>
        <v>3</v>
      </c>
      <c r="N1903" s="98">
        <v>3</v>
      </c>
      <c r="O1903" s="93">
        <f t="shared" si="590"/>
        <v>100</v>
      </c>
      <c r="HM1903" s="100">
        <v>3</v>
      </c>
      <c r="ON1903" s="100">
        <f t="shared" si="579"/>
        <v>0</v>
      </c>
    </row>
    <row r="1904" spans="1:404" ht="23.25" customHeight="1">
      <c r="A1904" s="97" t="str">
        <f t="shared" si="589"/>
        <v>007/MADECOM-2166-17200-02-B</v>
      </c>
      <c r="B1904" s="95">
        <v>44372</v>
      </c>
      <c r="C1904" s="97">
        <f t="shared" ca="1" si="576"/>
        <v>-692</v>
      </c>
      <c r="D1904" s="96" t="s">
        <v>1011</v>
      </c>
      <c r="E1904" s="94" t="s">
        <v>1012</v>
      </c>
      <c r="F1904" s="98" t="str">
        <f t="shared" si="588"/>
        <v>B</v>
      </c>
      <c r="G1904" s="110">
        <f ca="1">SUMIF($A:E,$A1904,K:K)</f>
        <v>180</v>
      </c>
      <c r="H1904" s="97" t="s">
        <v>933</v>
      </c>
      <c r="I1904" s="98">
        <v>180</v>
      </c>
      <c r="J1904" s="99">
        <v>180</v>
      </c>
      <c r="K1904" s="143">
        <f t="shared" si="578"/>
        <v>180</v>
      </c>
      <c r="L1904" s="144">
        <f t="shared" si="585"/>
        <v>0</v>
      </c>
      <c r="M1904" s="275">
        <f t="shared" si="587"/>
        <v>180</v>
      </c>
      <c r="N1904" s="98">
        <v>3</v>
      </c>
      <c r="O1904" s="93">
        <f t="shared" si="590"/>
        <v>100</v>
      </c>
      <c r="EU1904" s="100">
        <v>11</v>
      </c>
      <c r="EV1904" s="100">
        <v>8</v>
      </c>
      <c r="FB1904" s="100">
        <v>29</v>
      </c>
      <c r="FD1904" s="100">
        <v>3</v>
      </c>
      <c r="FE1904" s="100">
        <v>40</v>
      </c>
      <c r="FH1904" s="100">
        <v>1</v>
      </c>
      <c r="FI1904" s="100">
        <v>12</v>
      </c>
      <c r="FK1904" s="100">
        <v>45</v>
      </c>
      <c r="FM1904" s="100">
        <v>31</v>
      </c>
      <c r="ON1904" s="100">
        <f t="shared" si="579"/>
        <v>0</v>
      </c>
    </row>
    <row r="1905" spans="1:404" ht="23.25" customHeight="1">
      <c r="A1905" s="97" t="str">
        <f t="shared" si="589"/>
        <v>008/MADECOM-2166-17200-02-B</v>
      </c>
      <c r="B1905" s="95">
        <v>44395</v>
      </c>
      <c r="C1905" s="97">
        <f t="shared" ca="1" si="576"/>
        <v>-669</v>
      </c>
      <c r="D1905" s="96" t="s">
        <v>1014</v>
      </c>
      <c r="E1905" s="94" t="s">
        <v>1012</v>
      </c>
      <c r="F1905" s="98" t="str">
        <f t="shared" si="588"/>
        <v>B</v>
      </c>
      <c r="G1905" s="110">
        <f ca="1">SUMIF($A:E,$A1905,K:K)</f>
        <v>260</v>
      </c>
      <c r="H1905" s="97" t="s">
        <v>933</v>
      </c>
      <c r="I1905" s="98">
        <v>260</v>
      </c>
      <c r="J1905" s="99">
        <v>260</v>
      </c>
      <c r="K1905" s="143">
        <f t="shared" si="578"/>
        <v>260</v>
      </c>
      <c r="L1905" s="144">
        <f t="shared" si="585"/>
        <v>0</v>
      </c>
      <c r="M1905" s="275">
        <f t="shared" si="587"/>
        <v>260</v>
      </c>
      <c r="N1905" s="98">
        <v>3</v>
      </c>
      <c r="O1905" s="93">
        <f t="shared" si="590"/>
        <v>100</v>
      </c>
      <c r="FO1905" s="100">
        <v>5</v>
      </c>
      <c r="FP1905" s="100">
        <v>38</v>
      </c>
      <c r="FW1905" s="100">
        <v>17</v>
      </c>
      <c r="FZ1905" s="100">
        <v>6</v>
      </c>
      <c r="GA1905" s="100">
        <v>23</v>
      </c>
      <c r="GB1905" s="100">
        <v>16</v>
      </c>
      <c r="GC1905" s="100">
        <v>32</v>
      </c>
      <c r="GD1905" s="100">
        <v>7</v>
      </c>
      <c r="GE1905" s="100">
        <v>7</v>
      </c>
      <c r="GG1905" s="100">
        <v>1</v>
      </c>
      <c r="GH1905" s="100">
        <v>37</v>
      </c>
      <c r="GI1905" s="100">
        <v>3</v>
      </c>
      <c r="GJ1905" s="100">
        <v>35</v>
      </c>
      <c r="GK1905" s="100">
        <v>20</v>
      </c>
      <c r="GL1905" s="100">
        <v>13</v>
      </c>
      <c r="ON1905" s="100">
        <f t="shared" si="579"/>
        <v>0</v>
      </c>
    </row>
    <row r="1906" spans="1:404" ht="23.25" customHeight="1">
      <c r="A1906" s="97" t="s">
        <v>2205</v>
      </c>
      <c r="B1906" s="95">
        <v>44544</v>
      </c>
      <c r="C1906" s="97">
        <f t="shared" ca="1" si="576"/>
        <v>-520</v>
      </c>
      <c r="D1906" s="96" t="s">
        <v>1089</v>
      </c>
      <c r="E1906" s="113" t="s">
        <v>1012</v>
      </c>
      <c r="F1906" s="98" t="s">
        <v>561</v>
      </c>
      <c r="G1906" s="110">
        <v>0</v>
      </c>
      <c r="H1906" s="97" t="s">
        <v>616</v>
      </c>
      <c r="I1906" s="98">
        <v>160</v>
      </c>
      <c r="J1906" s="99">
        <v>160</v>
      </c>
      <c r="K1906" s="143">
        <f t="shared" si="578"/>
        <v>160</v>
      </c>
      <c r="L1906" s="144">
        <f t="shared" ref="L1906:L1913" si="591">J1906-K1906</f>
        <v>0</v>
      </c>
      <c r="M1906" s="275">
        <f t="shared" si="587"/>
        <v>160</v>
      </c>
      <c r="N1906" s="98">
        <v>1</v>
      </c>
      <c r="O1906" s="93">
        <f t="shared" si="590"/>
        <v>100</v>
      </c>
      <c r="LG1906" s="100">
        <v>9</v>
      </c>
      <c r="LI1906" s="100">
        <v>6</v>
      </c>
      <c r="LK1906" s="100">
        <v>5</v>
      </c>
      <c r="LL1906" s="100">
        <v>1</v>
      </c>
      <c r="LM1906" s="100">
        <v>6</v>
      </c>
      <c r="LP1906" s="100">
        <v>7</v>
      </c>
      <c r="LQ1906" s="100">
        <v>5</v>
      </c>
      <c r="LR1906" s="100">
        <v>5</v>
      </c>
      <c r="LS1906" s="100">
        <v>3</v>
      </c>
      <c r="LT1906" s="100">
        <v>4</v>
      </c>
      <c r="LU1906" s="100">
        <v>8</v>
      </c>
      <c r="LW1906" s="100">
        <v>3</v>
      </c>
      <c r="LX1906" s="100">
        <v>15</v>
      </c>
      <c r="LY1906" s="100">
        <v>11</v>
      </c>
      <c r="LZ1906" s="100">
        <v>25</v>
      </c>
      <c r="MA1906" s="100">
        <v>14</v>
      </c>
      <c r="MB1906" s="100">
        <v>33</v>
      </c>
      <c r="ON1906" s="100">
        <f t="shared" si="579"/>
        <v>0</v>
      </c>
    </row>
    <row r="1907" spans="1:404" ht="23.25" customHeight="1">
      <c r="A1907" s="97" t="str">
        <f>D1907&amp;E1907</f>
        <v>010/MADECOM-2166-17200-02-B</v>
      </c>
      <c r="B1907" s="95">
        <v>44544</v>
      </c>
      <c r="C1907" s="97">
        <f t="shared" ca="1" si="576"/>
        <v>-520</v>
      </c>
      <c r="D1907" s="96" t="s">
        <v>1089</v>
      </c>
      <c r="E1907" s="113" t="s">
        <v>1012</v>
      </c>
      <c r="F1907" s="98" t="str">
        <f>MID(E1907,13,2)</f>
        <v>B</v>
      </c>
      <c r="G1907" s="110">
        <f ca="1">SUMIF($A:E,$A1907,K:K)</f>
        <v>325</v>
      </c>
      <c r="H1907" s="97" t="s">
        <v>616</v>
      </c>
      <c r="I1907" s="98">
        <v>165</v>
      </c>
      <c r="J1907" s="99">
        <v>165</v>
      </c>
      <c r="K1907" s="143">
        <f t="shared" si="578"/>
        <v>165</v>
      </c>
      <c r="L1907" s="144">
        <f t="shared" si="591"/>
        <v>0</v>
      </c>
      <c r="M1907" s="275">
        <f t="shared" si="587"/>
        <v>165</v>
      </c>
      <c r="N1907" s="98">
        <v>2</v>
      </c>
      <c r="O1907" s="93">
        <f t="shared" si="590"/>
        <v>100</v>
      </c>
      <c r="LI1907" s="100">
        <v>14</v>
      </c>
      <c r="LJ1907" s="100">
        <v>1</v>
      </c>
      <c r="LK1907" s="100">
        <v>14</v>
      </c>
      <c r="LP1907" s="100">
        <v>8</v>
      </c>
      <c r="LQ1907" s="100">
        <v>13</v>
      </c>
      <c r="LS1907" s="100">
        <v>13</v>
      </c>
      <c r="LT1907" s="100">
        <v>18</v>
      </c>
      <c r="LU1907" s="100">
        <v>16</v>
      </c>
      <c r="LW1907" s="100">
        <v>11</v>
      </c>
      <c r="LX1907" s="100">
        <v>18</v>
      </c>
      <c r="LY1907" s="100">
        <v>11</v>
      </c>
      <c r="LZ1907" s="100">
        <v>13</v>
      </c>
      <c r="MA1907" s="100">
        <v>9</v>
      </c>
      <c r="MB1907" s="100">
        <v>6</v>
      </c>
      <c r="ON1907" s="100">
        <f t="shared" si="579"/>
        <v>0</v>
      </c>
    </row>
    <row r="1908" spans="1:404" ht="23.25" customHeight="1">
      <c r="A1908" s="97" t="str">
        <f>D1908&amp;E1908</f>
        <v>007A/MADECOM-2166-17200-02-B</v>
      </c>
      <c r="B1908" s="95">
        <v>44476</v>
      </c>
      <c r="C1908" s="97">
        <f t="shared" ca="1" si="576"/>
        <v>-588</v>
      </c>
      <c r="D1908" s="96" t="s">
        <v>1259</v>
      </c>
      <c r="E1908" s="94" t="s">
        <v>1012</v>
      </c>
      <c r="F1908" s="98" t="str">
        <f>MID(E1908,13,2)</f>
        <v>B</v>
      </c>
      <c r="G1908" s="110">
        <f ca="1">SUMIF($A:E,$A1908,K:K)</f>
        <v>22</v>
      </c>
      <c r="H1908" s="97" t="s">
        <v>933</v>
      </c>
      <c r="I1908" s="98">
        <v>22</v>
      </c>
      <c r="J1908" s="99">
        <v>22</v>
      </c>
      <c r="K1908" s="143">
        <f t="shared" si="578"/>
        <v>22</v>
      </c>
      <c r="L1908" s="144">
        <f t="shared" si="591"/>
        <v>0</v>
      </c>
      <c r="M1908" s="275">
        <f t="shared" si="587"/>
        <v>22</v>
      </c>
      <c r="N1908" s="98">
        <v>3</v>
      </c>
      <c r="O1908" s="93">
        <f t="shared" si="590"/>
        <v>100</v>
      </c>
      <c r="FU1908" s="100">
        <v>15</v>
      </c>
      <c r="FV1908" s="100">
        <v>3</v>
      </c>
      <c r="FW1908" s="100">
        <v>4</v>
      </c>
      <c r="ON1908" s="100">
        <f t="shared" si="579"/>
        <v>0</v>
      </c>
    </row>
    <row r="1909" spans="1:404" ht="23.25" customHeight="1">
      <c r="A1909" s="97" t="str">
        <f>D1909&amp;E1909</f>
        <v>007/MADECOM-2166-17200-02-A1(phên)</v>
      </c>
      <c r="B1909" s="95">
        <v>44372</v>
      </c>
      <c r="C1909" s="97">
        <f t="shared" ca="1" si="576"/>
        <v>-692</v>
      </c>
      <c r="D1909" s="96" t="s">
        <v>1011</v>
      </c>
      <c r="E1909" s="94" t="s">
        <v>1019</v>
      </c>
      <c r="F1909" s="98" t="str">
        <f>MID(E1909,13,2)</f>
        <v>A1</v>
      </c>
      <c r="G1909" s="110">
        <f ca="1">SUMIF($A:E,$A1909,K:K)</f>
        <v>180</v>
      </c>
      <c r="H1909" s="97" t="s">
        <v>933</v>
      </c>
      <c r="I1909" s="98">
        <v>180</v>
      </c>
      <c r="J1909" s="99">
        <v>180</v>
      </c>
      <c r="K1909" s="143">
        <f t="shared" si="578"/>
        <v>180</v>
      </c>
      <c r="L1909" s="144">
        <f t="shared" si="591"/>
        <v>0</v>
      </c>
      <c r="M1909" s="275">
        <f t="shared" si="587"/>
        <v>180</v>
      </c>
      <c r="N1909" s="98">
        <v>3</v>
      </c>
      <c r="O1909" s="93">
        <f t="shared" si="590"/>
        <v>100</v>
      </c>
      <c r="EU1909" s="100">
        <v>11</v>
      </c>
      <c r="EV1909" s="100">
        <v>8</v>
      </c>
      <c r="FB1909" s="100">
        <v>29</v>
      </c>
      <c r="FD1909" s="100">
        <v>3</v>
      </c>
      <c r="FE1909" s="100">
        <v>40</v>
      </c>
      <c r="FH1909" s="100">
        <v>1</v>
      </c>
      <c r="FI1909" s="100">
        <v>12</v>
      </c>
      <c r="FK1909" s="100">
        <v>45</v>
      </c>
      <c r="FM1909" s="100">
        <v>31</v>
      </c>
      <c r="ON1909" s="100">
        <f t="shared" si="579"/>
        <v>0</v>
      </c>
    </row>
    <row r="1910" spans="1:404" ht="23.25" customHeight="1">
      <c r="A1910" s="97" t="str">
        <f>D1910&amp;E1910</f>
        <v>008/MADECOM-2166-17200-02-A1(phên)</v>
      </c>
      <c r="B1910" s="95">
        <v>44395</v>
      </c>
      <c r="C1910" s="97">
        <f t="shared" ca="1" si="576"/>
        <v>-669</v>
      </c>
      <c r="D1910" s="96" t="s">
        <v>1014</v>
      </c>
      <c r="E1910" s="94" t="s">
        <v>1019</v>
      </c>
      <c r="F1910" s="98" t="str">
        <f>MID(E1910,13,2)</f>
        <v>A1</v>
      </c>
      <c r="G1910" s="110">
        <f ca="1">SUMIF($A:E,$A1910,K:K)</f>
        <v>260</v>
      </c>
      <c r="H1910" s="97" t="s">
        <v>933</v>
      </c>
      <c r="I1910" s="98">
        <v>260</v>
      </c>
      <c r="J1910" s="99">
        <v>260</v>
      </c>
      <c r="K1910" s="143">
        <f t="shared" si="578"/>
        <v>260</v>
      </c>
      <c r="L1910" s="144">
        <f t="shared" si="591"/>
        <v>0</v>
      </c>
      <c r="M1910" s="275">
        <f t="shared" si="587"/>
        <v>260</v>
      </c>
      <c r="N1910" s="98">
        <v>3</v>
      </c>
      <c r="O1910" s="93">
        <f t="shared" si="590"/>
        <v>100</v>
      </c>
      <c r="FO1910" s="100">
        <v>5</v>
      </c>
      <c r="FP1910" s="100">
        <v>38</v>
      </c>
      <c r="FW1910" s="100">
        <v>17</v>
      </c>
      <c r="FZ1910" s="100">
        <v>6</v>
      </c>
      <c r="GA1910" s="100">
        <v>23</v>
      </c>
      <c r="GB1910" s="100">
        <v>16</v>
      </c>
      <c r="GC1910" s="100">
        <v>32</v>
      </c>
      <c r="GD1910" s="100">
        <v>7</v>
      </c>
      <c r="GE1910" s="100">
        <v>7</v>
      </c>
      <c r="GG1910" s="100">
        <v>1</v>
      </c>
      <c r="GH1910" s="100">
        <v>37</v>
      </c>
      <c r="GI1910" s="100">
        <v>3</v>
      </c>
      <c r="GJ1910" s="100">
        <v>35</v>
      </c>
      <c r="GK1910" s="100">
        <v>20</v>
      </c>
      <c r="GL1910" s="100">
        <v>13</v>
      </c>
      <c r="ON1910" s="100">
        <f t="shared" si="579"/>
        <v>0</v>
      </c>
    </row>
    <row r="1911" spans="1:404" ht="23.25" customHeight="1">
      <c r="A1911" s="97" t="s">
        <v>2206</v>
      </c>
      <c r="B1911" s="95">
        <v>44544</v>
      </c>
      <c r="C1911" s="97">
        <f t="shared" ref="C1911:C1951" ca="1" si="592">B1911-TODAY()</f>
        <v>-520</v>
      </c>
      <c r="D1911" s="96" t="s">
        <v>1089</v>
      </c>
      <c r="E1911" s="113" t="s">
        <v>1019</v>
      </c>
      <c r="F1911" s="98" t="s">
        <v>1770</v>
      </c>
      <c r="G1911" s="110">
        <v>0</v>
      </c>
      <c r="H1911" s="97" t="s">
        <v>616</v>
      </c>
      <c r="I1911" s="98">
        <v>160</v>
      </c>
      <c r="J1911" s="99">
        <v>160</v>
      </c>
      <c r="K1911" s="143">
        <f t="shared" si="578"/>
        <v>160</v>
      </c>
      <c r="L1911" s="144">
        <f t="shared" si="591"/>
        <v>0</v>
      </c>
      <c r="M1911" s="275">
        <f t="shared" si="587"/>
        <v>160</v>
      </c>
      <c r="N1911" s="98">
        <v>1</v>
      </c>
      <c r="O1911" s="93">
        <f t="shared" si="590"/>
        <v>100</v>
      </c>
      <c r="LG1911" s="100">
        <v>9</v>
      </c>
      <c r="LI1911" s="100">
        <v>6</v>
      </c>
      <c r="LK1911" s="100">
        <v>5</v>
      </c>
      <c r="LL1911" s="100">
        <v>1</v>
      </c>
      <c r="LM1911" s="100">
        <v>6</v>
      </c>
      <c r="LP1911" s="100">
        <v>7</v>
      </c>
      <c r="LQ1911" s="100">
        <v>5</v>
      </c>
      <c r="LR1911" s="100">
        <v>5</v>
      </c>
      <c r="LS1911" s="100">
        <v>3</v>
      </c>
      <c r="LT1911" s="100">
        <v>4</v>
      </c>
      <c r="LU1911" s="100">
        <v>8</v>
      </c>
      <c r="LW1911" s="100">
        <v>3</v>
      </c>
      <c r="LX1911" s="100">
        <v>15</v>
      </c>
      <c r="LY1911" s="100">
        <v>11</v>
      </c>
      <c r="LZ1911" s="100">
        <v>25</v>
      </c>
      <c r="MA1911" s="100">
        <v>14</v>
      </c>
      <c r="MB1911" s="100">
        <v>33</v>
      </c>
      <c r="ON1911" s="100">
        <f t="shared" si="579"/>
        <v>0</v>
      </c>
    </row>
    <row r="1912" spans="1:404" ht="23.25" customHeight="1">
      <c r="A1912" s="97" t="str">
        <f t="shared" ref="A1912:A1916" si="593">D1912&amp;E1912</f>
        <v>010/MADECOM-2166-17200-02-A1(phên)</v>
      </c>
      <c r="B1912" s="95">
        <v>44544</v>
      </c>
      <c r="C1912" s="97">
        <f t="shared" ca="1" si="592"/>
        <v>-520</v>
      </c>
      <c r="D1912" s="96" t="s">
        <v>1089</v>
      </c>
      <c r="E1912" s="113" t="s">
        <v>1019</v>
      </c>
      <c r="F1912" s="98" t="str">
        <f t="shared" ref="F1912:F1934" si="594">MID(E1912,13,2)</f>
        <v>A1</v>
      </c>
      <c r="G1912" s="110">
        <f ca="1">SUMIF($A:E,$A1912,K:K)</f>
        <v>325</v>
      </c>
      <c r="H1912" s="97" t="s">
        <v>616</v>
      </c>
      <c r="I1912" s="98">
        <v>165</v>
      </c>
      <c r="J1912" s="99">
        <v>165</v>
      </c>
      <c r="K1912" s="143">
        <f t="shared" si="578"/>
        <v>165</v>
      </c>
      <c r="L1912" s="144">
        <f t="shared" si="591"/>
        <v>0</v>
      </c>
      <c r="M1912" s="275">
        <f t="shared" si="587"/>
        <v>165</v>
      </c>
      <c r="N1912" s="98">
        <v>2</v>
      </c>
      <c r="O1912" s="93">
        <f t="shared" si="590"/>
        <v>100</v>
      </c>
      <c r="LI1912" s="100">
        <v>14</v>
      </c>
      <c r="LJ1912" s="100">
        <v>1</v>
      </c>
      <c r="LK1912" s="100">
        <v>14</v>
      </c>
      <c r="LP1912" s="100">
        <v>8</v>
      </c>
      <c r="LQ1912" s="100">
        <v>13</v>
      </c>
      <c r="LS1912" s="100">
        <v>13</v>
      </c>
      <c r="LT1912" s="100">
        <v>18</v>
      </c>
      <c r="LU1912" s="100">
        <v>16</v>
      </c>
      <c r="LW1912" s="100">
        <v>11</v>
      </c>
      <c r="LX1912" s="100">
        <v>18</v>
      </c>
      <c r="LY1912" s="100">
        <v>11</v>
      </c>
      <c r="LZ1912" s="100">
        <v>13</v>
      </c>
      <c r="MA1912" s="100">
        <v>9</v>
      </c>
      <c r="MB1912" s="100">
        <v>6</v>
      </c>
      <c r="ON1912" s="100">
        <f t="shared" si="579"/>
        <v>0</v>
      </c>
    </row>
    <row r="1913" spans="1:404" ht="23.25" customHeight="1">
      <c r="A1913" s="97" t="str">
        <f t="shared" si="593"/>
        <v>007A/MADECOM-2166-17200-02-A1(phên)</v>
      </c>
      <c r="B1913" s="95">
        <v>44476</v>
      </c>
      <c r="C1913" s="97">
        <f t="shared" ca="1" si="592"/>
        <v>-588</v>
      </c>
      <c r="D1913" s="96" t="s">
        <v>1259</v>
      </c>
      <c r="E1913" s="94" t="s">
        <v>1019</v>
      </c>
      <c r="F1913" s="98" t="str">
        <f t="shared" si="594"/>
        <v>A1</v>
      </c>
      <c r="G1913" s="110">
        <f ca="1">SUMIF($A:E,$A1913,K:K)</f>
        <v>22</v>
      </c>
      <c r="H1913" s="97" t="s">
        <v>933</v>
      </c>
      <c r="I1913" s="98">
        <v>22</v>
      </c>
      <c r="J1913" s="99">
        <v>22</v>
      </c>
      <c r="K1913" s="143">
        <f t="shared" si="578"/>
        <v>22</v>
      </c>
      <c r="L1913" s="144">
        <f t="shared" si="591"/>
        <v>0</v>
      </c>
      <c r="M1913" s="275">
        <f t="shared" si="587"/>
        <v>22</v>
      </c>
      <c r="N1913" s="98">
        <v>3</v>
      </c>
      <c r="O1913" s="93">
        <f t="shared" si="590"/>
        <v>100</v>
      </c>
      <c r="FU1913" s="100">
        <v>15</v>
      </c>
      <c r="FV1913" s="100">
        <v>3</v>
      </c>
      <c r="FW1913" s="100">
        <v>4</v>
      </c>
      <c r="ON1913" s="100">
        <f t="shared" si="579"/>
        <v>0</v>
      </c>
    </row>
    <row r="1914" spans="1:404" ht="23.25" customHeight="1">
      <c r="A1914" s="97" t="str">
        <f t="shared" si="593"/>
        <v>002/AGRAVIS-2166-12523-B2-B</v>
      </c>
      <c r="B1914" s="95">
        <v>44464</v>
      </c>
      <c r="C1914" s="97">
        <f t="shared" ca="1" si="592"/>
        <v>-600</v>
      </c>
      <c r="D1914" s="96" t="s">
        <v>1020</v>
      </c>
      <c r="E1914" s="94" t="s">
        <v>1021</v>
      </c>
      <c r="F1914" s="98" t="str">
        <f t="shared" si="594"/>
        <v>B</v>
      </c>
      <c r="G1914" s="110">
        <f ca="1">SUMIF($A:E,$A1914,K:K)</f>
        <v>800</v>
      </c>
      <c r="H1914" s="97" t="s">
        <v>820</v>
      </c>
      <c r="I1914" s="98">
        <v>800</v>
      </c>
      <c r="J1914" s="99">
        <v>800</v>
      </c>
      <c r="K1914" s="143">
        <f t="shared" si="578"/>
        <v>800</v>
      </c>
      <c r="L1914" s="144">
        <f t="shared" si="585"/>
        <v>0</v>
      </c>
      <c r="M1914" s="275">
        <f t="shared" si="587"/>
        <v>1600</v>
      </c>
      <c r="N1914" s="98">
        <v>1</v>
      </c>
      <c r="O1914" s="93">
        <f t="shared" si="590"/>
        <v>100</v>
      </c>
      <c r="FI1914" s="100">
        <v>7</v>
      </c>
      <c r="FJ1914" s="100">
        <v>6</v>
      </c>
      <c r="FK1914" s="100">
        <v>16</v>
      </c>
      <c r="FM1914" s="100">
        <v>13</v>
      </c>
      <c r="FO1914" s="100">
        <v>5</v>
      </c>
      <c r="FP1914" s="100">
        <v>7</v>
      </c>
      <c r="FQ1914" s="100">
        <v>1</v>
      </c>
      <c r="FR1914" s="100">
        <v>7</v>
      </c>
      <c r="FS1914" s="100">
        <v>11</v>
      </c>
      <c r="FT1914" s="100">
        <v>7</v>
      </c>
      <c r="FU1914" s="100">
        <v>8</v>
      </c>
      <c r="FV1914" s="100">
        <v>4</v>
      </c>
      <c r="FW1914" s="100">
        <v>9</v>
      </c>
      <c r="FX1914" s="100">
        <v>11</v>
      </c>
      <c r="FZ1914" s="100">
        <v>3</v>
      </c>
      <c r="GA1914" s="100">
        <v>11</v>
      </c>
      <c r="GB1914" s="100">
        <v>2</v>
      </c>
      <c r="GC1914" s="100">
        <v>12</v>
      </c>
      <c r="GE1914" s="100">
        <v>24</v>
      </c>
      <c r="GG1914" s="100">
        <v>12</v>
      </c>
      <c r="GH1914" s="100">
        <v>6</v>
      </c>
      <c r="GI1914" s="100">
        <v>11</v>
      </c>
      <c r="GJ1914" s="100">
        <v>12</v>
      </c>
      <c r="GK1914" s="100">
        <v>11</v>
      </c>
      <c r="GL1914" s="100">
        <v>12</v>
      </c>
      <c r="GN1914" s="100">
        <v>6</v>
      </c>
      <c r="GO1914" s="100">
        <v>12</v>
      </c>
      <c r="GP1914" s="100">
        <v>7</v>
      </c>
      <c r="GQ1914" s="100">
        <v>11</v>
      </c>
      <c r="GS1914" s="100">
        <v>28</v>
      </c>
      <c r="GU1914" s="100">
        <v>10</v>
      </c>
      <c r="GV1914" s="100">
        <v>7</v>
      </c>
      <c r="GW1914" s="100">
        <v>14</v>
      </c>
      <c r="GX1914" s="100">
        <v>12</v>
      </c>
      <c r="GY1914" s="100">
        <v>12</v>
      </c>
      <c r="GZ1914" s="100">
        <v>12</v>
      </c>
      <c r="HC1914" s="100">
        <v>5</v>
      </c>
      <c r="HD1914" s="100">
        <v>12</v>
      </c>
      <c r="HE1914" s="100">
        <v>14</v>
      </c>
      <c r="HF1914" s="100">
        <v>11</v>
      </c>
      <c r="HG1914" s="100">
        <v>6</v>
      </c>
      <c r="HI1914" s="100">
        <v>5</v>
      </c>
      <c r="HJ1914" s="100">
        <v>6</v>
      </c>
      <c r="HK1914" s="100">
        <v>33</v>
      </c>
      <c r="HL1914" s="100">
        <v>12</v>
      </c>
      <c r="HM1914" s="100">
        <v>1</v>
      </c>
      <c r="HN1914" s="100">
        <v>18</v>
      </c>
      <c r="HP1914" s="100">
        <v>11</v>
      </c>
      <c r="HQ1914" s="100">
        <v>17</v>
      </c>
      <c r="HR1914" s="100">
        <v>6</v>
      </c>
      <c r="HS1914" s="100">
        <v>18</v>
      </c>
      <c r="HT1914" s="100">
        <v>7</v>
      </c>
      <c r="HU1914" s="100">
        <v>12</v>
      </c>
      <c r="HW1914" s="100">
        <v>12</v>
      </c>
      <c r="HX1914" s="100">
        <v>22</v>
      </c>
      <c r="HY1914" s="100">
        <v>11</v>
      </c>
      <c r="ID1914" s="100">
        <v>16</v>
      </c>
      <c r="IE1914" s="100">
        <v>11</v>
      </c>
      <c r="IF1914" s="100">
        <v>15</v>
      </c>
      <c r="IG1914" s="100">
        <v>8</v>
      </c>
      <c r="IH1914" s="100">
        <v>14</v>
      </c>
      <c r="IK1914" s="100">
        <v>7</v>
      </c>
      <c r="IL1914" s="100">
        <v>9</v>
      </c>
      <c r="IM1914" s="100">
        <v>18</v>
      </c>
      <c r="IN1914" s="100">
        <v>16</v>
      </c>
      <c r="IO1914" s="100">
        <v>6</v>
      </c>
      <c r="IP1914" s="100">
        <v>11</v>
      </c>
      <c r="IR1914" s="100">
        <v>14</v>
      </c>
      <c r="IS1914" s="100">
        <v>6</v>
      </c>
      <c r="IU1914" s="100">
        <v>31</v>
      </c>
      <c r="IW1914" s="100">
        <v>12</v>
      </c>
      <c r="IY1914" s="100">
        <v>8</v>
      </c>
      <c r="ON1914" s="100">
        <f t="shared" si="579"/>
        <v>0</v>
      </c>
    </row>
    <row r="1915" spans="1:404" ht="23.25" customHeight="1">
      <c r="A1915" s="97" t="str">
        <f t="shared" si="593"/>
        <v xml:space="preserve">	001/AL-FARES-VG-2166-12523-B2-B</v>
      </c>
      <c r="B1915" s="95">
        <v>44686</v>
      </c>
      <c r="C1915" s="97">
        <f t="shared" ca="1" si="592"/>
        <v>-378</v>
      </c>
      <c r="D1915" s="112" t="s">
        <v>1814</v>
      </c>
      <c r="E1915" s="123" t="s">
        <v>1021</v>
      </c>
      <c r="F1915" s="98" t="str">
        <f t="shared" si="594"/>
        <v>B</v>
      </c>
      <c r="G1915" s="110">
        <f ca="1">SUMIF($A:E,$A1915,K:K)</f>
        <v>0</v>
      </c>
      <c r="H1915" s="112" t="s">
        <v>1561</v>
      </c>
      <c r="I1915" s="98">
        <v>72</v>
      </c>
      <c r="J1915" s="115">
        <v>72</v>
      </c>
      <c r="K1915" s="143">
        <f t="shared" si="578"/>
        <v>0</v>
      </c>
      <c r="L1915" s="144">
        <f t="shared" si="585"/>
        <v>72</v>
      </c>
      <c r="M1915" s="275">
        <f t="shared" si="587"/>
        <v>144</v>
      </c>
      <c r="N1915" s="98"/>
      <c r="O1915" s="93">
        <f t="shared" si="590"/>
        <v>0</v>
      </c>
      <c r="ON1915" s="100">
        <f t="shared" si="579"/>
        <v>0</v>
      </c>
    </row>
    <row r="1916" spans="1:404" ht="23.25" customHeight="1">
      <c r="A1916" s="97" t="str">
        <f t="shared" si="593"/>
        <v>001/AHOME-VG-2166-12523-03-B</v>
      </c>
      <c r="B1916" s="95">
        <v>44576</v>
      </c>
      <c r="C1916" s="97">
        <f t="shared" ca="1" si="592"/>
        <v>-488</v>
      </c>
      <c r="D1916" s="112" t="s">
        <v>1879</v>
      </c>
      <c r="E1916" s="123" t="s">
        <v>643</v>
      </c>
      <c r="F1916" s="98" t="str">
        <f t="shared" si="594"/>
        <v>B</v>
      </c>
      <c r="G1916" s="110">
        <f ca="1">SUMIF($A:E,$A1916,K:K)</f>
        <v>50</v>
      </c>
      <c r="H1916" s="97" t="s">
        <v>1593</v>
      </c>
      <c r="I1916" s="98">
        <v>50</v>
      </c>
      <c r="J1916" s="99">
        <v>50</v>
      </c>
      <c r="K1916" s="143">
        <f t="shared" si="578"/>
        <v>50</v>
      </c>
      <c r="L1916" s="144">
        <f t="shared" si="585"/>
        <v>0</v>
      </c>
      <c r="M1916" s="275">
        <f t="shared" si="587"/>
        <v>50</v>
      </c>
      <c r="N1916" s="98">
        <v>3</v>
      </c>
      <c r="O1916" s="93">
        <f t="shared" si="590"/>
        <v>100</v>
      </c>
      <c r="MA1916" s="100">
        <v>24</v>
      </c>
      <c r="MB1916" s="100">
        <v>10</v>
      </c>
      <c r="ME1916" s="100">
        <v>13</v>
      </c>
      <c r="MG1916" s="100">
        <v>2</v>
      </c>
      <c r="ML1916" s="100">
        <v>1</v>
      </c>
      <c r="ON1916" s="100">
        <f t="shared" si="579"/>
        <v>0</v>
      </c>
    </row>
    <row r="1917" spans="1:404" ht="23.25" customHeight="1">
      <c r="A1917" s="97" t="str">
        <f>D1917&amp;E1918</f>
        <v>008/P0TTERYPATCH-2166-12522-B2-B</v>
      </c>
      <c r="B1917" s="95">
        <v>44623</v>
      </c>
      <c r="C1917" s="97">
        <f t="shared" ca="1" si="592"/>
        <v>-441</v>
      </c>
      <c r="D1917" s="96" t="s">
        <v>1240</v>
      </c>
      <c r="E1917" s="94" t="s">
        <v>632</v>
      </c>
      <c r="F1917" s="98" t="str">
        <f t="shared" si="594"/>
        <v>B</v>
      </c>
      <c r="G1917" s="110">
        <f ca="1">SUMIF($A:E,$A1917,K:K)</f>
        <v>120</v>
      </c>
      <c r="H1917" s="97" t="s">
        <v>508</v>
      </c>
      <c r="I1917" s="98">
        <v>60</v>
      </c>
      <c r="J1917" s="97">
        <v>60</v>
      </c>
      <c r="K1917" s="143">
        <f t="shared" si="578"/>
        <v>120</v>
      </c>
      <c r="L1917" s="144">
        <f t="shared" si="585"/>
        <v>-60</v>
      </c>
      <c r="M1917" s="275">
        <f t="shared" si="587"/>
        <v>120</v>
      </c>
      <c r="N1917" s="98">
        <v>2</v>
      </c>
      <c r="O1917" s="93">
        <f t="shared" ref="O1917:O1936" si="595">K1917/J1917*100</f>
        <v>200</v>
      </c>
      <c r="NZ1917" s="100">
        <v>9</v>
      </c>
      <c r="OA1917" s="100">
        <v>10</v>
      </c>
      <c r="OB1917" s="100">
        <v>2</v>
      </c>
      <c r="OD1917" s="100">
        <v>19</v>
      </c>
      <c r="OF1917" s="100">
        <v>10</v>
      </c>
      <c r="OG1917" s="100">
        <v>7</v>
      </c>
      <c r="OK1917" s="100">
        <v>3</v>
      </c>
      <c r="ON1917" s="100">
        <f t="shared" si="579"/>
        <v>60</v>
      </c>
    </row>
    <row r="1918" spans="1:404" ht="23.25" customHeight="1">
      <c r="A1918" s="97" t="str">
        <f>D1918&amp;E1919</f>
        <v>004/MARSHALLS-2166-12522-B2-B</v>
      </c>
      <c r="B1918" s="95">
        <v>44503</v>
      </c>
      <c r="C1918" s="97">
        <f t="shared" ca="1" si="592"/>
        <v>-561</v>
      </c>
      <c r="D1918" s="96" t="s">
        <v>1247</v>
      </c>
      <c r="E1918" s="94" t="s">
        <v>632</v>
      </c>
      <c r="F1918" s="98" t="str">
        <f t="shared" si="594"/>
        <v>B</v>
      </c>
      <c r="G1918" s="110">
        <f ca="1">SUMIF($A:E,$A1918,K:K)</f>
        <v>200</v>
      </c>
      <c r="H1918" s="97" t="s">
        <v>508</v>
      </c>
      <c r="I1918" s="98">
        <v>200</v>
      </c>
      <c r="J1918" s="97">
        <v>200</v>
      </c>
      <c r="K1918" s="143">
        <f t="shared" si="578"/>
        <v>200</v>
      </c>
      <c r="L1918" s="144">
        <f t="shared" si="585"/>
        <v>0</v>
      </c>
      <c r="M1918" s="275">
        <f t="shared" si="587"/>
        <v>400</v>
      </c>
      <c r="N1918" s="98">
        <v>6</v>
      </c>
      <c r="O1918" s="93">
        <f t="shared" si="595"/>
        <v>100</v>
      </c>
      <c r="IR1918" s="100">
        <v>10</v>
      </c>
      <c r="IT1918" s="100">
        <v>1</v>
      </c>
      <c r="IU1918" s="100">
        <v>5</v>
      </c>
      <c r="IV1918" s="100">
        <v>13</v>
      </c>
      <c r="IW1918" s="100">
        <v>23</v>
      </c>
      <c r="IY1918" s="100">
        <v>10</v>
      </c>
      <c r="JA1918" s="100">
        <v>2</v>
      </c>
      <c r="JB1918" s="100">
        <v>18</v>
      </c>
      <c r="JC1918" s="100">
        <v>2</v>
      </c>
      <c r="JD1918" s="100">
        <v>35</v>
      </c>
      <c r="JF1918" s="100">
        <v>4</v>
      </c>
      <c r="JG1918" s="100">
        <v>8</v>
      </c>
      <c r="JH1918" s="100">
        <v>14</v>
      </c>
      <c r="JI1918" s="100">
        <v>28</v>
      </c>
      <c r="JK1918" s="100">
        <v>12</v>
      </c>
      <c r="JN1918" s="100">
        <v>15</v>
      </c>
      <c r="ON1918" s="100">
        <f t="shared" si="579"/>
        <v>0</v>
      </c>
    </row>
    <row r="1919" spans="1:404" ht="23.25" customHeight="1">
      <c r="A1919" s="97" t="str">
        <f>D1919&amp;E1920</f>
        <v>004/TJ MAXX-2166-12522-B2-B</v>
      </c>
      <c r="B1919" s="95">
        <v>44503</v>
      </c>
      <c r="C1919" s="97">
        <f t="shared" ca="1" si="592"/>
        <v>-561</v>
      </c>
      <c r="D1919" s="96" t="s">
        <v>1248</v>
      </c>
      <c r="E1919" s="94" t="s">
        <v>632</v>
      </c>
      <c r="F1919" s="98" t="str">
        <f t="shared" si="594"/>
        <v>B</v>
      </c>
      <c r="G1919" s="110">
        <f ca="1">SUMIF($A:E,$A1919,K:K)</f>
        <v>292</v>
      </c>
      <c r="H1919" s="97" t="s">
        <v>508</v>
      </c>
      <c r="I1919" s="98">
        <v>292</v>
      </c>
      <c r="J1919" s="97">
        <v>292</v>
      </c>
      <c r="K1919" s="143">
        <f t="shared" si="578"/>
        <v>292</v>
      </c>
      <c r="L1919" s="144">
        <f t="shared" si="585"/>
        <v>0</v>
      </c>
      <c r="M1919" s="275">
        <f t="shared" si="587"/>
        <v>584</v>
      </c>
      <c r="N1919" s="98">
        <v>6</v>
      </c>
      <c r="O1919" s="93">
        <f t="shared" si="595"/>
        <v>100</v>
      </c>
      <c r="JN1919" s="100">
        <v>18</v>
      </c>
      <c r="JO1919" s="100">
        <v>12</v>
      </c>
      <c r="JP1919" s="100">
        <v>12</v>
      </c>
      <c r="JQ1919" s="100">
        <v>13</v>
      </c>
      <c r="JR1919" s="100">
        <v>14</v>
      </c>
      <c r="JT1919" s="100">
        <v>14</v>
      </c>
      <c r="JV1919" s="100">
        <v>20</v>
      </c>
      <c r="JW1919" s="100">
        <v>1</v>
      </c>
      <c r="JX1919" s="100">
        <v>14</v>
      </c>
      <c r="KA1919" s="100">
        <v>28</v>
      </c>
      <c r="KB1919" s="100">
        <v>20</v>
      </c>
      <c r="KC1919" s="100">
        <v>15</v>
      </c>
      <c r="KD1919" s="100">
        <v>13</v>
      </c>
      <c r="KE1919" s="100">
        <v>11</v>
      </c>
      <c r="KF1919" s="100">
        <v>14</v>
      </c>
      <c r="KG1919" s="100">
        <v>9</v>
      </c>
      <c r="KH1919" s="100">
        <v>9</v>
      </c>
      <c r="KI1919" s="100">
        <v>21</v>
      </c>
      <c r="KJ1919" s="100">
        <v>7</v>
      </c>
      <c r="KN1919" s="100">
        <v>7</v>
      </c>
      <c r="KO1919" s="100">
        <v>7</v>
      </c>
      <c r="KP1919" s="100">
        <v>13</v>
      </c>
      <c r="ON1919" s="100">
        <f t="shared" si="579"/>
        <v>0</v>
      </c>
    </row>
    <row r="1920" spans="1:404" ht="23.25" customHeight="1">
      <c r="A1920" s="97" t="s">
        <v>1370</v>
      </c>
      <c r="B1920" s="95">
        <v>44602</v>
      </c>
      <c r="C1920" s="97">
        <f t="shared" ca="1" si="592"/>
        <v>-462</v>
      </c>
      <c r="D1920" s="112" t="s">
        <v>2200</v>
      </c>
      <c r="E1920" s="123" t="s">
        <v>632</v>
      </c>
      <c r="F1920" s="98" t="str">
        <f t="shared" si="594"/>
        <v>B</v>
      </c>
      <c r="G1920" s="110">
        <f ca="1">SUMIF($A:E,$A1920,K:K)</f>
        <v>5654</v>
      </c>
      <c r="H1920" s="97" t="s">
        <v>508</v>
      </c>
      <c r="I1920" s="98">
        <v>52</v>
      </c>
      <c r="J1920" s="115">
        <v>52</v>
      </c>
      <c r="K1920" s="143">
        <f t="shared" si="578"/>
        <v>78</v>
      </c>
      <c r="L1920" s="144">
        <f t="shared" si="585"/>
        <v>-26</v>
      </c>
      <c r="M1920" s="275">
        <f t="shared" si="587"/>
        <v>104</v>
      </c>
      <c r="N1920" s="98">
        <v>2</v>
      </c>
      <c r="O1920" s="93">
        <f t="shared" si="595"/>
        <v>150</v>
      </c>
      <c r="NA1920" s="100">
        <v>3</v>
      </c>
      <c r="ND1920" s="100">
        <v>3</v>
      </c>
      <c r="NE1920" s="100">
        <v>3</v>
      </c>
      <c r="NF1920" s="100">
        <v>2</v>
      </c>
      <c r="NG1920" s="100">
        <v>3</v>
      </c>
      <c r="NI1920" s="100">
        <v>3</v>
      </c>
      <c r="NK1920" s="100">
        <v>3</v>
      </c>
      <c r="NL1920" s="100">
        <v>3</v>
      </c>
      <c r="NM1920" s="100">
        <v>3</v>
      </c>
      <c r="NT1920" s="100">
        <v>2</v>
      </c>
      <c r="NU1920" s="100">
        <v>4</v>
      </c>
      <c r="NV1920" s="100">
        <v>6</v>
      </c>
      <c r="NY1920" s="100">
        <v>6</v>
      </c>
      <c r="NZ1920" s="100">
        <v>8</v>
      </c>
      <c r="ON1920" s="100">
        <f t="shared" si="579"/>
        <v>26</v>
      </c>
    </row>
    <row r="1921" spans="1:404" ht="23.25" customHeight="1">
      <c r="A1921" s="97" t="str">
        <f>D1921&amp;E1925</f>
        <v>008/COMERZIA-2166-12500-L2-B</v>
      </c>
      <c r="B1921" s="95">
        <v>44564</v>
      </c>
      <c r="C1921" s="97">
        <f t="shared" ca="1" si="592"/>
        <v>-500</v>
      </c>
      <c r="D1921" s="96" t="s">
        <v>1187</v>
      </c>
      <c r="E1921" s="94" t="s">
        <v>1192</v>
      </c>
      <c r="F1921" s="98" t="str">
        <f t="shared" si="594"/>
        <v>B</v>
      </c>
      <c r="G1921" s="110">
        <f ca="1">SUMIF($A:E,$A1921,K:K)</f>
        <v>80</v>
      </c>
      <c r="H1921" s="97" t="s">
        <v>964</v>
      </c>
      <c r="I1921" s="98">
        <v>80</v>
      </c>
      <c r="J1921" s="97">
        <v>80</v>
      </c>
      <c r="K1921" s="143">
        <f t="shared" si="578"/>
        <v>80</v>
      </c>
      <c r="L1921" s="144">
        <f t="shared" si="585"/>
        <v>0</v>
      </c>
      <c r="M1921" s="275">
        <f t="shared" si="587"/>
        <v>80</v>
      </c>
      <c r="N1921" s="98">
        <v>3</v>
      </c>
      <c r="O1921" s="93">
        <f t="shared" si="595"/>
        <v>100</v>
      </c>
      <c r="MH1921" s="100">
        <v>3</v>
      </c>
      <c r="MK1921" s="100">
        <v>13</v>
      </c>
      <c r="ML1921" s="100">
        <v>1</v>
      </c>
      <c r="MO1921" s="100">
        <v>29</v>
      </c>
      <c r="MP1921" s="100">
        <v>12</v>
      </c>
      <c r="MR1921" s="100">
        <v>7</v>
      </c>
      <c r="NA1921" s="100">
        <v>15</v>
      </c>
      <c r="ON1921" s="100">
        <f t="shared" si="579"/>
        <v>0</v>
      </c>
    </row>
    <row r="1922" spans="1:404" ht="23.25" customHeight="1">
      <c r="A1922" s="97" t="str">
        <f t="shared" ref="A1922:A1926" si="596">D1922&amp;E1922</f>
        <v>004/COMERZIA_SR-2166-12522-03-B</v>
      </c>
      <c r="B1922" s="95">
        <v>44394</v>
      </c>
      <c r="C1922" s="97">
        <f t="shared" ca="1" si="592"/>
        <v>-670</v>
      </c>
      <c r="D1922" s="112" t="s">
        <v>1314</v>
      </c>
      <c r="E1922" s="123" t="s">
        <v>1192</v>
      </c>
      <c r="F1922" s="98" t="str">
        <f t="shared" si="594"/>
        <v>B</v>
      </c>
      <c r="G1922" s="110">
        <f ca="1">SUMIF($A:E,$A1922,K:K)</f>
        <v>3</v>
      </c>
      <c r="H1922" s="97" t="s">
        <v>507</v>
      </c>
      <c r="I1922" s="98">
        <v>3</v>
      </c>
      <c r="J1922" s="115">
        <v>3</v>
      </c>
      <c r="K1922" s="143">
        <f t="shared" si="578"/>
        <v>3</v>
      </c>
      <c r="L1922" s="144">
        <f t="shared" si="585"/>
        <v>0</v>
      </c>
      <c r="M1922" s="275">
        <f t="shared" si="587"/>
        <v>3</v>
      </c>
      <c r="N1922" s="98">
        <v>5</v>
      </c>
      <c r="O1922" s="93">
        <f t="shared" si="595"/>
        <v>100</v>
      </c>
      <c r="GD1922" s="100">
        <v>2</v>
      </c>
      <c r="GE1922" s="100">
        <v>1</v>
      </c>
      <c r="ON1922" s="100">
        <f t="shared" si="579"/>
        <v>0</v>
      </c>
    </row>
    <row r="1923" spans="1:404" ht="23.25" customHeight="1">
      <c r="A1923" s="97" t="str">
        <f t="shared" si="596"/>
        <v>003/ANNA-VG-21(đ2)66-12522-03-B</v>
      </c>
      <c r="B1923" s="95">
        <v>44564</v>
      </c>
      <c r="C1923" s="97">
        <f t="shared" ca="1" si="592"/>
        <v>-500</v>
      </c>
      <c r="D1923" s="112" t="s">
        <v>1638</v>
      </c>
      <c r="E1923" s="123" t="s">
        <v>1192</v>
      </c>
      <c r="F1923" s="98" t="str">
        <f t="shared" si="594"/>
        <v>B</v>
      </c>
      <c r="G1923" s="110">
        <f ca="1">SUMIF($A:E,$A1923,K:K)</f>
        <v>90</v>
      </c>
      <c r="H1923" s="112" t="s">
        <v>990</v>
      </c>
      <c r="I1923" s="98">
        <v>90</v>
      </c>
      <c r="J1923" s="115">
        <v>90</v>
      </c>
      <c r="K1923" s="143">
        <f t="shared" si="578"/>
        <v>90</v>
      </c>
      <c r="L1923" s="144">
        <f t="shared" si="585"/>
        <v>0</v>
      </c>
      <c r="M1923" s="275">
        <f t="shared" si="587"/>
        <v>90</v>
      </c>
      <c r="N1923" s="98">
        <v>3</v>
      </c>
      <c r="O1923" s="93">
        <f t="shared" si="595"/>
        <v>100</v>
      </c>
      <c r="MA1923" s="100">
        <v>10</v>
      </c>
      <c r="MB1923" s="100">
        <v>19</v>
      </c>
      <c r="ME1923" s="100">
        <v>22</v>
      </c>
      <c r="MF1923" s="100">
        <v>13</v>
      </c>
      <c r="MG1923" s="100">
        <v>11</v>
      </c>
      <c r="MH1923" s="100">
        <v>11</v>
      </c>
      <c r="MK1923" s="100">
        <v>4</v>
      </c>
      <c r="ON1923" s="100">
        <f t="shared" si="579"/>
        <v>0</v>
      </c>
    </row>
    <row r="1924" spans="1:404" ht="23.25" customHeight="1">
      <c r="A1924" s="97" t="str">
        <f t="shared" si="596"/>
        <v>003/ANNA-VG-21(đ1)66-12522-02-B</v>
      </c>
      <c r="B1924" s="95">
        <v>44545</v>
      </c>
      <c r="C1924" s="97">
        <f t="shared" ca="1" si="592"/>
        <v>-519</v>
      </c>
      <c r="D1924" s="319" t="s">
        <v>1622</v>
      </c>
      <c r="E1924" s="123" t="s">
        <v>1629</v>
      </c>
      <c r="F1924" s="98" t="str">
        <f t="shared" si="594"/>
        <v>B</v>
      </c>
      <c r="G1924" s="110">
        <f ca="1">SUMIF($A:E,$A1924,K:K)</f>
        <v>42</v>
      </c>
      <c r="H1924" s="112" t="s">
        <v>990</v>
      </c>
      <c r="I1924" s="98">
        <v>45</v>
      </c>
      <c r="J1924" s="115">
        <v>42</v>
      </c>
      <c r="K1924" s="143">
        <f t="shared" ref="K1924:K1987" si="597">SUM(P1924:BBC1924)</f>
        <v>42</v>
      </c>
      <c r="L1924" s="144">
        <f t="shared" si="585"/>
        <v>0</v>
      </c>
      <c r="M1924" s="275">
        <f t="shared" si="587"/>
        <v>45</v>
      </c>
      <c r="N1924" s="98">
        <v>6</v>
      </c>
      <c r="O1924" s="93">
        <f t="shared" si="595"/>
        <v>100</v>
      </c>
      <c r="LS1924" s="100">
        <v>22</v>
      </c>
      <c r="LT1924" s="100">
        <v>17</v>
      </c>
      <c r="LU1924" s="100">
        <v>3</v>
      </c>
      <c r="ON1924" s="100">
        <f t="shared" ref="ON1924:ON1987" si="598">SUM(NS1924:OM1924)</f>
        <v>0</v>
      </c>
    </row>
    <row r="1925" spans="1:404" ht="23.25" customHeight="1">
      <c r="A1925" s="97" t="str">
        <f t="shared" si="596"/>
        <v>041/VG_SR-21( TJX)66-12500-L2-B</v>
      </c>
      <c r="B1925" s="95">
        <v>44397</v>
      </c>
      <c r="C1925" s="97">
        <f t="shared" ca="1" si="592"/>
        <v>-667</v>
      </c>
      <c r="D1925" s="112" t="s">
        <v>1301</v>
      </c>
      <c r="E1925" s="123" t="s">
        <v>1303</v>
      </c>
      <c r="F1925" s="98" t="str">
        <f t="shared" si="594"/>
        <v>B</v>
      </c>
      <c r="G1925" s="110">
        <f ca="1">SUMIF($A:E,$A1925,K:K)</f>
        <v>2</v>
      </c>
      <c r="H1925" s="97" t="s">
        <v>508</v>
      </c>
      <c r="I1925" s="98">
        <v>2</v>
      </c>
      <c r="J1925" s="99">
        <v>2</v>
      </c>
      <c r="K1925" s="143">
        <f t="shared" si="597"/>
        <v>2</v>
      </c>
      <c r="L1925" s="144">
        <f t="shared" si="585"/>
        <v>0</v>
      </c>
      <c r="M1925" s="275">
        <f t="shared" si="587"/>
        <v>4</v>
      </c>
      <c r="N1925" s="98">
        <v>2</v>
      </c>
      <c r="O1925" s="93">
        <f t="shared" si="595"/>
        <v>100</v>
      </c>
      <c r="GC1925" s="100">
        <v>2</v>
      </c>
      <c r="ON1925" s="100">
        <f t="shared" si="598"/>
        <v>0</v>
      </c>
    </row>
    <row r="1926" spans="1:404" ht="23.25" customHeight="1">
      <c r="A1926" s="97" t="str">
        <f t="shared" si="596"/>
        <v>005/KHBS_SR-21(041/VG_SR-21(TJX))66-12500-L2-B</v>
      </c>
      <c r="B1926" s="95">
        <v>44410</v>
      </c>
      <c r="C1926" s="97">
        <f t="shared" ca="1" si="592"/>
        <v>-654</v>
      </c>
      <c r="D1926" s="96" t="s">
        <v>1444</v>
      </c>
      <c r="E1926" s="94" t="s">
        <v>1303</v>
      </c>
      <c r="F1926" s="98" t="str">
        <f t="shared" si="594"/>
        <v>B</v>
      </c>
      <c r="G1926" s="110">
        <f ca="1">SUMIF($A:E,$A1926,K:K)</f>
        <v>2</v>
      </c>
      <c r="H1926" s="97" t="s">
        <v>1445</v>
      </c>
      <c r="I1926" s="98">
        <v>2</v>
      </c>
      <c r="J1926" s="99">
        <v>2</v>
      </c>
      <c r="K1926" s="143">
        <f t="shared" si="597"/>
        <v>2</v>
      </c>
      <c r="L1926" s="144">
        <f t="shared" si="585"/>
        <v>0</v>
      </c>
      <c r="M1926" s="275">
        <f t="shared" si="587"/>
        <v>4</v>
      </c>
      <c r="N1926" s="98">
        <v>1</v>
      </c>
      <c r="O1926" s="93">
        <f t="shared" si="595"/>
        <v>100</v>
      </c>
      <c r="GU1926" s="100">
        <v>2</v>
      </c>
      <c r="ON1926" s="100">
        <f t="shared" si="598"/>
        <v>0</v>
      </c>
    </row>
    <row r="1927" spans="1:404" ht="23.25" customHeight="1">
      <c r="A1927" s="97" t="str">
        <f>D1927&amp;E1928</f>
        <v>005/MARSSHALLS-2166-12500-B2-B</v>
      </c>
      <c r="B1927" s="95">
        <v>44522</v>
      </c>
      <c r="C1927" s="97">
        <f t="shared" ca="1" si="592"/>
        <v>-542</v>
      </c>
      <c r="D1927" s="96" t="s">
        <v>1228</v>
      </c>
      <c r="E1927" s="94" t="s">
        <v>1229</v>
      </c>
      <c r="F1927" s="98" t="str">
        <f t="shared" si="594"/>
        <v>B</v>
      </c>
      <c r="G1927" s="110">
        <f ca="1">SUMIF($A:E,$A1927,K:K)</f>
        <v>208</v>
      </c>
      <c r="H1927" s="97" t="s">
        <v>508</v>
      </c>
      <c r="I1927" s="98">
        <v>208</v>
      </c>
      <c r="J1927" s="97">
        <v>208</v>
      </c>
      <c r="K1927" s="143">
        <f t="shared" si="597"/>
        <v>208</v>
      </c>
      <c r="L1927" s="144">
        <f t="shared" si="585"/>
        <v>0</v>
      </c>
      <c r="M1927" s="275">
        <f t="shared" si="587"/>
        <v>416</v>
      </c>
      <c r="N1927" s="98">
        <v>2</v>
      </c>
      <c r="O1927" s="93">
        <f t="shared" si="595"/>
        <v>100</v>
      </c>
      <c r="KD1927" s="100">
        <v>5</v>
      </c>
      <c r="KE1927" s="100">
        <v>17</v>
      </c>
      <c r="KG1927" s="100">
        <v>13</v>
      </c>
      <c r="KH1927" s="100">
        <v>5</v>
      </c>
      <c r="KI1927" s="100">
        <v>16</v>
      </c>
      <c r="KJ1927" s="100">
        <v>14</v>
      </c>
      <c r="KN1927" s="100">
        <v>5</v>
      </c>
      <c r="KO1927" s="100">
        <v>15</v>
      </c>
      <c r="KP1927" s="100">
        <v>12</v>
      </c>
      <c r="KQ1927" s="100">
        <v>13</v>
      </c>
      <c r="KS1927" s="100">
        <v>16</v>
      </c>
      <c r="KV1927" s="100">
        <v>21</v>
      </c>
      <c r="KY1927" s="100">
        <v>15</v>
      </c>
      <c r="KZ1927" s="100">
        <v>4</v>
      </c>
      <c r="LB1927" s="100">
        <v>15</v>
      </c>
      <c r="LC1927" s="100">
        <v>5</v>
      </c>
      <c r="LD1927" s="100">
        <v>1</v>
      </c>
      <c r="LE1927" s="100">
        <v>10</v>
      </c>
      <c r="LF1927" s="100">
        <v>6</v>
      </c>
      <c r="ON1927" s="100">
        <f t="shared" si="598"/>
        <v>0</v>
      </c>
    </row>
    <row r="1928" spans="1:404" ht="23.25" customHeight="1">
      <c r="A1928" s="97" t="str">
        <f>D1928&amp;E1929</f>
        <v>005/TJ MAXX-2166-12500-B2-B</v>
      </c>
      <c r="B1928" s="95">
        <v>44522</v>
      </c>
      <c r="C1928" s="97">
        <f t="shared" ca="1" si="592"/>
        <v>-542</v>
      </c>
      <c r="D1928" s="96" t="s">
        <v>1231</v>
      </c>
      <c r="E1928" s="94" t="s">
        <v>1229</v>
      </c>
      <c r="F1928" s="98" t="str">
        <f t="shared" si="594"/>
        <v>B</v>
      </c>
      <c r="G1928" s="110">
        <f ca="1">SUMIF($A:E,$A1928,K:K)</f>
        <v>308</v>
      </c>
      <c r="H1928" s="97" t="s">
        <v>508</v>
      </c>
      <c r="I1928" s="98">
        <v>308</v>
      </c>
      <c r="J1928" s="97">
        <v>308</v>
      </c>
      <c r="K1928" s="143">
        <f t="shared" si="597"/>
        <v>308</v>
      </c>
      <c r="L1928" s="144">
        <f t="shared" si="585"/>
        <v>0</v>
      </c>
      <c r="M1928" s="275">
        <f t="shared" si="587"/>
        <v>616</v>
      </c>
      <c r="N1928" s="98">
        <v>1</v>
      </c>
      <c r="O1928" s="93">
        <f t="shared" si="595"/>
        <v>100</v>
      </c>
      <c r="KC1928" s="100">
        <v>13</v>
      </c>
      <c r="KD1928" s="100">
        <v>8</v>
      </c>
      <c r="KE1928" s="100">
        <v>10</v>
      </c>
      <c r="KF1928" s="100">
        <v>9</v>
      </c>
      <c r="KG1928" s="100">
        <v>5</v>
      </c>
      <c r="KH1928" s="100">
        <v>8</v>
      </c>
      <c r="KJ1928" s="100">
        <v>6</v>
      </c>
      <c r="KN1928" s="100">
        <v>6</v>
      </c>
      <c r="KO1928" s="100">
        <v>14</v>
      </c>
      <c r="KP1928" s="100">
        <v>14</v>
      </c>
      <c r="KQ1928" s="100">
        <v>26</v>
      </c>
      <c r="KR1928" s="100">
        <v>17</v>
      </c>
      <c r="KS1928" s="100">
        <v>11</v>
      </c>
      <c r="KV1928" s="100">
        <v>16</v>
      </c>
      <c r="KW1928" s="100">
        <v>21</v>
      </c>
      <c r="KX1928" s="100">
        <v>30</v>
      </c>
      <c r="KY1928" s="100">
        <v>21</v>
      </c>
      <c r="KZ1928" s="100">
        <v>9</v>
      </c>
      <c r="LB1928" s="100">
        <v>13</v>
      </c>
      <c r="LC1928" s="100">
        <v>18</v>
      </c>
      <c r="LE1928" s="100">
        <v>26</v>
      </c>
      <c r="LF1928" s="100">
        <v>7</v>
      </c>
      <c r="ON1928" s="100">
        <f t="shared" si="598"/>
        <v>0</v>
      </c>
    </row>
    <row r="1929" spans="1:404" ht="23.25" customHeight="1">
      <c r="A1929" s="97" t="s">
        <v>1370</v>
      </c>
      <c r="B1929" s="95">
        <v>44602</v>
      </c>
      <c r="C1929" s="97">
        <f t="shared" ca="1" si="592"/>
        <v>-462</v>
      </c>
      <c r="D1929" s="112" t="s">
        <v>2200</v>
      </c>
      <c r="E1929" s="123" t="s">
        <v>1229</v>
      </c>
      <c r="F1929" s="98" t="str">
        <f t="shared" si="594"/>
        <v>B</v>
      </c>
      <c r="G1929" s="110">
        <f ca="1">SUMIF($A:E,$A1929,K:K)</f>
        <v>5654</v>
      </c>
      <c r="H1929" s="97" t="s">
        <v>508</v>
      </c>
      <c r="I1929" s="98">
        <v>52</v>
      </c>
      <c r="J1929" s="115">
        <v>52</v>
      </c>
      <c r="K1929" s="143">
        <f t="shared" si="597"/>
        <v>58</v>
      </c>
      <c r="L1929" s="144">
        <f t="shared" si="585"/>
        <v>-6</v>
      </c>
      <c r="M1929" s="275">
        <f t="shared" si="587"/>
        <v>104</v>
      </c>
      <c r="N1929" s="98">
        <v>2</v>
      </c>
      <c r="O1929" s="93">
        <f t="shared" si="595"/>
        <v>111.53846153846155</v>
      </c>
      <c r="NA1929" s="100">
        <v>3</v>
      </c>
      <c r="ND1929" s="100">
        <v>6</v>
      </c>
      <c r="NF1929" s="100">
        <v>9</v>
      </c>
      <c r="NG1929" s="100">
        <v>4</v>
      </c>
      <c r="NI1929" s="100">
        <v>3</v>
      </c>
      <c r="NK1929" s="100">
        <v>5</v>
      </c>
      <c r="NL1929" s="100">
        <v>7</v>
      </c>
      <c r="NM1929" s="100">
        <v>5</v>
      </c>
      <c r="NN1929" s="100">
        <v>4</v>
      </c>
      <c r="NS1929" s="100">
        <v>5</v>
      </c>
      <c r="NU1929" s="100">
        <v>1</v>
      </c>
      <c r="ON1929" s="100">
        <f t="shared" si="598"/>
        <v>6</v>
      </c>
    </row>
    <row r="1930" spans="1:404" ht="23.25" customHeight="1">
      <c r="A1930" s="97" t="str">
        <f>D1930&amp;E1930</f>
        <v>003/ANNA-VG-21(đ1)66-12500-B2-A</v>
      </c>
      <c r="B1930" s="95">
        <v>44545</v>
      </c>
      <c r="C1930" s="97">
        <f t="shared" ca="1" si="592"/>
        <v>-519</v>
      </c>
      <c r="D1930" s="319" t="s">
        <v>1622</v>
      </c>
      <c r="E1930" s="279" t="s">
        <v>1628</v>
      </c>
      <c r="F1930" s="98" t="str">
        <f t="shared" si="594"/>
        <v>A</v>
      </c>
      <c r="G1930" s="110">
        <f ca="1">SUMIF($A:E,$A1930,K:K)</f>
        <v>70</v>
      </c>
      <c r="H1930" s="112" t="s">
        <v>990</v>
      </c>
      <c r="I1930" s="98">
        <v>70</v>
      </c>
      <c r="J1930" s="115">
        <v>70</v>
      </c>
      <c r="K1930" s="143">
        <f t="shared" si="597"/>
        <v>70</v>
      </c>
      <c r="L1930" s="144">
        <f t="shared" si="585"/>
        <v>0</v>
      </c>
      <c r="M1930" s="275">
        <f t="shared" si="587"/>
        <v>140</v>
      </c>
      <c r="N1930" s="98" t="s">
        <v>1776</v>
      </c>
      <c r="O1930" s="93">
        <f t="shared" si="595"/>
        <v>100</v>
      </c>
      <c r="LM1930" s="100">
        <v>5</v>
      </c>
      <c r="LN1930" s="100">
        <v>5</v>
      </c>
      <c r="LP1930" s="100">
        <v>4</v>
      </c>
      <c r="LQ1930" s="100">
        <v>5</v>
      </c>
      <c r="LR1930" s="100">
        <v>5</v>
      </c>
      <c r="LS1930" s="100">
        <v>5</v>
      </c>
      <c r="LT1930" s="100">
        <v>5</v>
      </c>
      <c r="LU1930" s="100">
        <v>9</v>
      </c>
      <c r="LW1930" s="100">
        <v>10</v>
      </c>
      <c r="LX1930" s="100">
        <v>6</v>
      </c>
      <c r="LY1930" s="100">
        <v>11</v>
      </c>
      <c r="ON1930" s="100">
        <f t="shared" si="598"/>
        <v>0</v>
      </c>
    </row>
    <row r="1931" spans="1:404" ht="23.25" customHeight="1">
      <c r="A1931" s="97" t="str">
        <f>D1931&amp;E1932</f>
        <v>037/VG_SR-21(TJX)66-12500-03-B</v>
      </c>
      <c r="B1931" s="95">
        <v>44384</v>
      </c>
      <c r="C1931" s="97">
        <f t="shared" ca="1" si="592"/>
        <v>-680</v>
      </c>
      <c r="D1931" s="96" t="s">
        <v>1206</v>
      </c>
      <c r="E1931" s="94" t="s">
        <v>1208</v>
      </c>
      <c r="F1931" s="98" t="str">
        <f t="shared" si="594"/>
        <v>B</v>
      </c>
      <c r="G1931" s="110">
        <f ca="1">SUMIF($A:E,$A1931,K:K)</f>
        <v>2</v>
      </c>
      <c r="H1931" s="97" t="s">
        <v>616</v>
      </c>
      <c r="I1931" s="98">
        <v>2</v>
      </c>
      <c r="J1931" s="97">
        <v>2</v>
      </c>
      <c r="K1931" s="143">
        <f t="shared" si="597"/>
        <v>2</v>
      </c>
      <c r="L1931" s="144">
        <f t="shared" si="585"/>
        <v>0</v>
      </c>
      <c r="M1931" s="275">
        <f t="shared" si="587"/>
        <v>2</v>
      </c>
      <c r="N1931" s="98">
        <v>1</v>
      </c>
      <c r="O1931" s="93">
        <f t="shared" si="595"/>
        <v>100</v>
      </c>
      <c r="FT1931" s="100">
        <v>2</v>
      </c>
      <c r="ON1931" s="100">
        <f t="shared" si="598"/>
        <v>0</v>
      </c>
    </row>
    <row r="1932" spans="1:404" ht="23.25" customHeight="1">
      <c r="A1932" s="97" t="str">
        <f t="shared" ref="A1932:A1944" si="599">D1932&amp;E1932</f>
        <v>005/KHBS-21(037/VG_SR-21(TJX))66-12500-03-B</v>
      </c>
      <c r="B1932" s="95">
        <v>44410</v>
      </c>
      <c r="C1932" s="97">
        <f t="shared" ca="1" si="592"/>
        <v>-654</v>
      </c>
      <c r="D1932" s="96" t="s">
        <v>1442</v>
      </c>
      <c r="E1932" s="94" t="s">
        <v>1208</v>
      </c>
      <c r="F1932" s="98" t="str">
        <f t="shared" si="594"/>
        <v>B</v>
      </c>
      <c r="G1932" s="110">
        <f ca="1">SUMIF($A:E,$A1932,K:K)</f>
        <v>2</v>
      </c>
      <c r="H1932" s="97" t="s">
        <v>1445</v>
      </c>
      <c r="I1932" s="98">
        <v>2</v>
      </c>
      <c r="J1932" s="99">
        <v>2</v>
      </c>
      <c r="K1932" s="143">
        <f t="shared" si="597"/>
        <v>2</v>
      </c>
      <c r="L1932" s="144">
        <f t="shared" si="585"/>
        <v>0</v>
      </c>
      <c r="M1932" s="275">
        <f t="shared" si="587"/>
        <v>2</v>
      </c>
      <c r="N1932" s="98">
        <v>1</v>
      </c>
      <c r="O1932" s="93">
        <f t="shared" si="595"/>
        <v>100</v>
      </c>
      <c r="GU1932" s="100">
        <v>2</v>
      </c>
      <c r="ON1932" s="100">
        <f t="shared" si="598"/>
        <v>0</v>
      </c>
    </row>
    <row r="1933" spans="1:404" ht="23.25" customHeight="1">
      <c r="A1933" s="97" t="str">
        <f t="shared" si="599"/>
        <v>003/ANNA-VG-21(đ1)66-12500-01-A</v>
      </c>
      <c r="B1933" s="95">
        <v>44545</v>
      </c>
      <c r="C1933" s="97">
        <f t="shared" ca="1" si="592"/>
        <v>-519</v>
      </c>
      <c r="D1933" s="319" t="s">
        <v>1622</v>
      </c>
      <c r="E1933" s="279" t="s">
        <v>1627</v>
      </c>
      <c r="F1933" s="98" t="str">
        <f t="shared" si="594"/>
        <v>A</v>
      </c>
      <c r="G1933" s="110">
        <f ca="1">SUMIF($A:E,$A1933,K:K)</f>
        <v>8</v>
      </c>
      <c r="H1933" s="112" t="s">
        <v>990</v>
      </c>
      <c r="I1933" s="98">
        <v>8</v>
      </c>
      <c r="J1933" s="115">
        <v>8</v>
      </c>
      <c r="K1933" s="143">
        <f t="shared" si="597"/>
        <v>8</v>
      </c>
      <c r="L1933" s="144">
        <f t="shared" si="585"/>
        <v>0</v>
      </c>
      <c r="M1933" s="275">
        <f t="shared" si="587"/>
        <v>8</v>
      </c>
      <c r="N1933" s="98" t="s">
        <v>1776</v>
      </c>
      <c r="O1933" s="93">
        <f t="shared" si="595"/>
        <v>100</v>
      </c>
      <c r="LD1933" s="100">
        <v>2</v>
      </c>
      <c r="LF1933" s="100">
        <v>4</v>
      </c>
      <c r="LI1933" s="100">
        <v>2</v>
      </c>
      <c r="ON1933" s="100">
        <f t="shared" si="598"/>
        <v>0</v>
      </c>
    </row>
    <row r="1934" spans="1:404" ht="23.25" customHeight="1">
      <c r="A1934" s="97" t="str">
        <f t="shared" si="599"/>
        <v>004/HACA-HK-2166-12400-S1-B</v>
      </c>
      <c r="B1934" s="95">
        <v>44378</v>
      </c>
      <c r="C1934" s="97">
        <f t="shared" ca="1" si="592"/>
        <v>-686</v>
      </c>
      <c r="D1934" s="145" t="s">
        <v>815</v>
      </c>
      <c r="E1934" s="253" t="s">
        <v>592</v>
      </c>
      <c r="F1934" s="98" t="str">
        <f t="shared" si="594"/>
        <v>B</v>
      </c>
      <c r="G1934" s="110">
        <f ca="1">SUMIF($A:E,$A1934,K:K)</f>
        <v>36</v>
      </c>
      <c r="H1934" s="97" t="s">
        <v>601</v>
      </c>
      <c r="I1934" s="98">
        <v>36</v>
      </c>
      <c r="J1934" s="146">
        <v>36</v>
      </c>
      <c r="K1934" s="143">
        <f t="shared" si="597"/>
        <v>36</v>
      </c>
      <c r="L1934" s="144">
        <f t="shared" si="585"/>
        <v>0</v>
      </c>
      <c r="M1934" s="275">
        <f t="shared" si="587"/>
        <v>36</v>
      </c>
      <c r="N1934" s="98">
        <v>3</v>
      </c>
      <c r="O1934" s="93">
        <f t="shared" si="595"/>
        <v>100</v>
      </c>
      <c r="CU1934" s="101">
        <v>5</v>
      </c>
      <c r="CX1934" s="101">
        <v>3</v>
      </c>
      <c r="CZ1934" s="101">
        <v>3</v>
      </c>
      <c r="DA1934" s="101">
        <v>5</v>
      </c>
      <c r="DB1934" s="101">
        <v>4</v>
      </c>
      <c r="DD1934" s="101">
        <v>3</v>
      </c>
      <c r="DE1934" s="101">
        <v>2</v>
      </c>
      <c r="DG1934" s="101">
        <v>5</v>
      </c>
      <c r="DK1934" s="101">
        <v>4</v>
      </c>
      <c r="DL1934" s="101">
        <v>2</v>
      </c>
      <c r="ON1934" s="100">
        <f t="shared" si="598"/>
        <v>0</v>
      </c>
    </row>
    <row r="1935" spans="1:404" ht="23.25" customHeight="1">
      <c r="A1935" s="97" t="str">
        <f t="shared" si="599"/>
        <v>003/ANNA-VG-21(đ5)66-12200-S1-A</v>
      </c>
      <c r="B1935" s="95">
        <v>44600</v>
      </c>
      <c r="C1935" s="97">
        <f t="shared" ca="1" si="592"/>
        <v>-464</v>
      </c>
      <c r="D1935" s="112" t="s">
        <v>1664</v>
      </c>
      <c r="E1935" s="279" t="s">
        <v>693</v>
      </c>
      <c r="F1935" s="98" t="str">
        <f t="shared" ref="F1935:F1958" si="600">MID(E1935,13,2)</f>
        <v>A</v>
      </c>
      <c r="G1935" s="110">
        <f ca="1">SUMIF($A:E,$A1935,K:K)</f>
        <v>84</v>
      </c>
      <c r="H1935" s="112" t="s">
        <v>990</v>
      </c>
      <c r="I1935" s="98">
        <v>84</v>
      </c>
      <c r="J1935" s="115">
        <v>84</v>
      </c>
      <c r="K1935" s="143">
        <f t="shared" si="597"/>
        <v>84</v>
      </c>
      <c r="L1935" s="144">
        <f t="shared" ref="L1935:L1987" si="601">J1935-K1935</f>
        <v>0</v>
      </c>
      <c r="M1935" s="275">
        <f t="shared" ref="M1935:M1991" si="602">IF(OR(MID(E1935,10,1)="0",MID(E1935,10,1)="F"),I1935,IF(OR(,MID(E1935,10,1)="S",MID(E1935,10,1)="L",MID(E1935,10,1)="B",MID(E1935,10,1)="X"),MID(E1935,11,1)*I1935,0))</f>
        <v>84</v>
      </c>
      <c r="N1935" s="98">
        <v>4</v>
      </c>
      <c r="O1935" s="93">
        <f t="shared" si="595"/>
        <v>100</v>
      </c>
      <c r="MS1935" s="100">
        <v>8</v>
      </c>
      <c r="MT1935" s="100">
        <v>7</v>
      </c>
      <c r="MU1935" s="100">
        <v>6</v>
      </c>
      <c r="MW1935" s="100">
        <v>6</v>
      </c>
      <c r="MX1935" s="100">
        <v>1</v>
      </c>
      <c r="MY1935" s="100">
        <v>12</v>
      </c>
      <c r="MZ1935" s="100">
        <v>9</v>
      </c>
      <c r="NA1935" s="100">
        <v>9</v>
      </c>
      <c r="ND1935" s="100">
        <v>12</v>
      </c>
      <c r="NE1935" s="100">
        <v>8</v>
      </c>
      <c r="NF1935" s="100">
        <v>6</v>
      </c>
      <c r="ON1935" s="100">
        <f t="shared" si="598"/>
        <v>0</v>
      </c>
    </row>
    <row r="1936" spans="1:404" ht="23.25" customHeight="1">
      <c r="A1936" s="97" t="str">
        <f t="shared" si="599"/>
        <v>180/KHBS-21 ( 016/ANNA-21)66-12100-S1-A</v>
      </c>
      <c r="B1936" s="95">
        <v>44330</v>
      </c>
      <c r="C1936" s="97">
        <f t="shared" ca="1" si="592"/>
        <v>-734</v>
      </c>
      <c r="D1936" s="96" t="s">
        <v>969</v>
      </c>
      <c r="E1936" s="94" t="s">
        <v>692</v>
      </c>
      <c r="F1936" s="98" t="str">
        <f t="shared" si="600"/>
        <v>A</v>
      </c>
      <c r="G1936" s="110">
        <f ca="1">SUMIF($A:E,$A1936,K:K)</f>
        <v>2</v>
      </c>
      <c r="H1936" s="97" t="s">
        <v>971</v>
      </c>
      <c r="I1936" s="98">
        <v>2</v>
      </c>
      <c r="J1936" s="99">
        <v>2</v>
      </c>
      <c r="K1936" s="143">
        <f t="shared" si="597"/>
        <v>2</v>
      </c>
      <c r="L1936" s="144">
        <f t="shared" si="601"/>
        <v>0</v>
      </c>
      <c r="M1936" s="275">
        <f t="shared" si="602"/>
        <v>2</v>
      </c>
      <c r="N1936" s="98">
        <v>5</v>
      </c>
      <c r="O1936" s="93">
        <f t="shared" si="595"/>
        <v>100</v>
      </c>
      <c r="DV1936" s="100">
        <v>2</v>
      </c>
      <c r="ON1936" s="100">
        <f t="shared" si="598"/>
        <v>0</v>
      </c>
    </row>
    <row r="1937" spans="1:404" ht="23.25" customHeight="1">
      <c r="A1937" s="97" t="str">
        <f t="shared" si="599"/>
        <v>003/ANNA-VG-21(đ2)66-12100-S1-A</v>
      </c>
      <c r="B1937" s="95">
        <v>44564</v>
      </c>
      <c r="C1937" s="97">
        <f t="shared" ca="1" si="592"/>
        <v>-500</v>
      </c>
      <c r="D1937" s="112" t="s">
        <v>1638</v>
      </c>
      <c r="E1937" s="279" t="s">
        <v>692</v>
      </c>
      <c r="F1937" s="98" t="str">
        <f t="shared" si="600"/>
        <v>A</v>
      </c>
      <c r="G1937" s="110">
        <f ca="1">SUMIF($A:E,$A1937,K:K)</f>
        <v>20</v>
      </c>
      <c r="H1937" s="112" t="s">
        <v>990</v>
      </c>
      <c r="I1937" s="98">
        <v>20</v>
      </c>
      <c r="J1937" s="115">
        <v>20</v>
      </c>
      <c r="K1937" s="143">
        <f t="shared" si="597"/>
        <v>20</v>
      </c>
      <c r="L1937" s="144">
        <f t="shared" si="601"/>
        <v>0</v>
      </c>
      <c r="M1937" s="275">
        <f t="shared" si="602"/>
        <v>20</v>
      </c>
      <c r="N1937" s="98">
        <v>3</v>
      </c>
      <c r="O1937" s="93">
        <f t="shared" ref="O1937:O1967" si="603">K1937/J1937*100</f>
        <v>100</v>
      </c>
      <c r="MD1937" s="100">
        <v>4</v>
      </c>
      <c r="MF1937" s="100">
        <v>2</v>
      </c>
      <c r="MG1937" s="100">
        <v>2</v>
      </c>
      <c r="MH1937" s="100">
        <v>2</v>
      </c>
      <c r="MK1937" s="100">
        <v>2</v>
      </c>
      <c r="ML1937" s="100">
        <v>2</v>
      </c>
      <c r="MM1937" s="100">
        <v>2</v>
      </c>
      <c r="MN1937" s="100">
        <v>2</v>
      </c>
      <c r="MR1937" s="100">
        <v>2</v>
      </c>
      <c r="ON1937" s="100">
        <f t="shared" si="598"/>
        <v>0</v>
      </c>
    </row>
    <row r="1938" spans="1:404" ht="23.25" customHeight="1">
      <c r="A1938" s="97" t="str">
        <f t="shared" si="599"/>
        <v>003/ANNA-VG-21(đ2)66-12000-S1-A</v>
      </c>
      <c r="B1938" s="95">
        <v>44564</v>
      </c>
      <c r="C1938" s="97">
        <f t="shared" ca="1" si="592"/>
        <v>-500</v>
      </c>
      <c r="D1938" s="112" t="s">
        <v>1638</v>
      </c>
      <c r="E1938" s="279" t="s">
        <v>691</v>
      </c>
      <c r="F1938" s="98" t="str">
        <f t="shared" si="600"/>
        <v>A</v>
      </c>
      <c r="G1938" s="110">
        <f ca="1">SUMIF($A:E,$A1938,K:K)</f>
        <v>16</v>
      </c>
      <c r="H1938" s="112" t="s">
        <v>990</v>
      </c>
      <c r="I1938" s="98">
        <v>16</v>
      </c>
      <c r="J1938" s="115">
        <v>16</v>
      </c>
      <c r="K1938" s="143">
        <f t="shared" si="597"/>
        <v>16</v>
      </c>
      <c r="L1938" s="144">
        <f t="shared" si="601"/>
        <v>0</v>
      </c>
      <c r="M1938" s="275">
        <f t="shared" si="602"/>
        <v>16</v>
      </c>
      <c r="N1938" s="98">
        <v>3</v>
      </c>
      <c r="O1938" s="93">
        <f t="shared" si="603"/>
        <v>100</v>
      </c>
      <c r="MD1938" s="100">
        <v>3</v>
      </c>
      <c r="ME1938" s="100">
        <v>1</v>
      </c>
      <c r="MF1938" s="100">
        <v>2</v>
      </c>
      <c r="MG1938" s="100">
        <v>2</v>
      </c>
      <c r="MH1938" s="100">
        <v>2</v>
      </c>
      <c r="MK1938" s="100">
        <v>2</v>
      </c>
      <c r="ML1938" s="100">
        <v>2</v>
      </c>
      <c r="MM1938" s="100">
        <v>2</v>
      </c>
      <c r="ON1938" s="100">
        <f t="shared" si="598"/>
        <v>0</v>
      </c>
    </row>
    <row r="1939" spans="1:404" ht="23.25" customHeight="1">
      <c r="A1939" s="97" t="str">
        <f t="shared" si="599"/>
        <v>003/ANNA-VG-21(đ1)66-11700-S4-A</v>
      </c>
      <c r="B1939" s="95">
        <v>44545</v>
      </c>
      <c r="C1939" s="97">
        <f t="shared" ca="1" si="592"/>
        <v>-519</v>
      </c>
      <c r="D1939" s="319" t="s">
        <v>1622</v>
      </c>
      <c r="E1939" s="279" t="s">
        <v>690</v>
      </c>
      <c r="F1939" s="98" t="str">
        <f t="shared" si="600"/>
        <v>A</v>
      </c>
      <c r="G1939" s="110">
        <f ca="1">SUMIF($A:E,$A1939,K:K)</f>
        <v>32</v>
      </c>
      <c r="H1939" s="112" t="s">
        <v>990</v>
      </c>
      <c r="I1939" s="98">
        <v>32</v>
      </c>
      <c r="J1939" s="115">
        <v>32</v>
      </c>
      <c r="K1939" s="143">
        <f t="shared" si="597"/>
        <v>32</v>
      </c>
      <c r="L1939" s="144">
        <f t="shared" si="601"/>
        <v>0</v>
      </c>
      <c r="M1939" s="275">
        <f t="shared" si="602"/>
        <v>128</v>
      </c>
      <c r="N1939" s="98" t="s">
        <v>1776</v>
      </c>
      <c r="O1939" s="93">
        <f t="shared" si="603"/>
        <v>100</v>
      </c>
      <c r="LN1939" s="100">
        <v>3</v>
      </c>
      <c r="LQ1939" s="100">
        <v>6</v>
      </c>
      <c r="LR1939" s="100">
        <v>2</v>
      </c>
      <c r="LS1939" s="100">
        <v>4</v>
      </c>
      <c r="LT1939" s="100">
        <v>2</v>
      </c>
      <c r="LU1939" s="100">
        <v>5</v>
      </c>
      <c r="LW1939" s="100">
        <v>9</v>
      </c>
      <c r="LX1939" s="100">
        <v>1</v>
      </c>
      <c r="ON1939" s="100">
        <f t="shared" si="598"/>
        <v>0</v>
      </c>
    </row>
    <row r="1940" spans="1:404" ht="23.25" customHeight="1">
      <c r="A1940" s="97" t="str">
        <f t="shared" si="599"/>
        <v>003/ANNA-VG-21(đ2)66-10000-L2-A</v>
      </c>
      <c r="B1940" s="95">
        <v>44564</v>
      </c>
      <c r="C1940" s="97">
        <f t="shared" ca="1" si="592"/>
        <v>-500</v>
      </c>
      <c r="D1940" s="112" t="s">
        <v>1638</v>
      </c>
      <c r="E1940" s="279" t="s">
        <v>1643</v>
      </c>
      <c r="F1940" s="98" t="str">
        <f t="shared" si="600"/>
        <v>A</v>
      </c>
      <c r="G1940" s="110">
        <f ca="1">SUMIF($A:E,$A1940,K:K)</f>
        <v>84</v>
      </c>
      <c r="H1940" s="112" t="s">
        <v>990</v>
      </c>
      <c r="I1940" s="98">
        <v>84</v>
      </c>
      <c r="J1940" s="115">
        <v>84</v>
      </c>
      <c r="K1940" s="143">
        <f t="shared" si="597"/>
        <v>84</v>
      </c>
      <c r="L1940" s="144">
        <f t="shared" si="601"/>
        <v>0</v>
      </c>
      <c r="M1940" s="275">
        <f t="shared" si="602"/>
        <v>168</v>
      </c>
      <c r="N1940" s="98">
        <v>4</v>
      </c>
      <c r="O1940" s="93">
        <f t="shared" si="603"/>
        <v>100</v>
      </c>
      <c r="LE1940" s="100">
        <v>8</v>
      </c>
      <c r="LG1940" s="100">
        <v>12</v>
      </c>
      <c r="LI1940" s="100">
        <v>6</v>
      </c>
      <c r="LL1940" s="100">
        <v>14</v>
      </c>
      <c r="LM1940" s="100">
        <v>5</v>
      </c>
      <c r="LQ1940" s="100">
        <v>11</v>
      </c>
      <c r="LR1940" s="100">
        <v>6</v>
      </c>
      <c r="LS1940" s="100">
        <v>6</v>
      </c>
      <c r="LT1940" s="100">
        <v>6</v>
      </c>
      <c r="LU1940" s="100">
        <v>8</v>
      </c>
      <c r="LY1940" s="100">
        <v>2</v>
      </c>
      <c r="ON1940" s="100">
        <f t="shared" si="598"/>
        <v>0</v>
      </c>
    </row>
    <row r="1941" spans="1:404" ht="23.25" customHeight="1">
      <c r="A1941" s="97" t="str">
        <f t="shared" si="599"/>
        <v>003/ANNA-VG-21(đ2)66-10000-01-A</v>
      </c>
      <c r="B1941" s="95">
        <v>44564</v>
      </c>
      <c r="C1941" s="97">
        <f t="shared" ca="1" si="592"/>
        <v>-500</v>
      </c>
      <c r="D1941" s="112" t="s">
        <v>1638</v>
      </c>
      <c r="E1941" s="279" t="s">
        <v>1642</v>
      </c>
      <c r="F1941" s="98" t="str">
        <f t="shared" si="600"/>
        <v>A</v>
      </c>
      <c r="G1941" s="110">
        <f ca="1">SUMIF($A:E,$A1941,K:K)</f>
        <v>126</v>
      </c>
      <c r="H1941" s="112" t="s">
        <v>990</v>
      </c>
      <c r="I1941" s="98">
        <v>126</v>
      </c>
      <c r="J1941" s="115">
        <v>126</v>
      </c>
      <c r="K1941" s="143">
        <f t="shared" si="597"/>
        <v>126</v>
      </c>
      <c r="L1941" s="144">
        <f t="shared" si="601"/>
        <v>0</v>
      </c>
      <c r="M1941" s="275">
        <f t="shared" si="602"/>
        <v>126</v>
      </c>
      <c r="N1941" s="98">
        <v>4</v>
      </c>
      <c r="O1941" s="93">
        <f t="shared" si="603"/>
        <v>100</v>
      </c>
      <c r="LW1941" s="100">
        <v>7</v>
      </c>
      <c r="LX1941" s="100">
        <v>3</v>
      </c>
      <c r="LZ1941" s="100">
        <v>10</v>
      </c>
      <c r="MA1941" s="100">
        <v>3</v>
      </c>
      <c r="MB1941" s="100">
        <v>6</v>
      </c>
      <c r="MD1941" s="100">
        <v>5</v>
      </c>
      <c r="ME1941" s="100">
        <v>3</v>
      </c>
      <c r="MF1941" s="100">
        <v>3</v>
      </c>
      <c r="MG1941" s="100">
        <v>7</v>
      </c>
      <c r="MH1941" s="100">
        <v>6</v>
      </c>
      <c r="MK1941" s="100">
        <v>6</v>
      </c>
      <c r="ML1941" s="100">
        <v>6</v>
      </c>
      <c r="MM1941" s="100">
        <v>6</v>
      </c>
      <c r="MN1941" s="100">
        <v>6</v>
      </c>
      <c r="MO1941" s="100">
        <v>6</v>
      </c>
      <c r="MP1941" s="100">
        <v>11</v>
      </c>
      <c r="MR1941" s="100">
        <v>4</v>
      </c>
      <c r="MS1941" s="100">
        <v>6</v>
      </c>
      <c r="MT1941" s="100">
        <v>3</v>
      </c>
      <c r="MU1941" s="100">
        <v>11</v>
      </c>
      <c r="MW1941" s="100">
        <v>8</v>
      </c>
      <c r="ON1941" s="100">
        <f t="shared" si="598"/>
        <v>0</v>
      </c>
    </row>
    <row r="1942" spans="1:404" ht="23.25" customHeight="1">
      <c r="A1942" s="97" t="str">
        <f t="shared" si="599"/>
        <v>002/AGRAVIS-2166-07923-S3-B</v>
      </c>
      <c r="B1942" s="95">
        <v>44460</v>
      </c>
      <c r="C1942" s="97">
        <f t="shared" ca="1" si="592"/>
        <v>-604</v>
      </c>
      <c r="D1942" s="96" t="s">
        <v>1020</v>
      </c>
      <c r="E1942" s="94" t="s">
        <v>424</v>
      </c>
      <c r="F1942" s="98" t="str">
        <f t="shared" si="600"/>
        <v>B</v>
      </c>
      <c r="G1942" s="110">
        <f ca="1">SUMIF($A:E,$A1942,K:K)</f>
        <v>640</v>
      </c>
      <c r="H1942" s="97" t="s">
        <v>820</v>
      </c>
      <c r="I1942" s="98">
        <v>240</v>
      </c>
      <c r="J1942" s="99">
        <v>240</v>
      </c>
      <c r="K1942" s="143">
        <f t="shared" si="597"/>
        <v>240</v>
      </c>
      <c r="L1942" s="144">
        <f t="shared" si="601"/>
        <v>0</v>
      </c>
      <c r="M1942" s="275">
        <f t="shared" si="602"/>
        <v>720</v>
      </c>
      <c r="N1942" s="98">
        <v>5</v>
      </c>
      <c r="O1942" s="93">
        <f t="shared" si="603"/>
        <v>100</v>
      </c>
      <c r="ER1942" s="100">
        <v>8</v>
      </c>
      <c r="EU1942" s="100">
        <v>8</v>
      </c>
      <c r="EV1942" s="100">
        <v>8</v>
      </c>
      <c r="EW1942" s="100">
        <v>8</v>
      </c>
      <c r="EX1942" s="100">
        <v>4</v>
      </c>
      <c r="EY1942" s="100">
        <v>4</v>
      </c>
      <c r="FA1942" s="100">
        <v>4</v>
      </c>
      <c r="FB1942" s="100">
        <v>4</v>
      </c>
      <c r="FC1942" s="100">
        <v>4</v>
      </c>
      <c r="FD1942" s="100">
        <v>3</v>
      </c>
      <c r="FE1942" s="100">
        <v>5</v>
      </c>
      <c r="FH1942" s="100">
        <v>11</v>
      </c>
      <c r="FI1942" s="100">
        <v>9</v>
      </c>
      <c r="FK1942" s="100">
        <v>4</v>
      </c>
      <c r="FL1942" s="100">
        <v>3</v>
      </c>
      <c r="FM1942" s="100">
        <v>5</v>
      </c>
      <c r="FO1942" s="100">
        <v>4</v>
      </c>
      <c r="FP1942" s="100">
        <v>4</v>
      </c>
      <c r="FQ1942" s="100">
        <v>7</v>
      </c>
      <c r="FR1942" s="100">
        <v>7</v>
      </c>
      <c r="FS1942" s="100">
        <v>9</v>
      </c>
      <c r="FT1942" s="100">
        <v>4</v>
      </c>
      <c r="FU1942" s="100">
        <v>8</v>
      </c>
      <c r="FV1942" s="100">
        <v>12</v>
      </c>
      <c r="FW1942" s="100">
        <v>4</v>
      </c>
      <c r="FZ1942" s="100">
        <v>6</v>
      </c>
      <c r="GA1942" s="100">
        <v>6</v>
      </c>
      <c r="GB1942" s="100">
        <v>4</v>
      </c>
      <c r="GC1942" s="100">
        <v>5</v>
      </c>
      <c r="GD1942" s="100">
        <v>2</v>
      </c>
      <c r="GE1942" s="100">
        <v>7</v>
      </c>
      <c r="GG1942" s="100">
        <v>5</v>
      </c>
      <c r="GH1942" s="100">
        <v>8</v>
      </c>
      <c r="GK1942" s="100">
        <v>12</v>
      </c>
      <c r="GN1942" s="100">
        <v>3</v>
      </c>
      <c r="GO1942" s="100">
        <v>5</v>
      </c>
      <c r="GP1942" s="100">
        <v>4</v>
      </c>
      <c r="GR1942" s="100">
        <v>4</v>
      </c>
      <c r="GS1942" s="100">
        <v>7</v>
      </c>
      <c r="GU1942" s="100">
        <v>5</v>
      </c>
      <c r="GV1942" s="100">
        <v>2</v>
      </c>
      <c r="GW1942" s="100">
        <v>3</v>
      </c>
      <c r="GY1942" s="100">
        <v>1</v>
      </c>
      <c r="ON1942" s="100">
        <f t="shared" si="598"/>
        <v>0</v>
      </c>
    </row>
    <row r="1943" spans="1:404" ht="23.25" customHeight="1">
      <c r="A1943" s="97" t="str">
        <f t="shared" si="599"/>
        <v>002/AGRAVIS-2166-07923-S3-B</v>
      </c>
      <c r="B1943" s="95">
        <v>44460</v>
      </c>
      <c r="C1943" s="97">
        <f t="shared" ca="1" si="592"/>
        <v>-604</v>
      </c>
      <c r="D1943" s="96" t="s">
        <v>1020</v>
      </c>
      <c r="E1943" s="94" t="s">
        <v>424</v>
      </c>
      <c r="F1943" s="98" t="str">
        <f t="shared" si="600"/>
        <v>B</v>
      </c>
      <c r="G1943" s="110">
        <f ca="1">SUMIF($A:E,$A1943,K:K)</f>
        <v>640</v>
      </c>
      <c r="H1943" s="97" t="s">
        <v>820</v>
      </c>
      <c r="I1943" s="98">
        <v>200</v>
      </c>
      <c r="J1943" s="99">
        <v>200</v>
      </c>
      <c r="K1943" s="143">
        <f t="shared" si="597"/>
        <v>200</v>
      </c>
      <c r="L1943" s="144">
        <f t="shared" si="601"/>
        <v>0</v>
      </c>
      <c r="M1943" s="275">
        <f t="shared" si="602"/>
        <v>600</v>
      </c>
      <c r="N1943" s="98">
        <v>1</v>
      </c>
      <c r="O1943" s="93">
        <f t="shared" si="603"/>
        <v>100</v>
      </c>
      <c r="EQ1943" s="100">
        <v>2</v>
      </c>
      <c r="ER1943" s="100">
        <v>7</v>
      </c>
      <c r="ET1943" s="100">
        <v>1</v>
      </c>
      <c r="EU1943" s="100">
        <v>4</v>
      </c>
      <c r="EV1943" s="100">
        <v>4</v>
      </c>
      <c r="EW1943" s="100">
        <v>9</v>
      </c>
      <c r="EX1943" s="100">
        <v>2</v>
      </c>
      <c r="EY1943" s="100">
        <v>4</v>
      </c>
      <c r="FB1943" s="100">
        <v>5</v>
      </c>
      <c r="FC1943" s="100">
        <v>1</v>
      </c>
      <c r="FE1943" s="100">
        <v>11</v>
      </c>
      <c r="FF1943" s="100">
        <v>4</v>
      </c>
      <c r="FH1943" s="100">
        <v>1</v>
      </c>
      <c r="FI1943" s="100">
        <v>8</v>
      </c>
      <c r="FK1943" s="100">
        <v>9</v>
      </c>
      <c r="FM1943" s="100">
        <v>3</v>
      </c>
      <c r="FO1943" s="100">
        <v>2</v>
      </c>
      <c r="FQ1943" s="100">
        <v>2</v>
      </c>
      <c r="FR1943" s="100">
        <v>1</v>
      </c>
      <c r="FT1943" s="100">
        <v>4</v>
      </c>
      <c r="FV1943" s="100">
        <v>10</v>
      </c>
      <c r="FW1943" s="100">
        <v>5</v>
      </c>
      <c r="FX1943" s="100">
        <v>2</v>
      </c>
      <c r="FZ1943" s="100">
        <v>1</v>
      </c>
      <c r="GA1943" s="100">
        <v>3</v>
      </c>
      <c r="GB1943" s="100">
        <v>2</v>
      </c>
      <c r="GE1943" s="100">
        <v>11</v>
      </c>
      <c r="GH1943" s="100">
        <v>4</v>
      </c>
      <c r="GJ1943" s="100">
        <v>4</v>
      </c>
      <c r="GL1943" s="100">
        <v>4</v>
      </c>
      <c r="GN1943" s="100">
        <v>2</v>
      </c>
      <c r="GO1943" s="100">
        <v>3</v>
      </c>
      <c r="GP1943" s="100">
        <v>6</v>
      </c>
      <c r="GS1943" s="100">
        <v>1</v>
      </c>
      <c r="GV1943" s="100">
        <v>8</v>
      </c>
      <c r="GW1943" s="100">
        <v>3</v>
      </c>
      <c r="GX1943" s="100">
        <v>6</v>
      </c>
      <c r="GZ1943" s="100">
        <v>3</v>
      </c>
      <c r="HB1943" s="100">
        <v>3</v>
      </c>
      <c r="HC1943" s="100">
        <v>3</v>
      </c>
      <c r="HD1943" s="100">
        <v>9</v>
      </c>
      <c r="HE1943" s="100">
        <v>3</v>
      </c>
      <c r="HF1943" s="100">
        <v>5</v>
      </c>
      <c r="HJ1943" s="100">
        <v>3</v>
      </c>
      <c r="HL1943" s="100">
        <v>3</v>
      </c>
      <c r="HM1943" s="100">
        <v>4</v>
      </c>
      <c r="HP1943" s="100">
        <v>1</v>
      </c>
      <c r="HQ1943" s="100">
        <v>2</v>
      </c>
      <c r="HW1943" s="100">
        <v>2</v>
      </c>
      <c r="ON1943" s="100">
        <f t="shared" si="598"/>
        <v>0</v>
      </c>
    </row>
    <row r="1944" spans="1:404" ht="23.25" customHeight="1">
      <c r="A1944" s="97" t="str">
        <f t="shared" si="599"/>
        <v>002/AGRAVIS-2166-07923-S3-B</v>
      </c>
      <c r="B1944" s="95">
        <v>44460</v>
      </c>
      <c r="C1944" s="97">
        <f t="shared" ca="1" si="592"/>
        <v>-604</v>
      </c>
      <c r="D1944" s="96" t="s">
        <v>1020</v>
      </c>
      <c r="E1944" s="94" t="s">
        <v>424</v>
      </c>
      <c r="F1944" s="98" t="str">
        <f t="shared" si="600"/>
        <v>B</v>
      </c>
      <c r="G1944" s="110">
        <f ca="1">SUMIF($A:E,$A1944,K:K)</f>
        <v>640</v>
      </c>
      <c r="H1944" s="97" t="s">
        <v>820</v>
      </c>
      <c r="I1944" s="98">
        <v>200</v>
      </c>
      <c r="J1944" s="99">
        <f>640-J1942-J1943</f>
        <v>200</v>
      </c>
      <c r="K1944" s="143">
        <f t="shared" si="597"/>
        <v>200</v>
      </c>
      <c r="L1944" s="144">
        <f t="shared" si="601"/>
        <v>0</v>
      </c>
      <c r="M1944" s="275">
        <f t="shared" si="602"/>
        <v>600</v>
      </c>
      <c r="N1944" s="98">
        <v>2</v>
      </c>
      <c r="O1944" s="93">
        <f t="shared" si="603"/>
        <v>100</v>
      </c>
      <c r="EQ1944" s="100">
        <v>6</v>
      </c>
      <c r="ET1944" s="100">
        <v>4</v>
      </c>
      <c r="EU1944" s="100">
        <v>4</v>
      </c>
      <c r="EV1944" s="100">
        <v>6</v>
      </c>
      <c r="EW1944" s="100">
        <v>5</v>
      </c>
      <c r="EX1944" s="100">
        <v>3</v>
      </c>
      <c r="EY1944" s="100">
        <v>6</v>
      </c>
      <c r="FA1944" s="100">
        <v>6</v>
      </c>
      <c r="FB1944" s="100">
        <v>3</v>
      </c>
      <c r="FC1944" s="100">
        <v>6</v>
      </c>
      <c r="FD1944" s="100">
        <v>5</v>
      </c>
      <c r="FE1944" s="100">
        <v>3</v>
      </c>
      <c r="FF1944" s="100">
        <v>4</v>
      </c>
      <c r="FH1944" s="100">
        <v>7</v>
      </c>
      <c r="FJ1944" s="100">
        <v>6</v>
      </c>
      <c r="FK1944" s="100">
        <v>7</v>
      </c>
      <c r="FL1944" s="100">
        <v>6</v>
      </c>
      <c r="FM1944" s="100">
        <v>6</v>
      </c>
      <c r="FO1944" s="100">
        <v>6</v>
      </c>
      <c r="FP1944" s="100">
        <v>5</v>
      </c>
      <c r="FQ1944" s="100">
        <v>6</v>
      </c>
      <c r="FS1944" s="100">
        <v>11</v>
      </c>
      <c r="FT1944" s="100">
        <v>4</v>
      </c>
      <c r="FU1944" s="100">
        <v>7</v>
      </c>
      <c r="FV1944" s="100">
        <v>6</v>
      </c>
      <c r="FW1944" s="100">
        <v>6</v>
      </c>
      <c r="FX1944" s="100">
        <v>6</v>
      </c>
      <c r="GA1944" s="100">
        <v>6</v>
      </c>
      <c r="GB1944" s="100">
        <v>3</v>
      </c>
      <c r="GD1944" s="100">
        <v>3</v>
      </c>
      <c r="GE1944" s="100">
        <v>3</v>
      </c>
      <c r="GG1944" s="100">
        <v>2</v>
      </c>
      <c r="GH1944" s="100">
        <v>5</v>
      </c>
      <c r="GI1944" s="100">
        <v>3</v>
      </c>
      <c r="GK1944" s="100">
        <v>6</v>
      </c>
      <c r="GL1944" s="100">
        <v>4</v>
      </c>
      <c r="GP1944" s="100">
        <v>6</v>
      </c>
      <c r="GQ1944" s="100">
        <v>3</v>
      </c>
      <c r="GR1944" s="100">
        <v>3</v>
      </c>
      <c r="GU1944" s="100">
        <v>2</v>
      </c>
      <c r="HP1944" s="100">
        <v>1</v>
      </c>
      <c r="ON1944" s="100">
        <f t="shared" si="598"/>
        <v>0</v>
      </c>
    </row>
    <row r="1945" spans="1:404" ht="23.25" customHeight="1">
      <c r="A1945" s="97" t="e">
        <f>D1945&amp;#REF!</f>
        <v>#REF!</v>
      </c>
      <c r="B1945" s="95" t="s">
        <v>1221</v>
      </c>
      <c r="C1945" s="97">
        <f t="shared" ca="1" si="592"/>
        <v>-512</v>
      </c>
      <c r="D1945" s="96" t="s">
        <v>1220</v>
      </c>
      <c r="E1945" s="94" t="s">
        <v>424</v>
      </c>
      <c r="F1945" s="98" t="str">
        <f t="shared" si="600"/>
        <v>B</v>
      </c>
      <c r="G1945" s="110">
        <f ca="1">SUMIF($A:E,$A1945,K:K)</f>
        <v>1754</v>
      </c>
      <c r="H1945" s="97" t="s">
        <v>508</v>
      </c>
      <c r="I1945" s="98">
        <v>288</v>
      </c>
      <c r="J1945" s="99">
        <v>288</v>
      </c>
      <c r="K1945" s="143">
        <f t="shared" si="597"/>
        <v>288</v>
      </c>
      <c r="L1945" s="144">
        <f t="shared" si="601"/>
        <v>0</v>
      </c>
      <c r="M1945" s="275">
        <f t="shared" si="602"/>
        <v>864</v>
      </c>
      <c r="N1945" s="98">
        <v>6</v>
      </c>
      <c r="O1945" s="93">
        <f t="shared" si="603"/>
        <v>100</v>
      </c>
      <c r="KO1945" s="100">
        <v>10</v>
      </c>
      <c r="KP1945" s="100">
        <v>11</v>
      </c>
      <c r="KQ1945" s="100">
        <v>14</v>
      </c>
      <c r="KR1945" s="100">
        <v>13</v>
      </c>
      <c r="KU1945" s="100">
        <v>4</v>
      </c>
      <c r="KV1945" s="100">
        <v>19</v>
      </c>
      <c r="KW1945" s="100">
        <v>1</v>
      </c>
      <c r="KX1945" s="100">
        <v>9</v>
      </c>
      <c r="KY1945" s="100">
        <v>10</v>
      </c>
      <c r="KZ1945" s="100">
        <v>30</v>
      </c>
      <c r="LC1945" s="100">
        <v>10</v>
      </c>
      <c r="LE1945" s="100">
        <v>16</v>
      </c>
      <c r="LF1945" s="100">
        <v>11</v>
      </c>
      <c r="LG1945" s="100">
        <v>19</v>
      </c>
      <c r="LI1945" s="100">
        <v>10</v>
      </c>
      <c r="LJ1945" s="100">
        <v>11</v>
      </c>
      <c r="LK1945" s="100">
        <v>9</v>
      </c>
      <c r="LL1945" s="100">
        <v>5</v>
      </c>
      <c r="LM1945" s="100">
        <v>15</v>
      </c>
      <c r="LP1945" s="100">
        <v>10</v>
      </c>
      <c r="LQ1945" s="100">
        <v>11</v>
      </c>
      <c r="LR1945" s="100">
        <v>4</v>
      </c>
      <c r="LS1945" s="100">
        <v>13</v>
      </c>
      <c r="LU1945" s="100">
        <v>13</v>
      </c>
      <c r="LY1945" s="100">
        <v>10</v>
      </c>
      <c r="ON1945" s="100">
        <f t="shared" si="598"/>
        <v>0</v>
      </c>
    </row>
    <row r="1946" spans="1:404" ht="23.25" customHeight="1">
      <c r="A1946" s="97" t="str">
        <f>D1946&amp;E1946</f>
        <v>244/KHBS-2166-07923-03-B</v>
      </c>
      <c r="B1946" s="95">
        <v>44430</v>
      </c>
      <c r="C1946" s="97">
        <f t="shared" ca="1" si="592"/>
        <v>-634</v>
      </c>
      <c r="D1946" s="96" t="s">
        <v>1730</v>
      </c>
      <c r="E1946" s="94" t="s">
        <v>1108</v>
      </c>
      <c r="F1946" s="98" t="str">
        <f t="shared" si="600"/>
        <v>B</v>
      </c>
      <c r="G1946" s="110">
        <f ca="1">SUMIF($A:E,$A1946,K:K)</f>
        <v>1</v>
      </c>
      <c r="H1946" s="97" t="s">
        <v>616</v>
      </c>
      <c r="I1946" s="98">
        <v>1</v>
      </c>
      <c r="J1946" s="99">
        <v>1</v>
      </c>
      <c r="K1946" s="143">
        <f t="shared" si="597"/>
        <v>1</v>
      </c>
      <c r="L1946" s="144">
        <f t="shared" si="601"/>
        <v>0</v>
      </c>
      <c r="M1946" s="275">
        <f t="shared" si="602"/>
        <v>1</v>
      </c>
      <c r="N1946" s="98">
        <v>1</v>
      </c>
      <c r="O1946" s="93">
        <f t="shared" si="603"/>
        <v>100</v>
      </c>
      <c r="HQ1946" s="100">
        <v>1</v>
      </c>
      <c r="ON1946" s="100">
        <f t="shared" si="598"/>
        <v>0</v>
      </c>
    </row>
    <row r="1947" spans="1:404" ht="23.25" customHeight="1">
      <c r="A1947" s="97" t="str">
        <f>D1947&amp;E1947</f>
        <v>232/KHBS-21(002/AGRAVIS-21)66-07923-02-B</v>
      </c>
      <c r="B1947" s="95">
        <v>44413</v>
      </c>
      <c r="C1947" s="97">
        <f t="shared" ca="1" si="592"/>
        <v>-651</v>
      </c>
      <c r="D1947" s="112" t="s">
        <v>1521</v>
      </c>
      <c r="E1947" s="123" t="s">
        <v>1522</v>
      </c>
      <c r="F1947" s="98" t="str">
        <f t="shared" si="600"/>
        <v>B</v>
      </c>
      <c r="G1947" s="110">
        <f ca="1">SUMIF($A:E,$A1947,K:K)</f>
        <v>1</v>
      </c>
      <c r="H1947" s="97" t="s">
        <v>508</v>
      </c>
      <c r="I1947" s="98">
        <v>1</v>
      </c>
      <c r="J1947" s="99">
        <v>1</v>
      </c>
      <c r="K1947" s="143">
        <f t="shared" si="597"/>
        <v>1</v>
      </c>
      <c r="L1947" s="144">
        <f t="shared" si="601"/>
        <v>0</v>
      </c>
      <c r="M1947" s="275">
        <f t="shared" si="602"/>
        <v>1</v>
      </c>
      <c r="N1947" s="98">
        <v>1</v>
      </c>
      <c r="O1947" s="93">
        <f t="shared" si="603"/>
        <v>100</v>
      </c>
      <c r="GW1947" s="100">
        <v>1</v>
      </c>
      <c r="ON1947" s="100">
        <f t="shared" si="598"/>
        <v>0</v>
      </c>
    </row>
    <row r="1948" spans="1:404" ht="23.25" customHeight="1">
      <c r="A1948" s="97" t="str">
        <f>D1948&amp;E1949</f>
        <v>001T/MMAX-2166-07900-S3-B</v>
      </c>
      <c r="B1948" s="95">
        <v>44406</v>
      </c>
      <c r="C1948" s="97">
        <f t="shared" ca="1" si="592"/>
        <v>-658</v>
      </c>
      <c r="D1948" s="96" t="s">
        <v>1179</v>
      </c>
      <c r="E1948" s="94" t="s">
        <v>595</v>
      </c>
      <c r="F1948" s="98" t="str">
        <f t="shared" si="600"/>
        <v>B</v>
      </c>
      <c r="G1948" s="110">
        <f ca="1">SUMIF($A:E,$A1948,K:K)</f>
        <v>240</v>
      </c>
      <c r="H1948" s="97" t="s">
        <v>933</v>
      </c>
      <c r="I1948" s="98">
        <v>240</v>
      </c>
      <c r="J1948" s="99">
        <v>240</v>
      </c>
      <c r="K1948" s="143">
        <f t="shared" si="597"/>
        <v>240</v>
      </c>
      <c r="L1948" s="144">
        <f t="shared" si="601"/>
        <v>0</v>
      </c>
      <c r="M1948" s="275">
        <f t="shared" si="602"/>
        <v>720</v>
      </c>
      <c r="N1948" s="98">
        <v>2</v>
      </c>
      <c r="O1948" s="93">
        <f t="shared" si="603"/>
        <v>100</v>
      </c>
      <c r="FQ1948" s="100">
        <v>15</v>
      </c>
      <c r="FS1948" s="100">
        <v>26</v>
      </c>
      <c r="FT1948" s="100">
        <v>9</v>
      </c>
      <c r="FU1948" s="100">
        <v>18</v>
      </c>
      <c r="FV1948" s="100">
        <v>11</v>
      </c>
      <c r="FW1948" s="100">
        <v>8</v>
      </c>
      <c r="FZ1948" s="100">
        <v>19</v>
      </c>
      <c r="GA1948" s="100">
        <v>10</v>
      </c>
      <c r="GB1948" s="100">
        <v>8</v>
      </c>
      <c r="GE1948" s="100">
        <v>16</v>
      </c>
      <c r="GG1948" s="100">
        <v>5</v>
      </c>
      <c r="GH1948" s="100">
        <v>15</v>
      </c>
      <c r="GJ1948" s="100">
        <v>10</v>
      </c>
      <c r="GK1948" s="100">
        <v>16</v>
      </c>
      <c r="GL1948" s="100">
        <v>6</v>
      </c>
      <c r="GN1948" s="100">
        <v>5</v>
      </c>
      <c r="GP1948" s="100">
        <v>17</v>
      </c>
      <c r="GQ1948" s="100">
        <v>12</v>
      </c>
      <c r="GR1948" s="100">
        <v>6</v>
      </c>
      <c r="GS1948" s="100">
        <v>8</v>
      </c>
      <c r="ON1948" s="100">
        <f t="shared" si="598"/>
        <v>0</v>
      </c>
    </row>
    <row r="1949" spans="1:404" ht="23.25" customHeight="1">
      <c r="A1949" s="97" t="str">
        <f>D1949&amp;E1950</f>
        <v>006/MARSHALLS-2166-07900-S3-B</v>
      </c>
      <c r="B1949" s="95" t="s">
        <v>1244</v>
      </c>
      <c r="C1949" s="97">
        <f t="shared" ca="1" si="592"/>
        <v>-506</v>
      </c>
      <c r="D1949" s="96" t="s">
        <v>1245</v>
      </c>
      <c r="E1949" s="94" t="s">
        <v>595</v>
      </c>
      <c r="F1949" s="98" t="str">
        <f t="shared" si="600"/>
        <v>B</v>
      </c>
      <c r="G1949" s="110">
        <f ca="1">SUMIF($A:E,$A1949,K:K)</f>
        <v>144</v>
      </c>
      <c r="H1949" s="97" t="s">
        <v>508</v>
      </c>
      <c r="I1949" s="98">
        <v>144</v>
      </c>
      <c r="J1949" s="97">
        <v>144</v>
      </c>
      <c r="K1949" s="143">
        <f t="shared" si="597"/>
        <v>144</v>
      </c>
      <c r="L1949" s="144">
        <f t="shared" si="601"/>
        <v>0</v>
      </c>
      <c r="M1949" s="275">
        <f t="shared" si="602"/>
        <v>432</v>
      </c>
      <c r="N1949" s="98">
        <v>2</v>
      </c>
      <c r="O1949" s="93">
        <f t="shared" si="603"/>
        <v>100</v>
      </c>
      <c r="LM1949" s="100">
        <v>12</v>
      </c>
      <c r="LN1949" s="100">
        <v>18</v>
      </c>
      <c r="LP1949" s="100">
        <v>20</v>
      </c>
      <c r="LR1949" s="100">
        <v>9</v>
      </c>
      <c r="LS1949" s="100">
        <v>29</v>
      </c>
      <c r="LW1949" s="100">
        <v>3</v>
      </c>
      <c r="LX1949" s="100">
        <v>6</v>
      </c>
      <c r="LY1949" s="100">
        <v>2</v>
      </c>
      <c r="LZ1949" s="100">
        <v>10</v>
      </c>
      <c r="MA1949" s="100">
        <v>9</v>
      </c>
      <c r="MB1949" s="100">
        <v>20</v>
      </c>
      <c r="MD1949" s="100">
        <v>6</v>
      </c>
      <c r="ON1949" s="100">
        <f t="shared" si="598"/>
        <v>0</v>
      </c>
    </row>
    <row r="1950" spans="1:404" ht="23.25" customHeight="1">
      <c r="A1950" s="97" t="str">
        <f>D1950&amp;E1952</f>
        <v>006/TJ MAXX-2166-07900-S3-B</v>
      </c>
      <c r="B1950" s="95" t="s">
        <v>1244</v>
      </c>
      <c r="C1950" s="97">
        <f t="shared" ca="1" si="592"/>
        <v>-506</v>
      </c>
      <c r="D1950" s="96" t="s">
        <v>1246</v>
      </c>
      <c r="E1950" s="94" t="s">
        <v>595</v>
      </c>
      <c r="F1950" s="98" t="str">
        <f t="shared" si="600"/>
        <v>B</v>
      </c>
      <c r="G1950" s="110">
        <f ca="1">SUMIF($A:E,$A1950,K:K)</f>
        <v>216</v>
      </c>
      <c r="H1950" s="97" t="s">
        <v>508</v>
      </c>
      <c r="I1950" s="98">
        <v>216</v>
      </c>
      <c r="J1950" s="97">
        <v>216</v>
      </c>
      <c r="K1950" s="143">
        <f t="shared" si="597"/>
        <v>216</v>
      </c>
      <c r="L1950" s="144">
        <f t="shared" si="601"/>
        <v>0</v>
      </c>
      <c r="M1950" s="275">
        <f t="shared" si="602"/>
        <v>648</v>
      </c>
      <c r="N1950" s="98">
        <v>2</v>
      </c>
      <c r="O1950" s="93">
        <f t="shared" si="603"/>
        <v>100</v>
      </c>
      <c r="MD1950" s="100">
        <v>13</v>
      </c>
      <c r="ME1950" s="100">
        <v>15</v>
      </c>
      <c r="MG1950" s="100">
        <v>40</v>
      </c>
      <c r="MH1950" s="100">
        <v>20</v>
      </c>
      <c r="MK1950" s="100">
        <v>20</v>
      </c>
      <c r="ML1950" s="100">
        <v>19</v>
      </c>
      <c r="MM1950" s="100">
        <v>21</v>
      </c>
      <c r="MN1950" s="100">
        <v>18</v>
      </c>
      <c r="MO1950" s="100">
        <v>35</v>
      </c>
      <c r="MP1950" s="100">
        <v>2</v>
      </c>
      <c r="MQ1950" s="100">
        <v>13</v>
      </c>
      <c r="ON1950" s="100">
        <f t="shared" si="598"/>
        <v>0</v>
      </c>
    </row>
    <row r="1951" spans="1:404" ht="23.25" customHeight="1">
      <c r="A1951" s="97" t="s">
        <v>2356</v>
      </c>
      <c r="B1951" s="95">
        <v>44578</v>
      </c>
      <c r="C1951" s="97">
        <f t="shared" ca="1" si="592"/>
        <v>-486</v>
      </c>
      <c r="D1951" s="96" t="s">
        <v>1255</v>
      </c>
      <c r="E1951" s="94" t="s">
        <v>595</v>
      </c>
      <c r="F1951" s="98" t="str">
        <f t="shared" si="600"/>
        <v>B</v>
      </c>
      <c r="G1951" s="110">
        <f ca="1">SUMIF($A:E,$A1951,K:K)</f>
        <v>192</v>
      </c>
      <c r="H1951" s="97" t="s">
        <v>508</v>
      </c>
      <c r="I1951" s="98">
        <v>192</v>
      </c>
      <c r="J1951" s="97">
        <v>120</v>
      </c>
      <c r="K1951" s="143">
        <f t="shared" si="597"/>
        <v>120</v>
      </c>
      <c r="L1951" s="144">
        <f t="shared" ref="L1951" si="604">J1951-K1951</f>
        <v>0</v>
      </c>
      <c r="M1951" s="275">
        <f t="shared" si="602"/>
        <v>576</v>
      </c>
      <c r="N1951" s="98">
        <v>1</v>
      </c>
      <c r="O1951" s="93">
        <f t="shared" si="603"/>
        <v>100</v>
      </c>
      <c r="ML1951" s="100">
        <v>9</v>
      </c>
      <c r="MM1951" s="220">
        <v>8</v>
      </c>
      <c r="MN1951" s="100">
        <v>6</v>
      </c>
      <c r="MO1951" s="100">
        <v>6</v>
      </c>
      <c r="MP1951" s="100">
        <v>5</v>
      </c>
      <c r="MQ1951" s="100">
        <v>3</v>
      </c>
      <c r="MR1951" s="100">
        <v>6</v>
      </c>
      <c r="MS1951" s="100">
        <v>6</v>
      </c>
      <c r="MU1951" s="100">
        <f>19+14</f>
        <v>33</v>
      </c>
      <c r="MW1951" s="100">
        <v>11</v>
      </c>
      <c r="MX1951" s="100">
        <v>6</v>
      </c>
      <c r="MY1951" s="100">
        <v>4</v>
      </c>
      <c r="MZ1951" s="100">
        <v>17</v>
      </c>
      <c r="ON1951" s="100">
        <f t="shared" si="598"/>
        <v>0</v>
      </c>
    </row>
    <row r="1952" spans="1:404" ht="23.25" customHeight="1">
      <c r="A1952" s="97" t="str">
        <f>D1952&amp;E1953</f>
        <v>004/HOMESENSE-2166-07900-S3-B</v>
      </c>
      <c r="B1952" s="95">
        <v>44578</v>
      </c>
      <c r="C1952" s="97">
        <f t="shared" ref="C1952:C1983" ca="1" si="605">B1952-TODAY()</f>
        <v>-486</v>
      </c>
      <c r="D1952" s="96" t="s">
        <v>1255</v>
      </c>
      <c r="E1952" s="94" t="s">
        <v>595</v>
      </c>
      <c r="F1952" s="98" t="str">
        <f t="shared" si="600"/>
        <v>B</v>
      </c>
      <c r="G1952" s="110">
        <f ca="1">SUMIF($A:E,$A1952,K:K)</f>
        <v>192</v>
      </c>
      <c r="H1952" s="97" t="s">
        <v>508</v>
      </c>
      <c r="I1952" s="98">
        <v>192</v>
      </c>
      <c r="J1952" s="97">
        <f>192-120</f>
        <v>72</v>
      </c>
      <c r="K1952" s="143">
        <f t="shared" si="597"/>
        <v>72</v>
      </c>
      <c r="L1952" s="144">
        <f t="shared" si="601"/>
        <v>0</v>
      </c>
      <c r="M1952" s="275">
        <f t="shared" si="602"/>
        <v>576</v>
      </c>
      <c r="N1952" s="98">
        <v>2</v>
      </c>
      <c r="O1952" s="93">
        <f t="shared" si="603"/>
        <v>100</v>
      </c>
      <c r="MP1952" s="100">
        <v>7</v>
      </c>
      <c r="MR1952" s="100">
        <v>12</v>
      </c>
      <c r="MS1952" s="100">
        <v>12</v>
      </c>
      <c r="MT1952" s="100">
        <v>6</v>
      </c>
      <c r="MU1952" s="100">
        <v>12</v>
      </c>
      <c r="MW1952" s="100">
        <v>11</v>
      </c>
      <c r="MX1952" s="100">
        <v>3</v>
      </c>
      <c r="MY1952" s="100">
        <v>9</v>
      </c>
      <c r="ON1952" s="100">
        <f t="shared" si="598"/>
        <v>0</v>
      </c>
    </row>
    <row r="1953" spans="1:404" ht="23.25" customHeight="1">
      <c r="A1953" s="97" t="str">
        <f>D1953&amp;E1955</f>
        <v>001/WINNERS-2166-07900-S3-B</v>
      </c>
      <c r="B1953" s="95">
        <v>44529</v>
      </c>
      <c r="C1953" s="97">
        <f t="shared" ca="1" si="605"/>
        <v>-535</v>
      </c>
      <c r="D1953" s="96" t="s">
        <v>1272</v>
      </c>
      <c r="E1953" s="94" t="s">
        <v>595</v>
      </c>
      <c r="F1953" s="98" t="str">
        <f t="shared" si="600"/>
        <v>B</v>
      </c>
      <c r="G1953" s="110">
        <f ca="1">SUMIF($A:E,$A1953,K:K)</f>
        <v>252</v>
      </c>
      <c r="H1953" s="97" t="s">
        <v>933</v>
      </c>
      <c r="I1953" s="98">
        <v>22</v>
      </c>
      <c r="J1953" s="97">
        <v>222</v>
      </c>
      <c r="K1953" s="143">
        <f t="shared" si="597"/>
        <v>222</v>
      </c>
      <c r="L1953" s="144">
        <f t="shared" si="601"/>
        <v>0</v>
      </c>
      <c r="M1953" s="275">
        <f t="shared" si="602"/>
        <v>66</v>
      </c>
      <c r="N1953" s="98">
        <v>2</v>
      </c>
      <c r="O1953" s="93">
        <f t="shared" si="603"/>
        <v>100</v>
      </c>
      <c r="KU1953" s="100">
        <v>13</v>
      </c>
      <c r="KV1953" s="100">
        <v>18</v>
      </c>
      <c r="LB1953" s="100">
        <v>31</v>
      </c>
      <c r="LD1953" s="100">
        <v>9</v>
      </c>
      <c r="LE1953" s="100">
        <v>13</v>
      </c>
      <c r="LF1953" s="100">
        <v>29</v>
      </c>
      <c r="LG1953" s="100">
        <v>35</v>
      </c>
      <c r="LI1953" s="100">
        <v>19</v>
      </c>
      <c r="LJ1953" s="100">
        <v>11</v>
      </c>
      <c r="LK1953" s="100">
        <v>20</v>
      </c>
      <c r="LL1953" s="100">
        <v>24</v>
      </c>
      <c r="ON1953" s="100">
        <f t="shared" si="598"/>
        <v>0</v>
      </c>
    </row>
    <row r="1954" spans="1:404" ht="23.25" customHeight="1">
      <c r="A1954" s="97" t="str">
        <f>D1954&amp;E1956</f>
        <v>001/WINNERS-2166-07900-S3-B</v>
      </c>
      <c r="B1954" s="95">
        <v>44529</v>
      </c>
      <c r="C1954" s="97">
        <f t="shared" ca="1" si="605"/>
        <v>-535</v>
      </c>
      <c r="D1954" s="96" t="s">
        <v>1272</v>
      </c>
      <c r="E1954" s="94" t="s">
        <v>595</v>
      </c>
      <c r="F1954" s="98" t="str">
        <f t="shared" si="600"/>
        <v>B</v>
      </c>
      <c r="G1954" s="110">
        <f ca="1">SUMIF($A:E,$A1954,K:K)</f>
        <v>252</v>
      </c>
      <c r="H1954" s="97" t="s">
        <v>933</v>
      </c>
      <c r="I1954" s="98">
        <v>30</v>
      </c>
      <c r="J1954" s="97">
        <v>30</v>
      </c>
      <c r="K1954" s="143">
        <f t="shared" si="597"/>
        <v>30</v>
      </c>
      <c r="L1954" s="144">
        <f t="shared" si="601"/>
        <v>0</v>
      </c>
      <c r="M1954" s="275">
        <f t="shared" si="602"/>
        <v>90</v>
      </c>
      <c r="N1954" s="98">
        <v>1</v>
      </c>
      <c r="O1954" s="93">
        <f t="shared" si="603"/>
        <v>100</v>
      </c>
      <c r="KY1954" s="100">
        <v>9</v>
      </c>
      <c r="LB1954" s="100">
        <v>20</v>
      </c>
      <c r="LE1954" s="100">
        <v>1</v>
      </c>
      <c r="ON1954" s="100">
        <f t="shared" si="598"/>
        <v>0</v>
      </c>
    </row>
    <row r="1955" spans="1:404" ht="23.25" customHeight="1">
      <c r="A1955" s="97" t="str">
        <f>D1955&amp;E1955</f>
        <v>001/SIERRA-2166-07900-S3-B</v>
      </c>
      <c r="B1955" s="206">
        <v>44523</v>
      </c>
      <c r="C1955" s="97">
        <f t="shared" ca="1" si="605"/>
        <v>-541</v>
      </c>
      <c r="D1955" s="112" t="s">
        <v>1369</v>
      </c>
      <c r="E1955" s="123" t="s">
        <v>595</v>
      </c>
      <c r="F1955" s="98" t="str">
        <f t="shared" si="600"/>
        <v>B</v>
      </c>
      <c r="G1955" s="110">
        <f ca="1">SUMIF($A:E,$A1955,K:K)</f>
        <v>36</v>
      </c>
      <c r="H1955" s="97" t="s">
        <v>508</v>
      </c>
      <c r="I1955" s="120">
        <v>36</v>
      </c>
      <c r="J1955" s="115">
        <v>36</v>
      </c>
      <c r="K1955" s="143">
        <f t="shared" si="597"/>
        <v>36</v>
      </c>
      <c r="L1955" s="144">
        <f t="shared" si="601"/>
        <v>0</v>
      </c>
      <c r="M1955" s="275">
        <f t="shared" si="602"/>
        <v>108</v>
      </c>
      <c r="N1955" s="98">
        <v>2</v>
      </c>
      <c r="O1955" s="93">
        <f t="shared" si="603"/>
        <v>100</v>
      </c>
      <c r="KQ1955" s="100">
        <v>16</v>
      </c>
      <c r="KR1955" s="100">
        <v>16</v>
      </c>
      <c r="KU1955" s="100">
        <v>4</v>
      </c>
      <c r="ON1955" s="100">
        <f t="shared" si="598"/>
        <v>0</v>
      </c>
    </row>
    <row r="1956" spans="1:404" ht="24.75" customHeight="1">
      <c r="A1956" s="97" t="str">
        <f>D1956&amp;E1957</f>
        <v>002/TK MAXX-AUS-2166-07900-S3-A</v>
      </c>
      <c r="B1956" s="95">
        <v>44602</v>
      </c>
      <c r="C1956" s="97">
        <f t="shared" ca="1" si="605"/>
        <v>-462</v>
      </c>
      <c r="D1956" s="112" t="s">
        <v>2200</v>
      </c>
      <c r="E1956" s="123" t="s">
        <v>595</v>
      </c>
      <c r="F1956" s="98" t="str">
        <f t="shared" si="600"/>
        <v>B</v>
      </c>
      <c r="G1956" s="110">
        <f ca="1">SUMIF($A:E,$A1956,K:K)</f>
        <v>60</v>
      </c>
      <c r="H1956" s="97" t="s">
        <v>508</v>
      </c>
      <c r="I1956" s="98">
        <v>60</v>
      </c>
      <c r="J1956" s="115">
        <v>60</v>
      </c>
      <c r="K1956" s="143">
        <f t="shared" si="597"/>
        <v>60</v>
      </c>
      <c r="L1956" s="144">
        <f t="shared" si="601"/>
        <v>0</v>
      </c>
      <c r="M1956" s="275">
        <f t="shared" si="602"/>
        <v>180</v>
      </c>
      <c r="N1956" s="98">
        <v>2</v>
      </c>
      <c r="O1956" s="93">
        <f t="shared" si="603"/>
        <v>100</v>
      </c>
      <c r="MZ1956" s="100">
        <v>7</v>
      </c>
      <c r="NA1956" s="100">
        <v>4</v>
      </c>
      <c r="ND1956" s="100">
        <v>11</v>
      </c>
      <c r="NF1956" s="100">
        <v>11</v>
      </c>
      <c r="NG1956" s="100">
        <v>18</v>
      </c>
      <c r="NK1956" s="100">
        <v>6</v>
      </c>
      <c r="NL1956" s="100">
        <v>3</v>
      </c>
      <c r="ON1956" s="100">
        <f t="shared" si="598"/>
        <v>0</v>
      </c>
    </row>
    <row r="1957" spans="1:404" ht="23.25" customHeight="1">
      <c r="A1957" s="97" t="str">
        <f t="shared" ref="A1957:A1973" si="606">D1957&amp;E1957</f>
        <v>048/VG_SR-21(METRO)66-07900-S3-A</v>
      </c>
      <c r="B1957" s="95">
        <v>44418</v>
      </c>
      <c r="C1957" s="97">
        <f t="shared" ca="1" si="605"/>
        <v>-646</v>
      </c>
      <c r="D1957" s="112" t="s">
        <v>1523</v>
      </c>
      <c r="E1957" s="123" t="s">
        <v>1524</v>
      </c>
      <c r="F1957" s="98" t="str">
        <f t="shared" si="600"/>
        <v>A</v>
      </c>
      <c r="G1957" s="110">
        <f ca="1">SUMIF($A:E,$A1957,K:K)</f>
        <v>1</v>
      </c>
      <c r="H1957" s="112" t="s">
        <v>1525</v>
      </c>
      <c r="I1957" s="98">
        <v>2</v>
      </c>
      <c r="J1957" s="99">
        <v>1</v>
      </c>
      <c r="K1957" s="143">
        <f t="shared" si="597"/>
        <v>1</v>
      </c>
      <c r="L1957" s="144">
        <f t="shared" si="601"/>
        <v>0</v>
      </c>
      <c r="M1957" s="275">
        <f t="shared" si="602"/>
        <v>6</v>
      </c>
      <c r="N1957" s="98">
        <v>2</v>
      </c>
      <c r="O1957" s="93">
        <f t="shared" si="603"/>
        <v>100</v>
      </c>
      <c r="HF1957" s="100">
        <v>1</v>
      </c>
      <c r="ON1957" s="100">
        <f t="shared" si="598"/>
        <v>0</v>
      </c>
    </row>
    <row r="1958" spans="1:404" ht="23.25" customHeight="1">
      <c r="A1958" s="97" t="str">
        <f t="shared" si="606"/>
        <v>001/METRO-VG_SR-2166-07900-S3-A</v>
      </c>
      <c r="B1958" s="95">
        <v>44415</v>
      </c>
      <c r="C1958" s="97">
        <f t="shared" ca="1" si="605"/>
        <v>-649</v>
      </c>
      <c r="D1958" s="112" t="s">
        <v>1526</v>
      </c>
      <c r="E1958" s="123" t="s">
        <v>1524</v>
      </c>
      <c r="F1958" s="98" t="str">
        <f t="shared" si="600"/>
        <v>A</v>
      </c>
      <c r="G1958" s="110">
        <f ca="1">SUMIF($A:E,$A1958,K:K)</f>
        <v>2</v>
      </c>
      <c r="H1958" s="112" t="s">
        <v>1525</v>
      </c>
      <c r="I1958" s="98">
        <v>36</v>
      </c>
      <c r="J1958" s="99">
        <v>2</v>
      </c>
      <c r="K1958" s="143">
        <f t="shared" si="597"/>
        <v>2</v>
      </c>
      <c r="L1958" s="144">
        <f t="shared" si="601"/>
        <v>0</v>
      </c>
      <c r="M1958" s="275">
        <f t="shared" si="602"/>
        <v>108</v>
      </c>
      <c r="N1958" s="98">
        <v>2</v>
      </c>
      <c r="O1958" s="93">
        <f t="shared" si="603"/>
        <v>100</v>
      </c>
      <c r="HB1958" s="100">
        <v>2</v>
      </c>
      <c r="ON1958" s="100">
        <f t="shared" si="598"/>
        <v>0</v>
      </c>
    </row>
    <row r="1959" spans="1:404" ht="23.25" customHeight="1">
      <c r="A1959" s="97" t="str">
        <f t="shared" si="606"/>
        <v>003/MOJAY-2166-07900-S3-01</v>
      </c>
      <c r="B1959" s="95">
        <v>44347</v>
      </c>
      <c r="C1959" s="97">
        <f t="shared" ca="1" si="605"/>
        <v>-717</v>
      </c>
      <c r="D1959" s="145" t="s">
        <v>748</v>
      </c>
      <c r="E1959" s="253" t="s">
        <v>743</v>
      </c>
      <c r="F1959" s="98" t="str">
        <f t="shared" ref="F1959:F1990" si="607">MID(E1959,13,2)</f>
        <v>01</v>
      </c>
      <c r="G1959" s="110">
        <f ca="1">SUMIF($A:E,$A1959,K:K)</f>
        <v>36</v>
      </c>
      <c r="H1959" s="97" t="s">
        <v>584</v>
      </c>
      <c r="I1959" s="98">
        <v>36</v>
      </c>
      <c r="J1959" s="146">
        <v>36</v>
      </c>
      <c r="K1959" s="143">
        <f t="shared" si="597"/>
        <v>36</v>
      </c>
      <c r="L1959" s="144">
        <f t="shared" si="601"/>
        <v>0</v>
      </c>
      <c r="M1959" s="275">
        <f t="shared" si="602"/>
        <v>108</v>
      </c>
      <c r="N1959" s="98">
        <v>2</v>
      </c>
      <c r="O1959" s="93">
        <f t="shared" si="603"/>
        <v>100</v>
      </c>
      <c r="DD1959" s="101">
        <v>1</v>
      </c>
      <c r="DE1959" s="101">
        <v>3</v>
      </c>
      <c r="DF1959" s="101">
        <v>6</v>
      </c>
      <c r="DG1959" s="101">
        <v>2</v>
      </c>
      <c r="DK1959" s="101">
        <v>6</v>
      </c>
      <c r="DL1959" s="101">
        <v>7</v>
      </c>
      <c r="DM1959" s="101">
        <v>6</v>
      </c>
      <c r="EF1959" s="100">
        <v>4</v>
      </c>
      <c r="EI1959" s="100">
        <v>1</v>
      </c>
      <c r="ON1959" s="100">
        <f t="shared" si="598"/>
        <v>0</v>
      </c>
    </row>
    <row r="1960" spans="1:404" ht="23.25" customHeight="1">
      <c r="A1960" s="97" t="str">
        <f t="shared" si="606"/>
        <v>001/MOJAY-2166-07900-S3-01</v>
      </c>
      <c r="B1960" s="95">
        <v>44318</v>
      </c>
      <c r="C1960" s="97">
        <f t="shared" ca="1" si="605"/>
        <v>-746</v>
      </c>
      <c r="D1960" s="145" t="s">
        <v>742</v>
      </c>
      <c r="E1960" s="253" t="s">
        <v>743</v>
      </c>
      <c r="F1960" s="98" t="str">
        <f t="shared" si="607"/>
        <v>01</v>
      </c>
      <c r="G1960" s="110">
        <f ca="1">SUMIF($A:E,$A1960,K:K)</f>
        <v>36</v>
      </c>
      <c r="H1960" s="97" t="s">
        <v>512</v>
      </c>
      <c r="I1960" s="98">
        <v>36</v>
      </c>
      <c r="J1960" s="146">
        <v>36</v>
      </c>
      <c r="K1960" s="143">
        <f t="shared" si="597"/>
        <v>36</v>
      </c>
      <c r="L1960" s="144">
        <f t="shared" si="601"/>
        <v>0</v>
      </c>
      <c r="M1960" s="275">
        <f t="shared" si="602"/>
        <v>108</v>
      </c>
      <c r="N1960" s="98">
        <v>2</v>
      </c>
      <c r="O1960" s="93">
        <f t="shared" si="603"/>
        <v>100</v>
      </c>
      <c r="CJ1960" s="101">
        <v>5</v>
      </c>
      <c r="CK1960" s="101">
        <v>3</v>
      </c>
      <c r="CL1960" s="101">
        <v>1</v>
      </c>
      <c r="CM1960" s="101">
        <v>9</v>
      </c>
      <c r="CN1960" s="101">
        <v>5</v>
      </c>
      <c r="CP1960" s="101">
        <v>3</v>
      </c>
      <c r="CQ1960" s="101">
        <v>3</v>
      </c>
      <c r="CR1960" s="101">
        <v>3</v>
      </c>
      <c r="CS1960" s="101">
        <v>4</v>
      </c>
      <c r="ON1960" s="100">
        <f t="shared" si="598"/>
        <v>0</v>
      </c>
    </row>
    <row r="1961" spans="1:404" ht="23.25" customHeight="1">
      <c r="A1961" s="97" t="str">
        <f t="shared" si="606"/>
        <v>002/MOJAY-2166-07900-S3-01</v>
      </c>
      <c r="B1961" s="95">
        <v>44347</v>
      </c>
      <c r="C1961" s="97">
        <f t="shared" ca="1" si="605"/>
        <v>-717</v>
      </c>
      <c r="D1961" s="145" t="s">
        <v>735</v>
      </c>
      <c r="E1961" s="253" t="s">
        <v>743</v>
      </c>
      <c r="F1961" s="98" t="str">
        <f t="shared" si="607"/>
        <v>01</v>
      </c>
      <c r="G1961" s="110">
        <f ca="1">SUMIF($A:E,$A1961,K:K)</f>
        <v>36</v>
      </c>
      <c r="H1961" s="97" t="s">
        <v>584</v>
      </c>
      <c r="I1961" s="98">
        <v>36</v>
      </c>
      <c r="J1961" s="146">
        <v>36</v>
      </c>
      <c r="K1961" s="143">
        <f t="shared" si="597"/>
        <v>36</v>
      </c>
      <c r="L1961" s="144">
        <f t="shared" si="601"/>
        <v>0</v>
      </c>
      <c r="M1961" s="275">
        <f t="shared" si="602"/>
        <v>108</v>
      </c>
      <c r="N1961" s="98">
        <v>2</v>
      </c>
      <c r="O1961" s="93">
        <f t="shared" si="603"/>
        <v>100</v>
      </c>
      <c r="CU1961" s="101">
        <v>6</v>
      </c>
      <c r="CX1961" s="101">
        <v>10</v>
      </c>
      <c r="CZ1961" s="101">
        <v>6</v>
      </c>
      <c r="DA1961" s="101">
        <v>6</v>
      </c>
      <c r="DB1961" s="101">
        <v>6</v>
      </c>
      <c r="DD1961" s="101">
        <v>2</v>
      </c>
      <c r="ON1961" s="100">
        <f t="shared" si="598"/>
        <v>0</v>
      </c>
    </row>
    <row r="1962" spans="1:404" ht="23.25" customHeight="1">
      <c r="A1962" s="97" t="str">
        <f t="shared" si="606"/>
        <v>027/METRO-VG-2166-07900-03-A</v>
      </c>
      <c r="B1962" s="95">
        <v>44510</v>
      </c>
      <c r="C1962" s="97">
        <f t="shared" ca="1" si="605"/>
        <v>-554</v>
      </c>
      <c r="D1962" s="112" t="s">
        <v>1742</v>
      </c>
      <c r="E1962" s="279" t="s">
        <v>1745</v>
      </c>
      <c r="F1962" s="98" t="str">
        <f t="shared" si="607"/>
        <v>A</v>
      </c>
      <c r="G1962" s="110">
        <f ca="1">SUMIF($A:E,$A1962,K:K)</f>
        <v>192</v>
      </c>
      <c r="H1962" s="97" t="s">
        <v>1878</v>
      </c>
      <c r="I1962" s="98">
        <v>192</v>
      </c>
      <c r="J1962" s="115">
        <v>192</v>
      </c>
      <c r="K1962" s="143">
        <f t="shared" si="597"/>
        <v>192</v>
      </c>
      <c r="L1962" s="144">
        <f t="shared" si="601"/>
        <v>0</v>
      </c>
      <c r="M1962" s="275">
        <f t="shared" si="602"/>
        <v>192</v>
      </c>
      <c r="N1962" s="98">
        <v>2</v>
      </c>
      <c r="O1962" s="93">
        <f t="shared" si="603"/>
        <v>100</v>
      </c>
      <c r="KC1962" s="100">
        <v>10</v>
      </c>
      <c r="KF1962" s="100">
        <v>67</v>
      </c>
      <c r="KG1962" s="100">
        <v>14</v>
      </c>
      <c r="KH1962" s="100">
        <v>15</v>
      </c>
      <c r="KI1962" s="100">
        <v>19</v>
      </c>
      <c r="KJ1962" s="100">
        <v>9</v>
      </c>
      <c r="KN1962" s="100">
        <v>10</v>
      </c>
      <c r="KO1962" s="100">
        <v>17</v>
      </c>
      <c r="KP1962" s="100">
        <v>20</v>
      </c>
      <c r="KQ1962" s="100">
        <v>11</v>
      </c>
      <c r="ON1962" s="100">
        <f t="shared" si="598"/>
        <v>0</v>
      </c>
    </row>
    <row r="1963" spans="1:404" ht="23.25" customHeight="1">
      <c r="A1963" s="97" t="str">
        <f t="shared" si="606"/>
        <v>003/ANNA-VG-21(đ1)66-07900-02-A</v>
      </c>
      <c r="B1963" s="95">
        <v>44545</v>
      </c>
      <c r="C1963" s="97">
        <f t="shared" ca="1" si="605"/>
        <v>-519</v>
      </c>
      <c r="D1963" s="319" t="s">
        <v>1622</v>
      </c>
      <c r="E1963" s="279" t="s">
        <v>1626</v>
      </c>
      <c r="F1963" s="98" t="str">
        <f t="shared" si="607"/>
        <v>A</v>
      </c>
      <c r="G1963" s="110">
        <f ca="1">SUMIF($A:E,$A1963,K:K)</f>
        <v>96</v>
      </c>
      <c r="H1963" s="112" t="s">
        <v>990</v>
      </c>
      <c r="I1963" s="98">
        <v>96</v>
      </c>
      <c r="J1963" s="115">
        <v>96</v>
      </c>
      <c r="K1963" s="143">
        <f t="shared" si="597"/>
        <v>96</v>
      </c>
      <c r="L1963" s="144">
        <f t="shared" si="601"/>
        <v>0</v>
      </c>
      <c r="M1963" s="275">
        <f t="shared" si="602"/>
        <v>96</v>
      </c>
      <c r="N1963" s="98">
        <v>2</v>
      </c>
      <c r="O1963" s="93">
        <f>K1963/J1963*100</f>
        <v>100</v>
      </c>
      <c r="LT1963" s="100">
        <v>50</v>
      </c>
      <c r="LW1963" s="100">
        <v>20</v>
      </c>
      <c r="LX1963" s="100">
        <v>10</v>
      </c>
      <c r="LY1963" s="100">
        <v>16</v>
      </c>
      <c r="ON1963" s="100">
        <f t="shared" si="598"/>
        <v>0</v>
      </c>
    </row>
    <row r="1964" spans="1:404" ht="23.25" customHeight="1">
      <c r="A1964" s="97" t="str">
        <f t="shared" si="606"/>
        <v>027/METRO-VG-2166-07900-02-A</v>
      </c>
      <c r="B1964" s="95">
        <v>44510</v>
      </c>
      <c r="C1964" s="97">
        <f t="shared" ca="1" si="605"/>
        <v>-554</v>
      </c>
      <c r="D1964" s="112" t="s">
        <v>1742</v>
      </c>
      <c r="E1964" s="279" t="s">
        <v>1626</v>
      </c>
      <c r="F1964" s="98" t="str">
        <f t="shared" si="607"/>
        <v>A</v>
      </c>
      <c r="G1964" s="110">
        <f ca="1">SUMIF($A:E,$A1964,K:K)</f>
        <v>192</v>
      </c>
      <c r="H1964" s="97" t="s">
        <v>1878</v>
      </c>
      <c r="I1964" s="98">
        <v>192</v>
      </c>
      <c r="J1964" s="115">
        <v>192</v>
      </c>
      <c r="K1964" s="143">
        <f t="shared" si="597"/>
        <v>192</v>
      </c>
      <c r="L1964" s="144">
        <f t="shared" si="601"/>
        <v>0</v>
      </c>
      <c r="M1964" s="275">
        <f t="shared" si="602"/>
        <v>192</v>
      </c>
      <c r="N1964" s="98">
        <v>2</v>
      </c>
      <c r="O1964" s="93">
        <f t="shared" si="603"/>
        <v>100</v>
      </c>
      <c r="KC1964" s="100">
        <v>10</v>
      </c>
      <c r="KF1964" s="100">
        <v>67</v>
      </c>
      <c r="KG1964" s="100">
        <v>14</v>
      </c>
      <c r="KH1964" s="100">
        <v>15</v>
      </c>
      <c r="KI1964" s="100">
        <v>19</v>
      </c>
      <c r="KJ1964" s="100">
        <v>9</v>
      </c>
      <c r="KN1964" s="100">
        <v>10</v>
      </c>
      <c r="KO1964" s="100">
        <v>17</v>
      </c>
      <c r="KP1964" s="100">
        <v>20</v>
      </c>
      <c r="KQ1964" s="100">
        <v>11</v>
      </c>
      <c r="ON1964" s="100">
        <f t="shared" si="598"/>
        <v>0</v>
      </c>
    </row>
    <row r="1965" spans="1:404" ht="23.25" customHeight="1">
      <c r="A1965" s="97" t="str">
        <f t="shared" si="606"/>
        <v>027/METRO-VG-2166-07900-01-A</v>
      </c>
      <c r="B1965" s="95">
        <v>44510</v>
      </c>
      <c r="C1965" s="97">
        <f t="shared" ca="1" si="605"/>
        <v>-554</v>
      </c>
      <c r="D1965" s="96" t="s">
        <v>1742</v>
      </c>
      <c r="E1965" s="280" t="s">
        <v>1744</v>
      </c>
      <c r="F1965" s="98" t="str">
        <f t="shared" si="607"/>
        <v>A</v>
      </c>
      <c r="G1965" s="110">
        <f ca="1">SUMIF($A:E,$A1965,K:K)</f>
        <v>192</v>
      </c>
      <c r="H1965" s="97" t="s">
        <v>1743</v>
      </c>
      <c r="I1965" s="98">
        <v>192</v>
      </c>
      <c r="J1965" s="99">
        <v>192</v>
      </c>
      <c r="K1965" s="143">
        <f t="shared" si="597"/>
        <v>192</v>
      </c>
      <c r="L1965" s="144">
        <f t="shared" si="601"/>
        <v>0</v>
      </c>
      <c r="M1965" s="275">
        <f t="shared" si="602"/>
        <v>192</v>
      </c>
      <c r="N1965" s="98">
        <v>2</v>
      </c>
      <c r="O1965" s="93">
        <f t="shared" si="603"/>
        <v>100</v>
      </c>
      <c r="KC1965" s="100">
        <v>10</v>
      </c>
      <c r="KF1965" s="100">
        <v>67</v>
      </c>
      <c r="KG1965" s="100">
        <v>14</v>
      </c>
      <c r="KH1965" s="100">
        <v>15</v>
      </c>
      <c r="KI1965" s="100">
        <v>19</v>
      </c>
      <c r="KJ1965" s="100">
        <v>9</v>
      </c>
      <c r="KN1965" s="100">
        <v>10</v>
      </c>
      <c r="KO1965" s="100">
        <v>17</v>
      </c>
      <c r="KP1965" s="100">
        <v>20</v>
      </c>
      <c r="KQ1965" s="100">
        <v>11</v>
      </c>
      <c r="ON1965" s="100">
        <f t="shared" si="598"/>
        <v>0</v>
      </c>
    </row>
    <row r="1966" spans="1:404" ht="23.25" customHeight="1">
      <c r="A1966" s="97" t="str">
        <f t="shared" si="606"/>
        <v>001/ANNA-2166-07800-S3-B</v>
      </c>
      <c r="B1966" s="95">
        <v>44395</v>
      </c>
      <c r="C1966" s="97">
        <f t="shared" ca="1" si="605"/>
        <v>-669</v>
      </c>
      <c r="D1966" s="159" t="s">
        <v>862</v>
      </c>
      <c r="E1966" s="123" t="s">
        <v>867</v>
      </c>
      <c r="F1966" s="98" t="str">
        <f t="shared" si="607"/>
        <v>B</v>
      </c>
      <c r="G1966" s="110">
        <f ca="1">SUMIF($A:E,$A1966,K:K)</f>
        <v>80</v>
      </c>
      <c r="H1966" s="97" t="s">
        <v>882</v>
      </c>
      <c r="I1966" s="98">
        <v>80</v>
      </c>
      <c r="J1966" s="115">
        <v>80</v>
      </c>
      <c r="K1966" s="143">
        <f t="shared" si="597"/>
        <v>80</v>
      </c>
      <c r="L1966" s="144">
        <f t="shared" si="601"/>
        <v>0</v>
      </c>
      <c r="M1966" s="275">
        <f t="shared" si="602"/>
        <v>240</v>
      </c>
      <c r="N1966" s="98">
        <v>3</v>
      </c>
      <c r="O1966" s="93">
        <f t="shared" si="603"/>
        <v>100</v>
      </c>
      <c r="FC1966" s="100">
        <v>5</v>
      </c>
      <c r="FD1966" s="100">
        <v>9</v>
      </c>
      <c r="FE1966" s="100">
        <v>4</v>
      </c>
      <c r="FH1966" s="100">
        <v>6</v>
      </c>
      <c r="FI1966" s="100">
        <v>4</v>
      </c>
      <c r="FJ1966" s="100">
        <v>1</v>
      </c>
      <c r="FK1966" s="100">
        <v>7</v>
      </c>
      <c r="FL1966" s="100">
        <v>6</v>
      </c>
      <c r="FO1966" s="100">
        <v>10</v>
      </c>
      <c r="FP1966" s="100">
        <v>11</v>
      </c>
      <c r="FQ1966" s="100">
        <v>1</v>
      </c>
      <c r="FR1966" s="100">
        <v>5</v>
      </c>
      <c r="FT1966" s="100">
        <v>10</v>
      </c>
      <c r="FZ1966" s="100">
        <v>1</v>
      </c>
      <c r="ON1966" s="100">
        <f t="shared" si="598"/>
        <v>0</v>
      </c>
    </row>
    <row r="1967" spans="1:404" ht="23.25" customHeight="1">
      <c r="A1967" s="97" t="str">
        <f t="shared" si="606"/>
        <v>031/VG_SR-21(ASIMA)66-07800-S3-B</v>
      </c>
      <c r="B1967" s="95">
        <v>44366</v>
      </c>
      <c r="C1967" s="97">
        <f t="shared" ca="1" si="605"/>
        <v>-698</v>
      </c>
      <c r="D1967" s="96" t="s">
        <v>1116</v>
      </c>
      <c r="E1967" s="123" t="s">
        <v>867</v>
      </c>
      <c r="F1967" s="98" t="str">
        <f t="shared" si="607"/>
        <v>B</v>
      </c>
      <c r="G1967" s="110">
        <f ca="1">SUMIF($A:E,$A1967,K:K)</f>
        <v>1</v>
      </c>
      <c r="H1967" s="97" t="s">
        <v>820</v>
      </c>
      <c r="I1967" s="98">
        <v>1</v>
      </c>
      <c r="J1967" s="99">
        <v>1</v>
      </c>
      <c r="K1967" s="143">
        <f t="shared" si="597"/>
        <v>1</v>
      </c>
      <c r="L1967" s="144">
        <f t="shared" si="601"/>
        <v>0</v>
      </c>
      <c r="M1967" s="275">
        <f t="shared" si="602"/>
        <v>3</v>
      </c>
      <c r="N1967" s="98">
        <v>3</v>
      </c>
      <c r="O1967" s="93">
        <f t="shared" si="603"/>
        <v>100</v>
      </c>
      <c r="FE1967" s="100">
        <v>1</v>
      </c>
      <c r="ON1967" s="100">
        <f t="shared" si="598"/>
        <v>0</v>
      </c>
    </row>
    <row r="1968" spans="1:404" ht="23.25" customHeight="1">
      <c r="A1968" s="97" t="str">
        <f t="shared" si="606"/>
        <v>001/ANNA-2166-07800-S3-A</v>
      </c>
      <c r="B1968" s="95">
        <v>44395</v>
      </c>
      <c r="C1968" s="97">
        <f t="shared" ca="1" si="605"/>
        <v>-669</v>
      </c>
      <c r="D1968" s="159" t="s">
        <v>862</v>
      </c>
      <c r="E1968" s="123" t="s">
        <v>866</v>
      </c>
      <c r="F1968" s="98" t="str">
        <f t="shared" si="607"/>
        <v>A</v>
      </c>
      <c r="G1968" s="110">
        <f ca="1">SUMIF($A:E,$A1968,K:K)</f>
        <v>160</v>
      </c>
      <c r="H1968" s="97" t="s">
        <v>882</v>
      </c>
      <c r="I1968" s="98">
        <v>160</v>
      </c>
      <c r="J1968" s="115">
        <v>160</v>
      </c>
      <c r="K1968" s="143">
        <f t="shared" si="597"/>
        <v>160</v>
      </c>
      <c r="L1968" s="144">
        <f t="shared" si="601"/>
        <v>0</v>
      </c>
      <c r="M1968" s="275">
        <f t="shared" si="602"/>
        <v>480</v>
      </c>
      <c r="N1968" s="98">
        <v>3</v>
      </c>
      <c r="O1968" s="93">
        <f t="shared" ref="O1968:O1991" si="608">K1968/J1968*100</f>
        <v>100</v>
      </c>
      <c r="DP1968" s="101">
        <v>5</v>
      </c>
      <c r="DR1968" s="101">
        <v>10</v>
      </c>
      <c r="DS1968" s="100">
        <v>5</v>
      </c>
      <c r="DT1968" s="100">
        <v>5</v>
      </c>
      <c r="DU1968" s="100">
        <v>5</v>
      </c>
      <c r="DV1968" s="100">
        <v>5</v>
      </c>
      <c r="DW1968" s="100">
        <v>5</v>
      </c>
      <c r="DZ1968" s="100">
        <v>9</v>
      </c>
      <c r="EA1968" s="100">
        <v>5</v>
      </c>
      <c r="EC1968" s="100">
        <v>3</v>
      </c>
      <c r="ED1968" s="100">
        <v>7</v>
      </c>
      <c r="EF1968" s="100">
        <v>5</v>
      </c>
      <c r="EG1968" s="100">
        <v>5</v>
      </c>
      <c r="EH1968" s="100">
        <v>7</v>
      </c>
      <c r="EI1968" s="100">
        <v>5</v>
      </c>
      <c r="EJ1968" s="100">
        <v>5</v>
      </c>
      <c r="EK1968" s="100">
        <v>5</v>
      </c>
      <c r="EL1968" s="100">
        <v>5</v>
      </c>
      <c r="EM1968" s="100">
        <v>5</v>
      </c>
      <c r="EN1968" s="100">
        <v>5</v>
      </c>
      <c r="EO1968" s="100">
        <v>5</v>
      </c>
      <c r="EP1968" s="100">
        <v>5</v>
      </c>
      <c r="EQ1968" s="100">
        <v>3</v>
      </c>
      <c r="ER1968" s="100">
        <v>5</v>
      </c>
      <c r="ET1968" s="100">
        <v>4</v>
      </c>
      <c r="EU1968" s="100">
        <v>7</v>
      </c>
      <c r="EV1968" s="100">
        <v>4</v>
      </c>
      <c r="EX1968" s="100">
        <v>7</v>
      </c>
      <c r="EY1968" s="100">
        <v>8</v>
      </c>
      <c r="FF1968" s="100">
        <v>1</v>
      </c>
      <c r="ON1968" s="100">
        <f t="shared" si="598"/>
        <v>0</v>
      </c>
    </row>
    <row r="1969" spans="1:404" ht="23.25" customHeight="1">
      <c r="A1969" s="97" t="str">
        <f t="shared" si="606"/>
        <v>003/ANNA-VG-21(đ5)66-07800-03-A</v>
      </c>
      <c r="B1969" s="95">
        <v>44600</v>
      </c>
      <c r="C1969" s="97">
        <f t="shared" ca="1" si="605"/>
        <v>-464</v>
      </c>
      <c r="D1969" s="112" t="s">
        <v>1664</v>
      </c>
      <c r="E1969" s="279" t="s">
        <v>1665</v>
      </c>
      <c r="F1969" s="98" t="str">
        <f t="shared" si="607"/>
        <v>A</v>
      </c>
      <c r="G1969" s="110">
        <f ca="1">SUMIF($A:E,$A1969,K:K)</f>
        <v>504</v>
      </c>
      <c r="H1969" s="112" t="s">
        <v>990</v>
      </c>
      <c r="I1969" s="98">
        <v>432</v>
      </c>
      <c r="J1969" s="115">
        <v>432</v>
      </c>
      <c r="K1969" s="143">
        <f t="shared" si="597"/>
        <v>504</v>
      </c>
      <c r="L1969" s="144">
        <f t="shared" si="601"/>
        <v>-72</v>
      </c>
      <c r="M1969" s="275">
        <f t="shared" si="602"/>
        <v>432</v>
      </c>
      <c r="N1969" s="98">
        <v>6</v>
      </c>
      <c r="O1969" s="93">
        <f t="shared" si="608"/>
        <v>116.66666666666667</v>
      </c>
      <c r="MO1969" s="100">
        <v>13</v>
      </c>
      <c r="MP1969" s="100">
        <v>2</v>
      </c>
      <c r="MQ1969" s="100">
        <v>30</v>
      </c>
      <c r="MR1969" s="100">
        <v>15</v>
      </c>
      <c r="MS1969" s="100">
        <v>41</v>
      </c>
      <c r="MT1969" s="100">
        <v>15</v>
      </c>
      <c r="MU1969" s="100">
        <v>48</v>
      </c>
      <c r="MW1969" s="100">
        <v>15</v>
      </c>
      <c r="MY1969" s="100">
        <v>17</v>
      </c>
      <c r="MZ1969" s="100">
        <v>29</v>
      </c>
      <c r="NE1969" s="100">
        <v>22</v>
      </c>
      <c r="NG1969" s="100">
        <v>35</v>
      </c>
      <c r="NI1969" s="100">
        <v>38</v>
      </c>
      <c r="NL1969" s="100">
        <v>40</v>
      </c>
      <c r="NS1969" s="100">
        <v>29</v>
      </c>
      <c r="NU1969" s="100">
        <v>22</v>
      </c>
      <c r="NY1969" s="100">
        <v>21</v>
      </c>
      <c r="ON1969" s="100">
        <f t="shared" si="598"/>
        <v>72</v>
      </c>
    </row>
    <row r="1970" spans="1:404" ht="23.25" customHeight="1">
      <c r="A1970" s="97" t="str">
        <f t="shared" si="606"/>
        <v>003/ANNA-VG-21(đ4)66-07800-02-A</v>
      </c>
      <c r="B1970" s="95">
        <v>44579</v>
      </c>
      <c r="C1970" s="97">
        <f t="shared" ca="1" si="605"/>
        <v>-485</v>
      </c>
      <c r="D1970" s="112" t="s">
        <v>1652</v>
      </c>
      <c r="E1970" s="279" t="s">
        <v>1657</v>
      </c>
      <c r="F1970" s="98" t="str">
        <f t="shared" si="607"/>
        <v>A</v>
      </c>
      <c r="G1970" s="110">
        <f ca="1">SUMIF($A:E,$A1970,K:K)</f>
        <v>144</v>
      </c>
      <c r="H1970" s="112" t="s">
        <v>990</v>
      </c>
      <c r="I1970" s="98">
        <v>144</v>
      </c>
      <c r="J1970" s="115">
        <v>144</v>
      </c>
      <c r="K1970" s="143">
        <f t="shared" si="597"/>
        <v>144</v>
      </c>
      <c r="L1970" s="144">
        <f t="shared" si="601"/>
        <v>0</v>
      </c>
      <c r="M1970" s="275">
        <f t="shared" si="602"/>
        <v>144</v>
      </c>
      <c r="N1970" s="98">
        <v>6</v>
      </c>
      <c r="O1970" s="93">
        <f t="shared" si="608"/>
        <v>100</v>
      </c>
      <c r="MN1970" s="100">
        <v>6</v>
      </c>
      <c r="MO1970" s="100">
        <v>10</v>
      </c>
      <c r="MP1970" s="100">
        <v>34</v>
      </c>
      <c r="MQ1970" s="100">
        <v>8</v>
      </c>
      <c r="MR1970" s="100">
        <v>10</v>
      </c>
      <c r="MS1970" s="100">
        <v>40</v>
      </c>
      <c r="MT1970" s="100">
        <v>9</v>
      </c>
      <c r="MU1970" s="100">
        <v>27</v>
      </c>
      <c r="ON1970" s="100">
        <f t="shared" si="598"/>
        <v>0</v>
      </c>
    </row>
    <row r="1971" spans="1:404" ht="23.25" customHeight="1">
      <c r="A1971" s="97" t="str">
        <f t="shared" si="606"/>
        <v>233/KHBS-21(001/ANNA-21)66-07800-01-B</v>
      </c>
      <c r="B1971" s="95">
        <v>44416</v>
      </c>
      <c r="C1971" s="97">
        <f t="shared" ca="1" si="605"/>
        <v>-648</v>
      </c>
      <c r="D1971" s="96" t="s">
        <v>1533</v>
      </c>
      <c r="E1971" s="94" t="s">
        <v>1534</v>
      </c>
      <c r="F1971" s="98" t="str">
        <f t="shared" si="607"/>
        <v>B</v>
      </c>
      <c r="G1971" s="110">
        <f ca="1">SUMIF($A:E,$A1971,K:K)</f>
        <v>1</v>
      </c>
      <c r="H1971" s="97" t="s">
        <v>508</v>
      </c>
      <c r="I1971" s="98">
        <v>1</v>
      </c>
      <c r="J1971" s="99">
        <v>1</v>
      </c>
      <c r="K1971" s="143">
        <f t="shared" si="597"/>
        <v>1</v>
      </c>
      <c r="L1971" s="144">
        <f t="shared" si="601"/>
        <v>0</v>
      </c>
      <c r="M1971" s="275">
        <f t="shared" si="602"/>
        <v>1</v>
      </c>
      <c r="N1971" s="98">
        <v>3</v>
      </c>
      <c r="O1971" s="93">
        <f t="shared" si="608"/>
        <v>100</v>
      </c>
      <c r="GX1971" s="100">
        <v>1</v>
      </c>
      <c r="ON1971" s="100">
        <f t="shared" si="598"/>
        <v>0</v>
      </c>
    </row>
    <row r="1972" spans="1:404" ht="23.25" customHeight="1">
      <c r="A1972" s="97" t="str">
        <f t="shared" si="606"/>
        <v>003/ANNA-VG-21(đ4)66-07800-01-A</v>
      </c>
      <c r="B1972" s="95">
        <v>44579</v>
      </c>
      <c r="C1972" s="97">
        <f t="shared" ca="1" si="605"/>
        <v>-485</v>
      </c>
      <c r="D1972" s="112" t="s">
        <v>1652</v>
      </c>
      <c r="E1972" s="279" t="s">
        <v>1015</v>
      </c>
      <c r="F1972" s="98" t="str">
        <f t="shared" si="607"/>
        <v>A</v>
      </c>
      <c r="G1972" s="110">
        <f ca="1">SUMIF($A:E,$A1972,K:K)</f>
        <v>80</v>
      </c>
      <c r="H1972" s="112" t="s">
        <v>990</v>
      </c>
      <c r="I1972" s="98">
        <v>80</v>
      </c>
      <c r="J1972" s="115">
        <v>80</v>
      </c>
      <c r="K1972" s="143">
        <f t="shared" si="597"/>
        <v>80</v>
      </c>
      <c r="L1972" s="144">
        <f t="shared" si="601"/>
        <v>0</v>
      </c>
      <c r="M1972" s="275">
        <f t="shared" si="602"/>
        <v>80</v>
      </c>
      <c r="N1972" s="98">
        <v>6</v>
      </c>
      <c r="O1972" s="93">
        <f>K1972/J1972*100</f>
        <v>100</v>
      </c>
      <c r="MN1972" s="100">
        <v>2</v>
      </c>
      <c r="MO1972" s="100">
        <v>5</v>
      </c>
      <c r="MP1972" s="100">
        <v>18</v>
      </c>
      <c r="MQ1972" s="100">
        <v>9</v>
      </c>
      <c r="MR1972" s="100">
        <v>5</v>
      </c>
      <c r="MS1972" s="100">
        <v>16</v>
      </c>
      <c r="MT1972" s="100">
        <v>5</v>
      </c>
      <c r="MU1972" s="100">
        <v>14</v>
      </c>
      <c r="MW1972" s="100">
        <v>3</v>
      </c>
      <c r="MY1972" s="100">
        <v>3</v>
      </c>
      <c r="ON1972" s="100">
        <f t="shared" si="598"/>
        <v>0</v>
      </c>
    </row>
    <row r="1973" spans="1:404" ht="23.25" customHeight="1">
      <c r="A1973" s="97" t="str">
        <f t="shared" si="606"/>
        <v>003/ANNA-VG-21(đ1)66-07600-S3-A</v>
      </c>
      <c r="B1973" s="95">
        <v>44547</v>
      </c>
      <c r="C1973" s="97">
        <f t="shared" ca="1" si="605"/>
        <v>-517</v>
      </c>
      <c r="D1973" s="319" t="s">
        <v>1622</v>
      </c>
      <c r="E1973" s="279" t="s">
        <v>1625</v>
      </c>
      <c r="F1973" s="98" t="str">
        <f t="shared" si="607"/>
        <v>A</v>
      </c>
      <c r="G1973" s="110">
        <f ca="1">SUMIF($A:E,$A1973,K:K)</f>
        <v>72</v>
      </c>
      <c r="H1973" s="112" t="s">
        <v>990</v>
      </c>
      <c r="I1973" s="98">
        <v>72</v>
      </c>
      <c r="J1973" s="115">
        <v>72</v>
      </c>
      <c r="K1973" s="143">
        <f t="shared" si="597"/>
        <v>72</v>
      </c>
      <c r="L1973" s="144">
        <f t="shared" si="601"/>
        <v>0</v>
      </c>
      <c r="M1973" s="275">
        <f t="shared" si="602"/>
        <v>216</v>
      </c>
      <c r="N1973" s="98" t="s">
        <v>1776</v>
      </c>
      <c r="O1973" s="93">
        <f t="shared" si="608"/>
        <v>100</v>
      </c>
      <c r="LQ1973" s="100">
        <v>7</v>
      </c>
      <c r="LR1973" s="100">
        <v>8</v>
      </c>
      <c r="LS1973" s="100">
        <v>4</v>
      </c>
      <c r="LT1973" s="100">
        <v>6</v>
      </c>
      <c r="LU1973" s="100">
        <v>7</v>
      </c>
      <c r="LW1973" s="100">
        <v>8</v>
      </c>
      <c r="LX1973" s="100">
        <v>11</v>
      </c>
      <c r="LZ1973" s="100">
        <v>14</v>
      </c>
      <c r="MA1973" s="100">
        <v>7</v>
      </c>
      <c r="ON1973" s="100">
        <f t="shared" si="598"/>
        <v>0</v>
      </c>
    </row>
    <row r="1974" spans="1:404" ht="23.25" customHeight="1">
      <c r="A1974" s="97" t="str">
        <f>D1978&amp;E1974</f>
        <v>002/OBI-2166-07600-03-B</v>
      </c>
      <c r="B1974" s="95">
        <v>44409</v>
      </c>
      <c r="C1974" s="97">
        <f t="shared" ca="1" si="605"/>
        <v>-655</v>
      </c>
      <c r="D1974" s="96" t="s">
        <v>938</v>
      </c>
      <c r="E1974" s="94" t="s">
        <v>947</v>
      </c>
      <c r="F1974" s="98" t="str">
        <f t="shared" si="607"/>
        <v>B</v>
      </c>
      <c r="G1974" s="110">
        <f ca="1">SUMIF($A:E,$A1974,K:K)</f>
        <v>268</v>
      </c>
      <c r="H1974" s="97" t="s">
        <v>508</v>
      </c>
      <c r="I1974" s="98">
        <v>134</v>
      </c>
      <c r="J1974" s="97">
        <v>134</v>
      </c>
      <c r="K1974" s="143">
        <f t="shared" si="597"/>
        <v>134</v>
      </c>
      <c r="L1974" s="144">
        <f t="shared" si="601"/>
        <v>0</v>
      </c>
      <c r="M1974" s="275">
        <f t="shared" si="602"/>
        <v>134</v>
      </c>
      <c r="N1974" s="98">
        <v>1</v>
      </c>
      <c r="O1974" s="93">
        <f t="shared" si="608"/>
        <v>100</v>
      </c>
      <c r="DO1974" s="101">
        <v>2</v>
      </c>
      <c r="DS1974" s="100">
        <v>3</v>
      </c>
      <c r="DV1974" s="100">
        <v>4</v>
      </c>
      <c r="EA1974" s="100">
        <v>4</v>
      </c>
      <c r="EC1974" s="100">
        <v>8</v>
      </c>
      <c r="ED1974" s="100">
        <v>18</v>
      </c>
      <c r="EG1974" s="100">
        <v>14</v>
      </c>
      <c r="EI1974" s="100">
        <v>7</v>
      </c>
      <c r="EJ1974" s="100">
        <v>10</v>
      </c>
      <c r="EM1974" s="100">
        <v>12</v>
      </c>
      <c r="EN1974" s="100">
        <v>5</v>
      </c>
      <c r="EO1974" s="100">
        <v>6</v>
      </c>
      <c r="EP1974" s="100">
        <v>13</v>
      </c>
      <c r="ER1974" s="100">
        <v>12</v>
      </c>
      <c r="EU1974" s="100">
        <v>5</v>
      </c>
      <c r="EW1974" s="100">
        <v>9</v>
      </c>
      <c r="FR1974" s="100">
        <v>2</v>
      </c>
      <c r="ON1974" s="100">
        <f t="shared" si="598"/>
        <v>0</v>
      </c>
    </row>
    <row r="1975" spans="1:404" ht="23.25" customHeight="1">
      <c r="A1975" s="97" t="str">
        <f>D1975&amp;E1975</f>
        <v>002/OBI-2166-07600-03-B</v>
      </c>
      <c r="B1975" s="95">
        <v>44409</v>
      </c>
      <c r="C1975" s="97">
        <f t="shared" ca="1" si="605"/>
        <v>-655</v>
      </c>
      <c r="D1975" s="96" t="s">
        <v>938</v>
      </c>
      <c r="E1975" s="94" t="s">
        <v>947</v>
      </c>
      <c r="F1975" s="98" t="str">
        <f t="shared" si="607"/>
        <v>B</v>
      </c>
      <c r="G1975" s="110">
        <f ca="1">SUMIF($A:E,$A1975,K:K)</f>
        <v>268</v>
      </c>
      <c r="H1975" s="97" t="s">
        <v>508</v>
      </c>
      <c r="I1975" s="98">
        <v>134</v>
      </c>
      <c r="J1975" s="97">
        <v>134</v>
      </c>
      <c r="K1975" s="143">
        <f t="shared" si="597"/>
        <v>134</v>
      </c>
      <c r="L1975" s="144">
        <f t="shared" si="601"/>
        <v>0</v>
      </c>
      <c r="M1975" s="275">
        <f t="shared" si="602"/>
        <v>134</v>
      </c>
      <c r="N1975" s="98">
        <v>2</v>
      </c>
      <c r="O1975" s="93">
        <f t="shared" si="608"/>
        <v>100</v>
      </c>
      <c r="DP1975" s="101">
        <v>4</v>
      </c>
      <c r="DS1975" s="100">
        <v>4</v>
      </c>
      <c r="DU1975" s="100">
        <v>5</v>
      </c>
      <c r="DW1975" s="100">
        <v>5</v>
      </c>
      <c r="DY1975" s="100">
        <v>5</v>
      </c>
      <c r="DZ1975" s="100">
        <v>11</v>
      </c>
      <c r="EA1975" s="100">
        <v>5</v>
      </c>
      <c r="ED1975" s="100">
        <v>8</v>
      </c>
      <c r="EH1975" s="100">
        <v>5</v>
      </c>
      <c r="EI1975" s="100">
        <v>10</v>
      </c>
      <c r="EJ1975" s="100">
        <v>5</v>
      </c>
      <c r="EK1975" s="100">
        <v>11</v>
      </c>
      <c r="EM1975" s="100">
        <v>14</v>
      </c>
      <c r="EN1975" s="100">
        <v>4</v>
      </c>
      <c r="EO1975" s="100">
        <v>3</v>
      </c>
      <c r="EQ1975" s="100">
        <v>12</v>
      </c>
      <c r="EU1975" s="100">
        <v>15</v>
      </c>
      <c r="EW1975" s="100">
        <v>7</v>
      </c>
      <c r="EY1975" s="100">
        <v>1</v>
      </c>
      <c r="ON1975" s="100">
        <f t="shared" si="598"/>
        <v>0</v>
      </c>
    </row>
    <row r="1976" spans="1:404" ht="23.25" customHeight="1">
      <c r="A1976" s="97" t="str">
        <f>D1976&amp;E1976</f>
        <v>002T/OBI-2166-07600-03-B</v>
      </c>
      <c r="B1976" s="95">
        <v>44416</v>
      </c>
      <c r="C1976" s="97">
        <f t="shared" ca="1" si="605"/>
        <v>-648</v>
      </c>
      <c r="D1976" s="112" t="s">
        <v>1047</v>
      </c>
      <c r="E1976" s="123" t="s">
        <v>947</v>
      </c>
      <c r="F1976" s="98" t="str">
        <f t="shared" si="607"/>
        <v>B</v>
      </c>
      <c r="G1976" s="110">
        <f ca="1">SUMIF($A:E,$A1976,K:K)</f>
        <v>152</v>
      </c>
      <c r="H1976" s="97" t="s">
        <v>616</v>
      </c>
      <c r="I1976" s="98">
        <v>152</v>
      </c>
      <c r="J1976" s="115">
        <v>152</v>
      </c>
      <c r="K1976" s="143">
        <f t="shared" si="597"/>
        <v>152</v>
      </c>
      <c r="L1976" s="144">
        <f t="shared" si="601"/>
        <v>0</v>
      </c>
      <c r="M1976" s="275">
        <f t="shared" si="602"/>
        <v>152</v>
      </c>
      <c r="N1976" s="98">
        <v>2</v>
      </c>
      <c r="O1976" s="93">
        <f t="shared" si="608"/>
        <v>100</v>
      </c>
      <c r="EY1976" s="100">
        <v>7</v>
      </c>
      <c r="FA1976" s="100">
        <v>4</v>
      </c>
      <c r="FC1976" s="100">
        <v>5</v>
      </c>
      <c r="FE1976" s="100">
        <v>12</v>
      </c>
      <c r="FH1976" s="100">
        <v>4</v>
      </c>
      <c r="FI1976" s="100">
        <v>5</v>
      </c>
      <c r="FJ1976" s="100">
        <v>5</v>
      </c>
      <c r="FK1976" s="100">
        <v>9</v>
      </c>
      <c r="FP1976" s="100">
        <v>25</v>
      </c>
      <c r="FQ1976" s="100">
        <v>2</v>
      </c>
      <c r="FV1976" s="100">
        <v>5</v>
      </c>
      <c r="FW1976" s="100">
        <v>15</v>
      </c>
      <c r="FZ1976" s="100">
        <v>3</v>
      </c>
      <c r="GA1976" s="100">
        <v>7</v>
      </c>
      <c r="GB1976" s="100">
        <v>9</v>
      </c>
      <c r="GK1976" s="100">
        <v>5</v>
      </c>
      <c r="GV1976" s="100">
        <v>18</v>
      </c>
      <c r="GY1976" s="100">
        <v>7</v>
      </c>
      <c r="GZ1976" s="100">
        <v>5</v>
      </c>
      <c r="ON1976" s="100">
        <f t="shared" si="598"/>
        <v>0</v>
      </c>
    </row>
    <row r="1977" spans="1:404" ht="23.25" customHeight="1">
      <c r="A1977" s="97" t="s">
        <v>1370</v>
      </c>
      <c r="B1977" s="95">
        <v>44476</v>
      </c>
      <c r="C1977" s="97">
        <f t="shared" ca="1" si="605"/>
        <v>-588</v>
      </c>
      <c r="D1977" s="112" t="s">
        <v>1397</v>
      </c>
      <c r="E1977" s="123" t="s">
        <v>947</v>
      </c>
      <c r="F1977" s="98" t="str">
        <f t="shared" si="607"/>
        <v>B</v>
      </c>
      <c r="G1977" s="110">
        <f ca="1">SUMIF($A:E,$A1977,K:K)</f>
        <v>5654</v>
      </c>
      <c r="H1977" s="97" t="s">
        <v>1402</v>
      </c>
      <c r="I1977" s="98">
        <v>40</v>
      </c>
      <c r="J1977" s="115">
        <v>40</v>
      </c>
      <c r="K1977" s="143">
        <f t="shared" si="597"/>
        <v>40</v>
      </c>
      <c r="L1977" s="144">
        <f t="shared" si="601"/>
        <v>0</v>
      </c>
      <c r="M1977" s="275">
        <f t="shared" si="602"/>
        <v>40</v>
      </c>
      <c r="N1977" s="98">
        <v>2</v>
      </c>
      <c r="O1977" s="93">
        <f t="shared" si="608"/>
        <v>100</v>
      </c>
      <c r="HC1977" s="100">
        <v>12</v>
      </c>
      <c r="HG1977" s="100">
        <v>9</v>
      </c>
      <c r="HI1977" s="100">
        <v>6</v>
      </c>
      <c r="HJ1977" s="100">
        <v>8</v>
      </c>
      <c r="HK1977" s="100">
        <v>1</v>
      </c>
      <c r="IN1977" s="100">
        <v>1</v>
      </c>
      <c r="IP1977" s="100">
        <v>1</v>
      </c>
      <c r="IR1977" s="100">
        <v>1</v>
      </c>
      <c r="IS1977" s="100">
        <v>1</v>
      </c>
      <c r="ON1977" s="100">
        <f t="shared" si="598"/>
        <v>0</v>
      </c>
    </row>
    <row r="1978" spans="1:404" ht="23.25" customHeight="1">
      <c r="A1978" s="97" t="str">
        <f>D1982&amp;E1978</f>
        <v>002/OBI-2166-07600-02-B</v>
      </c>
      <c r="B1978" s="95">
        <v>44409</v>
      </c>
      <c r="C1978" s="97">
        <f t="shared" ca="1" si="605"/>
        <v>-655</v>
      </c>
      <c r="D1978" s="96" t="s">
        <v>938</v>
      </c>
      <c r="E1978" s="94" t="s">
        <v>946</v>
      </c>
      <c r="F1978" s="98" t="str">
        <f t="shared" si="607"/>
        <v>B</v>
      </c>
      <c r="G1978" s="110">
        <f ca="1">SUMIF($A:E,$A1978,K:K)</f>
        <v>268</v>
      </c>
      <c r="H1978" s="97" t="s">
        <v>508</v>
      </c>
      <c r="I1978" s="98">
        <v>134</v>
      </c>
      <c r="J1978" s="97">
        <v>134</v>
      </c>
      <c r="K1978" s="143">
        <f t="shared" si="597"/>
        <v>134</v>
      </c>
      <c r="L1978" s="144">
        <f t="shared" si="601"/>
        <v>0</v>
      </c>
      <c r="M1978" s="275">
        <f t="shared" si="602"/>
        <v>134</v>
      </c>
      <c r="N1978" s="98">
        <v>1</v>
      </c>
      <c r="O1978" s="93">
        <f t="shared" si="608"/>
        <v>100</v>
      </c>
      <c r="DO1978" s="101">
        <v>2</v>
      </c>
      <c r="DS1978" s="100">
        <v>3</v>
      </c>
      <c r="DV1978" s="100">
        <v>4</v>
      </c>
      <c r="EA1978" s="100">
        <v>4</v>
      </c>
      <c r="EC1978" s="100">
        <v>8</v>
      </c>
      <c r="ED1978" s="100">
        <v>18</v>
      </c>
      <c r="EG1978" s="100">
        <v>14</v>
      </c>
      <c r="EI1978" s="100">
        <v>7</v>
      </c>
      <c r="EJ1978" s="100">
        <v>10</v>
      </c>
      <c r="EM1978" s="100">
        <v>12</v>
      </c>
      <c r="EN1978" s="100">
        <v>5</v>
      </c>
      <c r="EO1978" s="100">
        <v>6</v>
      </c>
      <c r="EP1978" s="100">
        <v>13</v>
      </c>
      <c r="ER1978" s="100">
        <v>12</v>
      </c>
      <c r="ET1978" s="100">
        <v>5</v>
      </c>
      <c r="EU1978" s="100">
        <v>5</v>
      </c>
      <c r="EW1978" s="100">
        <v>4</v>
      </c>
      <c r="FR1978" s="100">
        <v>2</v>
      </c>
      <c r="ON1978" s="100">
        <f t="shared" si="598"/>
        <v>0</v>
      </c>
    </row>
    <row r="1979" spans="1:404" ht="23.25" customHeight="1">
      <c r="A1979" s="97" t="str">
        <f>D1979&amp;E1979</f>
        <v>002/OBI-2166-07600-02-B</v>
      </c>
      <c r="B1979" s="95">
        <v>44409</v>
      </c>
      <c r="C1979" s="97">
        <f t="shared" ca="1" si="605"/>
        <v>-655</v>
      </c>
      <c r="D1979" s="96" t="s">
        <v>938</v>
      </c>
      <c r="E1979" s="94" t="s">
        <v>946</v>
      </c>
      <c r="F1979" s="98" t="str">
        <f t="shared" si="607"/>
        <v>B</v>
      </c>
      <c r="G1979" s="110">
        <f ca="1">SUMIF($A:E,$A1979,K:K)</f>
        <v>268</v>
      </c>
      <c r="H1979" s="97" t="s">
        <v>508</v>
      </c>
      <c r="I1979" s="98">
        <v>134</v>
      </c>
      <c r="J1979" s="97">
        <v>134</v>
      </c>
      <c r="K1979" s="143">
        <f t="shared" si="597"/>
        <v>134</v>
      </c>
      <c r="L1979" s="144">
        <f t="shared" si="601"/>
        <v>0</v>
      </c>
      <c r="M1979" s="275">
        <f t="shared" si="602"/>
        <v>134</v>
      </c>
      <c r="N1979" s="98">
        <v>2</v>
      </c>
      <c r="O1979" s="93">
        <f t="shared" si="608"/>
        <v>100</v>
      </c>
      <c r="DP1979" s="101">
        <v>4</v>
      </c>
      <c r="DS1979" s="100">
        <v>4</v>
      </c>
      <c r="DU1979" s="100">
        <v>5</v>
      </c>
      <c r="DW1979" s="100">
        <v>5</v>
      </c>
      <c r="DY1979" s="100">
        <v>5</v>
      </c>
      <c r="DZ1979" s="100">
        <v>11</v>
      </c>
      <c r="EA1979" s="100">
        <v>5</v>
      </c>
      <c r="ED1979" s="100">
        <v>8</v>
      </c>
      <c r="EH1979" s="100">
        <v>5</v>
      </c>
      <c r="EI1979" s="100">
        <v>10</v>
      </c>
      <c r="EJ1979" s="100">
        <v>5</v>
      </c>
      <c r="EK1979" s="100">
        <v>11</v>
      </c>
      <c r="EM1979" s="100">
        <v>14</v>
      </c>
      <c r="EN1979" s="100">
        <v>4</v>
      </c>
      <c r="EO1979" s="100">
        <v>3</v>
      </c>
      <c r="EQ1979" s="100">
        <v>12</v>
      </c>
      <c r="EU1979" s="100">
        <v>15</v>
      </c>
      <c r="EW1979" s="100">
        <v>7</v>
      </c>
      <c r="EY1979" s="100">
        <v>1</v>
      </c>
      <c r="ON1979" s="100">
        <f t="shared" si="598"/>
        <v>0</v>
      </c>
    </row>
    <row r="1980" spans="1:404" ht="23.25" customHeight="1">
      <c r="A1980" s="97" t="str">
        <f>D1980&amp;E1980</f>
        <v>002T/OBI-2166-07600-02-B</v>
      </c>
      <c r="B1980" s="95">
        <v>44416</v>
      </c>
      <c r="C1980" s="97">
        <f t="shared" ca="1" si="605"/>
        <v>-648</v>
      </c>
      <c r="D1980" s="112" t="s">
        <v>1047</v>
      </c>
      <c r="E1980" s="123" t="s">
        <v>946</v>
      </c>
      <c r="F1980" s="98" t="str">
        <f t="shared" si="607"/>
        <v>B</v>
      </c>
      <c r="G1980" s="110">
        <f ca="1">SUMIF($A:E,$A1980,K:K)</f>
        <v>152</v>
      </c>
      <c r="H1980" s="97" t="s">
        <v>616</v>
      </c>
      <c r="I1980" s="98">
        <v>152</v>
      </c>
      <c r="J1980" s="115">
        <v>152</v>
      </c>
      <c r="K1980" s="143">
        <f t="shared" si="597"/>
        <v>152</v>
      </c>
      <c r="L1980" s="144">
        <f t="shared" si="601"/>
        <v>0</v>
      </c>
      <c r="M1980" s="275">
        <f t="shared" si="602"/>
        <v>152</v>
      </c>
      <c r="N1980" s="98">
        <v>2</v>
      </c>
      <c r="O1980" s="93">
        <f t="shared" si="608"/>
        <v>100</v>
      </c>
      <c r="EY1980" s="100">
        <v>7</v>
      </c>
      <c r="FA1980" s="100">
        <v>4</v>
      </c>
      <c r="FC1980" s="100">
        <v>5</v>
      </c>
      <c r="FE1980" s="100">
        <v>12</v>
      </c>
      <c r="FH1980" s="100">
        <v>4</v>
      </c>
      <c r="FI1980" s="100">
        <v>5</v>
      </c>
      <c r="FJ1980" s="100">
        <v>5</v>
      </c>
      <c r="FK1980" s="100">
        <v>9</v>
      </c>
      <c r="FP1980" s="100">
        <v>25</v>
      </c>
      <c r="FQ1980" s="100">
        <v>2</v>
      </c>
      <c r="FV1980" s="100">
        <v>5</v>
      </c>
      <c r="FW1980" s="100">
        <v>15</v>
      </c>
      <c r="FZ1980" s="100">
        <v>3</v>
      </c>
      <c r="GA1980" s="100">
        <v>7</v>
      </c>
      <c r="GB1980" s="100">
        <v>9</v>
      </c>
      <c r="GK1980" s="100">
        <v>5</v>
      </c>
      <c r="GV1980" s="100">
        <v>18</v>
      </c>
      <c r="GY1980" s="100">
        <v>7</v>
      </c>
      <c r="GZ1980" s="100">
        <v>5</v>
      </c>
      <c r="ON1980" s="100">
        <f t="shared" si="598"/>
        <v>0</v>
      </c>
    </row>
    <row r="1981" spans="1:404" ht="23.25" customHeight="1">
      <c r="A1981" s="97" t="s">
        <v>1370</v>
      </c>
      <c r="B1981" s="95">
        <v>44476</v>
      </c>
      <c r="C1981" s="97">
        <f t="shared" ca="1" si="605"/>
        <v>-588</v>
      </c>
      <c r="D1981" s="112" t="s">
        <v>1397</v>
      </c>
      <c r="E1981" s="123" t="s">
        <v>946</v>
      </c>
      <c r="F1981" s="98" t="str">
        <f t="shared" si="607"/>
        <v>B</v>
      </c>
      <c r="G1981" s="110">
        <f ca="1">SUMIF($A:E,$A1981,K:K)</f>
        <v>5654</v>
      </c>
      <c r="H1981" s="97" t="s">
        <v>1402</v>
      </c>
      <c r="I1981" s="98">
        <v>40</v>
      </c>
      <c r="J1981" s="115">
        <v>40</v>
      </c>
      <c r="K1981" s="143">
        <f t="shared" si="597"/>
        <v>40</v>
      </c>
      <c r="L1981" s="144">
        <f t="shared" si="601"/>
        <v>0</v>
      </c>
      <c r="M1981" s="275">
        <f t="shared" si="602"/>
        <v>40</v>
      </c>
      <c r="N1981" s="98">
        <v>2</v>
      </c>
      <c r="O1981" s="93">
        <f t="shared" si="608"/>
        <v>100</v>
      </c>
      <c r="HC1981" s="100">
        <v>12</v>
      </c>
      <c r="HG1981" s="100">
        <v>9</v>
      </c>
      <c r="HI1981" s="100">
        <v>6</v>
      </c>
      <c r="HJ1981" s="100">
        <v>8</v>
      </c>
      <c r="HK1981" s="100">
        <v>1</v>
      </c>
      <c r="IN1981" s="100">
        <v>1</v>
      </c>
      <c r="IP1981" s="100">
        <v>1</v>
      </c>
      <c r="IR1981" s="100">
        <v>1</v>
      </c>
      <c r="IS1981" s="100">
        <v>1</v>
      </c>
      <c r="ON1981" s="100">
        <f t="shared" si="598"/>
        <v>0</v>
      </c>
    </row>
    <row r="1982" spans="1:404" ht="23.25" customHeight="1">
      <c r="A1982" s="97" t="str">
        <f>D1986&amp;E1982</f>
        <v>215/KHBS-2166-07600-01-B</v>
      </c>
      <c r="B1982" s="95">
        <v>44409</v>
      </c>
      <c r="C1982" s="97">
        <f t="shared" ca="1" si="605"/>
        <v>-655</v>
      </c>
      <c r="D1982" s="96" t="s">
        <v>938</v>
      </c>
      <c r="E1982" s="94" t="s">
        <v>945</v>
      </c>
      <c r="F1982" s="98" t="str">
        <f t="shared" si="607"/>
        <v>B</v>
      </c>
      <c r="G1982" s="110">
        <f ca="1">SUMIF($A:E,$A1982,K:K)</f>
        <v>135</v>
      </c>
      <c r="H1982" s="97" t="s">
        <v>508</v>
      </c>
      <c r="I1982" s="98">
        <v>134</v>
      </c>
      <c r="J1982" s="97">
        <f>134</f>
        <v>134</v>
      </c>
      <c r="K1982" s="143">
        <f t="shared" si="597"/>
        <v>134</v>
      </c>
      <c r="L1982" s="144">
        <f t="shared" si="601"/>
        <v>0</v>
      </c>
      <c r="M1982" s="275">
        <f t="shared" si="602"/>
        <v>134</v>
      </c>
      <c r="N1982" s="98">
        <v>1</v>
      </c>
      <c r="O1982" s="93">
        <f t="shared" si="608"/>
        <v>100</v>
      </c>
      <c r="DO1982" s="101">
        <v>2</v>
      </c>
      <c r="DS1982" s="100">
        <v>3</v>
      </c>
      <c r="DV1982" s="100">
        <v>4</v>
      </c>
      <c r="EA1982" s="100">
        <v>4</v>
      </c>
      <c r="EC1982" s="100">
        <v>8</v>
      </c>
      <c r="ED1982" s="100">
        <v>18</v>
      </c>
      <c r="EG1982" s="100">
        <v>14</v>
      </c>
      <c r="EI1982" s="100">
        <v>7</v>
      </c>
      <c r="EJ1982" s="100">
        <v>10</v>
      </c>
      <c r="EM1982" s="100">
        <v>12</v>
      </c>
      <c r="EN1982" s="100">
        <v>5</v>
      </c>
      <c r="EO1982" s="100">
        <v>6</v>
      </c>
      <c r="EP1982" s="100">
        <v>13</v>
      </c>
      <c r="ER1982" s="100">
        <v>12</v>
      </c>
      <c r="ET1982" s="100">
        <v>5</v>
      </c>
      <c r="EU1982" s="100">
        <v>5</v>
      </c>
      <c r="EW1982" s="100">
        <v>4</v>
      </c>
      <c r="FR1982" s="100">
        <v>2</v>
      </c>
      <c r="ON1982" s="100">
        <f t="shared" si="598"/>
        <v>0</v>
      </c>
    </row>
    <row r="1983" spans="1:404" ht="23.25" customHeight="1">
      <c r="A1983" s="97" t="str">
        <f>D1983&amp;E1983</f>
        <v>002/OBI-2166-07600-01-B</v>
      </c>
      <c r="B1983" s="95">
        <v>44409</v>
      </c>
      <c r="C1983" s="97">
        <f t="shared" ca="1" si="605"/>
        <v>-655</v>
      </c>
      <c r="D1983" s="96" t="s">
        <v>938</v>
      </c>
      <c r="E1983" s="94" t="s">
        <v>945</v>
      </c>
      <c r="F1983" s="98" t="str">
        <f t="shared" si="607"/>
        <v>B</v>
      </c>
      <c r="G1983" s="110">
        <f ca="1">SUMIF($A:E,$A1983,K:K)</f>
        <v>134</v>
      </c>
      <c r="H1983" s="97" t="s">
        <v>508</v>
      </c>
      <c r="I1983" s="98">
        <v>134</v>
      </c>
      <c r="J1983" s="97">
        <v>134</v>
      </c>
      <c r="K1983" s="143">
        <f t="shared" si="597"/>
        <v>134</v>
      </c>
      <c r="L1983" s="144">
        <f t="shared" si="601"/>
        <v>0</v>
      </c>
      <c r="M1983" s="275">
        <f t="shared" si="602"/>
        <v>134</v>
      </c>
      <c r="N1983" s="98">
        <v>2</v>
      </c>
      <c r="O1983" s="93">
        <f t="shared" si="608"/>
        <v>100</v>
      </c>
      <c r="DP1983" s="101">
        <v>4</v>
      </c>
      <c r="DS1983" s="100">
        <v>4</v>
      </c>
      <c r="DU1983" s="100">
        <v>5</v>
      </c>
      <c r="DW1983" s="100">
        <v>5</v>
      </c>
      <c r="DY1983" s="100">
        <v>5</v>
      </c>
      <c r="DZ1983" s="100">
        <v>11</v>
      </c>
      <c r="EA1983" s="100">
        <v>5</v>
      </c>
      <c r="ED1983" s="100">
        <v>8</v>
      </c>
      <c r="EH1983" s="100">
        <v>5</v>
      </c>
      <c r="EI1983" s="100">
        <v>10</v>
      </c>
      <c r="EJ1983" s="100">
        <v>5</v>
      </c>
      <c r="EK1983" s="100">
        <v>11</v>
      </c>
      <c r="EM1983" s="100">
        <v>14</v>
      </c>
      <c r="EN1983" s="100">
        <v>4</v>
      </c>
      <c r="EO1983" s="100">
        <v>3</v>
      </c>
      <c r="EQ1983" s="100">
        <v>12</v>
      </c>
      <c r="EU1983" s="100">
        <v>15</v>
      </c>
      <c r="EW1983" s="100">
        <v>7</v>
      </c>
      <c r="EY1983" s="100">
        <v>1</v>
      </c>
      <c r="ON1983" s="100">
        <f t="shared" si="598"/>
        <v>0</v>
      </c>
    </row>
    <row r="1984" spans="1:404" ht="23.25" customHeight="1">
      <c r="A1984" s="97" t="str">
        <f>D1984&amp;E1984</f>
        <v>002T/OBI-2166-07600-01-B</v>
      </c>
      <c r="B1984" s="95">
        <v>44416</v>
      </c>
      <c r="C1984" s="97">
        <f t="shared" ref="C1984:C2004" ca="1" si="609">B1984-TODAY()</f>
        <v>-648</v>
      </c>
      <c r="D1984" s="112" t="s">
        <v>1047</v>
      </c>
      <c r="E1984" s="123" t="s">
        <v>945</v>
      </c>
      <c r="F1984" s="98" t="str">
        <f t="shared" si="607"/>
        <v>B</v>
      </c>
      <c r="G1984" s="110">
        <f ca="1">SUMIF($A:E,$A1984,K:K)</f>
        <v>152</v>
      </c>
      <c r="H1984" s="97" t="s">
        <v>616</v>
      </c>
      <c r="I1984" s="98">
        <v>152</v>
      </c>
      <c r="J1984" s="115">
        <v>152</v>
      </c>
      <c r="K1984" s="143">
        <f t="shared" si="597"/>
        <v>152</v>
      </c>
      <c r="L1984" s="144">
        <f t="shared" si="601"/>
        <v>0</v>
      </c>
      <c r="M1984" s="275">
        <f t="shared" si="602"/>
        <v>152</v>
      </c>
      <c r="N1984" s="98">
        <v>2</v>
      </c>
      <c r="O1984" s="93">
        <f t="shared" si="608"/>
        <v>100</v>
      </c>
      <c r="EY1984" s="100">
        <v>7</v>
      </c>
      <c r="FA1984" s="100">
        <v>4</v>
      </c>
      <c r="FC1984" s="100">
        <v>5</v>
      </c>
      <c r="FE1984" s="100">
        <v>12</v>
      </c>
      <c r="FH1984" s="100">
        <v>4</v>
      </c>
      <c r="FI1984" s="100">
        <v>5</v>
      </c>
      <c r="FJ1984" s="100">
        <v>5</v>
      </c>
      <c r="FK1984" s="100">
        <v>9</v>
      </c>
      <c r="FP1984" s="100">
        <v>25</v>
      </c>
      <c r="FQ1984" s="100">
        <v>2</v>
      </c>
      <c r="FV1984" s="100">
        <v>5</v>
      </c>
      <c r="FW1984" s="100">
        <v>15</v>
      </c>
      <c r="FZ1984" s="100">
        <v>3</v>
      </c>
      <c r="GA1984" s="100">
        <v>7</v>
      </c>
      <c r="GB1984" s="100">
        <v>9</v>
      </c>
      <c r="GK1984" s="100">
        <v>5</v>
      </c>
      <c r="GV1984" s="100">
        <v>18</v>
      </c>
      <c r="GY1984" s="100">
        <v>7</v>
      </c>
      <c r="GZ1984" s="100">
        <v>5</v>
      </c>
      <c r="ON1984" s="100">
        <f t="shared" si="598"/>
        <v>0</v>
      </c>
    </row>
    <row r="1985" spans="1:404" ht="23.25" customHeight="1">
      <c r="A1985" s="97" t="str">
        <f>D1985&amp;E1986</f>
        <v>210/KHBS-2166-07600-01-B</v>
      </c>
      <c r="B1985" s="95">
        <v>44382</v>
      </c>
      <c r="C1985" s="97">
        <f t="shared" ca="1" si="609"/>
        <v>-682</v>
      </c>
      <c r="D1985" s="96" t="s">
        <v>1202</v>
      </c>
      <c r="E1985" s="94" t="s">
        <v>945</v>
      </c>
      <c r="F1985" s="98" t="str">
        <f t="shared" si="607"/>
        <v>B</v>
      </c>
      <c r="G1985" s="110">
        <f ca="1">SUMIF($A:E,$A1985,K:K)</f>
        <v>1</v>
      </c>
      <c r="H1985" s="97" t="s">
        <v>616</v>
      </c>
      <c r="I1985" s="98">
        <v>1</v>
      </c>
      <c r="J1985" s="99">
        <v>1</v>
      </c>
      <c r="K1985" s="143">
        <f t="shared" si="597"/>
        <v>1</v>
      </c>
      <c r="L1985" s="144">
        <f t="shared" si="601"/>
        <v>0</v>
      </c>
      <c r="M1985" s="275">
        <f t="shared" si="602"/>
        <v>1</v>
      </c>
      <c r="N1985" s="98">
        <v>2</v>
      </c>
      <c r="O1985" s="93">
        <f t="shared" si="608"/>
        <v>100</v>
      </c>
      <c r="FV1985" s="100">
        <v>1</v>
      </c>
      <c r="ON1985" s="100">
        <f t="shared" si="598"/>
        <v>0</v>
      </c>
    </row>
    <row r="1986" spans="1:404" ht="23.25" customHeight="1">
      <c r="A1986" s="97" t="str">
        <f>D1986&amp;E1986</f>
        <v>215/KHBS-2166-07600-01-B</v>
      </c>
      <c r="B1986" s="95">
        <v>44394</v>
      </c>
      <c r="C1986" s="97">
        <f t="shared" ca="1" si="609"/>
        <v>-670</v>
      </c>
      <c r="D1986" s="96" t="s">
        <v>1313</v>
      </c>
      <c r="E1986" s="258" t="s">
        <v>945</v>
      </c>
      <c r="F1986" s="98" t="str">
        <f t="shared" si="607"/>
        <v>B</v>
      </c>
      <c r="G1986" s="110">
        <f ca="1">SUMIF($A:E,$A1986,K:K)</f>
        <v>135</v>
      </c>
      <c r="H1986" s="97" t="s">
        <v>508</v>
      </c>
      <c r="I1986" s="98">
        <v>1</v>
      </c>
      <c r="J1986" s="213">
        <v>1</v>
      </c>
      <c r="K1986" s="143">
        <f t="shared" si="597"/>
        <v>1</v>
      </c>
      <c r="L1986" s="144">
        <f t="shared" si="601"/>
        <v>0</v>
      </c>
      <c r="M1986" s="275">
        <f t="shared" si="602"/>
        <v>1</v>
      </c>
      <c r="N1986" s="98">
        <v>2</v>
      </c>
      <c r="O1986" s="93">
        <f t="shared" si="608"/>
        <v>100</v>
      </c>
      <c r="GD1986" s="100">
        <v>1</v>
      </c>
      <c r="ON1986" s="100">
        <f t="shared" si="598"/>
        <v>0</v>
      </c>
    </row>
    <row r="1987" spans="1:404" ht="23.25" customHeight="1">
      <c r="A1987" s="97" t="s">
        <v>1370</v>
      </c>
      <c r="B1987" s="95">
        <v>44476</v>
      </c>
      <c r="C1987" s="97">
        <f t="shared" ca="1" si="609"/>
        <v>-588</v>
      </c>
      <c r="D1987" s="112" t="s">
        <v>1397</v>
      </c>
      <c r="E1987" s="123" t="s">
        <v>945</v>
      </c>
      <c r="F1987" s="98" t="str">
        <f t="shared" si="607"/>
        <v>B</v>
      </c>
      <c r="G1987" s="110">
        <f ca="1">SUMIF($A:E,$A1987,K:K)</f>
        <v>5654</v>
      </c>
      <c r="H1987" s="97" t="s">
        <v>1402</v>
      </c>
      <c r="I1987" s="98">
        <v>40</v>
      </c>
      <c r="J1987" s="115">
        <v>40</v>
      </c>
      <c r="K1987" s="143">
        <f t="shared" si="597"/>
        <v>40</v>
      </c>
      <c r="L1987" s="144">
        <f t="shared" si="601"/>
        <v>0</v>
      </c>
      <c r="M1987" s="275">
        <f t="shared" si="602"/>
        <v>40</v>
      </c>
      <c r="N1987" s="98">
        <v>2</v>
      </c>
      <c r="O1987" s="93">
        <f t="shared" si="608"/>
        <v>100</v>
      </c>
      <c r="HC1987" s="100">
        <v>12</v>
      </c>
      <c r="HG1987" s="100">
        <v>9</v>
      </c>
      <c r="HI1987" s="100">
        <v>6</v>
      </c>
      <c r="HJ1987" s="100">
        <v>8</v>
      </c>
      <c r="HK1987" s="100">
        <v>1</v>
      </c>
      <c r="IN1987" s="100">
        <v>1</v>
      </c>
      <c r="IP1987" s="100">
        <v>1</v>
      </c>
      <c r="IR1987" s="100">
        <v>1</v>
      </c>
      <c r="IS1987" s="100">
        <v>1</v>
      </c>
      <c r="ON1987" s="100">
        <f t="shared" si="598"/>
        <v>0</v>
      </c>
    </row>
    <row r="1988" spans="1:404" ht="23.25" customHeight="1">
      <c r="A1988" s="97" t="str">
        <f t="shared" ref="A1988:A1998" si="610">D1988&amp;E1988</f>
        <v>232/KHBS-21(002T/OBI-21)66-07600-01-B</v>
      </c>
      <c r="B1988" s="95">
        <v>44413</v>
      </c>
      <c r="C1988" s="97">
        <f t="shared" ca="1" si="609"/>
        <v>-651</v>
      </c>
      <c r="D1988" s="112" t="s">
        <v>1519</v>
      </c>
      <c r="E1988" s="123" t="s">
        <v>945</v>
      </c>
      <c r="F1988" s="98" t="str">
        <f t="shared" si="607"/>
        <v>B</v>
      </c>
      <c r="G1988" s="110">
        <f ca="1">SUMIF($A:E,$A1988,K:K)</f>
        <v>1</v>
      </c>
      <c r="H1988" s="97" t="s">
        <v>508</v>
      </c>
      <c r="I1988" s="98">
        <v>1</v>
      </c>
      <c r="J1988" s="99">
        <v>1</v>
      </c>
      <c r="K1988" s="143">
        <f t="shared" ref="K1988:K2051" si="611">SUM(P1988:BBC1988)</f>
        <v>1</v>
      </c>
      <c r="L1988" s="144">
        <f t="shared" ref="L1988:L2021" si="612">J1988-K1988</f>
        <v>0</v>
      </c>
      <c r="M1988" s="275">
        <f t="shared" si="602"/>
        <v>1</v>
      </c>
      <c r="N1988" s="98">
        <v>2</v>
      </c>
      <c r="O1988" s="93">
        <f t="shared" si="608"/>
        <v>100</v>
      </c>
      <c r="GW1988" s="100">
        <v>1</v>
      </c>
      <c r="ON1988" s="100">
        <f t="shared" ref="ON1988:ON2051" si="613">SUM(NS1988:OM1988)</f>
        <v>0</v>
      </c>
    </row>
    <row r="1989" spans="1:404" ht="23.25" customHeight="1">
      <c r="A1989" s="97" t="str">
        <f t="shared" si="610"/>
        <v>007/YAMATEI-2166-07400-S1-B</v>
      </c>
      <c r="B1989" s="95">
        <v>44641</v>
      </c>
      <c r="C1989" s="97">
        <f t="shared" ca="1" si="609"/>
        <v>-423</v>
      </c>
      <c r="D1989" s="112" t="s">
        <v>1569</v>
      </c>
      <c r="E1989" s="123" t="s">
        <v>1577</v>
      </c>
      <c r="F1989" s="98" t="str">
        <f t="shared" si="607"/>
        <v>B</v>
      </c>
      <c r="G1989" s="110">
        <f ca="1">SUMIF($A:E,$A1989,K:K)</f>
        <v>235</v>
      </c>
      <c r="H1989" s="97" t="s">
        <v>927</v>
      </c>
      <c r="I1989" s="98">
        <v>160</v>
      </c>
      <c r="J1989" s="115">
        <v>160</v>
      </c>
      <c r="K1989" s="143">
        <f t="shared" si="611"/>
        <v>235</v>
      </c>
      <c r="L1989" s="144">
        <f t="shared" si="612"/>
        <v>-75</v>
      </c>
      <c r="M1989" s="275">
        <f t="shared" si="602"/>
        <v>160</v>
      </c>
      <c r="N1989" s="98">
        <v>6</v>
      </c>
      <c r="O1989" s="93">
        <f t="shared" si="608"/>
        <v>146.875</v>
      </c>
      <c r="NA1989" s="100">
        <v>15</v>
      </c>
      <c r="ND1989" s="100">
        <v>6</v>
      </c>
      <c r="NF1989" s="100">
        <v>4</v>
      </c>
      <c r="NG1989" s="100">
        <v>14</v>
      </c>
      <c r="NI1989" s="100">
        <v>14</v>
      </c>
      <c r="NL1989" s="100">
        <v>32</v>
      </c>
      <c r="NS1989" s="100">
        <v>16</v>
      </c>
      <c r="NU1989" s="100">
        <f>16+11</f>
        <v>27</v>
      </c>
      <c r="NV1989" s="100">
        <v>3</v>
      </c>
      <c r="NY1989" s="100">
        <v>8</v>
      </c>
      <c r="OA1989" s="100">
        <v>1</v>
      </c>
      <c r="OB1989" s="100">
        <v>2</v>
      </c>
      <c r="OJ1989" s="100">
        <v>13</v>
      </c>
      <c r="OK1989" s="100">
        <v>2</v>
      </c>
      <c r="OM1989" s="100">
        <v>3</v>
      </c>
      <c r="ON1989" s="100">
        <f t="shared" si="613"/>
        <v>75</v>
      </c>
    </row>
    <row r="1990" spans="1:404" ht="23.25" customHeight="1">
      <c r="A1990" s="97" t="str">
        <f t="shared" si="610"/>
        <v>004/HACA-HK-2166-07300-S1-B</v>
      </c>
      <c r="B1990" s="95">
        <v>44378</v>
      </c>
      <c r="C1990" s="97">
        <f t="shared" ca="1" si="609"/>
        <v>-686</v>
      </c>
      <c r="D1990" s="145" t="s">
        <v>815</v>
      </c>
      <c r="E1990" s="253" t="s">
        <v>816</v>
      </c>
      <c r="F1990" s="98" t="str">
        <f t="shared" si="607"/>
        <v>B</v>
      </c>
      <c r="G1990" s="110">
        <f ca="1">SUMIF($A:E,$A1990,K:K)</f>
        <v>72</v>
      </c>
      <c r="H1990" s="97" t="s">
        <v>601</v>
      </c>
      <c r="I1990" s="98">
        <v>72</v>
      </c>
      <c r="J1990" s="146">
        <v>72</v>
      </c>
      <c r="K1990" s="143">
        <f t="shared" si="611"/>
        <v>72</v>
      </c>
      <c r="L1990" s="144">
        <f t="shared" si="612"/>
        <v>0</v>
      </c>
      <c r="M1990" s="275">
        <f t="shared" si="602"/>
        <v>72</v>
      </c>
      <c r="N1990" s="98">
        <v>3</v>
      </c>
      <c r="O1990" s="93">
        <f t="shared" si="608"/>
        <v>100</v>
      </c>
      <c r="EF1990" s="100">
        <v>5</v>
      </c>
      <c r="EG1990" s="100">
        <v>10</v>
      </c>
      <c r="EI1990" s="100">
        <v>6</v>
      </c>
      <c r="EJ1990" s="100">
        <v>12</v>
      </c>
      <c r="EL1990" s="100">
        <v>19</v>
      </c>
      <c r="EO1990" s="100">
        <v>10</v>
      </c>
      <c r="EP1990" s="100">
        <v>1</v>
      </c>
      <c r="EV1990" s="100">
        <v>5</v>
      </c>
      <c r="EW1990" s="100">
        <v>2</v>
      </c>
      <c r="FF1990" s="100">
        <v>1</v>
      </c>
      <c r="FI1990" s="100">
        <v>1</v>
      </c>
      <c r="ON1990" s="100">
        <f t="shared" si="613"/>
        <v>0</v>
      </c>
    </row>
    <row r="1991" spans="1:404" ht="23.25" customHeight="1">
      <c r="A1991" s="97" t="str">
        <f t="shared" si="610"/>
        <v>007/YAMATEI-2166-07300-S1-B</v>
      </c>
      <c r="B1991" s="95">
        <v>44641</v>
      </c>
      <c r="C1991" s="97">
        <f t="shared" ca="1" si="609"/>
        <v>-423</v>
      </c>
      <c r="D1991" s="112" t="s">
        <v>1569</v>
      </c>
      <c r="E1991" s="123" t="s">
        <v>816</v>
      </c>
      <c r="F1991" s="98" t="str">
        <f t="shared" ref="F1991:F2011" si="614">MID(E1991,13,2)</f>
        <v>B</v>
      </c>
      <c r="G1991" s="110">
        <f ca="1">SUMIF($A:E,$A1991,K:K)</f>
        <v>37</v>
      </c>
      <c r="H1991" s="97" t="s">
        <v>927</v>
      </c>
      <c r="I1991" s="98">
        <v>30</v>
      </c>
      <c r="J1991" s="115">
        <v>30</v>
      </c>
      <c r="K1991" s="143">
        <f t="shared" si="611"/>
        <v>37</v>
      </c>
      <c r="L1991" s="144">
        <f t="shared" si="612"/>
        <v>-7</v>
      </c>
      <c r="M1991" s="275">
        <f t="shared" si="602"/>
        <v>30</v>
      </c>
      <c r="N1991" s="98">
        <v>6</v>
      </c>
      <c r="O1991" s="93">
        <f t="shared" si="608"/>
        <v>123.33333333333334</v>
      </c>
      <c r="NA1991" s="100">
        <v>5</v>
      </c>
      <c r="NF1991" s="100">
        <v>8</v>
      </c>
      <c r="NG1991" s="100">
        <v>1</v>
      </c>
      <c r="NL1991" s="100">
        <v>9</v>
      </c>
      <c r="NU1991" s="100">
        <v>1</v>
      </c>
      <c r="NV1991" s="100">
        <v>1</v>
      </c>
      <c r="NY1991" s="100">
        <v>4</v>
      </c>
      <c r="OB1991" s="100">
        <v>1</v>
      </c>
      <c r="ON1991" s="100">
        <f t="shared" si="613"/>
        <v>7</v>
      </c>
    </row>
    <row r="1992" spans="1:404" ht="23.25" customHeight="1">
      <c r="A1992" s="97" t="str">
        <f t="shared" si="610"/>
        <v>003/ANNA-VG-21(đ7)66-07200-S1-A</v>
      </c>
      <c r="B1992" s="95">
        <v>44634</v>
      </c>
      <c r="C1992" s="97">
        <f t="shared" ca="1" si="609"/>
        <v>-430</v>
      </c>
      <c r="D1992" s="112" t="s">
        <v>1671</v>
      </c>
      <c r="E1992" s="279" t="s">
        <v>1673</v>
      </c>
      <c r="F1992" s="98" t="str">
        <f t="shared" si="614"/>
        <v>A</v>
      </c>
      <c r="G1992" s="110">
        <f ca="1">SUMIF($A:E,$A1992,K:K)</f>
        <v>528</v>
      </c>
      <c r="H1992" s="112" t="s">
        <v>990</v>
      </c>
      <c r="I1992" s="98">
        <v>480</v>
      </c>
      <c r="J1992" s="115">
        <v>480</v>
      </c>
      <c r="K1992" s="143">
        <f t="shared" si="611"/>
        <v>528</v>
      </c>
      <c r="L1992" s="144">
        <f t="shared" si="612"/>
        <v>-48</v>
      </c>
      <c r="M1992" s="275">
        <f t="shared" ref="M1992:M2014" si="615">IF(OR(MID(E1992,10,1)="0",MID(E1992,10,1)="F"),I1992,IF(OR(,MID(E1992,10,1)="S",MID(E1992,10,1)="L",MID(E1992,10,1)="B",MID(E1992,10,1)="X"),MID(E1992,11,1)*I1992,0))</f>
        <v>480</v>
      </c>
      <c r="N1992" s="98">
        <v>4</v>
      </c>
      <c r="O1992" s="93">
        <v>54</v>
      </c>
      <c r="MS1992" s="100">
        <v>12</v>
      </c>
      <c r="MT1992" s="100">
        <v>15</v>
      </c>
      <c r="MU1992" s="100">
        <v>32</v>
      </c>
      <c r="MW1992" s="100">
        <v>26</v>
      </c>
      <c r="MX1992" s="100">
        <v>12</v>
      </c>
      <c r="MY1992" s="100">
        <v>30</v>
      </c>
      <c r="MZ1992" s="100">
        <v>28</v>
      </c>
      <c r="NA1992" s="100">
        <v>29</v>
      </c>
      <c r="ND1992" s="100">
        <v>35</v>
      </c>
      <c r="NE1992" s="100">
        <v>27</v>
      </c>
      <c r="NF1992" s="100">
        <v>32</v>
      </c>
      <c r="NI1992" s="100">
        <v>54</v>
      </c>
      <c r="NK1992" s="100">
        <v>27</v>
      </c>
      <c r="NL1992" s="100">
        <v>33</v>
      </c>
      <c r="NM1992" s="100">
        <v>40</v>
      </c>
      <c r="NS1992" s="100">
        <v>25</v>
      </c>
      <c r="NT1992" s="100">
        <v>14</v>
      </c>
      <c r="NV1992" s="100">
        <v>9</v>
      </c>
      <c r="ON1992" s="100">
        <f t="shared" si="613"/>
        <v>48</v>
      </c>
    </row>
    <row r="1993" spans="1:404" ht="23.25" customHeight="1">
      <c r="A1993" s="97" t="str">
        <f t="shared" si="610"/>
        <v>158/KHBS-2166-07100-S1-B</v>
      </c>
      <c r="B1993" s="95">
        <v>44306</v>
      </c>
      <c r="C1993" s="97">
        <f t="shared" ca="1" si="609"/>
        <v>-758</v>
      </c>
      <c r="D1993" s="96" t="s">
        <v>886</v>
      </c>
      <c r="E1993" s="94" t="s">
        <v>590</v>
      </c>
      <c r="F1993" s="98" t="str">
        <f t="shared" si="614"/>
        <v>B</v>
      </c>
      <c r="G1993" s="110">
        <f ca="1">SUMIF($A:E,$A1993,K:K)</f>
        <v>1</v>
      </c>
      <c r="H1993" s="97" t="s">
        <v>882</v>
      </c>
      <c r="I1993" s="98">
        <v>1</v>
      </c>
      <c r="J1993" s="99">
        <v>1</v>
      </c>
      <c r="K1993" s="143">
        <f t="shared" si="611"/>
        <v>1</v>
      </c>
      <c r="L1993" s="144">
        <f t="shared" si="612"/>
        <v>0</v>
      </c>
      <c r="M1993" s="275">
        <f t="shared" si="615"/>
        <v>1</v>
      </c>
      <c r="N1993" s="98">
        <v>2</v>
      </c>
      <c r="O1993" s="93">
        <f t="shared" ref="O1993:O1994" si="616">K1993/J1993*100</f>
        <v>100</v>
      </c>
      <c r="DA1993" s="101">
        <v>1</v>
      </c>
      <c r="ON1993" s="100">
        <f t="shared" si="613"/>
        <v>0</v>
      </c>
    </row>
    <row r="1994" spans="1:404" ht="23.25" customHeight="1">
      <c r="A1994" s="97" t="str">
        <f t="shared" si="610"/>
        <v>004/COMERZIA_SR-2166-07100-S1-B</v>
      </c>
      <c r="B1994" s="95">
        <v>44394</v>
      </c>
      <c r="C1994" s="97">
        <f t="shared" ca="1" si="609"/>
        <v>-670</v>
      </c>
      <c r="D1994" s="112" t="s">
        <v>1314</v>
      </c>
      <c r="E1994" s="123" t="s">
        <v>590</v>
      </c>
      <c r="F1994" s="98" t="str">
        <f t="shared" si="614"/>
        <v>B</v>
      </c>
      <c r="G1994" s="110">
        <f ca="1">SUMIF($A:E,$A1994,K:K)</f>
        <v>1</v>
      </c>
      <c r="H1994" s="97" t="s">
        <v>508</v>
      </c>
      <c r="I1994" s="98">
        <v>1</v>
      </c>
      <c r="J1994" s="115">
        <v>1</v>
      </c>
      <c r="K1994" s="143">
        <f t="shared" si="611"/>
        <v>1</v>
      </c>
      <c r="L1994" s="144">
        <f t="shared" si="612"/>
        <v>0</v>
      </c>
      <c r="M1994" s="275">
        <f t="shared" si="615"/>
        <v>1</v>
      </c>
      <c r="N1994" s="98">
        <v>5</v>
      </c>
      <c r="O1994" s="93">
        <f t="shared" si="616"/>
        <v>100</v>
      </c>
      <c r="GE1994" s="100">
        <v>1</v>
      </c>
      <c r="ON1994" s="100">
        <f t="shared" si="613"/>
        <v>0</v>
      </c>
    </row>
    <row r="1995" spans="1:404" ht="23.25" customHeight="1">
      <c r="A1995" s="97" t="str">
        <f t="shared" si="610"/>
        <v>003/ANNA-VG-21(đ1)66-07100-S1-A</v>
      </c>
      <c r="B1995" s="95">
        <v>44547</v>
      </c>
      <c r="C1995" s="97">
        <f t="shared" ca="1" si="609"/>
        <v>-517</v>
      </c>
      <c r="D1995" s="319" t="s">
        <v>1622</v>
      </c>
      <c r="E1995" s="279" t="s">
        <v>1624</v>
      </c>
      <c r="F1995" s="98" t="str">
        <f t="shared" si="614"/>
        <v>A</v>
      </c>
      <c r="G1995" s="110">
        <f ca="1">SUMIF($A:E,$A1995,K:K)</f>
        <v>216</v>
      </c>
      <c r="H1995" s="112" t="s">
        <v>990</v>
      </c>
      <c r="I1995" s="98">
        <v>216</v>
      </c>
      <c r="J1995" s="115">
        <v>216</v>
      </c>
      <c r="K1995" s="143">
        <f t="shared" si="611"/>
        <v>216</v>
      </c>
      <c r="L1995" s="144">
        <f t="shared" si="612"/>
        <v>0</v>
      </c>
      <c r="M1995" s="275">
        <f t="shared" si="615"/>
        <v>216</v>
      </c>
      <c r="N1995" s="98">
        <v>4</v>
      </c>
      <c r="O1995" s="93">
        <f t="shared" ref="O1995:O2011" si="617">K1995/J1995*100</f>
        <v>100</v>
      </c>
      <c r="LG1995" s="100">
        <v>52</v>
      </c>
      <c r="LI1995" s="100">
        <v>8</v>
      </c>
      <c r="LL1995" s="100">
        <v>21</v>
      </c>
      <c r="LM1995" s="100">
        <v>7</v>
      </c>
      <c r="LQ1995" s="100">
        <v>40</v>
      </c>
      <c r="LR1995" s="100">
        <v>15</v>
      </c>
      <c r="LS1995" s="100">
        <v>17</v>
      </c>
      <c r="LT1995" s="100">
        <v>16</v>
      </c>
      <c r="LU1995" s="100">
        <v>30</v>
      </c>
      <c r="LX1995" s="100">
        <v>8</v>
      </c>
      <c r="LZ1995" s="100">
        <v>2</v>
      </c>
      <c r="ON1995" s="100">
        <f t="shared" si="613"/>
        <v>0</v>
      </c>
    </row>
    <row r="1996" spans="1:404" ht="23.25" customHeight="1">
      <c r="A1996" s="97" t="str">
        <f t="shared" si="610"/>
        <v>165/KHBS-2166-07000-S1-B</v>
      </c>
      <c r="B1996" s="95">
        <v>44319</v>
      </c>
      <c r="C1996" s="97">
        <f t="shared" ca="1" si="609"/>
        <v>-745</v>
      </c>
      <c r="D1996" s="96" t="s">
        <v>925</v>
      </c>
      <c r="E1996" s="94" t="s">
        <v>589</v>
      </c>
      <c r="F1996" s="98" t="str">
        <f t="shared" si="614"/>
        <v>B</v>
      </c>
      <c r="G1996" s="110">
        <f ca="1">SUMIF($A:E,$A1996,K:K)</f>
        <v>1</v>
      </c>
      <c r="H1996" s="97" t="s">
        <v>715</v>
      </c>
      <c r="I1996" s="98">
        <v>1</v>
      </c>
      <c r="J1996" s="99">
        <v>1</v>
      </c>
      <c r="K1996" s="143">
        <f t="shared" si="611"/>
        <v>1</v>
      </c>
      <c r="L1996" s="144">
        <f t="shared" si="612"/>
        <v>0</v>
      </c>
      <c r="M1996" s="275">
        <f t="shared" si="615"/>
        <v>1</v>
      </c>
      <c r="N1996" s="98">
        <v>2</v>
      </c>
      <c r="O1996" s="93">
        <f t="shared" si="617"/>
        <v>100</v>
      </c>
      <c r="DK1996" s="101">
        <v>1</v>
      </c>
      <c r="ON1996" s="100">
        <f t="shared" si="613"/>
        <v>0</v>
      </c>
    </row>
    <row r="1997" spans="1:404" ht="23.25" customHeight="1">
      <c r="A1997" s="97" t="str">
        <f t="shared" si="610"/>
        <v>004/COMERZIA_SR-2166-07000-S1-B</v>
      </c>
      <c r="B1997" s="95">
        <v>44394</v>
      </c>
      <c r="C1997" s="97">
        <f t="shared" ca="1" si="609"/>
        <v>-670</v>
      </c>
      <c r="D1997" s="112" t="s">
        <v>1314</v>
      </c>
      <c r="E1997" s="123" t="s">
        <v>589</v>
      </c>
      <c r="F1997" s="98" t="str">
        <f t="shared" si="614"/>
        <v>B</v>
      </c>
      <c r="G1997" s="110">
        <f ca="1">SUMIF($A:E,$A1997,K:K)</f>
        <v>1</v>
      </c>
      <c r="H1997" s="97" t="s">
        <v>508</v>
      </c>
      <c r="I1997" s="98">
        <v>1</v>
      </c>
      <c r="J1997" s="115">
        <v>1</v>
      </c>
      <c r="K1997" s="143">
        <f t="shared" si="611"/>
        <v>1</v>
      </c>
      <c r="L1997" s="144">
        <f t="shared" si="612"/>
        <v>0</v>
      </c>
      <c r="M1997" s="275">
        <f t="shared" si="615"/>
        <v>1</v>
      </c>
      <c r="N1997" s="98">
        <v>5</v>
      </c>
      <c r="O1997" s="93">
        <f t="shared" si="617"/>
        <v>100</v>
      </c>
      <c r="GE1997" s="100">
        <v>1</v>
      </c>
      <c r="ON1997" s="100">
        <f t="shared" si="613"/>
        <v>0</v>
      </c>
    </row>
    <row r="1998" spans="1:404" ht="23.25" customHeight="1">
      <c r="A1998" s="97" t="str">
        <f t="shared" si="610"/>
        <v>003/ANNA-VG-21(đ6)66-07000-S1-A</v>
      </c>
      <c r="B1998" s="95">
        <v>44607</v>
      </c>
      <c r="C1998" s="97">
        <f t="shared" ca="1" si="609"/>
        <v>-457</v>
      </c>
      <c r="D1998" s="112" t="s">
        <v>1668</v>
      </c>
      <c r="E1998" s="279" t="s">
        <v>689</v>
      </c>
      <c r="F1998" s="98" t="str">
        <f t="shared" si="614"/>
        <v>A</v>
      </c>
      <c r="G1998" s="110">
        <f ca="1">SUMIF($A:E,$A1998,K:K)</f>
        <v>144</v>
      </c>
      <c r="H1998" s="112" t="s">
        <v>990</v>
      </c>
      <c r="I1998" s="98">
        <v>144</v>
      </c>
      <c r="J1998" s="115">
        <v>144</v>
      </c>
      <c r="K1998" s="143">
        <f t="shared" si="611"/>
        <v>144</v>
      </c>
      <c r="L1998" s="144">
        <f t="shared" si="612"/>
        <v>0</v>
      </c>
      <c r="M1998" s="275">
        <f t="shared" si="615"/>
        <v>144</v>
      </c>
      <c r="N1998" s="98">
        <v>4</v>
      </c>
      <c r="O1998" s="93">
        <f t="shared" si="617"/>
        <v>100</v>
      </c>
      <c r="MS1998" s="100">
        <v>7</v>
      </c>
      <c r="MT1998" s="100">
        <v>12</v>
      </c>
      <c r="MU1998" s="100">
        <v>18</v>
      </c>
      <c r="MW1998" s="100">
        <v>14</v>
      </c>
      <c r="MX1998" s="100">
        <v>7</v>
      </c>
      <c r="MY1998" s="100">
        <v>20</v>
      </c>
      <c r="MZ1998" s="100">
        <v>19</v>
      </c>
      <c r="NA1998" s="100">
        <v>20</v>
      </c>
      <c r="ND1998" s="100">
        <v>21</v>
      </c>
      <c r="NE1998" s="100">
        <v>6</v>
      </c>
      <c r="ON1998" s="100">
        <f t="shared" si="613"/>
        <v>0</v>
      </c>
    </row>
    <row r="1999" spans="1:404" ht="23.25" customHeight="1">
      <c r="A1999" s="97" t="str">
        <f>D1999&amp;E2000</f>
        <v>002/HOMESENSE-2166-06723-S2-B</v>
      </c>
      <c r="B1999" s="95">
        <v>44576</v>
      </c>
      <c r="C1999" s="97">
        <f t="shared" ca="1" si="609"/>
        <v>-488</v>
      </c>
      <c r="D1999" s="96" t="s">
        <v>1224</v>
      </c>
      <c r="E1999" s="385" t="s">
        <v>1226</v>
      </c>
      <c r="F1999" s="98" t="str">
        <f t="shared" si="614"/>
        <v>B</v>
      </c>
      <c r="G1999" s="110">
        <f ca="1">SUMIF($A:E,$A1999,K:K)</f>
        <v>252</v>
      </c>
      <c r="H1999" s="97" t="s">
        <v>508</v>
      </c>
      <c r="I1999" s="98">
        <v>252</v>
      </c>
      <c r="J1999" s="97">
        <v>252</v>
      </c>
      <c r="K1999" s="143">
        <f t="shared" si="611"/>
        <v>252</v>
      </c>
      <c r="L1999" s="144">
        <f t="shared" si="612"/>
        <v>0</v>
      </c>
      <c r="M1999" s="275">
        <f t="shared" si="615"/>
        <v>504</v>
      </c>
      <c r="N1999" s="98">
        <v>6</v>
      </c>
      <c r="O1999" s="93">
        <f t="shared" si="617"/>
        <v>100</v>
      </c>
      <c r="MT1999" s="100">
        <v>22</v>
      </c>
      <c r="MW1999" s="100">
        <v>32</v>
      </c>
      <c r="MX1999" s="100">
        <v>12</v>
      </c>
      <c r="MY1999" s="100">
        <v>20</v>
      </c>
      <c r="MZ1999" s="100">
        <v>28</v>
      </c>
      <c r="NA1999" s="100">
        <v>45</v>
      </c>
      <c r="ND1999" s="100">
        <v>32</v>
      </c>
      <c r="NE1999" s="100">
        <v>61</v>
      </c>
      <c r="ON1999" s="100">
        <f t="shared" si="613"/>
        <v>0</v>
      </c>
    </row>
    <row r="2000" spans="1:404" ht="23.25" customHeight="1">
      <c r="A2000" s="97" t="str">
        <f>D2000&amp;E2001</f>
        <v>006/MARSHALLS-2166-06723-S2-B</v>
      </c>
      <c r="B2000" s="95">
        <v>44568</v>
      </c>
      <c r="C2000" s="97">
        <f t="shared" ca="1" si="609"/>
        <v>-496</v>
      </c>
      <c r="D2000" s="96" t="s">
        <v>1245</v>
      </c>
      <c r="E2000" s="385" t="s">
        <v>1226</v>
      </c>
      <c r="F2000" s="98" t="str">
        <f t="shared" si="614"/>
        <v>B</v>
      </c>
      <c r="G2000" s="110">
        <f ca="1">SUMIF($A:E,$A2000,K:K)</f>
        <v>912</v>
      </c>
      <c r="H2000" s="97" t="s">
        <v>508</v>
      </c>
      <c r="I2000" s="98">
        <v>912</v>
      </c>
      <c r="J2000" s="97">
        <v>912</v>
      </c>
      <c r="K2000" s="143">
        <f t="shared" si="611"/>
        <v>912</v>
      </c>
      <c r="L2000" s="144">
        <f t="shared" si="612"/>
        <v>0</v>
      </c>
      <c r="M2000" s="275">
        <f t="shared" si="615"/>
        <v>1824</v>
      </c>
      <c r="N2000" s="98">
        <v>6</v>
      </c>
      <c r="O2000" s="93">
        <f t="shared" si="617"/>
        <v>100</v>
      </c>
      <c r="LK2000" s="100">
        <v>1</v>
      </c>
      <c r="LL2000" s="100">
        <v>15</v>
      </c>
      <c r="LM2000" s="100">
        <v>14</v>
      </c>
      <c r="LP2000" s="100">
        <v>36</v>
      </c>
      <c r="LQ2000" s="100">
        <v>16</v>
      </c>
      <c r="LR2000" s="100">
        <v>3</v>
      </c>
      <c r="LS2000" s="100">
        <v>12</v>
      </c>
      <c r="LT2000" s="100">
        <v>28</v>
      </c>
      <c r="LW2000" s="100">
        <v>63</v>
      </c>
      <c r="LX2000" s="100">
        <v>27</v>
      </c>
      <c r="LY2000" s="100">
        <v>32</v>
      </c>
      <c r="LZ2000" s="100">
        <v>11</v>
      </c>
      <c r="MA2000" s="100">
        <v>19</v>
      </c>
      <c r="MB2000" s="100">
        <v>15</v>
      </c>
      <c r="MD2000" s="100">
        <v>28</v>
      </c>
      <c r="ME2000" s="100">
        <v>55</v>
      </c>
      <c r="MF2000" s="100">
        <v>51</v>
      </c>
      <c r="MG2000" s="100">
        <v>52</v>
      </c>
      <c r="MH2000" s="100">
        <v>46</v>
      </c>
      <c r="MK2000" s="100">
        <v>32</v>
      </c>
      <c r="ML2000" s="100">
        <v>47</v>
      </c>
      <c r="MM2000" s="100">
        <v>17</v>
      </c>
      <c r="MN2000" s="100">
        <v>29</v>
      </c>
      <c r="MO2000" s="100">
        <v>27</v>
      </c>
      <c r="MP2000" s="100">
        <v>34</v>
      </c>
      <c r="MQ2000" s="100">
        <v>2</v>
      </c>
      <c r="MR2000" s="100">
        <v>46</v>
      </c>
      <c r="MS2000" s="100">
        <v>48</v>
      </c>
      <c r="MT2000" s="100">
        <v>42</v>
      </c>
      <c r="MW2000" s="100">
        <v>64</v>
      </c>
      <c r="ON2000" s="100">
        <f t="shared" si="613"/>
        <v>0</v>
      </c>
    </row>
    <row r="2001" spans="1:404" ht="23.25" customHeight="1">
      <c r="A2001" s="97" t="str">
        <f>D2001&amp;E2002</f>
        <v>006/TJ MAXX-2166-06723-S2-B</v>
      </c>
      <c r="B2001" s="95" t="s">
        <v>1244</v>
      </c>
      <c r="C2001" s="97">
        <f t="shared" ca="1" si="609"/>
        <v>-506</v>
      </c>
      <c r="D2001" s="96" t="s">
        <v>1246</v>
      </c>
      <c r="E2001" s="94" t="s">
        <v>1226</v>
      </c>
      <c r="F2001" s="98" t="str">
        <f t="shared" si="614"/>
        <v>B</v>
      </c>
      <c r="G2001" s="110">
        <f ca="1">SUMIF($A:E,$A2001,K:K)</f>
        <v>1296</v>
      </c>
      <c r="H2001" s="97" t="s">
        <v>508</v>
      </c>
      <c r="I2001" s="98">
        <v>1296</v>
      </c>
      <c r="J2001" s="97">
        <v>1296</v>
      </c>
      <c r="K2001" s="143">
        <f t="shared" si="611"/>
        <v>1296</v>
      </c>
      <c r="L2001" s="144">
        <f t="shared" si="612"/>
        <v>0</v>
      </c>
      <c r="M2001" s="275">
        <f t="shared" si="615"/>
        <v>2592</v>
      </c>
      <c r="N2001" s="98">
        <v>6</v>
      </c>
      <c r="O2001" s="93">
        <f t="shared" si="617"/>
        <v>100</v>
      </c>
      <c r="JH2001" s="100">
        <v>17</v>
      </c>
      <c r="JI2001" s="100">
        <v>19</v>
      </c>
      <c r="JJ2001" s="100">
        <v>22</v>
      </c>
      <c r="JK2001" s="100">
        <v>14</v>
      </c>
      <c r="JN2001" s="100">
        <f>25+40</f>
        <v>65</v>
      </c>
      <c r="JO2001" s="100">
        <v>32</v>
      </c>
      <c r="JP2001" s="100">
        <v>24</v>
      </c>
      <c r="JQ2001" s="100">
        <v>17</v>
      </c>
      <c r="JR2001" s="100">
        <v>30</v>
      </c>
      <c r="JT2001" s="100">
        <v>29</v>
      </c>
      <c r="JU2001" s="100">
        <v>18</v>
      </c>
      <c r="JV2001" s="100">
        <v>11</v>
      </c>
      <c r="JW2001" s="100">
        <v>32</v>
      </c>
      <c r="JY2001" s="100">
        <v>62</v>
      </c>
      <c r="KA2001" s="100">
        <v>39</v>
      </c>
      <c r="KB2001" s="100">
        <v>18</v>
      </c>
      <c r="KC2001" s="100">
        <v>43</v>
      </c>
      <c r="KD2001" s="100">
        <v>32</v>
      </c>
      <c r="KE2001" s="100">
        <v>18</v>
      </c>
      <c r="KF2001" s="100">
        <v>28</v>
      </c>
      <c r="KG2001" s="100">
        <v>23</v>
      </c>
      <c r="KH2001" s="100">
        <v>49</v>
      </c>
      <c r="KI2001" s="100">
        <v>20</v>
      </c>
      <c r="KJ2001" s="100">
        <v>11</v>
      </c>
      <c r="KN2001" s="100">
        <v>27</v>
      </c>
      <c r="KO2001" s="100">
        <v>19</v>
      </c>
      <c r="KP2001" s="100">
        <v>7</v>
      </c>
      <c r="KQ2001" s="100">
        <v>29</v>
      </c>
      <c r="KR2001" s="100">
        <v>18</v>
      </c>
      <c r="KS2001" s="100">
        <v>40</v>
      </c>
      <c r="KU2001" s="100">
        <v>26</v>
      </c>
      <c r="KV2001" s="100">
        <v>29</v>
      </c>
      <c r="KW2001" s="100">
        <v>7</v>
      </c>
      <c r="KX2001" s="100">
        <v>22</v>
      </c>
      <c r="KY2001" s="100">
        <v>29</v>
      </c>
      <c r="KZ2001" s="100">
        <v>66</v>
      </c>
      <c r="LB2001" s="100">
        <v>42</v>
      </c>
      <c r="LC2001" s="100">
        <v>32</v>
      </c>
      <c r="LD2001" s="100">
        <v>42</v>
      </c>
      <c r="LE2001" s="100">
        <v>12</v>
      </c>
      <c r="LF2001" s="100">
        <v>37</v>
      </c>
      <c r="LG2001" s="100">
        <v>47</v>
      </c>
      <c r="LI2001" s="100">
        <v>33</v>
      </c>
      <c r="LJ2001" s="100">
        <v>31</v>
      </c>
      <c r="LK2001" s="100">
        <v>28</v>
      </c>
      <c r="ON2001" s="100">
        <f t="shared" si="613"/>
        <v>0</v>
      </c>
    </row>
    <row r="2002" spans="1:404" ht="23.25" customHeight="1">
      <c r="A2002" s="97" t="str">
        <f>D2002&amp;E2002</f>
        <v>001/WINNERS-2166-06723-S2-B</v>
      </c>
      <c r="B2002" s="95">
        <v>44523</v>
      </c>
      <c r="C2002" s="97">
        <f t="shared" ca="1" si="609"/>
        <v>-541</v>
      </c>
      <c r="D2002" s="96" t="s">
        <v>1272</v>
      </c>
      <c r="E2002" s="94" t="s">
        <v>1226</v>
      </c>
      <c r="F2002" s="98" t="str">
        <f t="shared" si="614"/>
        <v>B</v>
      </c>
      <c r="G2002" s="110">
        <f ca="1">SUMIF($A:E,$A2002,K:K)</f>
        <v>396</v>
      </c>
      <c r="H2002" s="97" t="s">
        <v>933</v>
      </c>
      <c r="I2002" s="98">
        <v>396</v>
      </c>
      <c r="J2002" s="98">
        <v>396</v>
      </c>
      <c r="K2002" s="143">
        <f t="shared" si="611"/>
        <v>396</v>
      </c>
      <c r="L2002" s="144">
        <f t="shared" si="612"/>
        <v>0</v>
      </c>
      <c r="M2002" s="275">
        <f t="shared" si="615"/>
        <v>792</v>
      </c>
      <c r="N2002" s="98">
        <v>6</v>
      </c>
      <c r="O2002" s="93">
        <f t="shared" si="617"/>
        <v>100</v>
      </c>
      <c r="IM2002" s="100">
        <v>1</v>
      </c>
      <c r="IO2002" s="100">
        <v>37</v>
      </c>
      <c r="IR2002" s="100">
        <v>16</v>
      </c>
      <c r="IW2002" s="100">
        <v>39</v>
      </c>
      <c r="IY2002" s="100">
        <v>31</v>
      </c>
      <c r="IZ2002" s="100">
        <v>15</v>
      </c>
      <c r="JA2002" s="100">
        <v>20</v>
      </c>
      <c r="JC2002" s="100">
        <v>61</v>
      </c>
      <c r="JD2002" s="100">
        <v>13</v>
      </c>
      <c r="JF2002" s="100">
        <v>70</v>
      </c>
      <c r="JG2002" s="100">
        <v>77</v>
      </c>
      <c r="JH2002" s="100">
        <v>16</v>
      </c>
      <c r="ON2002" s="100">
        <f t="shared" si="613"/>
        <v>0</v>
      </c>
    </row>
    <row r="2003" spans="1:404" ht="23.25" customHeight="1">
      <c r="A2003" s="97" t="str">
        <f>D2003&amp;E2003</f>
        <v>001/SIERRA-2166-06723-S2-B</v>
      </c>
      <c r="B2003" s="206">
        <v>44523</v>
      </c>
      <c r="C2003" s="97">
        <f t="shared" ca="1" si="609"/>
        <v>-541</v>
      </c>
      <c r="D2003" s="112" t="s">
        <v>1369</v>
      </c>
      <c r="E2003" s="123" t="s">
        <v>1226</v>
      </c>
      <c r="F2003" s="98" t="str">
        <f t="shared" si="614"/>
        <v>B</v>
      </c>
      <c r="G2003" s="110">
        <f ca="1">SUMIF($A:E,$A2003,K:K)</f>
        <v>72</v>
      </c>
      <c r="H2003" s="97" t="s">
        <v>508</v>
      </c>
      <c r="I2003" s="98">
        <v>54</v>
      </c>
      <c r="J2003" s="115">
        <v>72</v>
      </c>
      <c r="K2003" s="143">
        <f t="shared" si="611"/>
        <v>72</v>
      </c>
      <c r="L2003" s="144">
        <f t="shared" si="612"/>
        <v>0</v>
      </c>
      <c r="M2003" s="275">
        <f t="shared" si="615"/>
        <v>108</v>
      </c>
      <c r="N2003" s="98">
        <v>6</v>
      </c>
      <c r="O2003" s="93">
        <f t="shared" si="617"/>
        <v>100</v>
      </c>
      <c r="IM2003" s="100">
        <v>72</v>
      </c>
      <c r="ON2003" s="100">
        <f t="shared" si="613"/>
        <v>0</v>
      </c>
    </row>
    <row r="2004" spans="1:404" ht="23.25" customHeight="1">
      <c r="A2004" s="97" t="s">
        <v>1370</v>
      </c>
      <c r="B2004" s="95">
        <v>44602</v>
      </c>
      <c r="C2004" s="97">
        <f t="shared" ca="1" si="609"/>
        <v>-462</v>
      </c>
      <c r="D2004" s="112" t="s">
        <v>2200</v>
      </c>
      <c r="E2004" s="123" t="s">
        <v>1226</v>
      </c>
      <c r="F2004" s="98" t="str">
        <f t="shared" si="614"/>
        <v>B</v>
      </c>
      <c r="G2004" s="110">
        <f ca="1">SUMIF($A:E,$A2004,K:K)</f>
        <v>5654</v>
      </c>
      <c r="H2004" s="97" t="s">
        <v>508</v>
      </c>
      <c r="I2004" s="98">
        <v>96</v>
      </c>
      <c r="J2004" s="115">
        <v>96</v>
      </c>
      <c r="K2004" s="143">
        <f t="shared" si="611"/>
        <v>96</v>
      </c>
      <c r="L2004" s="144">
        <f t="shared" si="612"/>
        <v>0</v>
      </c>
      <c r="M2004" s="275">
        <f t="shared" si="615"/>
        <v>192</v>
      </c>
      <c r="N2004" s="98">
        <v>6</v>
      </c>
      <c r="O2004" s="93">
        <f t="shared" si="617"/>
        <v>100</v>
      </c>
      <c r="NF2004" s="100">
        <v>4</v>
      </c>
      <c r="NI2004" s="100">
        <v>62</v>
      </c>
      <c r="NK2004" s="100">
        <v>26</v>
      </c>
      <c r="NL2004" s="100">
        <v>4</v>
      </c>
      <c r="ON2004" s="100">
        <f t="shared" si="613"/>
        <v>0</v>
      </c>
    </row>
    <row r="2005" spans="1:404" ht="23.25" customHeight="1">
      <c r="A2005" s="97" t="str">
        <f>D2005&amp;E2005</f>
        <v xml:space="preserve">	001/AL-FARES-VG-2166-06723-S2-B</v>
      </c>
      <c r="B2005" s="95">
        <v>44686</v>
      </c>
      <c r="C2005" s="97">
        <f t="shared" ref="C2005:C2019" ca="1" si="618">B2005-TODAY()</f>
        <v>-378</v>
      </c>
      <c r="D2005" s="112" t="s">
        <v>1814</v>
      </c>
      <c r="E2005" s="123" t="s">
        <v>1226</v>
      </c>
      <c r="F2005" s="98" t="str">
        <f t="shared" si="614"/>
        <v>B</v>
      </c>
      <c r="G2005" s="110">
        <f ca="1">SUMIF($A:E,$A2005,K:K)</f>
        <v>0</v>
      </c>
      <c r="H2005" s="112" t="s">
        <v>1561</v>
      </c>
      <c r="I2005" s="98">
        <v>252</v>
      </c>
      <c r="J2005" s="115">
        <v>252</v>
      </c>
      <c r="K2005" s="143">
        <f t="shared" si="611"/>
        <v>0</v>
      </c>
      <c r="L2005" s="144">
        <f t="shared" si="612"/>
        <v>252</v>
      </c>
      <c r="M2005" s="275">
        <f t="shared" si="615"/>
        <v>504</v>
      </c>
      <c r="N2005" s="98"/>
      <c r="O2005" s="93">
        <f t="shared" si="617"/>
        <v>0</v>
      </c>
      <c r="ON2005" s="100">
        <f t="shared" si="613"/>
        <v>0</v>
      </c>
    </row>
    <row r="2006" spans="1:404" ht="23.25" customHeight="1">
      <c r="A2006" s="97" t="str">
        <f>D2006&amp;E2006</f>
        <v>003/ANNA-VG-21(đ1)66-06722-S2-B</v>
      </c>
      <c r="B2006" s="95">
        <v>44545</v>
      </c>
      <c r="C2006" s="97">
        <f t="shared" ca="1" si="618"/>
        <v>-519</v>
      </c>
      <c r="D2006" s="112" t="s">
        <v>1622</v>
      </c>
      <c r="E2006" s="123" t="s">
        <v>1623</v>
      </c>
      <c r="F2006" s="98" t="str">
        <f t="shared" si="614"/>
        <v>B</v>
      </c>
      <c r="G2006" s="110">
        <f ca="1">SUMIF($A:E,$A2006,K:K)</f>
        <v>480</v>
      </c>
      <c r="H2006" s="112" t="s">
        <v>990</v>
      </c>
      <c r="I2006" s="98">
        <v>480</v>
      </c>
      <c r="J2006" s="115">
        <v>480</v>
      </c>
      <c r="K2006" s="143">
        <f t="shared" si="611"/>
        <v>480</v>
      </c>
      <c r="L2006" s="144">
        <f t="shared" si="612"/>
        <v>0</v>
      </c>
      <c r="M2006" s="275">
        <f t="shared" si="615"/>
        <v>960</v>
      </c>
      <c r="N2006" s="98">
        <v>6</v>
      </c>
      <c r="O2006" s="93">
        <f t="shared" si="617"/>
        <v>100</v>
      </c>
      <c r="KU2006" s="100">
        <v>34</v>
      </c>
      <c r="KV2006" s="100">
        <v>9</v>
      </c>
      <c r="KX2006" s="100">
        <v>49</v>
      </c>
      <c r="KY2006" s="100">
        <v>58</v>
      </c>
      <c r="KZ2006" s="100">
        <v>31</v>
      </c>
      <c r="LB2006" s="100">
        <v>57</v>
      </c>
      <c r="LC2006" s="100">
        <v>39</v>
      </c>
      <c r="LD2006" s="100">
        <v>35</v>
      </c>
      <c r="LE2006" s="100">
        <v>11</v>
      </c>
      <c r="LF2006" s="100">
        <v>9</v>
      </c>
      <c r="LG2006" s="100">
        <v>30</v>
      </c>
      <c r="LI2006" s="100">
        <v>20</v>
      </c>
      <c r="LJ2006" s="100">
        <v>19</v>
      </c>
      <c r="LK2006" s="100">
        <v>17</v>
      </c>
      <c r="LL2006" s="100">
        <v>12</v>
      </c>
      <c r="LM2006" s="100">
        <v>5</v>
      </c>
      <c r="LN2006" s="100">
        <v>17</v>
      </c>
      <c r="LP2006" s="100">
        <v>10</v>
      </c>
      <c r="LQ2006" s="100">
        <v>18</v>
      </c>
      <c r="ON2006" s="100">
        <f t="shared" si="613"/>
        <v>0</v>
      </c>
    </row>
    <row r="2007" spans="1:404" ht="23.25" customHeight="1">
      <c r="A2007" s="97" t="e">
        <f>D2007&amp;#REF!</f>
        <v>#REF!</v>
      </c>
      <c r="B2007" s="95">
        <v>44564</v>
      </c>
      <c r="C2007" s="97">
        <f t="shared" ca="1" si="618"/>
        <v>-500</v>
      </c>
      <c r="D2007" s="96" t="s">
        <v>1187</v>
      </c>
      <c r="E2007" s="94" t="s">
        <v>1191</v>
      </c>
      <c r="F2007" s="98" t="str">
        <f t="shared" si="614"/>
        <v>B</v>
      </c>
      <c r="G2007" s="110">
        <f ca="1">SUMIF($A:E,$A2007,K:K)</f>
        <v>1754</v>
      </c>
      <c r="H2007" s="97" t="s">
        <v>964</v>
      </c>
      <c r="I2007" s="98">
        <v>240</v>
      </c>
      <c r="J2007" s="97">
        <v>240</v>
      </c>
      <c r="K2007" s="143">
        <f t="shared" si="611"/>
        <v>240</v>
      </c>
      <c r="L2007" s="144">
        <f t="shared" si="612"/>
        <v>0</v>
      </c>
      <c r="M2007" s="275">
        <f t="shared" si="615"/>
        <v>240</v>
      </c>
      <c r="N2007" s="98">
        <v>6</v>
      </c>
      <c r="O2007" s="93">
        <f t="shared" si="617"/>
        <v>100</v>
      </c>
      <c r="MF2007" s="100">
        <v>14</v>
      </c>
      <c r="MG2007" s="100">
        <v>36</v>
      </c>
      <c r="MH2007" s="100">
        <v>33</v>
      </c>
      <c r="MK2007" s="100">
        <v>51</v>
      </c>
      <c r="ML2007" s="100">
        <v>55</v>
      </c>
      <c r="MM2007" s="100">
        <v>20</v>
      </c>
      <c r="MN2007" s="100">
        <v>17</v>
      </c>
      <c r="MW2007" s="100">
        <v>14</v>
      </c>
      <c r="ON2007" s="100">
        <f t="shared" si="613"/>
        <v>0</v>
      </c>
    </row>
    <row r="2008" spans="1:404" ht="23.25" customHeight="1">
      <c r="A2008" s="97" t="str">
        <f>D2008&amp;E2008</f>
        <v>004/COMERZIA_SR-2166-06722-02-B</v>
      </c>
      <c r="B2008" s="95">
        <v>44394</v>
      </c>
      <c r="C2008" s="97">
        <f t="shared" ca="1" si="618"/>
        <v>-670</v>
      </c>
      <c r="D2008" s="112" t="s">
        <v>1314</v>
      </c>
      <c r="E2008" s="123" t="s">
        <v>1191</v>
      </c>
      <c r="F2008" s="98" t="str">
        <f t="shared" si="614"/>
        <v>B</v>
      </c>
      <c r="G2008" s="110">
        <f ca="1">SUMIF($A:E,$A2008,K:K)</f>
        <v>3</v>
      </c>
      <c r="H2008" s="97" t="s">
        <v>507</v>
      </c>
      <c r="I2008" s="98">
        <v>3</v>
      </c>
      <c r="J2008" s="115">
        <v>3</v>
      </c>
      <c r="K2008" s="143">
        <f t="shared" si="611"/>
        <v>3</v>
      </c>
      <c r="L2008" s="144">
        <f t="shared" si="612"/>
        <v>0</v>
      </c>
      <c r="M2008" s="275">
        <f t="shared" si="615"/>
        <v>3</v>
      </c>
      <c r="N2008" s="98">
        <v>5</v>
      </c>
      <c r="O2008" s="93">
        <f t="shared" si="617"/>
        <v>100</v>
      </c>
      <c r="GD2008" s="100">
        <v>2</v>
      </c>
      <c r="GE2008" s="100">
        <v>1</v>
      </c>
      <c r="ON2008" s="100">
        <f t="shared" si="613"/>
        <v>0</v>
      </c>
    </row>
    <row r="2009" spans="1:404" ht="23.25" customHeight="1">
      <c r="A2009" s="97" t="str">
        <f>D2009&amp;E2009</f>
        <v>003/ANNA-VG-21(đ1)66-06722-02-B</v>
      </c>
      <c r="B2009" s="95">
        <v>44547</v>
      </c>
      <c r="C2009" s="97">
        <f t="shared" ca="1" si="618"/>
        <v>-517</v>
      </c>
      <c r="D2009" s="112" t="s">
        <v>1622</v>
      </c>
      <c r="E2009" s="123" t="s">
        <v>1191</v>
      </c>
      <c r="F2009" s="98" t="str">
        <f t="shared" si="614"/>
        <v>B</v>
      </c>
      <c r="G2009" s="110">
        <f ca="1">SUMIF($A:E,$A2009,K:K)</f>
        <v>576</v>
      </c>
      <c r="H2009" s="112" t="s">
        <v>990</v>
      </c>
      <c r="I2009" s="98">
        <v>576</v>
      </c>
      <c r="J2009" s="115">
        <v>576</v>
      </c>
      <c r="K2009" s="143">
        <f t="shared" si="611"/>
        <v>576</v>
      </c>
      <c r="L2009" s="144">
        <f t="shared" si="612"/>
        <v>0</v>
      </c>
      <c r="M2009" s="275">
        <f t="shared" si="615"/>
        <v>576</v>
      </c>
      <c r="N2009" s="98">
        <v>6</v>
      </c>
      <c r="O2009" s="93">
        <f t="shared" si="617"/>
        <v>100</v>
      </c>
      <c r="LF2009" s="100">
        <v>46</v>
      </c>
      <c r="LG2009" s="100">
        <v>20</v>
      </c>
      <c r="LI2009" s="100">
        <v>35</v>
      </c>
      <c r="LJ2009" s="100">
        <v>19</v>
      </c>
      <c r="LK2009" s="100">
        <v>15</v>
      </c>
      <c r="LM2009" s="100">
        <v>23</v>
      </c>
      <c r="LN2009" s="100">
        <v>19</v>
      </c>
      <c r="LP2009" s="100">
        <v>32</v>
      </c>
      <c r="LQ2009" s="100">
        <v>9</v>
      </c>
      <c r="LS2009" s="100">
        <v>16</v>
      </c>
      <c r="LT2009" s="100">
        <v>15</v>
      </c>
      <c r="LW2009" s="100">
        <v>71</v>
      </c>
      <c r="LX2009" s="100">
        <v>42</v>
      </c>
      <c r="LY2009" s="100">
        <v>18</v>
      </c>
      <c r="MA2009" s="100">
        <v>37</v>
      </c>
      <c r="MD2009" s="100">
        <f>16+28</f>
        <v>44</v>
      </c>
      <c r="ME2009" s="100">
        <v>40</v>
      </c>
      <c r="MF2009" s="100">
        <v>37</v>
      </c>
      <c r="MG2009" s="100">
        <v>38</v>
      </c>
      <c r="ON2009" s="100">
        <f t="shared" si="613"/>
        <v>0</v>
      </c>
    </row>
    <row r="2010" spans="1:404" ht="23.25" customHeight="1">
      <c r="A2010" s="97" t="str">
        <f>D2010&amp;E2012</f>
        <v>008/COMERZIA-2166-06700-S2-B2</v>
      </c>
      <c r="B2010" s="95">
        <v>44564</v>
      </c>
      <c r="C2010" s="97">
        <f t="shared" ca="1" si="618"/>
        <v>-500</v>
      </c>
      <c r="D2010" s="96" t="s">
        <v>1187</v>
      </c>
      <c r="E2010" s="94" t="s">
        <v>1190</v>
      </c>
      <c r="F2010" s="98" t="str">
        <f t="shared" si="614"/>
        <v>B</v>
      </c>
      <c r="G2010" s="110">
        <f ca="1">SUMIF($A:E,$A2010,K:K)</f>
        <v>200</v>
      </c>
      <c r="H2010" s="97" t="s">
        <v>964</v>
      </c>
      <c r="I2010" s="98">
        <v>200</v>
      </c>
      <c r="J2010" s="97">
        <v>200</v>
      </c>
      <c r="K2010" s="143">
        <f t="shared" si="611"/>
        <v>200</v>
      </c>
      <c r="L2010" s="144">
        <f t="shared" si="612"/>
        <v>0</v>
      </c>
      <c r="M2010" s="275">
        <f t="shared" si="615"/>
        <v>200</v>
      </c>
      <c r="N2010" s="98">
        <v>6</v>
      </c>
      <c r="O2010" s="93">
        <f t="shared" si="617"/>
        <v>100</v>
      </c>
      <c r="MF2010" s="100">
        <v>68</v>
      </c>
      <c r="MG2010" s="100">
        <v>32</v>
      </c>
      <c r="MH2010" s="100">
        <v>74</v>
      </c>
      <c r="MK2010" s="100">
        <v>18</v>
      </c>
      <c r="ML2010" s="100">
        <v>8</v>
      </c>
      <c r="ON2010" s="100">
        <f t="shared" si="613"/>
        <v>0</v>
      </c>
    </row>
    <row r="2011" spans="1:404" ht="23.25" customHeight="1">
      <c r="A2011" s="97" t="str">
        <f t="shared" ref="A2011:A2015" si="619">D2011&amp;E2011</f>
        <v>004/COMERZIA_SR-2166-06722-01-B</v>
      </c>
      <c r="B2011" s="95">
        <v>44394</v>
      </c>
      <c r="C2011" s="97">
        <f t="shared" ca="1" si="618"/>
        <v>-670</v>
      </c>
      <c r="D2011" s="112" t="s">
        <v>1314</v>
      </c>
      <c r="E2011" s="123" t="s">
        <v>1190</v>
      </c>
      <c r="F2011" s="98" t="str">
        <f t="shared" si="614"/>
        <v>B</v>
      </c>
      <c r="G2011" s="110">
        <f ca="1">SUMIF($A:E,$A2011,K:K)</f>
        <v>3</v>
      </c>
      <c r="H2011" s="97" t="s">
        <v>507</v>
      </c>
      <c r="I2011" s="98">
        <v>3</v>
      </c>
      <c r="J2011" s="115">
        <v>3</v>
      </c>
      <c r="K2011" s="143">
        <f t="shared" si="611"/>
        <v>3</v>
      </c>
      <c r="L2011" s="144">
        <f t="shared" si="612"/>
        <v>0</v>
      </c>
      <c r="M2011" s="275">
        <f t="shared" si="615"/>
        <v>3</v>
      </c>
      <c r="N2011" s="98">
        <v>5</v>
      </c>
      <c r="O2011" s="93">
        <f t="shared" si="617"/>
        <v>100</v>
      </c>
      <c r="GD2011" s="100">
        <v>2</v>
      </c>
      <c r="GE2011" s="100">
        <v>1</v>
      </c>
      <c r="ON2011" s="100">
        <f t="shared" si="613"/>
        <v>0</v>
      </c>
    </row>
    <row r="2012" spans="1:404" ht="23.25" customHeight="1">
      <c r="A2012" s="97" t="str">
        <f t="shared" si="619"/>
        <v>019/KHBS-2166-06700-S2-B2</v>
      </c>
      <c r="B2012" s="95">
        <v>44212</v>
      </c>
      <c r="C2012" s="97">
        <f t="shared" ca="1" si="618"/>
        <v>-852</v>
      </c>
      <c r="D2012" s="96" t="s">
        <v>732</v>
      </c>
      <c r="E2012" s="94" t="s">
        <v>581</v>
      </c>
      <c r="F2012" s="98" t="str">
        <f t="shared" ref="F2012:F2013" si="620">MID(E2012,13,2)</f>
        <v>B2</v>
      </c>
      <c r="G2012" s="110">
        <f ca="1">SUMIF($A:E,$A2012,K:K)</f>
        <v>3</v>
      </c>
      <c r="H2012" s="97" t="s">
        <v>508</v>
      </c>
      <c r="I2012" s="98">
        <v>3</v>
      </c>
      <c r="J2012" s="99">
        <v>3</v>
      </c>
      <c r="K2012" s="143">
        <f t="shared" si="611"/>
        <v>3</v>
      </c>
      <c r="L2012" s="144">
        <f t="shared" si="612"/>
        <v>0</v>
      </c>
      <c r="M2012" s="275">
        <f t="shared" si="615"/>
        <v>6</v>
      </c>
      <c r="N2012" s="98">
        <v>3</v>
      </c>
      <c r="O2012" s="93">
        <f t="shared" ref="O2012:O2034" si="621">K2012/J2012*100</f>
        <v>100</v>
      </c>
      <c r="Y2012" s="101">
        <v>3</v>
      </c>
      <c r="ON2012" s="100">
        <f t="shared" si="613"/>
        <v>0</v>
      </c>
    </row>
    <row r="2013" spans="1:404" ht="23.25" customHeight="1">
      <c r="A2013" s="97" t="str">
        <f t="shared" si="619"/>
        <v>033/KHBS-2166-06700-S2-B2</v>
      </c>
      <c r="B2013" s="95">
        <v>44220</v>
      </c>
      <c r="C2013" s="97">
        <f t="shared" ca="1" si="618"/>
        <v>-844</v>
      </c>
      <c r="D2013" s="96" t="s">
        <v>678</v>
      </c>
      <c r="E2013" s="94" t="s">
        <v>581</v>
      </c>
      <c r="F2013" s="98" t="str">
        <f t="shared" si="620"/>
        <v>B2</v>
      </c>
      <c r="G2013" s="110">
        <f ca="1">SUMIF($A:E,$A2013,K:K)</f>
        <v>1</v>
      </c>
      <c r="H2013" s="97" t="s">
        <v>508</v>
      </c>
      <c r="I2013" s="98">
        <v>1</v>
      </c>
      <c r="J2013" s="99">
        <v>1</v>
      </c>
      <c r="K2013" s="143">
        <f t="shared" si="611"/>
        <v>1</v>
      </c>
      <c r="L2013" s="144">
        <f t="shared" si="612"/>
        <v>0</v>
      </c>
      <c r="M2013" s="275">
        <f t="shared" si="615"/>
        <v>2</v>
      </c>
      <c r="N2013" s="98">
        <v>2</v>
      </c>
      <c r="O2013" s="93">
        <f t="shared" si="621"/>
        <v>100</v>
      </c>
      <c r="AJ2013" s="101">
        <v>1</v>
      </c>
      <c r="ON2013" s="100">
        <f t="shared" si="613"/>
        <v>0</v>
      </c>
    </row>
    <row r="2014" spans="1:404" ht="23.25" customHeight="1">
      <c r="A2014" s="97" t="str">
        <f t="shared" si="619"/>
        <v>037/KHBS-2166-06700-S2-B</v>
      </c>
      <c r="B2014" s="95">
        <v>44222</v>
      </c>
      <c r="C2014" s="97">
        <f t="shared" ca="1" si="618"/>
        <v>-842</v>
      </c>
      <c r="D2014" s="96" t="s">
        <v>724</v>
      </c>
      <c r="E2014" s="94" t="s">
        <v>582</v>
      </c>
      <c r="F2014" s="98" t="str">
        <f t="shared" ref="F2014:F2019" si="622">MID(E2014,13,2)</f>
        <v>B</v>
      </c>
      <c r="G2014" s="110">
        <f ca="1">SUMIF($A:E,$A2014,K:K)</f>
        <v>2</v>
      </c>
      <c r="H2014" s="97" t="s">
        <v>508</v>
      </c>
      <c r="I2014" s="98">
        <v>2</v>
      </c>
      <c r="J2014" s="99">
        <v>2</v>
      </c>
      <c r="K2014" s="143">
        <f t="shared" si="611"/>
        <v>2</v>
      </c>
      <c r="L2014" s="144">
        <f t="shared" si="612"/>
        <v>0</v>
      </c>
      <c r="M2014" s="275">
        <f t="shared" si="615"/>
        <v>4</v>
      </c>
      <c r="N2014" s="98">
        <v>2</v>
      </c>
      <c r="O2014" s="93">
        <f t="shared" si="621"/>
        <v>100</v>
      </c>
      <c r="AJ2014" s="101">
        <v>2</v>
      </c>
      <c r="ON2014" s="100">
        <f t="shared" si="613"/>
        <v>0</v>
      </c>
    </row>
    <row r="2015" spans="1:404" ht="23.25" customHeight="1">
      <c r="A2015" s="97" t="str">
        <f t="shared" si="619"/>
        <v>001/ANNA-2166-06700-S2-B</v>
      </c>
      <c r="B2015" s="95">
        <v>44395</v>
      </c>
      <c r="C2015" s="97">
        <f t="shared" ca="1" si="618"/>
        <v>-669</v>
      </c>
      <c r="D2015" s="159" t="s">
        <v>862</v>
      </c>
      <c r="E2015" s="123" t="s">
        <v>582</v>
      </c>
      <c r="F2015" s="98" t="str">
        <f t="shared" si="622"/>
        <v>B</v>
      </c>
      <c r="G2015" s="110">
        <f ca="1">SUMIF($A:E,$A2015,K:K)</f>
        <v>189</v>
      </c>
      <c r="H2015" s="97" t="s">
        <v>882</v>
      </c>
      <c r="I2015" s="98">
        <v>189</v>
      </c>
      <c r="J2015" s="115">
        <v>189</v>
      </c>
      <c r="K2015" s="143">
        <f t="shared" si="611"/>
        <v>189</v>
      </c>
      <c r="L2015" s="144">
        <f t="shared" si="612"/>
        <v>0</v>
      </c>
      <c r="M2015" s="275">
        <f t="shared" ref="M2015:M2019" si="623">IF(OR(MID(E2015,10,1)="0",MID(E2015,10,1)="F"),I2015,IF(OR(,MID(E2015,10,1)="S",MID(E2015,10,1)="L",MID(E2015,10,1)="B",MID(E2015,10,1)="X"),MID(E2015,11,1)*I2015,0))</f>
        <v>378</v>
      </c>
      <c r="N2015" s="98">
        <v>2</v>
      </c>
      <c r="O2015" s="93">
        <f t="shared" si="621"/>
        <v>100</v>
      </c>
      <c r="DA2015" s="101">
        <v>5</v>
      </c>
      <c r="DB2015" s="101">
        <v>6</v>
      </c>
      <c r="DE2015" s="101">
        <v>14</v>
      </c>
      <c r="DF2015" s="101">
        <v>8</v>
      </c>
      <c r="DG2015" s="101">
        <v>4</v>
      </c>
      <c r="DL2015" s="101">
        <v>5</v>
      </c>
      <c r="DM2015" s="101">
        <v>16</v>
      </c>
      <c r="DO2015" s="101">
        <v>18</v>
      </c>
      <c r="DP2015" s="101">
        <v>8</v>
      </c>
      <c r="DS2015" s="100">
        <v>12</v>
      </c>
      <c r="DV2015" s="100">
        <v>5</v>
      </c>
      <c r="DY2015" s="100">
        <v>7</v>
      </c>
      <c r="DZ2015" s="100">
        <v>8</v>
      </c>
      <c r="ED2015" s="100">
        <v>18</v>
      </c>
      <c r="EF2015" s="100">
        <v>4</v>
      </c>
      <c r="EI2015" s="100">
        <v>13</v>
      </c>
      <c r="EJ2015" s="100">
        <v>6</v>
      </c>
      <c r="EK2015" s="100">
        <v>5</v>
      </c>
      <c r="EM2015" s="100">
        <v>10</v>
      </c>
      <c r="EW2015" s="100">
        <v>3</v>
      </c>
      <c r="EY2015" s="100">
        <v>11</v>
      </c>
      <c r="FK2015" s="100">
        <v>3</v>
      </c>
      <c r="ON2015" s="100">
        <f t="shared" si="613"/>
        <v>0</v>
      </c>
    </row>
    <row r="2016" spans="1:404" ht="23.25" customHeight="1">
      <c r="A2016" s="97" t="str">
        <f>D2016&amp;E2017</f>
        <v>002/HOMESENSE-2166-06700-S2-B</v>
      </c>
      <c r="B2016" s="95">
        <v>44569</v>
      </c>
      <c r="C2016" s="97">
        <f t="shared" ca="1" si="618"/>
        <v>-495</v>
      </c>
      <c r="D2016" s="96" t="s">
        <v>1224</v>
      </c>
      <c r="E2016" s="94" t="s">
        <v>582</v>
      </c>
      <c r="F2016" s="98" t="str">
        <f t="shared" si="622"/>
        <v>B</v>
      </c>
      <c r="G2016" s="110">
        <f ca="1">SUMIF($A:E,$A2016,K:K)</f>
        <v>252</v>
      </c>
      <c r="H2016" s="97" t="s">
        <v>508</v>
      </c>
      <c r="I2016" s="98">
        <v>252</v>
      </c>
      <c r="J2016" s="97">
        <v>252</v>
      </c>
      <c r="K2016" s="143">
        <f t="shared" si="611"/>
        <v>252</v>
      </c>
      <c r="L2016" s="144">
        <f t="shared" si="612"/>
        <v>0</v>
      </c>
      <c r="M2016" s="275">
        <f t="shared" si="623"/>
        <v>504</v>
      </c>
      <c r="N2016" s="98">
        <v>4</v>
      </c>
      <c r="O2016" s="93">
        <f t="shared" si="621"/>
        <v>100</v>
      </c>
      <c r="MP2016" s="100">
        <v>75</v>
      </c>
      <c r="MQ2016" s="100">
        <v>33</v>
      </c>
      <c r="MR2016" s="100">
        <v>86</v>
      </c>
      <c r="MS2016" s="100">
        <v>28</v>
      </c>
      <c r="MU2016" s="100">
        <v>30</v>
      </c>
      <c r="ON2016" s="100">
        <f t="shared" si="613"/>
        <v>0</v>
      </c>
    </row>
    <row r="2017" spans="1:404" ht="23.25" customHeight="1">
      <c r="A2017" s="97" t="str">
        <f>D2017&amp;E2019</f>
        <v>002/MARSSHALLS-2166-06700-S2-B</v>
      </c>
      <c r="B2017" s="95">
        <v>44412</v>
      </c>
      <c r="C2017" s="97">
        <f t="shared" ca="1" si="618"/>
        <v>-652</v>
      </c>
      <c r="D2017" s="96" t="s">
        <v>1527</v>
      </c>
      <c r="E2017" s="94" t="s">
        <v>582</v>
      </c>
      <c r="F2017" s="98" t="str">
        <f t="shared" si="622"/>
        <v>B</v>
      </c>
      <c r="G2017" s="110">
        <f ca="1">SUMIF($A:E,$A2017,K:K)</f>
        <v>720</v>
      </c>
      <c r="H2017" s="97" t="s">
        <v>508</v>
      </c>
      <c r="I2017" s="98">
        <v>4000</v>
      </c>
      <c r="J2017" s="97">
        <v>400</v>
      </c>
      <c r="K2017" s="143">
        <f t="shared" si="611"/>
        <v>400</v>
      </c>
      <c r="L2017" s="144">
        <f t="shared" si="612"/>
        <v>0</v>
      </c>
      <c r="M2017" s="275">
        <f t="shared" si="623"/>
        <v>8000</v>
      </c>
      <c r="N2017" s="98">
        <v>1</v>
      </c>
      <c r="O2017" s="93">
        <f t="shared" si="621"/>
        <v>100</v>
      </c>
      <c r="GA2017" s="100">
        <v>14</v>
      </c>
      <c r="GB2017" s="100">
        <v>19</v>
      </c>
      <c r="GC2017" s="100">
        <v>50</v>
      </c>
      <c r="GE2017" s="100">
        <v>41</v>
      </c>
      <c r="GH2017" s="100">
        <v>22</v>
      </c>
      <c r="GK2017" s="100">
        <v>20</v>
      </c>
      <c r="GL2017" s="100">
        <v>13</v>
      </c>
      <c r="GN2017" s="100">
        <v>37</v>
      </c>
      <c r="GO2017" s="100">
        <v>38</v>
      </c>
      <c r="GR2017" s="100">
        <v>64</v>
      </c>
      <c r="GS2017" s="100">
        <v>2</v>
      </c>
      <c r="GV2017" s="100">
        <v>39</v>
      </c>
      <c r="GW2017" s="100">
        <v>41</v>
      </c>
      <c r="ON2017" s="100">
        <f t="shared" si="613"/>
        <v>0</v>
      </c>
    </row>
    <row r="2018" spans="1:404" ht="23.25" customHeight="1">
      <c r="A2018" s="97" t="str">
        <f>D2018&amp;E2021</f>
        <v>002/MARSSHALLS-2166-06700-S2-B</v>
      </c>
      <c r="B2018" s="95">
        <v>44412</v>
      </c>
      <c r="C2018" s="97">
        <f t="shared" ca="1" si="618"/>
        <v>-652</v>
      </c>
      <c r="D2018" s="96" t="s">
        <v>1527</v>
      </c>
      <c r="E2018" s="94" t="s">
        <v>582</v>
      </c>
      <c r="F2018" s="98" t="str">
        <f t="shared" si="622"/>
        <v>B</v>
      </c>
      <c r="G2018" s="110">
        <f ca="1">SUMIF($A:E,$A2018,K:K)</f>
        <v>720</v>
      </c>
      <c r="H2018" s="97" t="s">
        <v>508</v>
      </c>
      <c r="I2018" s="98">
        <v>320</v>
      </c>
      <c r="J2018" s="97">
        <v>320</v>
      </c>
      <c r="K2018" s="143">
        <f t="shared" si="611"/>
        <v>320</v>
      </c>
      <c r="L2018" s="144">
        <f t="shared" si="612"/>
        <v>0</v>
      </c>
      <c r="M2018" s="275">
        <f t="shared" si="623"/>
        <v>640</v>
      </c>
      <c r="N2018" s="98">
        <v>4</v>
      </c>
      <c r="O2018" s="93">
        <f t="shared" si="621"/>
        <v>100</v>
      </c>
      <c r="GC2018" s="100">
        <v>24</v>
      </c>
      <c r="GD2018" s="100">
        <v>17</v>
      </c>
      <c r="GG2018" s="100">
        <v>23</v>
      </c>
      <c r="GH2018" s="100">
        <v>17</v>
      </c>
      <c r="GI2018" s="100">
        <v>12</v>
      </c>
      <c r="GJ2018" s="100">
        <v>8</v>
      </c>
      <c r="GK2018" s="100">
        <v>18</v>
      </c>
      <c r="GL2018" s="100">
        <v>34</v>
      </c>
      <c r="GN2018" s="100">
        <v>37</v>
      </c>
      <c r="GO2018" s="100">
        <v>29</v>
      </c>
      <c r="GQ2018" s="100">
        <v>27</v>
      </c>
      <c r="GR2018" s="100">
        <v>11</v>
      </c>
      <c r="GS2018" s="100">
        <v>29</v>
      </c>
      <c r="GU2018" s="100">
        <v>16</v>
      </c>
      <c r="GV2018" s="100">
        <v>18</v>
      </c>
      <c r="ON2018" s="100">
        <f t="shared" si="613"/>
        <v>0</v>
      </c>
    </row>
    <row r="2019" spans="1:404" ht="23.25" customHeight="1">
      <c r="A2019" s="97" t="str">
        <f>D2019&amp;E2021</f>
        <v>005/MARSSHALLS-2166-06700-S2-B</v>
      </c>
      <c r="B2019" s="95">
        <v>44524</v>
      </c>
      <c r="C2019" s="97">
        <f t="shared" ca="1" si="618"/>
        <v>-540</v>
      </c>
      <c r="D2019" s="96" t="s">
        <v>1228</v>
      </c>
      <c r="E2019" s="94" t="s">
        <v>582</v>
      </c>
      <c r="F2019" s="98" t="str">
        <f t="shared" si="622"/>
        <v>B</v>
      </c>
      <c r="G2019" s="110">
        <f ca="1">SUMIF($A:E,$A2019,K:K)</f>
        <v>1008</v>
      </c>
      <c r="H2019" s="97" t="s">
        <v>508</v>
      </c>
      <c r="I2019" s="98">
        <v>1008</v>
      </c>
      <c r="J2019" s="97">
        <v>1008</v>
      </c>
      <c r="K2019" s="143">
        <f t="shared" si="611"/>
        <v>1008</v>
      </c>
      <c r="L2019" s="144">
        <f t="shared" si="612"/>
        <v>0</v>
      </c>
      <c r="M2019" s="275">
        <f t="shared" si="623"/>
        <v>2016</v>
      </c>
      <c r="N2019" s="98">
        <v>4</v>
      </c>
      <c r="O2019" s="93">
        <f t="shared" si="621"/>
        <v>100</v>
      </c>
      <c r="KF2019" s="100">
        <v>64</v>
      </c>
      <c r="KH2019" s="100">
        <v>71</v>
      </c>
      <c r="KI2019" s="100">
        <v>16</v>
      </c>
      <c r="KJ2019" s="100">
        <v>56</v>
      </c>
      <c r="KN2019" s="100">
        <v>86</v>
      </c>
      <c r="KO2019" s="100">
        <v>3</v>
      </c>
      <c r="KP2019" s="100">
        <v>67</v>
      </c>
      <c r="KR2019" s="100">
        <v>122</v>
      </c>
      <c r="KU2019" s="100">
        <v>139</v>
      </c>
      <c r="KW2019" s="100">
        <v>111</v>
      </c>
      <c r="KX2019" s="100">
        <v>42</v>
      </c>
      <c r="KY2019" s="100">
        <v>78</v>
      </c>
      <c r="KZ2019" s="100">
        <v>153</v>
      </c>
      <c r="ON2019" s="100">
        <f t="shared" si="613"/>
        <v>0</v>
      </c>
    </row>
    <row r="2020" spans="1:404" ht="23.25" customHeight="1">
      <c r="A2020" s="97" t="s">
        <v>2204</v>
      </c>
      <c r="B2020" s="95">
        <v>44533</v>
      </c>
      <c r="C2020" s="97">
        <v>-1</v>
      </c>
      <c r="D2020" s="96" t="s">
        <v>1231</v>
      </c>
      <c r="E2020" s="94" t="s">
        <v>582</v>
      </c>
      <c r="F2020" s="98" t="s">
        <v>561</v>
      </c>
      <c r="G2020" s="110">
        <v>195</v>
      </c>
      <c r="H2020" s="97" t="s">
        <v>508</v>
      </c>
      <c r="I2020" s="98">
        <v>158</v>
      </c>
      <c r="J2020" s="97">
        <v>158</v>
      </c>
      <c r="K2020" s="143">
        <f t="shared" si="611"/>
        <v>158</v>
      </c>
      <c r="L2020" s="144">
        <f t="shared" si="612"/>
        <v>0</v>
      </c>
      <c r="M2020" s="98">
        <v>4</v>
      </c>
      <c r="N2020" s="98">
        <v>1</v>
      </c>
      <c r="O2020" s="93">
        <f t="shared" si="621"/>
        <v>100</v>
      </c>
      <c r="LF2020" s="100">
        <v>12</v>
      </c>
      <c r="LG2020" s="100">
        <v>19</v>
      </c>
      <c r="LJ2020" s="100">
        <v>40</v>
      </c>
      <c r="LM2020" s="100">
        <v>35</v>
      </c>
      <c r="LN2020" s="100">
        <v>13</v>
      </c>
      <c r="LP2020" s="100">
        <v>31</v>
      </c>
      <c r="LQ2020" s="100">
        <v>8</v>
      </c>
      <c r="ON2020" s="100">
        <f t="shared" si="613"/>
        <v>0</v>
      </c>
    </row>
    <row r="2021" spans="1:404" ht="23.25" customHeight="1">
      <c r="A2021" s="97" t="str">
        <f>D2021&amp;E2023</f>
        <v>005/TJ MAXX-2166-06700-S2-B</v>
      </c>
      <c r="B2021" s="95">
        <v>44533</v>
      </c>
      <c r="C2021" s="97">
        <f ca="1">B2021-TODAY()</f>
        <v>-531</v>
      </c>
      <c r="D2021" s="96" t="s">
        <v>1231</v>
      </c>
      <c r="E2021" s="94" t="s">
        <v>582</v>
      </c>
      <c r="F2021" s="98" t="str">
        <f>MID(E2021,13,2)</f>
        <v>B</v>
      </c>
      <c r="G2021" s="110">
        <f ca="1">SUMIF($A:E,$A2021,K:K)</f>
        <v>1488</v>
      </c>
      <c r="H2021" s="97" t="s">
        <v>508</v>
      </c>
      <c r="I2021" s="98">
        <v>1330</v>
      </c>
      <c r="J2021" s="97">
        <v>1330</v>
      </c>
      <c r="K2021" s="143">
        <f t="shared" si="611"/>
        <v>1330</v>
      </c>
      <c r="L2021" s="144">
        <f t="shared" si="612"/>
        <v>0</v>
      </c>
      <c r="M2021" s="275">
        <f>IF(OR(MID(E2021,10,1)="0",MID(E2021,10,1)="F"),I2021,IF(OR(,MID(E2021,10,1)="S",MID(E2021,10,1)="L",MID(E2021,10,1)="B",MID(E2021,10,1)="X"),MID(E2021,11,1)*I2021,0))</f>
        <v>2660</v>
      </c>
      <c r="N2021" s="98">
        <v>4</v>
      </c>
      <c r="O2021" s="93">
        <f t="shared" si="621"/>
        <v>100</v>
      </c>
      <c r="KZ2021" s="100">
        <v>40</v>
      </c>
      <c r="LB2021" s="100">
        <v>7</v>
      </c>
      <c r="LC2021" s="100">
        <v>148</v>
      </c>
      <c r="LD2021" s="100">
        <v>108</v>
      </c>
      <c r="LE2021" s="100">
        <v>43</v>
      </c>
      <c r="LF2021" s="100">
        <v>20</v>
      </c>
      <c r="LG2021" s="100">
        <f>30+94</f>
        <v>124</v>
      </c>
      <c r="LI2021" s="100">
        <v>100</v>
      </c>
      <c r="LJ2021" s="100">
        <v>92</v>
      </c>
      <c r="LK2021" s="100">
        <v>85</v>
      </c>
      <c r="LM2021" s="100">
        <v>92</v>
      </c>
      <c r="LN2021" s="100">
        <v>93</v>
      </c>
      <c r="LP2021" s="100">
        <v>214</v>
      </c>
      <c r="LQ2021" s="100">
        <v>150</v>
      </c>
      <c r="LR2021" s="100">
        <v>14</v>
      </c>
      <c r="ON2021" s="100">
        <f t="shared" si="613"/>
        <v>0</v>
      </c>
    </row>
    <row r="2022" spans="1:404" ht="23.25" customHeight="1">
      <c r="A2022" s="97" t="s">
        <v>2345</v>
      </c>
      <c r="B2022" s="95" t="s">
        <v>1244</v>
      </c>
      <c r="C2022" s="97">
        <f ca="1">B2022-TODAY()</f>
        <v>-506</v>
      </c>
      <c r="D2022" s="96" t="s">
        <v>1245</v>
      </c>
      <c r="E2022" s="94" t="s">
        <v>582</v>
      </c>
      <c r="F2022" s="98" t="str">
        <f>MID(E2022,13,2)</f>
        <v>B</v>
      </c>
      <c r="G2022" s="110">
        <f ca="1">SUMIF($A:E,$A2022,K:K)</f>
        <v>480</v>
      </c>
      <c r="H2022" s="97" t="s">
        <v>583</v>
      </c>
      <c r="I2022" s="98">
        <v>672</v>
      </c>
      <c r="J2022" s="363">
        <v>200</v>
      </c>
      <c r="K2022" s="143">
        <f t="shared" si="611"/>
        <v>200</v>
      </c>
      <c r="L2022" s="144">
        <f t="shared" ref="L2022:L2023" si="624">J2022-K2022</f>
        <v>0</v>
      </c>
      <c r="M2022" s="93">
        <v>0</v>
      </c>
      <c r="N2022" s="98">
        <v>1</v>
      </c>
      <c r="O2022" s="93">
        <f t="shared" si="621"/>
        <v>100</v>
      </c>
      <c r="ME2022" s="100">
        <v>20</v>
      </c>
      <c r="MF2022" s="100">
        <v>30</v>
      </c>
      <c r="MG2022" s="100">
        <v>20</v>
      </c>
      <c r="MK2022" s="100">
        <v>50</v>
      </c>
      <c r="ML2022" s="100">
        <v>19</v>
      </c>
      <c r="MN2022" s="100">
        <v>10</v>
      </c>
      <c r="MO2022" s="100">
        <v>20</v>
      </c>
      <c r="MP2022" s="100">
        <v>31</v>
      </c>
      <c r="ON2022" s="100">
        <f t="shared" si="613"/>
        <v>0</v>
      </c>
    </row>
    <row r="2023" spans="1:404" ht="23.25" customHeight="1">
      <c r="A2023" s="97" t="str">
        <f>D2023&amp;E2024</f>
        <v>006/MARSHALLS-2166-06700-S2-B</v>
      </c>
      <c r="B2023" s="95" t="s">
        <v>1244</v>
      </c>
      <c r="C2023" s="97">
        <f ca="1">B2023-TODAY()</f>
        <v>-506</v>
      </c>
      <c r="D2023" s="96" t="s">
        <v>1245</v>
      </c>
      <c r="E2023" s="94" t="s">
        <v>582</v>
      </c>
      <c r="F2023" s="98" t="str">
        <f>MID(E2023,13,2)</f>
        <v>B</v>
      </c>
      <c r="G2023" s="110">
        <f ca="1">SUMIF($A:E,$A2023,K:K)</f>
        <v>480</v>
      </c>
      <c r="H2023" s="97" t="s">
        <v>583</v>
      </c>
      <c r="I2023" s="98">
        <v>280</v>
      </c>
      <c r="J2023" s="360">
        <f>480-J2022</f>
        <v>280</v>
      </c>
      <c r="K2023" s="143">
        <f t="shared" si="611"/>
        <v>280</v>
      </c>
      <c r="L2023" s="144">
        <f t="shared" si="624"/>
        <v>0</v>
      </c>
      <c r="M2023" s="275">
        <f>IF(OR(MID(E2023,10,1)="0",MID(E2023,10,1)="F"),I2023,IF(OR(,MID(E2023,10,1)="S",MID(E2023,10,1)="L",MID(E2023,10,1)="B",MID(E2023,10,1)="X"),MID(E2023,11,1)*I2023,0))</f>
        <v>560</v>
      </c>
      <c r="N2023" s="98">
        <v>4</v>
      </c>
      <c r="O2023" s="93">
        <f t="shared" si="621"/>
        <v>100</v>
      </c>
      <c r="MM2023" s="100">
        <v>44</v>
      </c>
      <c r="MO2023" s="100">
        <f>115+98</f>
        <v>213</v>
      </c>
      <c r="MP2023" s="100">
        <v>23</v>
      </c>
      <c r="ON2023" s="100">
        <f t="shared" si="613"/>
        <v>0</v>
      </c>
    </row>
    <row r="2024" spans="1:404" ht="23.25" customHeight="1">
      <c r="A2024" s="97" t="str">
        <f>D2024&amp;E2026</f>
        <v>006/TJ MAXX-2166-06700-S2-B</v>
      </c>
      <c r="B2024" s="95" t="s">
        <v>1244</v>
      </c>
      <c r="C2024" s="97">
        <f ca="1">B2024-TODAY()</f>
        <v>-506</v>
      </c>
      <c r="D2024" s="96" t="s">
        <v>1246</v>
      </c>
      <c r="E2024" s="94" t="s">
        <v>582</v>
      </c>
      <c r="F2024" s="98" t="str">
        <f>MID(E2024,13,2)</f>
        <v>B</v>
      </c>
      <c r="G2024" s="110">
        <f ca="1">SUMIF($A:E,$A2024,K:K)</f>
        <v>672</v>
      </c>
      <c r="H2024" s="97" t="s">
        <v>508</v>
      </c>
      <c r="I2024" s="98">
        <v>672</v>
      </c>
      <c r="J2024" s="97">
        <v>672</v>
      </c>
      <c r="K2024" s="143">
        <f t="shared" si="611"/>
        <v>672</v>
      </c>
      <c r="L2024" s="144">
        <f t="shared" ref="L2024:L2026" si="625">J2024-K2024</f>
        <v>0</v>
      </c>
      <c r="M2024" s="275">
        <f>IF(OR(MID(E2024,10,1)="0",MID(E2024,10,1)="F"),I2024,IF(OR(,MID(E2024,10,1)="S",MID(E2024,10,1)="L",MID(E2024,10,1)="B",MID(E2024,10,1)="X"),MID(E2024,11,1)*I2024,0))</f>
        <v>1344</v>
      </c>
      <c r="N2024" s="98">
        <v>4</v>
      </c>
      <c r="O2024" s="93">
        <f t="shared" si="621"/>
        <v>100</v>
      </c>
      <c r="MB2024" s="100">
        <v>39</v>
      </c>
      <c r="MD2024" s="100">
        <v>46</v>
      </c>
      <c r="ME2024" s="100">
        <v>117</v>
      </c>
      <c r="MF2024" s="100">
        <v>50</v>
      </c>
      <c r="MG2024" s="100">
        <v>101</v>
      </c>
      <c r="MH2024" s="100">
        <v>3</v>
      </c>
      <c r="MK2024" s="100">
        <v>116</v>
      </c>
      <c r="ML2024" s="100">
        <v>149</v>
      </c>
      <c r="MM2024" s="100">
        <v>51</v>
      </c>
      <c r="ON2024" s="100">
        <f t="shared" si="613"/>
        <v>0</v>
      </c>
    </row>
    <row r="2025" spans="1:404" ht="23.25" customHeight="1">
      <c r="A2025" s="97" t="s">
        <v>1937</v>
      </c>
      <c r="B2025" s="95">
        <v>44500</v>
      </c>
      <c r="C2025" s="97">
        <v>34</v>
      </c>
      <c r="D2025" s="96" t="s">
        <v>1247</v>
      </c>
      <c r="E2025" s="94" t="s">
        <v>582</v>
      </c>
      <c r="F2025" s="98" t="s">
        <v>561</v>
      </c>
      <c r="G2025" s="110">
        <v>25</v>
      </c>
      <c r="H2025" s="97" t="s">
        <v>508</v>
      </c>
      <c r="I2025" s="98">
        <v>1582</v>
      </c>
      <c r="J2025" s="97">
        <v>1582</v>
      </c>
      <c r="K2025" s="143">
        <f t="shared" si="611"/>
        <v>1582</v>
      </c>
      <c r="L2025" s="144">
        <f t="shared" si="625"/>
        <v>0</v>
      </c>
      <c r="M2025" s="277">
        <v>1</v>
      </c>
      <c r="N2025" s="98">
        <v>4</v>
      </c>
      <c r="O2025" s="93">
        <f t="shared" si="621"/>
        <v>100</v>
      </c>
      <c r="JI2025" s="100">
        <v>56</v>
      </c>
      <c r="JJ2025" s="100">
        <v>95</v>
      </c>
      <c r="JK2025" s="100">
        <v>102</v>
      </c>
      <c r="JM2025" s="100">
        <v>101</v>
      </c>
      <c r="JN2025" s="100">
        <v>48</v>
      </c>
      <c r="JO2025" s="100">
        <v>99</v>
      </c>
      <c r="JP2025" s="100">
        <v>90</v>
      </c>
      <c r="JQ2025" s="100">
        <v>57</v>
      </c>
      <c r="JR2025" s="100">
        <v>57</v>
      </c>
      <c r="JT2025" s="100">
        <v>8</v>
      </c>
      <c r="JU2025" s="100">
        <v>58</v>
      </c>
      <c r="JW2025" s="100">
        <f>112+80</f>
        <v>192</v>
      </c>
      <c r="JX2025" s="100">
        <v>79</v>
      </c>
      <c r="JY2025" s="100">
        <v>53</v>
      </c>
      <c r="KA2025" s="100">
        <v>69</v>
      </c>
      <c r="KB2025" s="100">
        <v>117</v>
      </c>
      <c r="KC2025" s="100">
        <v>50</v>
      </c>
      <c r="KD2025" s="100">
        <v>146</v>
      </c>
      <c r="KF2025" s="100">
        <v>105</v>
      </c>
      <c r="ON2025" s="100">
        <f t="shared" si="613"/>
        <v>0</v>
      </c>
    </row>
    <row r="2026" spans="1:404" ht="23.25" customHeight="1">
      <c r="A2026" s="97" t="str">
        <f t="shared" ref="A2026:A2033" si="626">D2026&amp;E2027</f>
        <v>004/MARSHALLS-2166-06700-S2-B</v>
      </c>
      <c r="B2026" s="95">
        <v>44500</v>
      </c>
      <c r="C2026" s="97">
        <f t="shared" ref="C2026:C2035" ca="1" si="627">B2026-TODAY()</f>
        <v>-564</v>
      </c>
      <c r="D2026" s="96" t="s">
        <v>1247</v>
      </c>
      <c r="E2026" s="94" t="s">
        <v>582</v>
      </c>
      <c r="F2026" s="98" t="str">
        <f t="shared" ref="F2026:F2035" si="628">MID(E2026,13,2)</f>
        <v>B</v>
      </c>
      <c r="G2026" s="110">
        <f ca="1">SUMIF($A:E,$A2026,K:K)</f>
        <v>1632</v>
      </c>
      <c r="H2026" s="97" t="s">
        <v>508</v>
      </c>
      <c r="I2026" s="98">
        <v>50</v>
      </c>
      <c r="J2026" s="97">
        <f>1632-J2025</f>
        <v>50</v>
      </c>
      <c r="K2026" s="143">
        <f t="shared" si="611"/>
        <v>50</v>
      </c>
      <c r="L2026" s="144">
        <f t="shared" si="625"/>
        <v>0</v>
      </c>
      <c r="M2026" s="275">
        <f t="shared" ref="M2026:M2035" si="629">IF(OR(MID(E2026,10,1)="0",MID(E2026,10,1)="F"),I2026,IF(OR(,MID(E2026,10,1)="S",MID(E2026,10,1)="L",MID(E2026,10,1)="B",MID(E2026,10,1)="X"),MID(E2026,11,1)*I2026,0))</f>
        <v>100</v>
      </c>
      <c r="N2026" s="98">
        <v>1</v>
      </c>
      <c r="O2026" s="93">
        <f t="shared" si="621"/>
        <v>100</v>
      </c>
      <c r="IU2026" s="100">
        <v>25</v>
      </c>
      <c r="JP2026" s="100">
        <v>17</v>
      </c>
      <c r="KB2026" s="100">
        <v>4</v>
      </c>
      <c r="KD2026" s="100">
        <v>4</v>
      </c>
      <c r="ON2026" s="100">
        <f t="shared" si="613"/>
        <v>0</v>
      </c>
    </row>
    <row r="2027" spans="1:404" ht="23.25" customHeight="1">
      <c r="A2027" s="97" t="str">
        <f t="shared" si="626"/>
        <v>004/TJ MAXX-2166-06700-S2-B</v>
      </c>
      <c r="B2027" s="95">
        <v>44500</v>
      </c>
      <c r="C2027" s="97">
        <f t="shared" ca="1" si="627"/>
        <v>-564</v>
      </c>
      <c r="D2027" s="96" t="s">
        <v>1248</v>
      </c>
      <c r="E2027" s="94" t="s">
        <v>582</v>
      </c>
      <c r="F2027" s="98" t="str">
        <f t="shared" si="628"/>
        <v>B</v>
      </c>
      <c r="G2027" s="110">
        <f ca="1">SUMIF($A:E,$A2027,K:K)</f>
        <v>2592</v>
      </c>
      <c r="H2027" s="97" t="s">
        <v>508</v>
      </c>
      <c r="I2027" s="98">
        <v>292</v>
      </c>
      <c r="J2027" s="97">
        <v>292</v>
      </c>
      <c r="K2027" s="143">
        <f t="shared" si="611"/>
        <v>292</v>
      </c>
      <c r="L2027" s="144">
        <f t="shared" ref="L2027:L2078" si="630">J2027-K2027</f>
        <v>0</v>
      </c>
      <c r="M2027" s="275">
        <f t="shared" si="629"/>
        <v>584</v>
      </c>
      <c r="N2027" s="98">
        <v>1</v>
      </c>
      <c r="O2027" s="93">
        <f t="shared" si="621"/>
        <v>100</v>
      </c>
      <c r="HJ2027" s="100">
        <v>27</v>
      </c>
      <c r="HP2027" s="100">
        <v>29</v>
      </c>
      <c r="HQ2027" s="100">
        <v>3</v>
      </c>
      <c r="HR2027" s="100">
        <v>21</v>
      </c>
      <c r="HS2027" s="100">
        <v>20</v>
      </c>
      <c r="HT2027" s="100">
        <v>38</v>
      </c>
      <c r="HW2027" s="100">
        <v>20</v>
      </c>
      <c r="HY2027" s="100">
        <v>19</v>
      </c>
      <c r="IE2027" s="100">
        <v>21</v>
      </c>
      <c r="IG2027" s="100">
        <v>20</v>
      </c>
      <c r="IH2027" s="100">
        <v>38</v>
      </c>
      <c r="IM2027" s="100">
        <v>20</v>
      </c>
      <c r="IR2027" s="100">
        <v>16</v>
      </c>
      <c r="ON2027" s="100">
        <f t="shared" si="613"/>
        <v>0</v>
      </c>
    </row>
    <row r="2028" spans="1:404" ht="23.25" customHeight="1">
      <c r="A2028" s="97" t="str">
        <f t="shared" si="626"/>
        <v>004/TJ MAXX-2166-06700-S2-B</v>
      </c>
      <c r="B2028" s="95">
        <v>44500</v>
      </c>
      <c r="C2028" s="97">
        <f t="shared" ca="1" si="627"/>
        <v>-564</v>
      </c>
      <c r="D2028" s="96" t="s">
        <v>1248</v>
      </c>
      <c r="E2028" s="94" t="s">
        <v>582</v>
      </c>
      <c r="F2028" s="98" t="str">
        <f t="shared" si="628"/>
        <v>B</v>
      </c>
      <c r="G2028" s="110">
        <f ca="1">SUMIF($A:E,$A2028,K:K)</f>
        <v>2592</v>
      </c>
      <c r="H2028" s="97" t="s">
        <v>508</v>
      </c>
      <c r="I2028" s="98">
        <v>2300</v>
      </c>
      <c r="J2028" s="97">
        <f>2592-J2027</f>
        <v>2300</v>
      </c>
      <c r="K2028" s="143">
        <f t="shared" si="611"/>
        <v>2300</v>
      </c>
      <c r="L2028" s="144">
        <f t="shared" si="630"/>
        <v>0</v>
      </c>
      <c r="M2028" s="275">
        <f t="shared" si="629"/>
        <v>4600</v>
      </c>
      <c r="N2028" s="98">
        <v>4</v>
      </c>
      <c r="O2028" s="93">
        <f t="shared" si="621"/>
        <v>100</v>
      </c>
      <c r="HW2028" s="100">
        <v>132</v>
      </c>
      <c r="HX2028" s="100">
        <v>37</v>
      </c>
      <c r="HY2028" s="100">
        <v>59</v>
      </c>
      <c r="IB2028" s="100">
        <v>60</v>
      </c>
      <c r="IE2028" s="100">
        <v>65</v>
      </c>
      <c r="IF2028" s="100">
        <v>90</v>
      </c>
      <c r="IG2028" s="100">
        <v>107</v>
      </c>
      <c r="IH2028" s="100">
        <v>200</v>
      </c>
      <c r="IK2028" s="100">
        <v>103</v>
      </c>
      <c r="IL2028" s="100">
        <v>4</v>
      </c>
      <c r="IM2028" s="100">
        <v>110</v>
      </c>
      <c r="IN2028" s="100">
        <v>38</v>
      </c>
      <c r="IO2028" s="100">
        <v>105</v>
      </c>
      <c r="IP2028" s="100">
        <v>96</v>
      </c>
      <c r="IS2028" s="100">
        <v>10</v>
      </c>
      <c r="IT2028" s="100">
        <v>153</v>
      </c>
      <c r="IU2028" s="100">
        <v>81</v>
      </c>
      <c r="IV2028" s="100">
        <v>151</v>
      </c>
      <c r="IW2028" s="100">
        <v>2</v>
      </c>
      <c r="IY2028" s="100">
        <v>53</v>
      </c>
      <c r="IZ2028" s="100">
        <v>48</v>
      </c>
      <c r="JA2028" s="100">
        <v>187</v>
      </c>
      <c r="JB2028" s="100">
        <v>51</v>
      </c>
      <c r="JD2028" s="100">
        <v>107</v>
      </c>
      <c r="JF2028" s="100">
        <v>69</v>
      </c>
      <c r="JG2028" s="100">
        <v>50</v>
      </c>
      <c r="JH2028" s="100">
        <v>45</v>
      </c>
      <c r="JI2028" s="100">
        <f>78+9</f>
        <v>87</v>
      </c>
      <c r="ON2028" s="100">
        <f t="shared" si="613"/>
        <v>0</v>
      </c>
    </row>
    <row r="2029" spans="1:404" ht="23.25" customHeight="1">
      <c r="A2029" s="97" t="str">
        <f t="shared" si="626"/>
        <v>002/TJ MAXX-2166-06700-S2-B</v>
      </c>
      <c r="B2029" s="95">
        <v>44420</v>
      </c>
      <c r="C2029" s="97">
        <f t="shared" ca="1" si="627"/>
        <v>-644</v>
      </c>
      <c r="D2029" s="96" t="s">
        <v>1251</v>
      </c>
      <c r="E2029" s="94" t="s">
        <v>582</v>
      </c>
      <c r="F2029" s="98" t="str">
        <f t="shared" si="628"/>
        <v>B</v>
      </c>
      <c r="G2029" s="110">
        <f ca="1">SUMIF($A:E,$A2029,K:K)</f>
        <v>1008</v>
      </c>
      <c r="H2029" s="97" t="s">
        <v>508</v>
      </c>
      <c r="I2029" s="98">
        <v>208</v>
      </c>
      <c r="J2029" s="99">
        <v>208</v>
      </c>
      <c r="K2029" s="143">
        <f t="shared" si="611"/>
        <v>208</v>
      </c>
      <c r="L2029" s="144">
        <f t="shared" si="630"/>
        <v>0</v>
      </c>
      <c r="M2029" s="275">
        <f t="shared" si="629"/>
        <v>416</v>
      </c>
      <c r="N2029" s="98">
        <v>5</v>
      </c>
      <c r="O2029" s="93">
        <f t="shared" si="621"/>
        <v>100</v>
      </c>
      <c r="GN2029" s="100">
        <v>8</v>
      </c>
      <c r="GO2029" s="100">
        <v>10</v>
      </c>
      <c r="GP2029" s="100">
        <v>20</v>
      </c>
      <c r="GQ2029" s="100">
        <v>10</v>
      </c>
      <c r="GR2029" s="100">
        <v>21</v>
      </c>
      <c r="GS2029" s="100">
        <v>4</v>
      </c>
      <c r="GU2029" s="100">
        <v>16</v>
      </c>
      <c r="GV2029" s="100">
        <v>10</v>
      </c>
      <c r="GW2029" s="100">
        <v>10</v>
      </c>
      <c r="GX2029" s="100">
        <v>10</v>
      </c>
      <c r="GY2029" s="100">
        <v>20</v>
      </c>
      <c r="HB2029" s="100">
        <v>39</v>
      </c>
      <c r="HC2029" s="100">
        <v>10</v>
      </c>
      <c r="HE2029" s="100">
        <v>20</v>
      </c>
      <c r="ON2029" s="100">
        <f t="shared" si="613"/>
        <v>0</v>
      </c>
    </row>
    <row r="2030" spans="1:404" ht="23.25" customHeight="1">
      <c r="A2030" s="97" t="str">
        <f t="shared" si="626"/>
        <v>002/TJ MAXX-2166-06700-S2-B</v>
      </c>
      <c r="B2030" s="95">
        <v>44420</v>
      </c>
      <c r="C2030" s="97">
        <f t="shared" ca="1" si="627"/>
        <v>-644</v>
      </c>
      <c r="D2030" s="96" t="s">
        <v>1251</v>
      </c>
      <c r="E2030" s="94" t="s">
        <v>582</v>
      </c>
      <c r="F2030" s="98" t="str">
        <f t="shared" si="628"/>
        <v>B</v>
      </c>
      <c r="G2030" s="110">
        <f ca="1">SUMIF($A:E,$A2030,K:K)</f>
        <v>1008</v>
      </c>
      <c r="H2030" s="97" t="s">
        <v>508</v>
      </c>
      <c r="I2030" s="98">
        <v>600</v>
      </c>
      <c r="J2030" s="99">
        <v>600</v>
      </c>
      <c r="K2030" s="143">
        <f t="shared" si="611"/>
        <v>600</v>
      </c>
      <c r="L2030" s="144">
        <f t="shared" si="630"/>
        <v>0</v>
      </c>
      <c r="M2030" s="275">
        <f t="shared" si="629"/>
        <v>1200</v>
      </c>
      <c r="N2030" s="98">
        <v>4</v>
      </c>
      <c r="O2030" s="93">
        <f t="shared" si="621"/>
        <v>100</v>
      </c>
      <c r="GV2030" s="100">
        <v>36</v>
      </c>
      <c r="GW2030" s="100">
        <v>102</v>
      </c>
      <c r="GX2030" s="100">
        <v>14</v>
      </c>
      <c r="GY2030" s="100">
        <v>90</v>
      </c>
      <c r="GZ2030" s="100">
        <v>60</v>
      </c>
      <c r="HB2030" s="100">
        <v>111</v>
      </c>
      <c r="HC2030" s="100">
        <v>94</v>
      </c>
      <c r="HD2030" s="100">
        <v>68</v>
      </c>
      <c r="HE2030" s="100">
        <v>25</v>
      </c>
      <c r="ON2030" s="100">
        <f t="shared" si="613"/>
        <v>0</v>
      </c>
    </row>
    <row r="2031" spans="1:404" ht="23.25" customHeight="1">
      <c r="A2031" s="97" t="str">
        <f t="shared" si="626"/>
        <v>002/TJ MAXX-2166-06700-S2-B</v>
      </c>
      <c r="B2031" s="95">
        <v>44420</v>
      </c>
      <c r="C2031" s="97">
        <f t="shared" ca="1" si="627"/>
        <v>-644</v>
      </c>
      <c r="D2031" s="96" t="s">
        <v>1251</v>
      </c>
      <c r="E2031" s="94" t="s">
        <v>582</v>
      </c>
      <c r="F2031" s="98" t="str">
        <f t="shared" si="628"/>
        <v>B</v>
      </c>
      <c r="G2031" s="110">
        <f ca="1">SUMIF($A:E,$A2031,K:K)</f>
        <v>1008</v>
      </c>
      <c r="H2031" s="97" t="s">
        <v>508</v>
      </c>
      <c r="I2031" s="98">
        <v>2000</v>
      </c>
      <c r="J2031" s="99">
        <v>200</v>
      </c>
      <c r="K2031" s="143">
        <f t="shared" si="611"/>
        <v>200</v>
      </c>
      <c r="L2031" s="144">
        <f t="shared" si="630"/>
        <v>0</v>
      </c>
      <c r="M2031" s="275">
        <f t="shared" si="629"/>
        <v>4000</v>
      </c>
      <c r="N2031" s="98">
        <v>1</v>
      </c>
      <c r="O2031" s="93">
        <f t="shared" si="621"/>
        <v>100</v>
      </c>
      <c r="GW2031" s="100">
        <v>3</v>
      </c>
      <c r="GZ2031" s="100">
        <v>20</v>
      </c>
      <c r="HB2031" s="100">
        <v>20</v>
      </c>
      <c r="HC2031" s="100">
        <v>37</v>
      </c>
      <c r="HD2031" s="100">
        <v>31</v>
      </c>
      <c r="HE2031" s="100">
        <v>18</v>
      </c>
      <c r="HF2031" s="100">
        <v>24</v>
      </c>
      <c r="HI2031" s="100">
        <v>20</v>
      </c>
      <c r="HN2031" s="100">
        <v>20</v>
      </c>
      <c r="HP2031" s="100">
        <v>7</v>
      </c>
      <c r="ON2031" s="100">
        <f t="shared" si="613"/>
        <v>0</v>
      </c>
    </row>
    <row r="2032" spans="1:404" ht="23.25" customHeight="1">
      <c r="A2032" s="97" t="str">
        <f t="shared" si="626"/>
        <v>003/MARSHALLS-2166-06700-S2-B</v>
      </c>
      <c r="B2032" s="95">
        <v>44469</v>
      </c>
      <c r="C2032" s="97">
        <f t="shared" ca="1" si="627"/>
        <v>-595</v>
      </c>
      <c r="D2032" s="96" t="s">
        <v>1252</v>
      </c>
      <c r="E2032" s="94" t="s">
        <v>582</v>
      </c>
      <c r="F2032" s="98" t="str">
        <f t="shared" si="628"/>
        <v>B</v>
      </c>
      <c r="G2032" s="110">
        <f ca="1">SUMIF($A:E,$A2032,K:K)</f>
        <v>528</v>
      </c>
      <c r="H2032" s="97" t="s">
        <v>508</v>
      </c>
      <c r="I2032" s="98">
        <v>528</v>
      </c>
      <c r="J2032" s="97">
        <v>528</v>
      </c>
      <c r="K2032" s="143">
        <f t="shared" si="611"/>
        <v>528</v>
      </c>
      <c r="L2032" s="144">
        <f t="shared" si="630"/>
        <v>0</v>
      </c>
      <c r="M2032" s="275">
        <f t="shared" si="629"/>
        <v>1056</v>
      </c>
      <c r="N2032" s="98">
        <v>4</v>
      </c>
      <c r="O2032" s="93">
        <f t="shared" si="621"/>
        <v>100</v>
      </c>
      <c r="HE2032" s="100">
        <v>162</v>
      </c>
      <c r="HF2032" s="100">
        <v>90</v>
      </c>
      <c r="HI2032" s="100">
        <v>96</v>
      </c>
      <c r="HJ2032" s="100">
        <v>103</v>
      </c>
      <c r="HK2032" s="100">
        <v>49</v>
      </c>
      <c r="HL2032" s="100">
        <v>28</v>
      </c>
      <c r="ON2032" s="100">
        <f t="shared" si="613"/>
        <v>0</v>
      </c>
    </row>
    <row r="2033" spans="1:404" ht="23.25" customHeight="1">
      <c r="A2033" s="97" t="str">
        <f t="shared" si="626"/>
        <v>003/TJ MAXX-2166-06700-S2-B</v>
      </c>
      <c r="B2033" s="95">
        <v>44469</v>
      </c>
      <c r="C2033" s="97">
        <f t="shared" ca="1" si="627"/>
        <v>-595</v>
      </c>
      <c r="D2033" s="96" t="s">
        <v>1253</v>
      </c>
      <c r="E2033" s="94" t="s">
        <v>582</v>
      </c>
      <c r="F2033" s="98" t="str">
        <f t="shared" si="628"/>
        <v>B</v>
      </c>
      <c r="G2033" s="110">
        <f ca="1">SUMIF($A:E,$A2033,K:K)</f>
        <v>720</v>
      </c>
      <c r="H2033" s="97" t="s">
        <v>508</v>
      </c>
      <c r="I2033" s="98">
        <v>720</v>
      </c>
      <c r="J2033" s="97">
        <v>720</v>
      </c>
      <c r="K2033" s="143">
        <f t="shared" si="611"/>
        <v>720</v>
      </c>
      <c r="L2033" s="144">
        <f t="shared" si="630"/>
        <v>0</v>
      </c>
      <c r="M2033" s="275">
        <f t="shared" si="629"/>
        <v>1440</v>
      </c>
      <c r="N2033" s="98">
        <v>4</v>
      </c>
      <c r="O2033" s="93">
        <f t="shared" si="621"/>
        <v>100</v>
      </c>
      <c r="HL2033" s="100">
        <v>109</v>
      </c>
      <c r="HM2033" s="100">
        <v>106</v>
      </c>
      <c r="HP2033" s="100">
        <v>100</v>
      </c>
      <c r="HQ2033" s="100">
        <v>155</v>
      </c>
      <c r="HR2033" s="100">
        <v>81</v>
      </c>
      <c r="HT2033" s="100">
        <v>157</v>
      </c>
      <c r="IB2033" s="100">
        <v>12</v>
      </c>
      <c r="ON2033" s="100">
        <f t="shared" si="613"/>
        <v>0</v>
      </c>
    </row>
    <row r="2034" spans="1:404" ht="23.25" customHeight="1">
      <c r="A2034" s="97" t="str">
        <f>D2034&amp;E2034</f>
        <v>001/SIERRA-2166-06700-S2-B</v>
      </c>
      <c r="B2034" s="206">
        <v>44523</v>
      </c>
      <c r="C2034" s="97">
        <f t="shared" ca="1" si="627"/>
        <v>-541</v>
      </c>
      <c r="D2034" s="112" t="s">
        <v>1369</v>
      </c>
      <c r="E2034" s="123" t="s">
        <v>582</v>
      </c>
      <c r="F2034" s="98" t="str">
        <f t="shared" si="628"/>
        <v>B</v>
      </c>
      <c r="G2034" s="110">
        <f ca="1">SUMIF($A:E,$A2034,K:K)</f>
        <v>180</v>
      </c>
      <c r="H2034" s="97" t="s">
        <v>508</v>
      </c>
      <c r="I2034" s="98">
        <v>180</v>
      </c>
      <c r="J2034" s="115">
        <v>180</v>
      </c>
      <c r="K2034" s="143">
        <f t="shared" si="611"/>
        <v>180</v>
      </c>
      <c r="L2034" s="144">
        <f t="shared" si="630"/>
        <v>0</v>
      </c>
      <c r="M2034" s="275">
        <f t="shared" si="629"/>
        <v>360</v>
      </c>
      <c r="N2034" s="98">
        <v>1</v>
      </c>
      <c r="O2034" s="93">
        <f t="shared" si="621"/>
        <v>100</v>
      </c>
      <c r="KQ2034" s="100">
        <v>9</v>
      </c>
      <c r="KU2034" s="100">
        <v>1</v>
      </c>
      <c r="KW2034" s="100">
        <v>24</v>
      </c>
      <c r="KX2034" s="100">
        <v>33</v>
      </c>
      <c r="KY2034" s="100">
        <v>36</v>
      </c>
      <c r="KZ2034" s="100">
        <v>12</v>
      </c>
      <c r="LB2034" s="100">
        <v>19</v>
      </c>
      <c r="LC2034" s="100">
        <v>10</v>
      </c>
      <c r="LD2034" s="100">
        <v>10</v>
      </c>
      <c r="LE2034" s="100">
        <v>18</v>
      </c>
      <c r="LF2034" s="100">
        <v>8</v>
      </c>
      <c r="ON2034" s="100">
        <f t="shared" si="613"/>
        <v>0</v>
      </c>
    </row>
    <row r="2035" spans="1:404" ht="23.25" customHeight="1">
      <c r="A2035" s="97" t="str">
        <f>D2035&amp;E2035</f>
        <v>001/ANNA-2166-06700-S2-A</v>
      </c>
      <c r="B2035" s="95">
        <v>44395</v>
      </c>
      <c r="C2035" s="97">
        <f t="shared" ca="1" si="627"/>
        <v>-669</v>
      </c>
      <c r="D2035" s="159" t="s">
        <v>862</v>
      </c>
      <c r="E2035" s="123" t="s">
        <v>426</v>
      </c>
      <c r="F2035" s="98" t="str">
        <f t="shared" si="628"/>
        <v>A</v>
      </c>
      <c r="G2035" s="110">
        <f ca="1">SUMIF($A:E,$A2035,K:K)</f>
        <v>189</v>
      </c>
      <c r="H2035" s="97" t="s">
        <v>882</v>
      </c>
      <c r="I2035" s="98">
        <v>189</v>
      </c>
      <c r="J2035" s="115">
        <v>189</v>
      </c>
      <c r="K2035" s="143">
        <f t="shared" si="611"/>
        <v>189</v>
      </c>
      <c r="L2035" s="144">
        <f t="shared" si="630"/>
        <v>0</v>
      </c>
      <c r="M2035" s="275">
        <f t="shared" si="629"/>
        <v>378</v>
      </c>
      <c r="N2035" s="98">
        <v>1</v>
      </c>
      <c r="O2035" s="93">
        <f t="shared" ref="O2035:O2082" si="631">K2035/J2035*100</f>
        <v>100</v>
      </c>
      <c r="DB2035" s="101">
        <v>4</v>
      </c>
      <c r="DE2035" s="101">
        <v>13</v>
      </c>
      <c r="DL2035" s="101">
        <v>10</v>
      </c>
      <c r="DM2035" s="101">
        <v>10</v>
      </c>
      <c r="DN2035" s="101">
        <v>9</v>
      </c>
      <c r="DP2035" s="101">
        <v>4</v>
      </c>
      <c r="DR2035" s="101">
        <v>5</v>
      </c>
      <c r="DS2035" s="100">
        <v>7</v>
      </c>
      <c r="DU2035" s="100">
        <v>9</v>
      </c>
      <c r="DV2035" s="100">
        <v>6</v>
      </c>
      <c r="DW2035" s="100">
        <v>9</v>
      </c>
      <c r="DZ2035" s="100">
        <v>10</v>
      </c>
      <c r="EC2035" s="100">
        <v>5</v>
      </c>
      <c r="ED2035" s="100">
        <v>10</v>
      </c>
      <c r="EG2035" s="100">
        <v>9</v>
      </c>
      <c r="EI2035" s="100">
        <v>10</v>
      </c>
      <c r="EJ2035" s="100">
        <v>5</v>
      </c>
      <c r="EM2035" s="100">
        <v>14</v>
      </c>
      <c r="EN2035" s="100">
        <v>5</v>
      </c>
      <c r="EO2035" s="100">
        <v>4</v>
      </c>
      <c r="EQ2035" s="100">
        <v>4</v>
      </c>
      <c r="ER2035" s="100">
        <v>12</v>
      </c>
      <c r="EU2035" s="100">
        <v>5</v>
      </c>
      <c r="EV2035" s="100">
        <v>5</v>
      </c>
      <c r="EX2035" s="100">
        <v>2</v>
      </c>
      <c r="FF2035" s="100">
        <v>3</v>
      </c>
      <c r="ON2035" s="100">
        <f t="shared" si="613"/>
        <v>0</v>
      </c>
    </row>
    <row r="2036" spans="1:404" ht="23.25" customHeight="1">
      <c r="A2036" s="97" t="s">
        <v>2332</v>
      </c>
      <c r="B2036" s="95">
        <v>44545</v>
      </c>
      <c r="C2036" s="97">
        <v>0</v>
      </c>
      <c r="D2036" s="112" t="s">
        <v>1622</v>
      </c>
      <c r="E2036" s="279" t="s">
        <v>426</v>
      </c>
      <c r="F2036" s="98" t="s">
        <v>1775</v>
      </c>
      <c r="G2036" s="110">
        <v>0</v>
      </c>
      <c r="H2036" s="112" t="s">
        <v>990</v>
      </c>
      <c r="I2036" s="98">
        <v>50</v>
      </c>
      <c r="J2036" s="115">
        <v>50</v>
      </c>
      <c r="K2036" s="143">
        <f t="shared" si="611"/>
        <v>50</v>
      </c>
      <c r="L2036" s="144">
        <f t="shared" ref="L2036:L2037" si="632">J2036-K2036</f>
        <v>0</v>
      </c>
      <c r="M2036" s="98">
        <v>4</v>
      </c>
      <c r="N2036" s="98">
        <v>1</v>
      </c>
      <c r="O2036" s="93">
        <f t="shared" si="631"/>
        <v>100</v>
      </c>
      <c r="LZ2036" s="100">
        <v>10</v>
      </c>
      <c r="MA2036" s="100">
        <v>40</v>
      </c>
      <c r="ON2036" s="100">
        <f t="shared" si="613"/>
        <v>0</v>
      </c>
    </row>
    <row r="2037" spans="1:404" ht="23.25" customHeight="1">
      <c r="A2037" s="97" t="str">
        <f t="shared" ref="A2037" si="633">D2037&amp;E2037</f>
        <v>003/ANNA-VG-21(đ1)66-06700-S2-A</v>
      </c>
      <c r="B2037" s="95">
        <v>44545</v>
      </c>
      <c r="C2037" s="97">
        <f t="shared" ref="C2037:C2058" ca="1" si="634">B2037-TODAY()</f>
        <v>-519</v>
      </c>
      <c r="D2037" s="112" t="s">
        <v>1622</v>
      </c>
      <c r="E2037" s="279" t="s">
        <v>426</v>
      </c>
      <c r="F2037" s="98" t="str">
        <f t="shared" ref="F2037:F2043" si="635">MID(E2037,13,2)</f>
        <v>A</v>
      </c>
      <c r="G2037" s="110">
        <f ca="1">SUMIF($A:E,$A2037,K:K)</f>
        <v>384</v>
      </c>
      <c r="H2037" s="112" t="s">
        <v>990</v>
      </c>
      <c r="I2037" s="98">
        <v>334</v>
      </c>
      <c r="J2037" s="115">
        <f>384-J2036</f>
        <v>334</v>
      </c>
      <c r="K2037" s="143">
        <f t="shared" si="611"/>
        <v>334</v>
      </c>
      <c r="L2037" s="144">
        <f t="shared" si="632"/>
        <v>0</v>
      </c>
      <c r="M2037" s="275">
        <f t="shared" ref="M2037:M2043" si="636">IF(OR(MID(E2037,10,1)="0",MID(E2037,10,1)="F"),I2037,IF(OR(,MID(E2037,10,1)="S",MID(E2037,10,1)="L",MID(E2037,10,1)="B",MID(E2037,10,1)="X"),MID(E2037,11,1)*I2037,0))</f>
        <v>668</v>
      </c>
      <c r="N2037" s="98">
        <v>4</v>
      </c>
      <c r="O2037" s="93">
        <f t="shared" si="631"/>
        <v>100</v>
      </c>
      <c r="LY2037" s="100">
        <v>77</v>
      </c>
      <c r="LZ2037" s="100">
        <v>99</v>
      </c>
      <c r="MA2037" s="100">
        <v>93</v>
      </c>
      <c r="MB2037" s="100">
        <v>65</v>
      </c>
      <c r="ON2037" s="100">
        <f t="shared" si="613"/>
        <v>0</v>
      </c>
    </row>
    <row r="2038" spans="1:404" ht="23.25" customHeight="1">
      <c r="A2038" s="97" t="str">
        <f>D2038&amp;E2039</f>
        <v>036/VG_SR-21(MMAX)66-06700-02-B</v>
      </c>
      <c r="B2038" s="95">
        <v>44377</v>
      </c>
      <c r="C2038" s="97">
        <f t="shared" ca="1" si="634"/>
        <v>-687</v>
      </c>
      <c r="D2038" s="96" t="s">
        <v>1184</v>
      </c>
      <c r="E2038" s="94" t="s">
        <v>605</v>
      </c>
      <c r="F2038" s="98" t="str">
        <f t="shared" si="635"/>
        <v>B</v>
      </c>
      <c r="G2038" s="110">
        <f ca="1">SUMIF($A:E,$A2038,K:K)</f>
        <v>2</v>
      </c>
      <c r="H2038" s="97" t="s">
        <v>933</v>
      </c>
      <c r="I2038" s="98">
        <v>2</v>
      </c>
      <c r="J2038" s="99">
        <v>2</v>
      </c>
      <c r="K2038" s="143">
        <f t="shared" si="611"/>
        <v>2</v>
      </c>
      <c r="L2038" s="144">
        <f t="shared" si="630"/>
        <v>0</v>
      </c>
      <c r="M2038" s="275">
        <f t="shared" si="636"/>
        <v>2</v>
      </c>
      <c r="N2038" s="98">
        <v>2</v>
      </c>
      <c r="O2038" s="93">
        <f t="shared" si="631"/>
        <v>100</v>
      </c>
      <c r="FQ2038" s="100">
        <v>2</v>
      </c>
      <c r="ON2038" s="100">
        <f t="shared" si="613"/>
        <v>0</v>
      </c>
    </row>
    <row r="2039" spans="1:404" ht="23.25" customHeight="1">
      <c r="A2039" s="97" t="str">
        <f>D2039&amp;E2040</f>
        <v>037/VG_SR-21(TJX)66-06700-02-B</v>
      </c>
      <c r="B2039" s="95">
        <v>44384</v>
      </c>
      <c r="C2039" s="97">
        <f t="shared" ca="1" si="634"/>
        <v>-680</v>
      </c>
      <c r="D2039" s="96" t="s">
        <v>1206</v>
      </c>
      <c r="E2039" s="94" t="s">
        <v>605</v>
      </c>
      <c r="F2039" s="98" t="str">
        <f t="shared" si="635"/>
        <v>B</v>
      </c>
      <c r="G2039" s="110">
        <f ca="1">SUMIF($A:E,$A2039,K:K)</f>
        <v>4</v>
      </c>
      <c r="H2039" s="97" t="s">
        <v>616</v>
      </c>
      <c r="I2039" s="98">
        <v>4</v>
      </c>
      <c r="J2039" s="97">
        <v>4</v>
      </c>
      <c r="K2039" s="143">
        <f t="shared" si="611"/>
        <v>4</v>
      </c>
      <c r="L2039" s="144">
        <f t="shared" si="630"/>
        <v>0</v>
      </c>
      <c r="M2039" s="275">
        <f t="shared" si="636"/>
        <v>4</v>
      </c>
      <c r="N2039" s="98">
        <v>2</v>
      </c>
      <c r="O2039" s="93">
        <f t="shared" si="631"/>
        <v>100</v>
      </c>
      <c r="FS2039" s="100">
        <v>2</v>
      </c>
      <c r="FU2039" s="100">
        <v>2</v>
      </c>
      <c r="ON2039" s="100">
        <f t="shared" si="613"/>
        <v>0</v>
      </c>
    </row>
    <row r="2040" spans="1:404" ht="23.25" customHeight="1">
      <c r="A2040" s="97" t="s">
        <v>1370</v>
      </c>
      <c r="B2040" s="95">
        <v>44398</v>
      </c>
      <c r="C2040" s="97">
        <f t="shared" ca="1" si="634"/>
        <v>-666</v>
      </c>
      <c r="D2040" s="112" t="s">
        <v>1406</v>
      </c>
      <c r="E2040" s="123" t="s">
        <v>605</v>
      </c>
      <c r="F2040" s="98" t="str">
        <f t="shared" si="635"/>
        <v>B</v>
      </c>
      <c r="G2040" s="110">
        <f ca="1">SUMIF($A:E,$A2040,K:K)</f>
        <v>5654</v>
      </c>
      <c r="H2040" s="112" t="s">
        <v>1405</v>
      </c>
      <c r="I2040" s="98">
        <v>2</v>
      </c>
      <c r="J2040" s="115">
        <v>2</v>
      </c>
      <c r="K2040" s="143">
        <f t="shared" si="611"/>
        <v>2</v>
      </c>
      <c r="L2040" s="144">
        <f t="shared" si="630"/>
        <v>0</v>
      </c>
      <c r="M2040" s="275">
        <f t="shared" si="636"/>
        <v>2</v>
      </c>
      <c r="N2040" s="98">
        <v>4</v>
      </c>
      <c r="O2040" s="93">
        <f t="shared" si="631"/>
        <v>100</v>
      </c>
      <c r="GI2040" s="100">
        <v>2</v>
      </c>
      <c r="ON2040" s="100">
        <f t="shared" si="613"/>
        <v>0</v>
      </c>
    </row>
    <row r="2041" spans="1:404" ht="23.25" customHeight="1">
      <c r="A2041" s="97" t="str">
        <f>D2041&amp;E2041</f>
        <v>204/KHBS-2166-06700-02-A</v>
      </c>
      <c r="B2041" s="95">
        <v>44365</v>
      </c>
      <c r="C2041" s="97">
        <f t="shared" ca="1" si="634"/>
        <v>-699</v>
      </c>
      <c r="D2041" s="96" t="s">
        <v>1099</v>
      </c>
      <c r="E2041" s="94" t="s">
        <v>857</v>
      </c>
      <c r="F2041" s="98" t="str">
        <f t="shared" si="635"/>
        <v>A</v>
      </c>
      <c r="G2041" s="110">
        <f ca="1">SUMIF($A:E,$A2041,K:K)</f>
        <v>1</v>
      </c>
      <c r="H2041" s="97" t="s">
        <v>971</v>
      </c>
      <c r="I2041" s="98">
        <v>1</v>
      </c>
      <c r="J2041" s="97">
        <v>1</v>
      </c>
      <c r="K2041" s="143">
        <f t="shared" si="611"/>
        <v>1</v>
      </c>
      <c r="L2041" s="144">
        <f t="shared" si="630"/>
        <v>0</v>
      </c>
      <c r="M2041" s="275">
        <f t="shared" si="636"/>
        <v>1</v>
      </c>
      <c r="N2041" s="98">
        <v>1</v>
      </c>
      <c r="O2041" s="93">
        <f t="shared" si="631"/>
        <v>100</v>
      </c>
      <c r="FB2041" s="100">
        <v>1</v>
      </c>
      <c r="ON2041" s="100">
        <f t="shared" si="613"/>
        <v>0</v>
      </c>
    </row>
    <row r="2042" spans="1:404" ht="23.25" customHeight="1">
      <c r="A2042" s="97" t="str">
        <f>D2042&amp;E2042</f>
        <v>220/KHBS-21 66-06700-02-A</v>
      </c>
      <c r="B2042" s="95">
        <v>44394</v>
      </c>
      <c r="C2042" s="97">
        <f t="shared" ca="1" si="634"/>
        <v>-670</v>
      </c>
      <c r="D2042" s="96" t="s">
        <v>1308</v>
      </c>
      <c r="E2042" s="94" t="s">
        <v>857</v>
      </c>
      <c r="F2042" s="98" t="str">
        <f t="shared" si="635"/>
        <v>A</v>
      </c>
      <c r="G2042" s="110">
        <f ca="1">SUMIF($A:E,$A2042,K:K)</f>
        <v>1</v>
      </c>
      <c r="H2042" s="97" t="s">
        <v>1309</v>
      </c>
      <c r="I2042" s="98">
        <v>1</v>
      </c>
      <c r="J2042" s="97">
        <v>1</v>
      </c>
      <c r="K2042" s="143">
        <f t="shared" si="611"/>
        <v>1</v>
      </c>
      <c r="L2042" s="144">
        <f t="shared" si="630"/>
        <v>0</v>
      </c>
      <c r="M2042" s="275">
        <f t="shared" si="636"/>
        <v>1</v>
      </c>
      <c r="N2042" s="98">
        <v>1</v>
      </c>
      <c r="O2042" s="93">
        <f t="shared" si="631"/>
        <v>100</v>
      </c>
      <c r="GC2042" s="100">
        <v>1</v>
      </c>
      <c r="ON2042" s="100">
        <f t="shared" si="613"/>
        <v>0</v>
      </c>
    </row>
    <row r="2043" spans="1:404" ht="23.25" customHeight="1">
      <c r="A2043" s="97" t="str">
        <f>D2043&amp;E2043</f>
        <v>223/KHBS-2166-06700-02-A</v>
      </c>
      <c r="B2043" s="95">
        <v>44402</v>
      </c>
      <c r="C2043" s="97">
        <f t="shared" ca="1" si="634"/>
        <v>-662</v>
      </c>
      <c r="D2043" s="96" t="s">
        <v>1416</v>
      </c>
      <c r="E2043" s="94" t="s">
        <v>857</v>
      </c>
      <c r="F2043" s="98" t="str">
        <f t="shared" si="635"/>
        <v>A</v>
      </c>
      <c r="G2043" s="110">
        <f ca="1">SUMIF($A:E,$A2043,K:K)</f>
        <v>1</v>
      </c>
      <c r="H2043" s="97" t="s">
        <v>616</v>
      </c>
      <c r="I2043" s="98">
        <v>1</v>
      </c>
      <c r="J2043" s="99">
        <v>1</v>
      </c>
      <c r="K2043" s="143">
        <f t="shared" si="611"/>
        <v>1</v>
      </c>
      <c r="L2043" s="144">
        <f t="shared" si="630"/>
        <v>0</v>
      </c>
      <c r="M2043" s="275">
        <f t="shared" si="636"/>
        <v>1</v>
      </c>
      <c r="N2043" s="98">
        <v>1</v>
      </c>
      <c r="O2043" s="93">
        <f t="shared" si="631"/>
        <v>100</v>
      </c>
      <c r="GN2043" s="100">
        <v>1</v>
      </c>
      <c r="ON2043" s="100">
        <f t="shared" si="613"/>
        <v>0</v>
      </c>
    </row>
    <row r="2044" spans="1:404" ht="23.25" customHeight="1">
      <c r="A2044" s="97" t="s">
        <v>2246</v>
      </c>
      <c r="B2044" s="95">
        <v>44545</v>
      </c>
      <c r="C2044" s="97">
        <f t="shared" ca="1" si="634"/>
        <v>-519</v>
      </c>
      <c r="D2044" s="112" t="s">
        <v>1622</v>
      </c>
      <c r="E2044" s="279" t="s">
        <v>857</v>
      </c>
      <c r="F2044" s="98" t="s">
        <v>1775</v>
      </c>
      <c r="G2044" s="110">
        <v>0</v>
      </c>
      <c r="H2044" s="112" t="s">
        <v>990</v>
      </c>
      <c r="I2044" s="98">
        <v>130</v>
      </c>
      <c r="J2044" s="115">
        <v>130</v>
      </c>
      <c r="K2044" s="143">
        <f t="shared" si="611"/>
        <v>130</v>
      </c>
      <c r="L2044" s="144">
        <f t="shared" ref="L2044" si="637">J2044-K2044</f>
        <v>0</v>
      </c>
      <c r="M2044" s="98"/>
      <c r="N2044" s="98">
        <v>1</v>
      </c>
      <c r="O2044" s="93">
        <f t="shared" si="631"/>
        <v>100</v>
      </c>
      <c r="LS2044" s="100">
        <v>38</v>
      </c>
      <c r="LT2044" s="100">
        <v>20</v>
      </c>
      <c r="LU2044" s="100">
        <v>20</v>
      </c>
      <c r="LX2044" s="100">
        <v>52</v>
      </c>
      <c r="ON2044" s="100">
        <f t="shared" si="613"/>
        <v>0</v>
      </c>
    </row>
    <row r="2045" spans="1:404" ht="23.25" customHeight="1">
      <c r="A2045" s="97" t="str">
        <f t="shared" ref="A2045:A2050" si="638">D2045&amp;E2045</f>
        <v>003/ANNA-VG-21(đ1)66-06700-02-A</v>
      </c>
      <c r="B2045" s="95">
        <v>44545</v>
      </c>
      <c r="C2045" s="97">
        <f t="shared" ca="1" si="634"/>
        <v>-519</v>
      </c>
      <c r="D2045" s="112" t="s">
        <v>1622</v>
      </c>
      <c r="E2045" s="279" t="s">
        <v>857</v>
      </c>
      <c r="F2045" s="98" t="str">
        <f t="shared" ref="F2045:F2075" si="639">MID(E2045,13,2)</f>
        <v>A</v>
      </c>
      <c r="G2045" s="110">
        <f ca="1">SUMIF($A:E,$A2045,K:K)</f>
        <v>576</v>
      </c>
      <c r="H2045" s="112" t="s">
        <v>990</v>
      </c>
      <c r="I2045" s="98">
        <v>446</v>
      </c>
      <c r="J2045" s="115">
        <v>446</v>
      </c>
      <c r="K2045" s="143">
        <f t="shared" si="611"/>
        <v>446</v>
      </c>
      <c r="L2045" s="144">
        <f t="shared" si="630"/>
        <v>0</v>
      </c>
      <c r="M2045" s="275">
        <f t="shared" ref="M2045:M2065" si="640">IF(OR(MID(E2045,10,1)="0",MID(E2045,10,1)="F"),I2045,IF(OR(,MID(E2045,10,1)="S",MID(E2045,10,1)="L",MID(E2045,10,1)="B",MID(E2045,10,1)="X"),MID(E2045,11,1)*I2045,0))</f>
        <v>446</v>
      </c>
      <c r="N2045" s="98">
        <v>4</v>
      </c>
      <c r="O2045" s="93">
        <f t="shared" si="631"/>
        <v>100</v>
      </c>
      <c r="LS2045" s="100">
        <v>51</v>
      </c>
      <c r="LT2045" s="100">
        <v>205</v>
      </c>
      <c r="LW2045" s="100">
        <v>155</v>
      </c>
      <c r="LX2045" s="100">
        <v>35</v>
      </c>
      <c r="ON2045" s="100">
        <f t="shared" si="613"/>
        <v>0</v>
      </c>
    </row>
    <row r="2046" spans="1:404" ht="23.25" customHeight="1">
      <c r="A2046" s="97" t="str">
        <f t="shared" si="638"/>
        <v>127/KHBS-2166-06700-01-B</v>
      </c>
      <c r="B2046" s="95">
        <v>44286</v>
      </c>
      <c r="C2046" s="97">
        <f t="shared" ca="1" si="634"/>
        <v>-778</v>
      </c>
      <c r="D2046" s="96" t="s">
        <v>819</v>
      </c>
      <c r="E2046" s="94" t="s">
        <v>625</v>
      </c>
      <c r="F2046" s="98" t="str">
        <f t="shared" si="639"/>
        <v>B</v>
      </c>
      <c r="G2046" s="110">
        <f ca="1">SUMIF($A:E,$A2046,K:K)</f>
        <v>2</v>
      </c>
      <c r="H2046" s="97" t="s">
        <v>820</v>
      </c>
      <c r="I2046" s="98">
        <v>2</v>
      </c>
      <c r="J2046" s="99">
        <v>2</v>
      </c>
      <c r="K2046" s="143">
        <f t="shared" si="611"/>
        <v>2</v>
      </c>
      <c r="L2046" s="144">
        <f t="shared" si="630"/>
        <v>0</v>
      </c>
      <c r="M2046" s="275">
        <f t="shared" si="640"/>
        <v>2</v>
      </c>
      <c r="N2046" s="98">
        <v>1</v>
      </c>
      <c r="O2046" s="93">
        <f t="shared" si="631"/>
        <v>100</v>
      </c>
      <c r="CG2046" s="101">
        <v>2</v>
      </c>
      <c r="ON2046" s="100">
        <f t="shared" si="613"/>
        <v>0</v>
      </c>
    </row>
    <row r="2047" spans="1:404" ht="23.25" customHeight="1">
      <c r="A2047" s="97" t="str">
        <f t="shared" si="638"/>
        <v>138/KHBS-2166-06700-01-B</v>
      </c>
      <c r="B2047" s="95">
        <v>44293</v>
      </c>
      <c r="C2047" s="97">
        <f t="shared" ca="1" si="634"/>
        <v>-771</v>
      </c>
      <c r="D2047" s="96" t="s">
        <v>826</v>
      </c>
      <c r="E2047" s="94" t="s">
        <v>625</v>
      </c>
      <c r="F2047" s="98" t="str">
        <f t="shared" si="639"/>
        <v>B</v>
      </c>
      <c r="G2047" s="110">
        <f ca="1">SUMIF($A:E,$A2047,K:K)</f>
        <v>2</v>
      </c>
      <c r="H2047" s="97" t="s">
        <v>827</v>
      </c>
      <c r="I2047" s="98">
        <v>2</v>
      </c>
      <c r="J2047" s="99">
        <v>2</v>
      </c>
      <c r="K2047" s="143">
        <f t="shared" si="611"/>
        <v>2</v>
      </c>
      <c r="L2047" s="144">
        <f t="shared" si="630"/>
        <v>0</v>
      </c>
      <c r="M2047" s="275">
        <f t="shared" si="640"/>
        <v>2</v>
      </c>
      <c r="N2047" s="98">
        <v>1</v>
      </c>
      <c r="O2047" s="93">
        <f t="shared" si="631"/>
        <v>100</v>
      </c>
      <c r="CJ2047" s="101">
        <v>2</v>
      </c>
      <c r="ON2047" s="100">
        <f t="shared" si="613"/>
        <v>0</v>
      </c>
    </row>
    <row r="2048" spans="1:404" ht="23.25" customHeight="1">
      <c r="A2048" s="97" t="str">
        <f t="shared" si="638"/>
        <v>190/KHBS-2166-06700-01-B</v>
      </c>
      <c r="B2048" s="95">
        <v>44347</v>
      </c>
      <c r="C2048" s="97">
        <f t="shared" ca="1" si="634"/>
        <v>-717</v>
      </c>
      <c r="D2048" s="96" t="s">
        <v>1025</v>
      </c>
      <c r="E2048" s="94" t="s">
        <v>625</v>
      </c>
      <c r="F2048" s="98" t="str">
        <f t="shared" si="639"/>
        <v>B</v>
      </c>
      <c r="G2048" s="110">
        <f ca="1">SUMIF($A:E,$A2048,K:K)</f>
        <v>1</v>
      </c>
      <c r="H2048" s="97" t="s">
        <v>508</v>
      </c>
      <c r="I2048" s="98">
        <v>1</v>
      </c>
      <c r="J2048" s="99">
        <v>1</v>
      </c>
      <c r="K2048" s="143">
        <f t="shared" si="611"/>
        <v>1</v>
      </c>
      <c r="L2048" s="144">
        <f t="shared" si="630"/>
        <v>0</v>
      </c>
      <c r="M2048" s="275">
        <f t="shared" si="640"/>
        <v>1</v>
      </c>
      <c r="N2048" s="98">
        <v>1</v>
      </c>
      <c r="O2048" s="93">
        <f t="shared" si="631"/>
        <v>100</v>
      </c>
      <c r="EN2048" s="100">
        <v>1</v>
      </c>
      <c r="ON2048" s="100">
        <f t="shared" si="613"/>
        <v>0</v>
      </c>
    </row>
    <row r="2049" spans="1:404" ht="23.25" customHeight="1">
      <c r="A2049" s="97" t="str">
        <f t="shared" si="638"/>
        <v>040/VG_SR-21( MMAX)66-06700-01-B</v>
      </c>
      <c r="B2049" s="95">
        <v>44389</v>
      </c>
      <c r="C2049" s="97">
        <f t="shared" ca="1" si="634"/>
        <v>-675</v>
      </c>
      <c r="D2049" s="112" t="s">
        <v>1299</v>
      </c>
      <c r="E2049" s="123" t="s">
        <v>625</v>
      </c>
      <c r="F2049" s="98" t="str">
        <f t="shared" si="639"/>
        <v>B</v>
      </c>
      <c r="G2049" s="110">
        <f ca="1">SUMIF($A:E,$A2049,K:K)</f>
        <v>2</v>
      </c>
      <c r="H2049" s="97" t="s">
        <v>508</v>
      </c>
      <c r="I2049" s="98">
        <v>2</v>
      </c>
      <c r="J2049" s="99">
        <v>2</v>
      </c>
      <c r="K2049" s="143">
        <f t="shared" si="611"/>
        <v>2</v>
      </c>
      <c r="L2049" s="144">
        <f t="shared" si="630"/>
        <v>0</v>
      </c>
      <c r="M2049" s="275">
        <f t="shared" si="640"/>
        <v>2</v>
      </c>
      <c r="N2049" s="98">
        <v>1</v>
      </c>
      <c r="O2049" s="93">
        <f t="shared" si="631"/>
        <v>100</v>
      </c>
      <c r="GA2049" s="100">
        <v>2</v>
      </c>
      <c r="ON2049" s="100">
        <f t="shared" si="613"/>
        <v>0</v>
      </c>
    </row>
    <row r="2050" spans="1:404" ht="23.25" customHeight="1">
      <c r="A2050" s="97" t="str">
        <f t="shared" si="638"/>
        <v>041/VG_SR-21( TJX)66-06700-01-B</v>
      </c>
      <c r="B2050" s="95">
        <v>44392</v>
      </c>
      <c r="C2050" s="97">
        <f t="shared" ca="1" si="634"/>
        <v>-672</v>
      </c>
      <c r="D2050" s="112" t="s">
        <v>1301</v>
      </c>
      <c r="E2050" s="123" t="s">
        <v>625</v>
      </c>
      <c r="F2050" s="98" t="str">
        <f t="shared" si="639"/>
        <v>B</v>
      </c>
      <c r="G2050" s="110">
        <f ca="1">SUMIF($A:E,$A2050,K:K)</f>
        <v>4</v>
      </c>
      <c r="H2050" s="97" t="s">
        <v>508</v>
      </c>
      <c r="I2050" s="98">
        <v>4</v>
      </c>
      <c r="J2050" s="99">
        <v>4</v>
      </c>
      <c r="K2050" s="143">
        <f t="shared" si="611"/>
        <v>4</v>
      </c>
      <c r="L2050" s="144">
        <f t="shared" si="630"/>
        <v>0</v>
      </c>
      <c r="M2050" s="275">
        <f t="shared" si="640"/>
        <v>4</v>
      </c>
      <c r="N2050" s="98">
        <v>1</v>
      </c>
      <c r="O2050" s="93">
        <f t="shared" si="631"/>
        <v>100</v>
      </c>
      <c r="GA2050" s="100">
        <v>4</v>
      </c>
      <c r="ON2050" s="100">
        <f t="shared" si="613"/>
        <v>0</v>
      </c>
    </row>
    <row r="2051" spans="1:404" ht="23.25" customHeight="1">
      <c r="A2051" s="97" t="s">
        <v>1370</v>
      </c>
      <c r="B2051" s="95">
        <v>44398</v>
      </c>
      <c r="C2051" s="97">
        <f t="shared" ca="1" si="634"/>
        <v>-666</v>
      </c>
      <c r="D2051" s="112" t="s">
        <v>1406</v>
      </c>
      <c r="E2051" s="123" t="s">
        <v>625</v>
      </c>
      <c r="F2051" s="98" t="str">
        <f t="shared" si="639"/>
        <v>B</v>
      </c>
      <c r="G2051" s="110">
        <f ca="1">SUMIF($A:E,$A2051,K:K)</f>
        <v>5654</v>
      </c>
      <c r="H2051" s="112" t="s">
        <v>1405</v>
      </c>
      <c r="I2051" s="98">
        <v>2</v>
      </c>
      <c r="J2051" s="115">
        <v>2</v>
      </c>
      <c r="K2051" s="143">
        <f t="shared" si="611"/>
        <v>2</v>
      </c>
      <c r="L2051" s="144">
        <f t="shared" si="630"/>
        <v>0</v>
      </c>
      <c r="M2051" s="275">
        <f t="shared" si="640"/>
        <v>2</v>
      </c>
      <c r="N2051" s="98">
        <v>4</v>
      </c>
      <c r="O2051" s="93">
        <f t="shared" si="631"/>
        <v>100</v>
      </c>
      <c r="GI2051" s="100">
        <v>2</v>
      </c>
      <c r="ON2051" s="100">
        <f t="shared" si="613"/>
        <v>0</v>
      </c>
    </row>
    <row r="2052" spans="1:404" ht="23.25" customHeight="1">
      <c r="A2052" s="97" t="str">
        <f>D2052&amp;E2052</f>
        <v>005/KHBS-21(040/VG_SR-21(MMAX))66-06700-01-B</v>
      </c>
      <c r="B2052" s="95">
        <v>44410</v>
      </c>
      <c r="C2052" s="97">
        <f t="shared" ca="1" si="634"/>
        <v>-654</v>
      </c>
      <c r="D2052" s="96" t="s">
        <v>1443</v>
      </c>
      <c r="E2052" s="94" t="s">
        <v>625</v>
      </c>
      <c r="F2052" s="98" t="str">
        <f t="shared" si="639"/>
        <v>B</v>
      </c>
      <c r="G2052" s="110">
        <f ca="1">SUMIF($A:E,$A2052,K:K)</f>
        <v>2</v>
      </c>
      <c r="H2052" s="97" t="s">
        <v>1445</v>
      </c>
      <c r="I2052" s="98">
        <v>2</v>
      </c>
      <c r="J2052" s="99">
        <v>2</v>
      </c>
      <c r="K2052" s="143">
        <f t="shared" ref="K2052:K2115" si="641">SUM(P2052:BBC2052)</f>
        <v>2</v>
      </c>
      <c r="L2052" s="144">
        <f t="shared" si="630"/>
        <v>0</v>
      </c>
      <c r="M2052" s="275">
        <f t="shared" si="640"/>
        <v>2</v>
      </c>
      <c r="N2052" s="98">
        <v>4</v>
      </c>
      <c r="O2052" s="93">
        <f t="shared" si="631"/>
        <v>100</v>
      </c>
      <c r="GV2052" s="100">
        <v>2</v>
      </c>
      <c r="ON2052" s="100">
        <f t="shared" ref="ON2052:ON2115" si="642">SUM(NS2052:OM2052)</f>
        <v>0</v>
      </c>
    </row>
    <row r="2053" spans="1:404" ht="23.25" customHeight="1">
      <c r="A2053" s="97" t="str">
        <f>D2053&amp;E2053</f>
        <v>005/KHBS_SR-21(041/VG_SR-21(TJX))66-06700-01-B</v>
      </c>
      <c r="B2053" s="95">
        <v>44410</v>
      </c>
      <c r="C2053" s="97">
        <f t="shared" ca="1" si="634"/>
        <v>-654</v>
      </c>
      <c r="D2053" s="96" t="s">
        <v>1444</v>
      </c>
      <c r="E2053" s="94" t="s">
        <v>625</v>
      </c>
      <c r="F2053" s="98" t="str">
        <f t="shared" si="639"/>
        <v>B</v>
      </c>
      <c r="G2053" s="110">
        <f ca="1">SUMIF($A:E,$A2053,K:K)</f>
        <v>2</v>
      </c>
      <c r="H2053" s="97" t="s">
        <v>1445</v>
      </c>
      <c r="I2053" s="98">
        <v>2</v>
      </c>
      <c r="J2053" s="99">
        <v>2</v>
      </c>
      <c r="K2053" s="143">
        <f t="shared" si="641"/>
        <v>2</v>
      </c>
      <c r="L2053" s="144">
        <f t="shared" si="630"/>
        <v>0</v>
      </c>
      <c r="M2053" s="275">
        <f t="shared" si="640"/>
        <v>2</v>
      </c>
      <c r="N2053" s="98">
        <v>4</v>
      </c>
      <c r="O2053" s="93">
        <f t="shared" si="631"/>
        <v>100</v>
      </c>
      <c r="GV2053" s="100">
        <v>2</v>
      </c>
      <c r="ON2053" s="100">
        <f t="shared" si="642"/>
        <v>0</v>
      </c>
    </row>
    <row r="2054" spans="1:404" ht="23.25" customHeight="1">
      <c r="A2054" s="97" t="str">
        <f>D2054&amp;E2054</f>
        <v>009/KHBS_SR-21(041/VG_SR21(TJX))66-06700-01-B</v>
      </c>
      <c r="B2054" s="216">
        <v>44426</v>
      </c>
      <c r="C2054" s="97">
        <f t="shared" ca="1" si="634"/>
        <v>-638</v>
      </c>
      <c r="D2054" s="96" t="s">
        <v>1693</v>
      </c>
      <c r="E2054" s="94" t="s">
        <v>625</v>
      </c>
      <c r="F2054" s="98" t="str">
        <f t="shared" si="639"/>
        <v>B</v>
      </c>
      <c r="G2054" s="110">
        <f ca="1">SUMIF($A:E,$A2054,K:K)</f>
        <v>1</v>
      </c>
      <c r="H2054" s="97" t="s">
        <v>1694</v>
      </c>
      <c r="I2054" s="98">
        <v>1</v>
      </c>
      <c r="J2054" s="99">
        <v>1</v>
      </c>
      <c r="K2054" s="143">
        <f t="shared" si="641"/>
        <v>1</v>
      </c>
      <c r="L2054" s="144">
        <f t="shared" si="630"/>
        <v>0</v>
      </c>
      <c r="M2054" s="275">
        <f t="shared" si="640"/>
        <v>1</v>
      </c>
      <c r="N2054" s="98">
        <v>4</v>
      </c>
      <c r="O2054" s="93">
        <f t="shared" si="631"/>
        <v>100</v>
      </c>
      <c r="HK2054" s="100">
        <v>1</v>
      </c>
      <c r="ON2054" s="100">
        <f t="shared" si="642"/>
        <v>0</v>
      </c>
    </row>
    <row r="2055" spans="1:404" ht="23.25" customHeight="1">
      <c r="A2055" s="97" t="str">
        <f>D2055&amp;E2056</f>
        <v>002/METRO_SR-2166-06422-S3-B</v>
      </c>
      <c r="B2055" s="95">
        <v>44375</v>
      </c>
      <c r="C2055" s="97">
        <f t="shared" ca="1" si="634"/>
        <v>-689</v>
      </c>
      <c r="D2055" s="96" t="s">
        <v>1170</v>
      </c>
      <c r="E2055" s="94" t="s">
        <v>1171</v>
      </c>
      <c r="F2055" s="98" t="str">
        <f t="shared" si="639"/>
        <v>B</v>
      </c>
      <c r="G2055" s="110">
        <f ca="1">SUMIF($A:E,$A2055,K:K)</f>
        <v>1</v>
      </c>
      <c r="H2055" s="97" t="s">
        <v>933</v>
      </c>
      <c r="I2055" s="98">
        <v>1</v>
      </c>
      <c r="J2055" s="99">
        <v>1</v>
      </c>
      <c r="K2055" s="143">
        <f t="shared" si="641"/>
        <v>1</v>
      </c>
      <c r="L2055" s="144">
        <f t="shared" si="630"/>
        <v>0</v>
      </c>
      <c r="M2055" s="275">
        <f t="shared" si="640"/>
        <v>3</v>
      </c>
      <c r="N2055" s="98">
        <v>1</v>
      </c>
      <c r="O2055" s="93">
        <f t="shared" si="631"/>
        <v>100</v>
      </c>
      <c r="FP2055" s="100">
        <v>1</v>
      </c>
      <c r="ON2055" s="100">
        <f t="shared" si="642"/>
        <v>0</v>
      </c>
    </row>
    <row r="2056" spans="1:404" ht="23.25" customHeight="1">
      <c r="A2056" s="97" t="str">
        <f>D2056&amp;E2057</f>
        <v>034/VG_SR-21(METRO)66-06422-S3-B</v>
      </c>
      <c r="B2056" s="95">
        <v>44375</v>
      </c>
      <c r="C2056" s="97">
        <f t="shared" ca="1" si="634"/>
        <v>-689</v>
      </c>
      <c r="D2056" s="96" t="s">
        <v>1172</v>
      </c>
      <c r="E2056" s="94" t="s">
        <v>1171</v>
      </c>
      <c r="F2056" s="98" t="str">
        <f t="shared" si="639"/>
        <v>B</v>
      </c>
      <c r="G2056" s="110">
        <f ca="1">SUMIF($A:E,$A2056,K:K)</f>
        <v>1</v>
      </c>
      <c r="H2056" s="97" t="s">
        <v>933</v>
      </c>
      <c r="I2056" s="98">
        <v>1</v>
      </c>
      <c r="J2056" s="99">
        <v>1</v>
      </c>
      <c r="K2056" s="143">
        <f t="shared" si="641"/>
        <v>1</v>
      </c>
      <c r="L2056" s="144">
        <f t="shared" si="630"/>
        <v>0</v>
      </c>
      <c r="M2056" s="275">
        <f t="shared" si="640"/>
        <v>3</v>
      </c>
      <c r="N2056" s="98">
        <v>1</v>
      </c>
      <c r="O2056" s="93">
        <f t="shared" si="631"/>
        <v>100</v>
      </c>
      <c r="FP2056" s="100">
        <v>1</v>
      </c>
      <c r="ON2056" s="100">
        <f t="shared" si="642"/>
        <v>0</v>
      </c>
    </row>
    <row r="2057" spans="1:404" ht="23.25" customHeight="1">
      <c r="A2057" s="97" t="str">
        <f>D2057&amp;E2057</f>
        <v>048/VG_SR-21(METRO)66-06422-S3-B</v>
      </c>
      <c r="B2057" s="95">
        <v>44418</v>
      </c>
      <c r="C2057" s="97">
        <f t="shared" ca="1" si="634"/>
        <v>-646</v>
      </c>
      <c r="D2057" s="112" t="s">
        <v>1523</v>
      </c>
      <c r="E2057" s="123" t="s">
        <v>1171</v>
      </c>
      <c r="F2057" s="98" t="str">
        <f t="shared" si="639"/>
        <v>B</v>
      </c>
      <c r="G2057" s="110">
        <f ca="1">SUMIF($A:E,$A2057,K:K)</f>
        <v>2</v>
      </c>
      <c r="H2057" s="112" t="s">
        <v>1525</v>
      </c>
      <c r="I2057" s="98">
        <v>1</v>
      </c>
      <c r="J2057" s="99">
        <v>1</v>
      </c>
      <c r="K2057" s="143">
        <f t="shared" si="641"/>
        <v>1</v>
      </c>
      <c r="L2057" s="144">
        <f t="shared" si="630"/>
        <v>0</v>
      </c>
      <c r="M2057" s="275">
        <f t="shared" si="640"/>
        <v>3</v>
      </c>
      <c r="N2057" s="98">
        <v>1</v>
      </c>
      <c r="O2057" s="93">
        <f t="shared" si="631"/>
        <v>100</v>
      </c>
      <c r="HD2057" s="100">
        <v>1</v>
      </c>
      <c r="ON2057" s="100">
        <f t="shared" si="642"/>
        <v>0</v>
      </c>
    </row>
    <row r="2058" spans="1:404" ht="23.25" customHeight="1">
      <c r="A2058" s="97" t="str">
        <f>D2058&amp;E2058</f>
        <v>048/VG_SR-21(METRO)66-06422-S3-B</v>
      </c>
      <c r="B2058" s="95">
        <v>44418</v>
      </c>
      <c r="C2058" s="97">
        <f t="shared" ca="1" si="634"/>
        <v>-646</v>
      </c>
      <c r="D2058" s="112" t="s">
        <v>1523</v>
      </c>
      <c r="E2058" s="123" t="s">
        <v>1171</v>
      </c>
      <c r="F2058" s="98" t="str">
        <f t="shared" si="639"/>
        <v>B</v>
      </c>
      <c r="G2058" s="110">
        <f ca="1">SUMIF($A:E,$A2058,K:K)</f>
        <v>2</v>
      </c>
      <c r="H2058" s="112" t="s">
        <v>1525</v>
      </c>
      <c r="I2058" s="98">
        <v>1</v>
      </c>
      <c r="J2058" s="99">
        <v>1</v>
      </c>
      <c r="K2058" s="143">
        <f t="shared" si="641"/>
        <v>1</v>
      </c>
      <c r="L2058" s="144">
        <f t="shared" si="630"/>
        <v>0</v>
      </c>
      <c r="M2058" s="275">
        <f t="shared" si="640"/>
        <v>3</v>
      </c>
      <c r="N2058" s="98">
        <v>1</v>
      </c>
      <c r="O2058" s="93">
        <f t="shared" si="631"/>
        <v>100</v>
      </c>
      <c r="HD2058" s="100">
        <v>1</v>
      </c>
      <c r="ON2058" s="100">
        <f t="shared" si="642"/>
        <v>0</v>
      </c>
    </row>
    <row r="2059" spans="1:404" ht="23.25" customHeight="1">
      <c r="A2059" s="97" t="str">
        <f>D2059&amp;E2059</f>
        <v>001/METRO-VG_SR-2166-06422-S3-B</v>
      </c>
      <c r="B2059" s="95">
        <v>44415</v>
      </c>
      <c r="C2059" s="97">
        <f t="shared" ref="C2059:C2088" ca="1" si="643">B2059-TODAY()</f>
        <v>-649</v>
      </c>
      <c r="D2059" s="112" t="s">
        <v>1526</v>
      </c>
      <c r="E2059" s="123" t="s">
        <v>1171</v>
      </c>
      <c r="F2059" s="98" t="str">
        <f t="shared" si="639"/>
        <v>B</v>
      </c>
      <c r="G2059" s="110">
        <f ca="1">SUMIF($A:E,$A2059,K:K)</f>
        <v>4</v>
      </c>
      <c r="H2059" s="112" t="s">
        <v>1525</v>
      </c>
      <c r="I2059" s="98">
        <v>4</v>
      </c>
      <c r="J2059" s="99">
        <v>4</v>
      </c>
      <c r="K2059" s="143">
        <f t="shared" si="641"/>
        <v>4</v>
      </c>
      <c r="L2059" s="144">
        <f t="shared" si="630"/>
        <v>0</v>
      </c>
      <c r="M2059" s="275">
        <f t="shared" si="640"/>
        <v>12</v>
      </c>
      <c r="N2059" s="98">
        <v>1</v>
      </c>
      <c r="O2059" s="93">
        <f t="shared" si="631"/>
        <v>100</v>
      </c>
      <c r="HB2059" s="100">
        <v>3</v>
      </c>
      <c r="HD2059" s="100">
        <v>1</v>
      </c>
      <c r="ON2059" s="100">
        <f t="shared" si="642"/>
        <v>0</v>
      </c>
    </row>
    <row r="2060" spans="1:404" ht="23.25" customHeight="1">
      <c r="A2060" s="97" t="str">
        <f>D2060&amp;E2061</f>
        <v>002/HOMESENSE-2166-06422-L2-B</v>
      </c>
      <c r="B2060" s="95">
        <v>44569</v>
      </c>
      <c r="C2060" s="97">
        <f t="shared" ca="1" si="643"/>
        <v>-495</v>
      </c>
      <c r="D2060" s="96" t="s">
        <v>1224</v>
      </c>
      <c r="E2060" s="94" t="s">
        <v>1225</v>
      </c>
      <c r="F2060" s="98" t="str">
        <f t="shared" si="639"/>
        <v>B</v>
      </c>
      <c r="G2060" s="110">
        <f ca="1">SUMIF($A:E,$A2060,K:K)</f>
        <v>192</v>
      </c>
      <c r="H2060" s="97" t="s">
        <v>508</v>
      </c>
      <c r="I2060" s="98">
        <v>192</v>
      </c>
      <c r="J2060" s="97">
        <v>192</v>
      </c>
      <c r="K2060" s="143">
        <f t="shared" si="641"/>
        <v>192</v>
      </c>
      <c r="L2060" s="144">
        <f t="shared" si="630"/>
        <v>0</v>
      </c>
      <c r="M2060" s="275">
        <f t="shared" si="640"/>
        <v>384</v>
      </c>
      <c r="N2060" s="98">
        <v>6</v>
      </c>
      <c r="O2060" s="93">
        <f t="shared" si="631"/>
        <v>100</v>
      </c>
      <c r="KP2060" s="100">
        <v>5</v>
      </c>
      <c r="KQ2060" s="100">
        <v>15</v>
      </c>
      <c r="KR2060" s="100">
        <v>7</v>
      </c>
      <c r="KS2060" s="100">
        <v>8</v>
      </c>
      <c r="KU2060" s="100">
        <v>10</v>
      </c>
      <c r="KV2060" s="100">
        <v>6</v>
      </c>
      <c r="KX2060" s="100">
        <v>19</v>
      </c>
      <c r="KY2060" s="100">
        <v>7</v>
      </c>
      <c r="KZ2060" s="100">
        <v>15</v>
      </c>
      <c r="LC2060" s="100">
        <v>10</v>
      </c>
      <c r="LD2060" s="100">
        <v>11</v>
      </c>
      <c r="LE2060" s="100">
        <v>12</v>
      </c>
      <c r="LF2060" s="100">
        <v>5</v>
      </c>
      <c r="LG2060" s="100">
        <v>18</v>
      </c>
      <c r="LI2060" s="100">
        <v>12</v>
      </c>
      <c r="LJ2060" s="100">
        <v>6</v>
      </c>
      <c r="LK2060" s="100">
        <v>9</v>
      </c>
      <c r="LL2060" s="100">
        <v>13</v>
      </c>
      <c r="LM2060" s="100">
        <v>4</v>
      </c>
      <c r="ON2060" s="100">
        <f t="shared" si="642"/>
        <v>0</v>
      </c>
    </row>
    <row r="2061" spans="1:404" ht="23.25" customHeight="1">
      <c r="A2061" s="97" t="str">
        <f>D2061&amp;E2061</f>
        <v>003/ANNA-VG-21(đ2)66-06422-L2-B</v>
      </c>
      <c r="B2061" s="95">
        <v>44564</v>
      </c>
      <c r="C2061" s="97">
        <f t="shared" ca="1" si="643"/>
        <v>-500</v>
      </c>
      <c r="D2061" s="112" t="s">
        <v>1638</v>
      </c>
      <c r="E2061" s="123" t="s">
        <v>1225</v>
      </c>
      <c r="F2061" s="98" t="str">
        <f t="shared" si="639"/>
        <v>B</v>
      </c>
      <c r="G2061" s="110">
        <f ca="1">SUMIF($A:E,$A2061,K:K)</f>
        <v>168</v>
      </c>
      <c r="H2061" s="112" t="s">
        <v>990</v>
      </c>
      <c r="I2061" s="98">
        <v>168</v>
      </c>
      <c r="J2061" s="115">
        <v>168</v>
      </c>
      <c r="K2061" s="143">
        <f t="shared" si="641"/>
        <v>168</v>
      </c>
      <c r="L2061" s="144">
        <f t="shared" si="630"/>
        <v>0</v>
      </c>
      <c r="M2061" s="275">
        <f t="shared" si="640"/>
        <v>336</v>
      </c>
      <c r="N2061" s="98">
        <v>6</v>
      </c>
      <c r="O2061" s="93">
        <f t="shared" si="631"/>
        <v>100</v>
      </c>
      <c r="LM2061" s="100">
        <v>8</v>
      </c>
      <c r="LN2061" s="100">
        <v>13</v>
      </c>
      <c r="LP2061" s="100">
        <v>1</v>
      </c>
      <c r="LQ2061" s="100">
        <v>13</v>
      </c>
      <c r="LR2061" s="100">
        <v>7</v>
      </c>
      <c r="LS2061" s="100">
        <v>4</v>
      </c>
      <c r="LT2061" s="100">
        <v>4</v>
      </c>
      <c r="LU2061" s="100">
        <v>12</v>
      </c>
      <c r="LW2061" s="100">
        <v>14</v>
      </c>
      <c r="LX2061" s="100">
        <v>15</v>
      </c>
      <c r="LY2061" s="100">
        <v>14</v>
      </c>
      <c r="LZ2061" s="100">
        <v>7</v>
      </c>
      <c r="MA2061" s="100">
        <v>12</v>
      </c>
      <c r="MD2061" s="100">
        <v>8</v>
      </c>
      <c r="ME2061" s="100">
        <v>7</v>
      </c>
      <c r="MF2061" s="100">
        <v>13</v>
      </c>
      <c r="MG2061" s="100">
        <v>16</v>
      </c>
      <c r="ON2061" s="100">
        <f t="shared" si="642"/>
        <v>0</v>
      </c>
    </row>
    <row r="2062" spans="1:404" ht="23.25" customHeight="1">
      <c r="A2062" s="97" t="str">
        <f>D2062&amp;E2067</f>
        <v>008/COMERZIA-2166-06422-02-B</v>
      </c>
      <c r="B2062" s="95">
        <v>44564</v>
      </c>
      <c r="C2062" s="97">
        <f t="shared" ca="1" si="643"/>
        <v>-500</v>
      </c>
      <c r="D2062" s="96" t="s">
        <v>1187</v>
      </c>
      <c r="E2062" s="94" t="s">
        <v>1189</v>
      </c>
      <c r="F2062" s="98" t="str">
        <f t="shared" si="639"/>
        <v>B</v>
      </c>
      <c r="G2062" s="110">
        <f ca="1">SUMIF($A:E,$A2062,K:K)</f>
        <v>440</v>
      </c>
      <c r="H2062" s="97" t="s">
        <v>964</v>
      </c>
      <c r="I2062" s="98">
        <v>240</v>
      </c>
      <c r="J2062" s="97">
        <v>240</v>
      </c>
      <c r="K2062" s="143">
        <f t="shared" si="641"/>
        <v>240</v>
      </c>
      <c r="L2062" s="144">
        <f t="shared" si="630"/>
        <v>0</v>
      </c>
      <c r="M2062" s="275">
        <f t="shared" si="640"/>
        <v>240</v>
      </c>
      <c r="N2062" s="98">
        <v>6</v>
      </c>
      <c r="O2062" s="93">
        <f t="shared" si="631"/>
        <v>100</v>
      </c>
      <c r="KQ2062" s="100">
        <v>4</v>
      </c>
      <c r="KR2062" s="100">
        <v>10</v>
      </c>
      <c r="KS2062" s="100">
        <v>14</v>
      </c>
      <c r="KU2062" s="100">
        <v>7</v>
      </c>
      <c r="KV2062" s="100">
        <v>9</v>
      </c>
      <c r="KW2062" s="100">
        <v>5</v>
      </c>
      <c r="KX2062" s="100">
        <v>10</v>
      </c>
      <c r="KY2062" s="100">
        <v>9</v>
      </c>
      <c r="KZ2062" s="100">
        <v>4</v>
      </c>
      <c r="LB2062" s="100">
        <v>9</v>
      </c>
      <c r="LC2062" s="100">
        <v>11</v>
      </c>
      <c r="LD2062" s="100">
        <v>12</v>
      </c>
      <c r="LE2062" s="100">
        <v>7</v>
      </c>
      <c r="LG2062" s="100">
        <v>11</v>
      </c>
      <c r="LI2062" s="100">
        <v>17</v>
      </c>
      <c r="LJ2062" s="100">
        <v>4</v>
      </c>
      <c r="LL2062" s="100">
        <v>3</v>
      </c>
      <c r="LN2062" s="100">
        <v>8</v>
      </c>
      <c r="LP2062" s="100">
        <v>7</v>
      </c>
      <c r="LR2062" s="100">
        <v>1</v>
      </c>
      <c r="LS2062" s="100">
        <v>10</v>
      </c>
      <c r="LT2062" s="100">
        <v>4</v>
      </c>
      <c r="LU2062" s="100">
        <v>4</v>
      </c>
      <c r="LW2062" s="100">
        <v>23</v>
      </c>
      <c r="LX2062" s="100">
        <v>18</v>
      </c>
      <c r="MA2062" s="100">
        <v>17</v>
      </c>
      <c r="MD2062" s="100">
        <v>2</v>
      </c>
      <c r="ON2062" s="100">
        <f t="shared" si="642"/>
        <v>0</v>
      </c>
    </row>
    <row r="2063" spans="1:404" ht="23.25" customHeight="1">
      <c r="A2063" s="97" t="str">
        <f t="shared" ref="A2063:A2070" si="644">D2063&amp;E2063</f>
        <v>004/COMERZIA_SR-2166-06422-03-B</v>
      </c>
      <c r="B2063" s="95">
        <v>44394</v>
      </c>
      <c r="C2063" s="97">
        <f t="shared" ca="1" si="643"/>
        <v>-670</v>
      </c>
      <c r="D2063" s="112" t="s">
        <v>1314</v>
      </c>
      <c r="E2063" s="123" t="s">
        <v>1189</v>
      </c>
      <c r="F2063" s="98" t="str">
        <f t="shared" si="639"/>
        <v>B</v>
      </c>
      <c r="G2063" s="110">
        <f ca="1">SUMIF($A:E,$A2063,K:K)</f>
        <v>3</v>
      </c>
      <c r="H2063" s="97" t="s">
        <v>507</v>
      </c>
      <c r="I2063" s="98">
        <v>3</v>
      </c>
      <c r="J2063" s="115">
        <v>3</v>
      </c>
      <c r="K2063" s="143">
        <f t="shared" si="641"/>
        <v>3</v>
      </c>
      <c r="L2063" s="144">
        <f t="shared" si="630"/>
        <v>0</v>
      </c>
      <c r="M2063" s="275">
        <f t="shared" si="640"/>
        <v>3</v>
      </c>
      <c r="N2063" s="98">
        <v>5</v>
      </c>
      <c r="O2063" s="93">
        <f t="shared" si="631"/>
        <v>100</v>
      </c>
      <c r="GE2063" s="100">
        <v>3</v>
      </c>
      <c r="ON2063" s="100">
        <f t="shared" si="642"/>
        <v>0</v>
      </c>
    </row>
    <row r="2064" spans="1:404" ht="23.25" customHeight="1">
      <c r="A2064" s="97" t="str">
        <f t="shared" si="644"/>
        <v>003/ANNA-VG-21(đ7)66-06422-03-B</v>
      </c>
      <c r="B2064" s="95">
        <v>44606</v>
      </c>
      <c r="C2064" s="97">
        <f t="shared" ca="1" si="643"/>
        <v>-458</v>
      </c>
      <c r="D2064" s="112" t="s">
        <v>1671</v>
      </c>
      <c r="E2064" s="123" t="s">
        <v>1189</v>
      </c>
      <c r="F2064" s="98" t="str">
        <f t="shared" si="639"/>
        <v>B</v>
      </c>
      <c r="G2064" s="110">
        <f ca="1">SUMIF($A:E,$A2064,K:K)</f>
        <v>1145</v>
      </c>
      <c r="H2064" s="112" t="s">
        <v>990</v>
      </c>
      <c r="I2064" s="98">
        <v>864</v>
      </c>
      <c r="J2064" s="115">
        <v>864</v>
      </c>
      <c r="K2064" s="143">
        <f t="shared" si="641"/>
        <v>1145</v>
      </c>
      <c r="L2064" s="144">
        <f t="shared" si="630"/>
        <v>-281</v>
      </c>
      <c r="M2064" s="275">
        <f t="shared" si="640"/>
        <v>864</v>
      </c>
      <c r="N2064" s="98">
        <v>6</v>
      </c>
      <c r="O2064" s="93">
        <f t="shared" si="631"/>
        <v>132.52314814814815</v>
      </c>
      <c r="MA2064" s="100">
        <v>9</v>
      </c>
      <c r="MB2064" s="100">
        <v>2</v>
      </c>
      <c r="MD2064" s="100">
        <v>15</v>
      </c>
      <c r="MF2064" s="100">
        <v>35</v>
      </c>
      <c r="MG2064" s="100">
        <v>33</v>
      </c>
      <c r="MH2064" s="100">
        <v>21</v>
      </c>
      <c r="MK2064" s="100">
        <v>17</v>
      </c>
      <c r="ML2064" s="100">
        <v>26</v>
      </c>
      <c r="MM2064" s="100">
        <v>10</v>
      </c>
      <c r="MN2064" s="100">
        <v>14</v>
      </c>
      <c r="MO2064" s="100">
        <v>3</v>
      </c>
      <c r="MP2064" s="100">
        <v>44</v>
      </c>
      <c r="MQ2064" s="100">
        <v>13</v>
      </c>
      <c r="MR2064" s="100">
        <v>34</v>
      </c>
      <c r="MS2064" s="100">
        <v>20</v>
      </c>
      <c r="MT2064" s="100">
        <v>43</v>
      </c>
      <c r="MX2064" s="100">
        <v>11</v>
      </c>
      <c r="MY2064" s="100">
        <v>18</v>
      </c>
      <c r="MZ2064" s="100">
        <v>3</v>
      </c>
      <c r="NA2064" s="100">
        <v>43</v>
      </c>
      <c r="NF2064" s="100">
        <v>8</v>
      </c>
      <c r="NG2064" s="100">
        <v>42</v>
      </c>
      <c r="NI2064" s="100">
        <v>35</v>
      </c>
      <c r="NK2064" s="100">
        <v>16</v>
      </c>
      <c r="NL2064" s="100">
        <v>30</v>
      </c>
      <c r="NM2064" s="100">
        <v>19</v>
      </c>
      <c r="NN2064" s="100">
        <v>19</v>
      </c>
      <c r="NS2064" s="100">
        <v>22</v>
      </c>
      <c r="NU2064" s="100">
        <f>21+22</f>
        <v>43</v>
      </c>
      <c r="NV2064" s="100">
        <v>22</v>
      </c>
      <c r="NY2064" s="100">
        <v>41</v>
      </c>
      <c r="NZ2064" s="100">
        <v>15</v>
      </c>
      <c r="OA2064" s="100">
        <v>6</v>
      </c>
      <c r="OB2064" s="100">
        <v>25</v>
      </c>
      <c r="OC2064" s="100">
        <v>1</v>
      </c>
      <c r="OD2064" s="100">
        <v>25</v>
      </c>
      <c r="OF2064" s="100">
        <v>20</v>
      </c>
      <c r="OG2064" s="100">
        <v>18</v>
      </c>
      <c r="OH2064" s="100">
        <v>43</v>
      </c>
      <c r="ON2064" s="100">
        <f t="shared" si="642"/>
        <v>281</v>
      </c>
    </row>
    <row r="2065" spans="1:404" ht="23.25" customHeight="1">
      <c r="A2065" s="97" t="str">
        <f t="shared" si="644"/>
        <v>005/METRO-VG-2166-06422-03-B</v>
      </c>
      <c r="B2065" s="95">
        <v>44495</v>
      </c>
      <c r="C2065" s="97">
        <f t="shared" ca="1" si="643"/>
        <v>-569</v>
      </c>
      <c r="D2065" s="112" t="s">
        <v>1701</v>
      </c>
      <c r="E2065" s="123" t="s">
        <v>1189</v>
      </c>
      <c r="F2065" s="98" t="str">
        <f t="shared" si="639"/>
        <v>B</v>
      </c>
      <c r="G2065" s="110">
        <f ca="1">SUMIF($A:E,$A2065,K:K)</f>
        <v>144</v>
      </c>
      <c r="H2065" s="97" t="s">
        <v>1593</v>
      </c>
      <c r="I2065" s="98">
        <v>144</v>
      </c>
      <c r="J2065" s="115">
        <v>144</v>
      </c>
      <c r="K2065" s="143">
        <f t="shared" si="641"/>
        <v>144</v>
      </c>
      <c r="L2065" s="144">
        <f t="shared" si="630"/>
        <v>0</v>
      </c>
      <c r="M2065" s="275">
        <f t="shared" si="640"/>
        <v>144</v>
      </c>
      <c r="N2065" s="98">
        <v>6</v>
      </c>
      <c r="O2065" s="93">
        <f t="shared" si="631"/>
        <v>100</v>
      </c>
      <c r="IM2065" s="100">
        <v>29</v>
      </c>
      <c r="IR2065" s="100">
        <v>7</v>
      </c>
      <c r="IT2065" s="100">
        <v>2</v>
      </c>
      <c r="IV2065" s="100">
        <v>20</v>
      </c>
      <c r="IW2065" s="100">
        <v>8</v>
      </c>
      <c r="IY2065" s="100">
        <v>11</v>
      </c>
      <c r="JC2065" s="100">
        <v>11</v>
      </c>
      <c r="JD2065" s="100">
        <v>17</v>
      </c>
      <c r="JG2065" s="100">
        <v>24</v>
      </c>
      <c r="JH2065" s="100">
        <v>6</v>
      </c>
      <c r="JI2065" s="100">
        <v>9</v>
      </c>
      <c r="ON2065" s="100">
        <f t="shared" si="642"/>
        <v>0</v>
      </c>
    </row>
    <row r="2066" spans="1:404" ht="23.25" customHeight="1">
      <c r="A2066" s="97" t="str">
        <f t="shared" si="644"/>
        <v>025/METRO-VG-2166-06422-03-B</v>
      </c>
      <c r="B2066" s="95">
        <v>44508</v>
      </c>
      <c r="C2066" s="97">
        <f t="shared" ca="1" si="643"/>
        <v>-556</v>
      </c>
      <c r="D2066" s="112" t="s">
        <v>1748</v>
      </c>
      <c r="E2066" s="123" t="s">
        <v>1189</v>
      </c>
      <c r="F2066" s="98" t="str">
        <f t="shared" si="639"/>
        <v>B</v>
      </c>
      <c r="G2066" s="110">
        <f ca="1">SUMIF($A:E,$A2066,K:K)</f>
        <v>216</v>
      </c>
      <c r="H2066" s="97" t="s">
        <v>1878</v>
      </c>
      <c r="I2066" s="98">
        <v>216</v>
      </c>
      <c r="J2066" s="115">
        <v>216</v>
      </c>
      <c r="K2066" s="143">
        <f t="shared" si="641"/>
        <v>216</v>
      </c>
      <c r="L2066" s="144">
        <f t="shared" si="630"/>
        <v>0</v>
      </c>
      <c r="M2066" s="276"/>
      <c r="N2066" s="98">
        <v>6</v>
      </c>
      <c r="O2066" s="93">
        <f t="shared" si="631"/>
        <v>100</v>
      </c>
      <c r="JI2066" s="100">
        <v>1</v>
      </c>
      <c r="JJ2066" s="100">
        <v>10</v>
      </c>
      <c r="JK2066" s="100">
        <v>4</v>
      </c>
      <c r="JN2066" s="100">
        <v>23</v>
      </c>
      <c r="JO2066" s="100">
        <v>9</v>
      </c>
      <c r="JP2066" s="100">
        <v>2</v>
      </c>
      <c r="JR2066" s="100">
        <v>11</v>
      </c>
      <c r="JT2066" s="100">
        <v>14</v>
      </c>
      <c r="JU2066" s="100">
        <v>5</v>
      </c>
      <c r="JW2066" s="100">
        <v>16</v>
      </c>
      <c r="JY2066" s="100">
        <v>8</v>
      </c>
      <c r="KA2066" s="100">
        <v>16</v>
      </c>
      <c r="KB2066" s="100">
        <v>11</v>
      </c>
      <c r="KC2066" s="100">
        <v>2</v>
      </c>
      <c r="KD2066" s="100">
        <v>13</v>
      </c>
      <c r="KE2066" s="100">
        <v>10</v>
      </c>
      <c r="KF2066" s="100">
        <v>9</v>
      </c>
      <c r="KG2066" s="100">
        <v>8</v>
      </c>
      <c r="KH2066" s="100">
        <v>8</v>
      </c>
      <c r="KI2066" s="100">
        <v>8</v>
      </c>
      <c r="KJ2066" s="100">
        <v>4</v>
      </c>
      <c r="KN2066" s="100">
        <v>10</v>
      </c>
      <c r="KO2066" s="100">
        <v>12</v>
      </c>
      <c r="KP2066" s="100">
        <v>2</v>
      </c>
      <c r="ON2066" s="100">
        <f t="shared" si="642"/>
        <v>0</v>
      </c>
    </row>
    <row r="2067" spans="1:404" ht="23.25" customHeight="1">
      <c r="A2067" s="97" t="str">
        <f t="shared" si="644"/>
        <v>002T/OBI-2166-06422-02-B</v>
      </c>
      <c r="B2067" s="95">
        <v>44416</v>
      </c>
      <c r="C2067" s="97">
        <f t="shared" ca="1" si="643"/>
        <v>-648</v>
      </c>
      <c r="D2067" s="112" t="s">
        <v>1047</v>
      </c>
      <c r="E2067" s="123" t="s">
        <v>1052</v>
      </c>
      <c r="F2067" s="98" t="str">
        <f t="shared" si="639"/>
        <v>B</v>
      </c>
      <c r="G2067" s="110">
        <f ca="1">SUMIF($A:E,$A2067,K:K)</f>
        <v>243</v>
      </c>
      <c r="H2067" s="97" t="s">
        <v>616</v>
      </c>
      <c r="I2067" s="98">
        <v>246</v>
      </c>
      <c r="J2067" s="115">
        <v>243</v>
      </c>
      <c r="K2067" s="143">
        <f t="shared" si="641"/>
        <v>243</v>
      </c>
      <c r="L2067" s="144">
        <f t="shared" si="630"/>
        <v>0</v>
      </c>
      <c r="M2067" s="275">
        <f t="shared" ref="M2067:M2090" si="645">IF(OR(MID(E2067,10,1)="0",MID(E2067,10,1)="F"),I2067,IF(OR(,MID(E2067,10,1)="S",MID(E2067,10,1)="L",MID(E2067,10,1)="B",MID(E2067,10,1)="X"),MID(E2067,11,1)*I2067,0))</f>
        <v>246</v>
      </c>
      <c r="N2067" s="98">
        <v>1</v>
      </c>
      <c r="O2067" s="93">
        <f t="shared" si="631"/>
        <v>100</v>
      </c>
      <c r="EW2067" s="100">
        <v>10</v>
      </c>
      <c r="EY2067" s="100">
        <v>9</v>
      </c>
      <c r="FB2067" s="100">
        <v>4</v>
      </c>
      <c r="FD2067" s="100">
        <v>7</v>
      </c>
      <c r="FE2067" s="100">
        <v>13</v>
      </c>
      <c r="FF2067" s="100">
        <v>1</v>
      </c>
      <c r="FI2067" s="100">
        <v>10</v>
      </c>
      <c r="FJ2067" s="100">
        <v>4</v>
      </c>
      <c r="FK2067" s="100">
        <v>5</v>
      </c>
      <c r="FL2067" s="100">
        <v>4</v>
      </c>
      <c r="FM2067" s="100">
        <v>6</v>
      </c>
      <c r="FO2067" s="100">
        <v>4</v>
      </c>
      <c r="FP2067" s="100">
        <v>10</v>
      </c>
      <c r="FR2067" s="100">
        <v>5</v>
      </c>
      <c r="FT2067" s="100">
        <v>12</v>
      </c>
      <c r="FV2067" s="100">
        <v>8</v>
      </c>
      <c r="FW2067" s="100">
        <v>10</v>
      </c>
      <c r="FX2067" s="100">
        <v>4</v>
      </c>
      <c r="FZ2067" s="100">
        <v>1</v>
      </c>
      <c r="GA2067" s="100">
        <v>10</v>
      </c>
      <c r="GB2067" s="100">
        <v>5</v>
      </c>
      <c r="GC2067" s="100">
        <v>13</v>
      </c>
      <c r="GD2067" s="100">
        <v>4</v>
      </c>
      <c r="GE2067" s="100">
        <v>11</v>
      </c>
      <c r="GG2067" s="100">
        <v>5</v>
      </c>
      <c r="GH2067" s="100">
        <v>3</v>
      </c>
      <c r="GI2067" s="100">
        <v>6</v>
      </c>
      <c r="GK2067" s="100">
        <v>6</v>
      </c>
      <c r="GL2067" s="100">
        <v>16</v>
      </c>
      <c r="GN2067" s="100">
        <v>7</v>
      </c>
      <c r="GO2067" s="100">
        <v>7</v>
      </c>
      <c r="GP2067" s="100">
        <v>7</v>
      </c>
      <c r="GQ2067" s="100">
        <v>12</v>
      </c>
      <c r="GS2067" s="100">
        <v>4</v>
      </c>
      <c r="ON2067" s="100">
        <f t="shared" si="642"/>
        <v>0</v>
      </c>
    </row>
    <row r="2068" spans="1:404" ht="23.25" customHeight="1">
      <c r="A2068" s="97" t="str">
        <f t="shared" si="644"/>
        <v>008/COMERZIA-2166-06422-02-B</v>
      </c>
      <c r="B2068" s="95">
        <v>44573</v>
      </c>
      <c r="C2068" s="97">
        <f t="shared" ca="1" si="643"/>
        <v>-491</v>
      </c>
      <c r="D2068" s="96" t="s">
        <v>1187</v>
      </c>
      <c r="E2068" s="94" t="s">
        <v>1052</v>
      </c>
      <c r="F2068" s="98" t="str">
        <f t="shared" si="639"/>
        <v>B</v>
      </c>
      <c r="G2068" s="110">
        <f ca="1">SUMIF($A:E,$A2068,K:K)</f>
        <v>440</v>
      </c>
      <c r="H2068" s="97" t="s">
        <v>964</v>
      </c>
      <c r="I2068" s="98">
        <v>200</v>
      </c>
      <c r="J2068" s="97">
        <v>200</v>
      </c>
      <c r="K2068" s="143">
        <f t="shared" si="641"/>
        <v>200</v>
      </c>
      <c r="L2068" s="144">
        <f t="shared" si="630"/>
        <v>0</v>
      </c>
      <c r="M2068" s="275">
        <f t="shared" si="645"/>
        <v>200</v>
      </c>
      <c r="N2068" s="98">
        <v>6</v>
      </c>
      <c r="O2068" s="93">
        <f t="shared" si="631"/>
        <v>100</v>
      </c>
      <c r="MM2068" s="100">
        <f>12+22+9</f>
        <v>43</v>
      </c>
      <c r="MN2068" s="100">
        <v>15</v>
      </c>
      <c r="MO2068" s="100">
        <v>13</v>
      </c>
      <c r="MP2068" s="100">
        <v>13</v>
      </c>
      <c r="MQ2068" s="100">
        <v>7</v>
      </c>
      <c r="MR2068" s="100">
        <v>13</v>
      </c>
      <c r="MS2068" s="100">
        <v>21</v>
      </c>
      <c r="MT2068" s="100">
        <v>26</v>
      </c>
      <c r="MW2068" s="100">
        <v>2</v>
      </c>
      <c r="MX2068" s="100">
        <v>20</v>
      </c>
      <c r="MY2068" s="100">
        <v>11</v>
      </c>
      <c r="MZ2068" s="100">
        <v>1</v>
      </c>
      <c r="NA2068" s="100">
        <v>15</v>
      </c>
      <c r="ON2068" s="100">
        <f t="shared" si="642"/>
        <v>0</v>
      </c>
    </row>
    <row r="2069" spans="1:404" ht="23.25" customHeight="1">
      <c r="A2069" s="97" t="str">
        <f t="shared" si="644"/>
        <v>006T/OBI-2166-06422-02-B</v>
      </c>
      <c r="B2069" s="95">
        <v>44424</v>
      </c>
      <c r="C2069" s="97">
        <f t="shared" ca="1" si="643"/>
        <v>-640</v>
      </c>
      <c r="D2069" s="112" t="s">
        <v>1296</v>
      </c>
      <c r="E2069" s="123" t="s">
        <v>1052</v>
      </c>
      <c r="F2069" s="98" t="str">
        <f t="shared" si="639"/>
        <v>B</v>
      </c>
      <c r="G2069" s="110">
        <f ca="1">SUMIF($A:E,$A2069,K:K)</f>
        <v>141</v>
      </c>
      <c r="H2069" s="97" t="s">
        <v>508</v>
      </c>
      <c r="I2069" s="98">
        <v>72</v>
      </c>
      <c r="J2069" s="115">
        <v>141</v>
      </c>
      <c r="K2069" s="143">
        <f t="shared" si="641"/>
        <v>141</v>
      </c>
      <c r="L2069" s="144">
        <f t="shared" si="630"/>
        <v>0</v>
      </c>
      <c r="M2069" s="275">
        <f t="shared" si="645"/>
        <v>72</v>
      </c>
      <c r="N2069" s="98">
        <v>1</v>
      </c>
      <c r="O2069" s="93">
        <f t="shared" si="631"/>
        <v>100</v>
      </c>
      <c r="GS2069" s="100">
        <v>3</v>
      </c>
      <c r="GU2069" s="100">
        <v>8</v>
      </c>
      <c r="GV2069" s="100">
        <v>12</v>
      </c>
      <c r="GW2069" s="100">
        <v>8</v>
      </c>
      <c r="GX2069" s="100">
        <v>18</v>
      </c>
      <c r="GY2069" s="100">
        <v>5</v>
      </c>
      <c r="GZ2069" s="100">
        <v>9</v>
      </c>
      <c r="HB2069" s="100">
        <v>4</v>
      </c>
      <c r="HC2069" s="100">
        <v>6</v>
      </c>
      <c r="HD2069" s="100">
        <v>8</v>
      </c>
      <c r="HE2069" s="100">
        <v>23</v>
      </c>
      <c r="HF2069" s="100">
        <v>13</v>
      </c>
      <c r="HG2069" s="100">
        <v>7</v>
      </c>
      <c r="HJ2069" s="100">
        <v>17</v>
      </c>
      <c r="ON2069" s="100">
        <f t="shared" si="642"/>
        <v>0</v>
      </c>
    </row>
    <row r="2070" spans="1:404" ht="23.25" customHeight="1">
      <c r="A2070" s="97" t="str">
        <f t="shared" si="644"/>
        <v>004/COMERZIA_SR-2166-06422-02-B</v>
      </c>
      <c r="B2070" s="95">
        <v>44394</v>
      </c>
      <c r="C2070" s="97">
        <f t="shared" ca="1" si="643"/>
        <v>-670</v>
      </c>
      <c r="D2070" s="112" t="s">
        <v>1314</v>
      </c>
      <c r="E2070" s="123" t="s">
        <v>1052</v>
      </c>
      <c r="F2070" s="98" t="str">
        <f t="shared" si="639"/>
        <v>B</v>
      </c>
      <c r="G2070" s="110">
        <f ca="1">SUMIF($A:E,$A2070,K:K)</f>
        <v>3</v>
      </c>
      <c r="H2070" s="97" t="s">
        <v>507</v>
      </c>
      <c r="I2070" s="98">
        <v>3</v>
      </c>
      <c r="J2070" s="115">
        <v>3</v>
      </c>
      <c r="K2070" s="143">
        <f t="shared" si="641"/>
        <v>3</v>
      </c>
      <c r="L2070" s="144">
        <f t="shared" si="630"/>
        <v>0</v>
      </c>
      <c r="M2070" s="275">
        <f t="shared" si="645"/>
        <v>3</v>
      </c>
      <c r="N2070" s="98">
        <v>5</v>
      </c>
      <c r="O2070" s="93">
        <f t="shared" si="631"/>
        <v>100</v>
      </c>
      <c r="GE2070" s="100">
        <v>3</v>
      </c>
      <c r="ON2070" s="100">
        <f t="shared" si="642"/>
        <v>0</v>
      </c>
    </row>
    <row r="2071" spans="1:404" ht="23.25" customHeight="1">
      <c r="A2071" s="97" t="s">
        <v>1370</v>
      </c>
      <c r="B2071" s="95">
        <v>44453</v>
      </c>
      <c r="C2071" s="97">
        <f t="shared" ca="1" si="643"/>
        <v>-611</v>
      </c>
      <c r="D2071" s="112" t="s">
        <v>1396</v>
      </c>
      <c r="E2071" s="123" t="s">
        <v>1052</v>
      </c>
      <c r="F2071" s="98" t="str">
        <f t="shared" si="639"/>
        <v>B</v>
      </c>
      <c r="G2071" s="110">
        <f ca="1">SUMIF($A:E,$A2071,K:K)</f>
        <v>5654</v>
      </c>
      <c r="H2071" s="97" t="s">
        <v>1402</v>
      </c>
      <c r="I2071" s="98">
        <v>108</v>
      </c>
      <c r="J2071" s="115">
        <v>108</v>
      </c>
      <c r="K2071" s="143">
        <f t="shared" si="641"/>
        <v>108</v>
      </c>
      <c r="L2071" s="144">
        <f t="shared" si="630"/>
        <v>0</v>
      </c>
      <c r="M2071" s="275">
        <f t="shared" si="645"/>
        <v>108</v>
      </c>
      <c r="N2071" s="98">
        <v>1</v>
      </c>
      <c r="O2071" s="93">
        <f t="shared" si="631"/>
        <v>100</v>
      </c>
      <c r="HK2071" s="100">
        <v>7</v>
      </c>
      <c r="HL2071" s="100">
        <v>23</v>
      </c>
      <c r="HM2071" s="100">
        <v>1</v>
      </c>
      <c r="HN2071" s="100">
        <v>19</v>
      </c>
      <c r="HP2071" s="100">
        <v>15</v>
      </c>
      <c r="HQ2071" s="100">
        <v>7</v>
      </c>
      <c r="HR2071" s="100">
        <v>3</v>
      </c>
      <c r="HS2071" s="100">
        <v>5</v>
      </c>
      <c r="HT2071" s="100">
        <v>7</v>
      </c>
      <c r="HW2071" s="100">
        <v>10</v>
      </c>
      <c r="HY2071" s="100">
        <v>2</v>
      </c>
      <c r="IF2071" s="100">
        <v>9</v>
      </c>
      <c r="ON2071" s="100">
        <f t="shared" si="642"/>
        <v>0</v>
      </c>
    </row>
    <row r="2072" spans="1:404" ht="23.25" customHeight="1">
      <c r="A2072" s="97" t="str">
        <f>D2072&amp;E2072</f>
        <v>005/METRO-VG-2166-06422-02-B</v>
      </c>
      <c r="B2072" s="95">
        <v>44495</v>
      </c>
      <c r="C2072" s="97">
        <f t="shared" ca="1" si="643"/>
        <v>-569</v>
      </c>
      <c r="D2072" s="112" t="s">
        <v>1701</v>
      </c>
      <c r="E2072" s="123" t="s">
        <v>1052</v>
      </c>
      <c r="F2072" s="98" t="str">
        <f t="shared" si="639"/>
        <v>B</v>
      </c>
      <c r="G2072" s="110">
        <f ca="1">SUMIF($A:E,$A2072,K:K)</f>
        <v>144</v>
      </c>
      <c r="H2072" s="97" t="s">
        <v>1593</v>
      </c>
      <c r="I2072" s="98">
        <v>144</v>
      </c>
      <c r="J2072" s="115">
        <v>144</v>
      </c>
      <c r="K2072" s="143">
        <f t="shared" si="641"/>
        <v>144</v>
      </c>
      <c r="L2072" s="144">
        <f t="shared" si="630"/>
        <v>0</v>
      </c>
      <c r="M2072" s="275">
        <f t="shared" si="645"/>
        <v>144</v>
      </c>
      <c r="N2072" s="98">
        <v>6</v>
      </c>
      <c r="O2072" s="93">
        <f t="shared" si="631"/>
        <v>100</v>
      </c>
      <c r="IM2072" s="100">
        <v>29</v>
      </c>
      <c r="IR2072" s="100">
        <v>7</v>
      </c>
      <c r="IT2072" s="100">
        <v>2</v>
      </c>
      <c r="IV2072" s="100">
        <v>20</v>
      </c>
      <c r="IW2072" s="100">
        <v>8</v>
      </c>
      <c r="IY2072" s="100">
        <v>11</v>
      </c>
      <c r="JC2072" s="100">
        <v>11</v>
      </c>
      <c r="JD2072" s="100">
        <v>17</v>
      </c>
      <c r="JG2072" s="100">
        <v>24</v>
      </c>
      <c r="JH2072" s="100">
        <v>6</v>
      </c>
      <c r="JI2072" s="100">
        <v>9</v>
      </c>
      <c r="ON2072" s="100">
        <f t="shared" si="642"/>
        <v>0</v>
      </c>
    </row>
    <row r="2073" spans="1:404" ht="23.25" customHeight="1">
      <c r="A2073" s="97" t="str">
        <f>D2073&amp;E2073</f>
        <v>025/METRO-VG-2166-06422-02-B</v>
      </c>
      <c r="B2073" s="95">
        <v>44508</v>
      </c>
      <c r="C2073" s="97">
        <f t="shared" ca="1" si="643"/>
        <v>-556</v>
      </c>
      <c r="D2073" s="96" t="s">
        <v>1748</v>
      </c>
      <c r="E2073" s="94" t="s">
        <v>1052</v>
      </c>
      <c r="F2073" s="98" t="str">
        <f t="shared" si="639"/>
        <v>B</v>
      </c>
      <c r="G2073" s="110">
        <f ca="1">SUMIF($A:E,$A2073,K:K)</f>
        <v>216</v>
      </c>
      <c r="H2073" s="97" t="s">
        <v>1743</v>
      </c>
      <c r="I2073" s="98">
        <v>216</v>
      </c>
      <c r="J2073" s="99">
        <v>216</v>
      </c>
      <c r="K2073" s="143">
        <f t="shared" si="641"/>
        <v>216</v>
      </c>
      <c r="L2073" s="144">
        <f t="shared" si="630"/>
        <v>0</v>
      </c>
      <c r="M2073" s="275">
        <f t="shared" si="645"/>
        <v>216</v>
      </c>
      <c r="N2073" s="98">
        <v>6</v>
      </c>
      <c r="O2073" s="93">
        <f t="shared" si="631"/>
        <v>100</v>
      </c>
      <c r="JI2073" s="100">
        <v>1</v>
      </c>
      <c r="JJ2073" s="100">
        <v>10</v>
      </c>
      <c r="JK2073" s="100">
        <v>4</v>
      </c>
      <c r="JN2073" s="100">
        <v>23</v>
      </c>
      <c r="JO2073" s="100">
        <v>9</v>
      </c>
      <c r="JP2073" s="100">
        <v>2</v>
      </c>
      <c r="JR2073" s="100">
        <v>11</v>
      </c>
      <c r="JT2073" s="100">
        <v>14</v>
      </c>
      <c r="JU2073" s="100">
        <v>5</v>
      </c>
      <c r="JW2073" s="100">
        <v>16</v>
      </c>
      <c r="JY2073" s="100">
        <v>8</v>
      </c>
      <c r="KA2073" s="100">
        <v>16</v>
      </c>
      <c r="KB2073" s="100">
        <v>11</v>
      </c>
      <c r="KC2073" s="100">
        <v>2</v>
      </c>
      <c r="KD2073" s="100">
        <v>13</v>
      </c>
      <c r="KE2073" s="100">
        <v>10</v>
      </c>
      <c r="KF2073" s="100">
        <v>9</v>
      </c>
      <c r="KG2073" s="100">
        <v>8</v>
      </c>
      <c r="KH2073" s="100">
        <v>8</v>
      </c>
      <c r="KI2073" s="100">
        <v>8</v>
      </c>
      <c r="KJ2073" s="100">
        <v>4</v>
      </c>
      <c r="KN2073" s="100">
        <v>10</v>
      </c>
      <c r="KO2073" s="100">
        <v>12</v>
      </c>
      <c r="KP2073" s="100">
        <v>2</v>
      </c>
      <c r="ON2073" s="100">
        <f t="shared" si="642"/>
        <v>0</v>
      </c>
    </row>
    <row r="2074" spans="1:404" ht="23.25" customHeight="1">
      <c r="A2074" s="97" t="str">
        <f>D2074&amp;E2074</f>
        <v>002T/OBI-2166-06422-01-B</v>
      </c>
      <c r="B2074" s="95">
        <v>44416</v>
      </c>
      <c r="C2074" s="97">
        <f t="shared" ca="1" si="643"/>
        <v>-648</v>
      </c>
      <c r="D2074" s="112" t="s">
        <v>1047</v>
      </c>
      <c r="E2074" s="123" t="s">
        <v>1051</v>
      </c>
      <c r="F2074" s="98" t="str">
        <f t="shared" si="639"/>
        <v>B</v>
      </c>
      <c r="G2074" s="110">
        <f ca="1">SUMIF($A:E,$A2074,K:K)</f>
        <v>243</v>
      </c>
      <c r="H2074" s="97" t="s">
        <v>616</v>
      </c>
      <c r="I2074" s="98">
        <v>246</v>
      </c>
      <c r="J2074" s="115">
        <v>243</v>
      </c>
      <c r="K2074" s="143">
        <f t="shared" si="641"/>
        <v>243</v>
      </c>
      <c r="L2074" s="144">
        <f t="shared" si="630"/>
        <v>0</v>
      </c>
      <c r="M2074" s="275">
        <f t="shared" si="645"/>
        <v>246</v>
      </c>
      <c r="N2074" s="98">
        <v>1</v>
      </c>
      <c r="O2074" s="93">
        <f t="shared" si="631"/>
        <v>100</v>
      </c>
      <c r="EW2074" s="100">
        <v>10</v>
      </c>
      <c r="EY2074" s="100">
        <v>9</v>
      </c>
      <c r="FB2074" s="100">
        <v>4</v>
      </c>
      <c r="FD2074" s="100">
        <v>7</v>
      </c>
      <c r="FE2074" s="100">
        <v>13</v>
      </c>
      <c r="FF2074" s="100">
        <v>1</v>
      </c>
      <c r="FI2074" s="100">
        <v>10</v>
      </c>
      <c r="FJ2074" s="100">
        <v>4</v>
      </c>
      <c r="FK2074" s="100">
        <v>5</v>
      </c>
      <c r="FL2074" s="100">
        <v>4</v>
      </c>
      <c r="FM2074" s="100">
        <v>6</v>
      </c>
      <c r="FO2074" s="100">
        <v>4</v>
      </c>
      <c r="FP2074" s="100">
        <v>10</v>
      </c>
      <c r="FR2074" s="100">
        <v>5</v>
      </c>
      <c r="FT2074" s="100">
        <v>12</v>
      </c>
      <c r="FV2074" s="100">
        <v>8</v>
      </c>
      <c r="FW2074" s="100">
        <v>10</v>
      </c>
      <c r="FX2074" s="100">
        <v>4</v>
      </c>
      <c r="FZ2074" s="100">
        <v>1</v>
      </c>
      <c r="GA2074" s="100">
        <v>10</v>
      </c>
      <c r="GB2074" s="100">
        <v>5</v>
      </c>
      <c r="GC2074" s="100">
        <v>13</v>
      </c>
      <c r="GD2074" s="100">
        <v>4</v>
      </c>
      <c r="GE2074" s="100">
        <v>11</v>
      </c>
      <c r="GG2074" s="100">
        <v>5</v>
      </c>
      <c r="GH2074" s="100">
        <v>3</v>
      </c>
      <c r="GI2074" s="100">
        <v>6</v>
      </c>
      <c r="GK2074" s="100">
        <v>6</v>
      </c>
      <c r="GL2074" s="100">
        <v>16</v>
      </c>
      <c r="GN2074" s="100">
        <v>7</v>
      </c>
      <c r="GO2074" s="100">
        <v>7</v>
      </c>
      <c r="GP2074" s="100">
        <v>7</v>
      </c>
      <c r="GQ2074" s="100">
        <v>12</v>
      </c>
      <c r="GS2074" s="100">
        <v>4</v>
      </c>
      <c r="ON2074" s="100">
        <f t="shared" si="642"/>
        <v>0</v>
      </c>
    </row>
    <row r="2075" spans="1:404" ht="23.25" customHeight="1">
      <c r="A2075" s="97" t="str">
        <f>D2075&amp;E2075</f>
        <v>006T/OBI-2166-06422-01-B</v>
      </c>
      <c r="B2075" s="95">
        <v>44424</v>
      </c>
      <c r="C2075" s="97">
        <f t="shared" ca="1" si="643"/>
        <v>-640</v>
      </c>
      <c r="D2075" s="112" t="s">
        <v>1296</v>
      </c>
      <c r="E2075" s="123" t="s">
        <v>1051</v>
      </c>
      <c r="F2075" s="98" t="str">
        <f t="shared" si="639"/>
        <v>B</v>
      </c>
      <c r="G2075" s="110">
        <f ca="1">SUMIF($A:E,$A2075,K:K)</f>
        <v>141</v>
      </c>
      <c r="H2075" s="97" t="s">
        <v>508</v>
      </c>
      <c r="I2075" s="98">
        <v>141</v>
      </c>
      <c r="J2075" s="115">
        <v>141</v>
      </c>
      <c r="K2075" s="143">
        <f t="shared" si="641"/>
        <v>141</v>
      </c>
      <c r="L2075" s="144">
        <f t="shared" si="630"/>
        <v>0</v>
      </c>
      <c r="M2075" s="275">
        <f t="shared" si="645"/>
        <v>141</v>
      </c>
      <c r="N2075" s="98">
        <v>1</v>
      </c>
      <c r="O2075" s="93">
        <f t="shared" si="631"/>
        <v>100</v>
      </c>
      <c r="GS2075" s="100">
        <v>3</v>
      </c>
      <c r="GU2075" s="100">
        <v>8</v>
      </c>
      <c r="GV2075" s="100">
        <v>12</v>
      </c>
      <c r="GW2075" s="100">
        <v>8</v>
      </c>
      <c r="GX2075" s="100">
        <v>18</v>
      </c>
      <c r="GY2075" s="100">
        <v>5</v>
      </c>
      <c r="GZ2075" s="100">
        <v>9</v>
      </c>
      <c r="HB2075" s="100">
        <v>4</v>
      </c>
      <c r="HC2075" s="100">
        <v>6</v>
      </c>
      <c r="HD2075" s="100">
        <v>8</v>
      </c>
      <c r="HE2075" s="100">
        <v>23</v>
      </c>
      <c r="HF2075" s="100">
        <v>13</v>
      </c>
      <c r="HG2075" s="100">
        <v>7</v>
      </c>
      <c r="HJ2075" s="100">
        <v>17</v>
      </c>
      <c r="ON2075" s="100">
        <f t="shared" si="642"/>
        <v>0</v>
      </c>
    </row>
    <row r="2076" spans="1:404" ht="23.25" customHeight="1">
      <c r="A2076" s="97" t="s">
        <v>1370</v>
      </c>
      <c r="B2076" s="95">
        <v>44453</v>
      </c>
      <c r="C2076" s="97">
        <f t="shared" ca="1" si="643"/>
        <v>-611</v>
      </c>
      <c r="D2076" s="112" t="s">
        <v>1396</v>
      </c>
      <c r="E2076" s="123" t="s">
        <v>1051</v>
      </c>
      <c r="F2076" s="98" t="str">
        <f t="shared" ref="F2076:F2097" si="646">MID(E2076,13,2)</f>
        <v>B</v>
      </c>
      <c r="G2076" s="110">
        <f ca="1">SUMIF($A:E,$A2076,K:K)</f>
        <v>5654</v>
      </c>
      <c r="H2076" s="97" t="s">
        <v>1402</v>
      </c>
      <c r="I2076" s="98">
        <v>108</v>
      </c>
      <c r="J2076" s="115">
        <v>108</v>
      </c>
      <c r="K2076" s="143">
        <f t="shared" si="641"/>
        <v>108</v>
      </c>
      <c r="L2076" s="144">
        <f t="shared" si="630"/>
        <v>0</v>
      </c>
      <c r="M2076" s="275">
        <f t="shared" si="645"/>
        <v>108</v>
      </c>
      <c r="N2076" s="98">
        <v>1</v>
      </c>
      <c r="O2076" s="93">
        <f t="shared" si="631"/>
        <v>100</v>
      </c>
      <c r="HK2076" s="100">
        <v>7</v>
      </c>
      <c r="HL2076" s="100">
        <v>23</v>
      </c>
      <c r="HM2076" s="100">
        <v>1</v>
      </c>
      <c r="HN2076" s="100">
        <v>19</v>
      </c>
      <c r="HP2076" s="100">
        <v>15</v>
      </c>
      <c r="HQ2076" s="100">
        <v>7</v>
      </c>
      <c r="HR2076" s="100">
        <v>3</v>
      </c>
      <c r="HS2076" s="100">
        <v>5</v>
      </c>
      <c r="HT2076" s="100">
        <v>7</v>
      </c>
      <c r="HW2076" s="100">
        <v>10</v>
      </c>
      <c r="HY2076" s="100">
        <v>2</v>
      </c>
      <c r="IF2076" s="100">
        <v>9</v>
      </c>
      <c r="ON2076" s="100">
        <f t="shared" si="642"/>
        <v>0</v>
      </c>
    </row>
    <row r="2077" spans="1:404" ht="23.25" customHeight="1">
      <c r="A2077" s="97" t="str">
        <f>D2077&amp;E2077</f>
        <v>005/METRO-VG-2166-06422-01-B</v>
      </c>
      <c r="B2077" s="95">
        <v>44495</v>
      </c>
      <c r="C2077" s="97">
        <f t="shared" ca="1" si="643"/>
        <v>-569</v>
      </c>
      <c r="D2077" s="112" t="s">
        <v>1701</v>
      </c>
      <c r="E2077" s="123" t="s">
        <v>1051</v>
      </c>
      <c r="F2077" s="98" t="str">
        <f t="shared" si="646"/>
        <v>B</v>
      </c>
      <c r="G2077" s="110">
        <f ca="1">SUMIF($A:E,$A2077,K:K)</f>
        <v>144</v>
      </c>
      <c r="H2077" s="97" t="s">
        <v>1593</v>
      </c>
      <c r="I2077" s="98">
        <v>144</v>
      </c>
      <c r="J2077" s="115">
        <v>144</v>
      </c>
      <c r="K2077" s="143">
        <f t="shared" si="641"/>
        <v>144</v>
      </c>
      <c r="L2077" s="144">
        <f t="shared" si="630"/>
        <v>0</v>
      </c>
      <c r="M2077" s="275">
        <f t="shared" si="645"/>
        <v>144</v>
      </c>
      <c r="N2077" s="98">
        <v>6</v>
      </c>
      <c r="O2077" s="93">
        <f t="shared" si="631"/>
        <v>100</v>
      </c>
      <c r="IM2077" s="100">
        <v>29</v>
      </c>
      <c r="IR2077" s="100">
        <v>7</v>
      </c>
      <c r="IT2077" s="100">
        <v>2</v>
      </c>
      <c r="IV2077" s="100">
        <v>20</v>
      </c>
      <c r="IW2077" s="100">
        <v>8</v>
      </c>
      <c r="IY2077" s="100">
        <v>11</v>
      </c>
      <c r="JC2077" s="100">
        <v>11</v>
      </c>
      <c r="JD2077" s="100">
        <v>17</v>
      </c>
      <c r="JG2077" s="100">
        <v>24</v>
      </c>
      <c r="JH2077" s="100">
        <v>6</v>
      </c>
      <c r="JI2077" s="100">
        <v>9</v>
      </c>
      <c r="ON2077" s="100">
        <f t="shared" si="642"/>
        <v>0</v>
      </c>
    </row>
    <row r="2078" spans="1:404" ht="23.25" customHeight="1">
      <c r="A2078" s="127" t="str">
        <f>D2078&amp;E2078</f>
        <v>025/METRO-VG-2166-06422-01-B</v>
      </c>
      <c r="B2078" s="126">
        <v>44508</v>
      </c>
      <c r="C2078" s="101">
        <f t="shared" ca="1" si="643"/>
        <v>-556</v>
      </c>
      <c r="D2078" s="128" t="s">
        <v>1748</v>
      </c>
      <c r="E2078" s="129" t="s">
        <v>1051</v>
      </c>
      <c r="F2078" s="132" t="str">
        <f t="shared" si="646"/>
        <v>B</v>
      </c>
      <c r="G2078" s="130">
        <f ca="1">SUMIF($A:E,$A2078,K:K)</f>
        <v>216</v>
      </c>
      <c r="H2078" s="127" t="s">
        <v>1743</v>
      </c>
      <c r="I2078" s="98">
        <v>216</v>
      </c>
      <c r="J2078" s="131">
        <v>216</v>
      </c>
      <c r="K2078" s="160">
        <f t="shared" si="641"/>
        <v>216</v>
      </c>
      <c r="L2078" s="151">
        <f t="shared" si="630"/>
        <v>0</v>
      </c>
      <c r="M2078" s="275">
        <f t="shared" si="645"/>
        <v>216</v>
      </c>
      <c r="N2078" s="132">
        <v>6</v>
      </c>
      <c r="O2078" s="93">
        <f t="shared" si="631"/>
        <v>100</v>
      </c>
      <c r="JI2078" s="100">
        <v>1</v>
      </c>
      <c r="JJ2078" s="100">
        <v>10</v>
      </c>
      <c r="JK2078" s="100">
        <v>4</v>
      </c>
      <c r="JN2078" s="100">
        <v>23</v>
      </c>
      <c r="JO2078" s="100">
        <v>9</v>
      </c>
      <c r="JP2078" s="100">
        <v>2</v>
      </c>
      <c r="JR2078" s="100">
        <v>11</v>
      </c>
      <c r="JT2078" s="100">
        <v>14</v>
      </c>
      <c r="JU2078" s="100">
        <v>5</v>
      </c>
      <c r="JW2078" s="100">
        <v>16</v>
      </c>
      <c r="JY2078" s="176">
        <v>8</v>
      </c>
      <c r="KA2078" s="100">
        <v>16</v>
      </c>
      <c r="KB2078" s="100">
        <v>11</v>
      </c>
      <c r="KC2078" s="100">
        <v>2</v>
      </c>
      <c r="KD2078" s="100">
        <v>13</v>
      </c>
      <c r="KE2078" s="100">
        <v>10</v>
      </c>
      <c r="KF2078" s="100">
        <v>9</v>
      </c>
      <c r="KG2078" s="100">
        <v>8</v>
      </c>
      <c r="KH2078" s="100">
        <v>8</v>
      </c>
      <c r="KI2078" s="100">
        <v>8</v>
      </c>
      <c r="KJ2078" s="100">
        <v>4</v>
      </c>
      <c r="KN2078" s="100">
        <v>10</v>
      </c>
      <c r="KO2078" s="100">
        <v>12</v>
      </c>
      <c r="KP2078" s="100">
        <v>2</v>
      </c>
      <c r="ON2078" s="100">
        <f t="shared" si="642"/>
        <v>0</v>
      </c>
    </row>
    <row r="2079" spans="1:404" ht="29.25" customHeight="1">
      <c r="A2079" s="97" t="str">
        <f>D2079&amp;E2079</f>
        <v>249/KHBS-21(006T/OBI-21)66-06422-01-B</v>
      </c>
      <c r="B2079" s="95">
        <v>44437</v>
      </c>
      <c r="C2079" s="207">
        <f t="shared" ca="1" si="643"/>
        <v>-627</v>
      </c>
      <c r="D2079" s="112" t="s">
        <v>1758</v>
      </c>
      <c r="E2079" s="123" t="s">
        <v>1051</v>
      </c>
      <c r="F2079" s="162" t="str">
        <f t="shared" si="646"/>
        <v>B</v>
      </c>
      <c r="G2079" s="130">
        <f ca="1">SUMIF($A:E,$A2079,K:K)</f>
        <v>1</v>
      </c>
      <c r="H2079" s="97" t="s">
        <v>1743</v>
      </c>
      <c r="I2079" s="98">
        <v>1</v>
      </c>
      <c r="J2079" s="99">
        <v>1</v>
      </c>
      <c r="K2079" s="143">
        <f t="shared" si="641"/>
        <v>1</v>
      </c>
      <c r="L2079" s="144">
        <f t="shared" ref="L2079:L2124" si="647">J2079-K2079</f>
        <v>0</v>
      </c>
      <c r="M2079" s="275">
        <f t="shared" si="645"/>
        <v>1</v>
      </c>
      <c r="N2079" s="98">
        <v>1</v>
      </c>
      <c r="O2079" s="93">
        <f t="shared" si="631"/>
        <v>100</v>
      </c>
      <c r="HS2079" s="100">
        <v>1</v>
      </c>
      <c r="ON2079" s="100">
        <f t="shared" si="642"/>
        <v>0</v>
      </c>
    </row>
    <row r="2080" spans="1:404" ht="23.25" customHeight="1">
      <c r="A2080" s="138" t="str">
        <f>D2080&amp;E2081</f>
        <v>004/MARSHALLS-2166-06402-S3-B</v>
      </c>
      <c r="B2080" s="114">
        <v>44503</v>
      </c>
      <c r="C2080" s="97">
        <f t="shared" ca="1" si="643"/>
        <v>-561</v>
      </c>
      <c r="D2080" s="262" t="s">
        <v>1247</v>
      </c>
      <c r="E2080" s="261" t="s">
        <v>1250</v>
      </c>
      <c r="F2080" s="132" t="str">
        <f t="shared" si="646"/>
        <v>B</v>
      </c>
      <c r="G2080" s="130">
        <f ca="1">SUMIF($A:E,$A2080,K:K)</f>
        <v>240</v>
      </c>
      <c r="H2080" s="97" t="s">
        <v>508</v>
      </c>
      <c r="I2080" s="98">
        <v>240</v>
      </c>
      <c r="J2080" s="97">
        <v>240</v>
      </c>
      <c r="K2080" s="143">
        <f t="shared" si="641"/>
        <v>240</v>
      </c>
      <c r="L2080" s="144">
        <f t="shared" si="647"/>
        <v>0</v>
      </c>
      <c r="M2080" s="275">
        <f t="shared" si="645"/>
        <v>720</v>
      </c>
      <c r="N2080" s="98">
        <v>4</v>
      </c>
      <c r="O2080" s="93">
        <f t="shared" si="631"/>
        <v>100</v>
      </c>
      <c r="JG2080" s="100">
        <v>9</v>
      </c>
      <c r="JH2080" s="100">
        <v>15</v>
      </c>
      <c r="JI2080" s="100">
        <v>15</v>
      </c>
      <c r="JJ2080" s="100">
        <v>26</v>
      </c>
      <c r="JM2080" s="100">
        <v>14</v>
      </c>
      <c r="JN2080" s="100">
        <v>8</v>
      </c>
      <c r="JO2080" s="100">
        <v>14</v>
      </c>
      <c r="JP2080" s="100">
        <v>13</v>
      </c>
      <c r="JQ2080" s="100">
        <v>6</v>
      </c>
      <c r="JR2080" s="100">
        <v>5</v>
      </c>
      <c r="JT2080" s="100">
        <v>22</v>
      </c>
      <c r="JU2080" s="100">
        <v>9</v>
      </c>
      <c r="JX2080" s="100">
        <v>28</v>
      </c>
      <c r="JY2080" s="100">
        <v>14</v>
      </c>
      <c r="KA2080" s="100">
        <v>20</v>
      </c>
      <c r="KB2080" s="100">
        <v>9</v>
      </c>
      <c r="KC2080" s="100">
        <v>12</v>
      </c>
      <c r="KD2080" s="100">
        <v>1</v>
      </c>
      <c r="ON2080" s="100">
        <f t="shared" si="642"/>
        <v>0</v>
      </c>
    </row>
    <row r="2081" spans="1:404" ht="23.25" customHeight="1">
      <c r="A2081" s="97" t="str">
        <f>D2081&amp;E2082</f>
        <v>004/TJ MAXX-2166-06402-S3-B</v>
      </c>
      <c r="B2081" s="95">
        <v>44503</v>
      </c>
      <c r="C2081" s="97">
        <f t="shared" ca="1" si="643"/>
        <v>-561</v>
      </c>
      <c r="D2081" s="96" t="s">
        <v>1248</v>
      </c>
      <c r="E2081" s="94" t="s">
        <v>1250</v>
      </c>
      <c r="F2081" s="132" t="str">
        <f t="shared" si="646"/>
        <v>B</v>
      </c>
      <c r="G2081" s="130">
        <f ca="1">SUMIF($A:E,$A2081,K:K)</f>
        <v>336</v>
      </c>
      <c r="H2081" s="97" t="s">
        <v>508</v>
      </c>
      <c r="I2081" s="98">
        <v>336</v>
      </c>
      <c r="J2081" s="97">
        <v>336</v>
      </c>
      <c r="K2081" s="143">
        <f t="shared" si="641"/>
        <v>336</v>
      </c>
      <c r="L2081" s="144">
        <f t="shared" si="647"/>
        <v>0</v>
      </c>
      <c r="M2081" s="275">
        <f t="shared" si="645"/>
        <v>1008</v>
      </c>
      <c r="N2081" s="98">
        <v>4</v>
      </c>
      <c r="O2081" s="93">
        <f t="shared" si="631"/>
        <v>100</v>
      </c>
      <c r="HG2081" s="100">
        <v>11</v>
      </c>
      <c r="HI2081" s="100">
        <v>5</v>
      </c>
      <c r="HK2081" s="100">
        <v>3</v>
      </c>
      <c r="HL2081" s="100">
        <v>25</v>
      </c>
      <c r="HM2081" s="100">
        <v>10</v>
      </c>
      <c r="HN2081" s="100">
        <v>10</v>
      </c>
      <c r="HP2081" s="100">
        <v>10</v>
      </c>
      <c r="HQ2081" s="100">
        <v>5</v>
      </c>
      <c r="HR2081" s="100">
        <v>5</v>
      </c>
      <c r="HS2081" s="100">
        <v>10</v>
      </c>
      <c r="HT2081" s="100">
        <v>10</v>
      </c>
      <c r="HW2081" s="100">
        <v>5</v>
      </c>
      <c r="HX2081" s="100">
        <v>5</v>
      </c>
      <c r="HY2081" s="100">
        <v>10</v>
      </c>
      <c r="IB2081" s="100">
        <v>10</v>
      </c>
      <c r="ID2081" s="100">
        <v>5</v>
      </c>
      <c r="IE2081" s="100">
        <v>10</v>
      </c>
      <c r="IF2081" s="100">
        <v>10</v>
      </c>
      <c r="IH2081" s="100">
        <v>20</v>
      </c>
      <c r="IK2081" s="100">
        <v>10</v>
      </c>
      <c r="IL2081" s="100">
        <v>15</v>
      </c>
      <c r="IM2081" s="100">
        <v>10</v>
      </c>
      <c r="IN2081" s="100">
        <v>9</v>
      </c>
      <c r="IO2081" s="100">
        <v>11</v>
      </c>
      <c r="IR2081" s="100">
        <v>8</v>
      </c>
      <c r="IU2081" s="100">
        <v>17</v>
      </c>
      <c r="IV2081" s="100">
        <v>5</v>
      </c>
      <c r="IW2081" s="100">
        <v>5</v>
      </c>
      <c r="IZ2081" s="100">
        <v>15</v>
      </c>
      <c r="JA2081" s="100">
        <v>8</v>
      </c>
      <c r="JB2081" s="100">
        <v>10</v>
      </c>
      <c r="JC2081" s="100">
        <v>7</v>
      </c>
      <c r="JD2081" s="100">
        <v>12</v>
      </c>
      <c r="JF2081" s="100">
        <v>7</v>
      </c>
      <c r="JG2081" s="100">
        <v>8</v>
      </c>
      <c r="ON2081" s="100">
        <f t="shared" si="642"/>
        <v>0</v>
      </c>
    </row>
    <row r="2082" spans="1:404" ht="23.25" customHeight="1">
      <c r="A2082" s="97" t="str">
        <f>D2082&amp;E2083</f>
        <v>004/HOMESENSE-2166-06402-S3-B</v>
      </c>
      <c r="B2082" s="95">
        <v>44578</v>
      </c>
      <c r="C2082" s="97">
        <f t="shared" ca="1" si="643"/>
        <v>-486</v>
      </c>
      <c r="D2082" s="96" t="s">
        <v>1255</v>
      </c>
      <c r="E2082" s="94" t="s">
        <v>1250</v>
      </c>
      <c r="F2082" s="132" t="str">
        <f t="shared" si="646"/>
        <v>B</v>
      </c>
      <c r="G2082" s="130">
        <f ca="1">SUMIF($A:E,$A2082,K:K)</f>
        <v>240</v>
      </c>
      <c r="H2082" s="97" t="s">
        <v>508</v>
      </c>
      <c r="I2082" s="98">
        <v>240</v>
      </c>
      <c r="J2082" s="97">
        <v>240</v>
      </c>
      <c r="K2082" s="143">
        <f t="shared" si="641"/>
        <v>240</v>
      </c>
      <c r="L2082" s="144">
        <f t="shared" si="647"/>
        <v>0</v>
      </c>
      <c r="M2082" s="275">
        <f t="shared" si="645"/>
        <v>720</v>
      </c>
      <c r="N2082" s="98">
        <v>4</v>
      </c>
      <c r="O2082" s="93">
        <f t="shared" si="631"/>
        <v>100</v>
      </c>
      <c r="ME2082" s="100">
        <v>6</v>
      </c>
      <c r="MF2082" s="100">
        <v>6</v>
      </c>
      <c r="MG2082" s="100">
        <v>7</v>
      </c>
      <c r="MH2082" s="100">
        <v>5</v>
      </c>
      <c r="MK2082" s="100">
        <v>12</v>
      </c>
      <c r="ML2082" s="100">
        <v>23</v>
      </c>
      <c r="MM2082" s="100">
        <v>13</v>
      </c>
      <c r="MN2082" s="100">
        <v>14</v>
      </c>
      <c r="MO2082" s="100">
        <v>27</v>
      </c>
      <c r="MP2082" s="100">
        <v>15</v>
      </c>
      <c r="MQ2082" s="100">
        <v>10</v>
      </c>
      <c r="MS2082" s="100">
        <v>11</v>
      </c>
      <c r="MT2082" s="100">
        <v>11</v>
      </c>
      <c r="MU2082" s="100">
        <v>23</v>
      </c>
      <c r="MW2082" s="100">
        <v>29</v>
      </c>
      <c r="MY2082" s="100">
        <v>28</v>
      </c>
      <c r="ON2082" s="100">
        <f t="shared" si="642"/>
        <v>0</v>
      </c>
    </row>
    <row r="2083" spans="1:404" ht="23.25" customHeight="1">
      <c r="A2083" s="97" t="str">
        <f>D2083&amp;E2083</f>
        <v>001/WINNERS-2166-06402-S3-B</v>
      </c>
      <c r="B2083" s="95">
        <v>44523</v>
      </c>
      <c r="C2083" s="97">
        <f t="shared" ca="1" si="643"/>
        <v>-541</v>
      </c>
      <c r="D2083" s="96" t="s">
        <v>1272</v>
      </c>
      <c r="E2083" s="94" t="s">
        <v>1250</v>
      </c>
      <c r="F2083" s="132" t="str">
        <f t="shared" si="646"/>
        <v>B</v>
      </c>
      <c r="G2083" s="130">
        <f ca="1">SUMIF($A:E,$A2083,K:K)</f>
        <v>252</v>
      </c>
      <c r="H2083" s="97" t="s">
        <v>933</v>
      </c>
      <c r="I2083" s="98">
        <v>252</v>
      </c>
      <c r="J2083" s="98">
        <v>252</v>
      </c>
      <c r="K2083" s="143">
        <f t="shared" si="641"/>
        <v>252</v>
      </c>
      <c r="L2083" s="144">
        <f t="shared" si="647"/>
        <v>0</v>
      </c>
      <c r="M2083" s="275">
        <f t="shared" si="645"/>
        <v>756</v>
      </c>
      <c r="N2083" s="98">
        <v>4</v>
      </c>
      <c r="O2083" s="93">
        <f t="shared" ref="O2083:O2087" si="648">K2083/J2083*100</f>
        <v>100</v>
      </c>
      <c r="KD2083" s="100">
        <v>15</v>
      </c>
      <c r="KE2083" s="100">
        <v>14</v>
      </c>
      <c r="KF2083" s="100">
        <v>14</v>
      </c>
      <c r="KG2083" s="100">
        <v>14</v>
      </c>
      <c r="KH2083" s="100">
        <v>5</v>
      </c>
      <c r="KI2083" s="100">
        <v>7</v>
      </c>
      <c r="KJ2083" s="100">
        <v>21</v>
      </c>
      <c r="KN2083" s="100">
        <v>6</v>
      </c>
      <c r="KO2083" s="100">
        <v>12</v>
      </c>
      <c r="KP2083" s="100">
        <v>14</v>
      </c>
      <c r="KQ2083" s="100">
        <v>14</v>
      </c>
      <c r="KR2083" s="100">
        <v>14</v>
      </c>
      <c r="KU2083" s="100">
        <v>13</v>
      </c>
      <c r="KV2083" s="100">
        <v>14</v>
      </c>
      <c r="KW2083" s="100">
        <v>15</v>
      </c>
      <c r="KX2083" s="100">
        <v>14</v>
      </c>
      <c r="KY2083" s="100">
        <v>14</v>
      </c>
      <c r="KZ2083" s="100">
        <v>13</v>
      </c>
      <c r="LB2083" s="100">
        <v>10</v>
      </c>
      <c r="LC2083" s="100">
        <v>9</v>
      </c>
      <c r="ON2083" s="100">
        <f t="shared" si="642"/>
        <v>0</v>
      </c>
    </row>
    <row r="2084" spans="1:404" ht="23.25" customHeight="1">
      <c r="A2084" s="97" t="s">
        <v>1370</v>
      </c>
      <c r="B2084" s="95">
        <v>44602</v>
      </c>
      <c r="C2084" s="97">
        <f t="shared" ca="1" si="643"/>
        <v>-462</v>
      </c>
      <c r="D2084" s="112" t="s">
        <v>2200</v>
      </c>
      <c r="E2084" s="123" t="s">
        <v>1250</v>
      </c>
      <c r="F2084" s="132" t="str">
        <f t="shared" si="646"/>
        <v>B</v>
      </c>
      <c r="G2084" s="130">
        <f ca="1">SUMIF($A:E,$A2084,K:K)</f>
        <v>5654</v>
      </c>
      <c r="H2084" s="97" t="s">
        <v>508</v>
      </c>
      <c r="I2084" s="98">
        <v>60</v>
      </c>
      <c r="J2084" s="115">
        <v>60</v>
      </c>
      <c r="K2084" s="143">
        <f t="shared" si="641"/>
        <v>60</v>
      </c>
      <c r="L2084" s="144">
        <f t="shared" si="647"/>
        <v>0</v>
      </c>
      <c r="M2084" s="275">
        <f t="shared" si="645"/>
        <v>180</v>
      </c>
      <c r="N2084" s="98">
        <v>4</v>
      </c>
      <c r="O2084" s="93">
        <f t="shared" si="648"/>
        <v>100</v>
      </c>
      <c r="NA2084" s="100">
        <v>14</v>
      </c>
      <c r="ND2084" s="100">
        <v>14</v>
      </c>
      <c r="NE2084" s="100">
        <v>14</v>
      </c>
      <c r="NF2084" s="100">
        <v>13</v>
      </c>
      <c r="NG2084" s="100">
        <v>4</v>
      </c>
      <c r="NI2084" s="100">
        <v>1</v>
      </c>
      <c r="ON2084" s="100">
        <f t="shared" si="642"/>
        <v>0</v>
      </c>
    </row>
    <row r="2085" spans="1:404" ht="23.25" customHeight="1">
      <c r="A2085" s="97" t="str">
        <f>D2085&amp;E2085</f>
        <v>041/VG_SR-21( TJX)66-06402-L2-B</v>
      </c>
      <c r="B2085" s="95">
        <v>44397</v>
      </c>
      <c r="C2085" s="97">
        <f t="shared" ca="1" si="643"/>
        <v>-667</v>
      </c>
      <c r="D2085" s="112" t="s">
        <v>1301</v>
      </c>
      <c r="E2085" s="123" t="s">
        <v>1302</v>
      </c>
      <c r="F2085" s="132" t="str">
        <f t="shared" si="646"/>
        <v>B</v>
      </c>
      <c r="G2085" s="130">
        <f ca="1">SUMIF($A:E,$A2085,K:K)</f>
        <v>2</v>
      </c>
      <c r="H2085" s="97" t="s">
        <v>508</v>
      </c>
      <c r="I2085" s="98">
        <v>2</v>
      </c>
      <c r="J2085" s="99">
        <v>2</v>
      </c>
      <c r="K2085" s="143">
        <f t="shared" si="641"/>
        <v>2</v>
      </c>
      <c r="L2085" s="144">
        <f t="shared" si="647"/>
        <v>0</v>
      </c>
      <c r="M2085" s="275">
        <f t="shared" si="645"/>
        <v>4</v>
      </c>
      <c r="N2085" s="98">
        <v>1</v>
      </c>
      <c r="O2085" s="93">
        <f t="shared" si="648"/>
        <v>100</v>
      </c>
      <c r="GB2085" s="100">
        <v>1</v>
      </c>
      <c r="GC2085" s="100">
        <v>1</v>
      </c>
      <c r="ON2085" s="100">
        <f t="shared" si="642"/>
        <v>0</v>
      </c>
    </row>
    <row r="2086" spans="1:404" ht="23.25" customHeight="1">
      <c r="A2086" s="97" t="str">
        <f>D2086&amp;E2087</f>
        <v>037/VG_SR-21(TJX)66-06402-03-B</v>
      </c>
      <c r="B2086" s="95">
        <v>44384</v>
      </c>
      <c r="C2086" s="97">
        <f t="shared" ca="1" si="643"/>
        <v>-680</v>
      </c>
      <c r="D2086" s="96" t="s">
        <v>1206</v>
      </c>
      <c r="E2086" s="94" t="s">
        <v>1207</v>
      </c>
      <c r="F2086" s="132" t="str">
        <f t="shared" si="646"/>
        <v>B</v>
      </c>
      <c r="G2086" s="130">
        <f ca="1">SUMIF($A:E,$A2086,K:K)</f>
        <v>2</v>
      </c>
      <c r="H2086" s="97" t="s">
        <v>616</v>
      </c>
      <c r="I2086" s="98">
        <v>2</v>
      </c>
      <c r="J2086" s="97">
        <v>2</v>
      </c>
      <c r="K2086" s="143">
        <f t="shared" si="641"/>
        <v>2</v>
      </c>
      <c r="L2086" s="144">
        <f t="shared" si="647"/>
        <v>0</v>
      </c>
      <c r="M2086" s="275">
        <f t="shared" si="645"/>
        <v>2</v>
      </c>
      <c r="N2086" s="98">
        <v>1</v>
      </c>
      <c r="O2086" s="93">
        <f t="shared" si="648"/>
        <v>100</v>
      </c>
      <c r="FS2086" s="100">
        <v>2</v>
      </c>
      <c r="ON2086" s="100">
        <f t="shared" si="642"/>
        <v>0</v>
      </c>
    </row>
    <row r="2087" spans="1:404" ht="23.25" customHeight="1">
      <c r="A2087" s="97" t="str">
        <f t="shared" ref="A2087:A2088" si="649">D2087&amp;E2087</f>
        <v>005/KHBS-21(037/VG_SR-21(TJX))66-06402-03-B</v>
      </c>
      <c r="B2087" s="95">
        <v>44410</v>
      </c>
      <c r="C2087" s="97">
        <f t="shared" ca="1" si="643"/>
        <v>-654</v>
      </c>
      <c r="D2087" s="96" t="s">
        <v>1442</v>
      </c>
      <c r="E2087" s="94" t="s">
        <v>1207</v>
      </c>
      <c r="F2087" s="132" t="str">
        <f t="shared" si="646"/>
        <v>B</v>
      </c>
      <c r="G2087" s="130">
        <f ca="1">SUMIF($A:E,$A2087,K:K)</f>
        <v>2</v>
      </c>
      <c r="H2087" s="97" t="s">
        <v>1445</v>
      </c>
      <c r="I2087" s="98">
        <v>2</v>
      </c>
      <c r="J2087" s="99">
        <v>2</v>
      </c>
      <c r="K2087" s="143">
        <f t="shared" si="641"/>
        <v>2</v>
      </c>
      <c r="L2087" s="144">
        <f t="shared" si="647"/>
        <v>0</v>
      </c>
      <c r="M2087" s="275">
        <f t="shared" si="645"/>
        <v>2</v>
      </c>
      <c r="N2087" s="98">
        <v>1</v>
      </c>
      <c r="O2087" s="93">
        <f t="shared" si="648"/>
        <v>100</v>
      </c>
      <c r="GU2087" s="100">
        <v>2</v>
      </c>
      <c r="ON2087" s="100">
        <f t="shared" si="642"/>
        <v>0</v>
      </c>
    </row>
    <row r="2088" spans="1:404" ht="23.25" customHeight="1">
      <c r="A2088" s="97" t="str">
        <f t="shared" si="649"/>
        <v>003/ANNA-VG-21(đ3)66-06400-S3-A</v>
      </c>
      <c r="B2088" s="95">
        <v>44577</v>
      </c>
      <c r="C2088" s="97">
        <f t="shared" ca="1" si="643"/>
        <v>-487</v>
      </c>
      <c r="D2088" s="112" t="s">
        <v>1646</v>
      </c>
      <c r="E2088" s="279" t="s">
        <v>688</v>
      </c>
      <c r="F2088" s="132" t="str">
        <f t="shared" si="646"/>
        <v>A</v>
      </c>
      <c r="G2088" s="130">
        <f ca="1">SUMIF($A:E,$A2088,K:K)</f>
        <v>60</v>
      </c>
      <c r="H2088" s="112" t="s">
        <v>990</v>
      </c>
      <c r="I2088" s="98">
        <v>60</v>
      </c>
      <c r="J2088" s="115">
        <v>60</v>
      </c>
      <c r="K2088" s="143">
        <f t="shared" si="641"/>
        <v>60</v>
      </c>
      <c r="L2088" s="144">
        <f t="shared" si="647"/>
        <v>0</v>
      </c>
      <c r="M2088" s="275">
        <f t="shared" si="645"/>
        <v>180</v>
      </c>
      <c r="N2088" s="98">
        <v>6</v>
      </c>
      <c r="O2088" s="93">
        <f t="shared" ref="O2088:O2109" si="650">K2088/J2088*100</f>
        <v>100</v>
      </c>
      <c r="MX2088" s="100">
        <v>10</v>
      </c>
      <c r="MY2088" s="100">
        <v>7</v>
      </c>
      <c r="NA2088" s="100">
        <v>20</v>
      </c>
      <c r="ND2088" s="100">
        <v>3</v>
      </c>
      <c r="NE2088" s="100">
        <v>4</v>
      </c>
      <c r="NG2088" s="100">
        <v>16</v>
      </c>
      <c r="ON2088" s="100">
        <f t="shared" si="642"/>
        <v>0</v>
      </c>
    </row>
    <row r="2089" spans="1:404" ht="23.25" customHeight="1">
      <c r="A2089" s="97" t="str">
        <f>D2089&amp;E2090</f>
        <v>005/MARSSHALLS-2166-06400-L2-B</v>
      </c>
      <c r="B2089" s="95" t="s">
        <v>1227</v>
      </c>
      <c r="C2089" s="97">
        <f t="shared" ref="C2089:C2108" ca="1" si="651">B2089-TODAY()</f>
        <v>-513</v>
      </c>
      <c r="D2089" s="96" t="s">
        <v>1228</v>
      </c>
      <c r="E2089" s="94" t="s">
        <v>822</v>
      </c>
      <c r="F2089" s="98" t="str">
        <f t="shared" si="646"/>
        <v>B</v>
      </c>
      <c r="G2089" s="110">
        <f ca="1">SUMIF($A:E,$A2089,K:K)</f>
        <v>252</v>
      </c>
      <c r="H2089" s="97" t="s">
        <v>508</v>
      </c>
      <c r="I2089" s="98">
        <v>252</v>
      </c>
      <c r="J2089" s="97">
        <v>252</v>
      </c>
      <c r="K2089" s="143">
        <f t="shared" si="641"/>
        <v>252</v>
      </c>
      <c r="L2089" s="144">
        <f t="shared" si="647"/>
        <v>0</v>
      </c>
      <c r="M2089" s="275">
        <f t="shared" si="645"/>
        <v>504</v>
      </c>
      <c r="N2089" s="98">
        <v>4</v>
      </c>
      <c r="O2089" s="93">
        <f t="shared" si="650"/>
        <v>100</v>
      </c>
      <c r="KD2089" s="100">
        <v>1</v>
      </c>
      <c r="KE2089" s="100">
        <v>14</v>
      </c>
      <c r="KF2089" s="100">
        <v>14</v>
      </c>
      <c r="KG2089" s="100">
        <v>14</v>
      </c>
      <c r="KH2089" s="100">
        <v>6</v>
      </c>
      <c r="KI2089" s="100">
        <v>7</v>
      </c>
      <c r="KJ2089" s="100">
        <v>24</v>
      </c>
      <c r="KN2089" s="100">
        <v>15</v>
      </c>
      <c r="KO2089" s="100">
        <v>17</v>
      </c>
      <c r="KP2089" s="100">
        <v>16</v>
      </c>
      <c r="KQ2089" s="100">
        <v>15</v>
      </c>
      <c r="KR2089" s="100">
        <v>16</v>
      </c>
      <c r="KU2089" s="100">
        <v>15</v>
      </c>
      <c r="KV2089" s="100">
        <v>24</v>
      </c>
      <c r="KW2089" s="100">
        <v>15</v>
      </c>
      <c r="KX2089" s="100">
        <v>14</v>
      </c>
      <c r="KY2089" s="100">
        <v>10</v>
      </c>
      <c r="KZ2089" s="100">
        <v>8</v>
      </c>
      <c r="LB2089" s="100">
        <v>7</v>
      </c>
      <c r="ON2089" s="100">
        <f t="shared" si="642"/>
        <v>0</v>
      </c>
    </row>
    <row r="2090" spans="1:404" ht="23.25" customHeight="1">
      <c r="A2090" s="97" t="e">
        <f>D2090&amp;#REF!</f>
        <v>#REF!</v>
      </c>
      <c r="B2090" s="95" t="s">
        <v>1227</v>
      </c>
      <c r="C2090" s="97">
        <f t="shared" ca="1" si="651"/>
        <v>-513</v>
      </c>
      <c r="D2090" s="96" t="s">
        <v>1231</v>
      </c>
      <c r="E2090" s="94" t="s">
        <v>822</v>
      </c>
      <c r="F2090" s="98" t="str">
        <f t="shared" si="646"/>
        <v>B</v>
      </c>
      <c r="G2090" s="110">
        <f ca="1">SUMIF($A:E,$A2090,K:K)</f>
        <v>1754</v>
      </c>
      <c r="H2090" s="97" t="s">
        <v>508</v>
      </c>
      <c r="I2090" s="98">
        <v>364</v>
      </c>
      <c r="J2090" s="97">
        <v>364</v>
      </c>
      <c r="K2090" s="143">
        <f t="shared" si="641"/>
        <v>364</v>
      </c>
      <c r="L2090" s="144">
        <f t="shared" si="647"/>
        <v>0</v>
      </c>
      <c r="M2090" s="275">
        <f t="shared" si="645"/>
        <v>728</v>
      </c>
      <c r="N2090" s="98">
        <v>4</v>
      </c>
      <c r="O2090" s="93">
        <f t="shared" si="650"/>
        <v>100</v>
      </c>
      <c r="JB2090" s="100">
        <v>21</v>
      </c>
      <c r="JC2090" s="100">
        <v>21</v>
      </c>
      <c r="JD2090" s="100">
        <v>13</v>
      </c>
      <c r="JG2090" s="100">
        <v>29</v>
      </c>
      <c r="JH2090" s="100">
        <v>12</v>
      </c>
      <c r="JI2090" s="100">
        <v>14</v>
      </c>
      <c r="JJ2090" s="100">
        <v>24</v>
      </c>
      <c r="JM2090" s="100">
        <v>11</v>
      </c>
      <c r="JN2090" s="100">
        <v>12</v>
      </c>
      <c r="JO2090" s="100">
        <v>12</v>
      </c>
      <c r="JP2090" s="100">
        <v>13</v>
      </c>
      <c r="JQ2090" s="100">
        <v>14</v>
      </c>
      <c r="JR2090" s="100">
        <v>8</v>
      </c>
      <c r="JT2090" s="100">
        <v>23</v>
      </c>
      <c r="JU2090" s="100">
        <v>11</v>
      </c>
      <c r="JV2090" s="100">
        <v>5</v>
      </c>
      <c r="JX2090" s="100">
        <v>33</v>
      </c>
      <c r="JY2090" s="100">
        <v>24</v>
      </c>
      <c r="KA2090" s="100">
        <v>17</v>
      </c>
      <c r="KB2090" s="100">
        <v>16</v>
      </c>
      <c r="KC2090" s="100">
        <v>15</v>
      </c>
      <c r="KD2090" s="100">
        <v>16</v>
      </c>
      <c r="ON2090" s="100">
        <f t="shared" si="642"/>
        <v>0</v>
      </c>
    </row>
    <row r="2091" spans="1:404" ht="23.25" customHeight="1">
      <c r="A2091" s="97" t="s">
        <v>1370</v>
      </c>
      <c r="B2091" s="95">
        <v>44602</v>
      </c>
      <c r="C2091" s="97">
        <f t="shared" ca="1" si="651"/>
        <v>-462</v>
      </c>
      <c r="D2091" s="112" t="s">
        <v>2200</v>
      </c>
      <c r="E2091" s="123" t="s">
        <v>822</v>
      </c>
      <c r="F2091" s="98" t="str">
        <f t="shared" si="646"/>
        <v>B</v>
      </c>
      <c r="G2091" s="110">
        <f ca="1">SUMIF($A:E,$A2091,K:K)</f>
        <v>5654</v>
      </c>
      <c r="H2091" s="97" t="s">
        <v>508</v>
      </c>
      <c r="I2091" s="98">
        <v>84</v>
      </c>
      <c r="J2091" s="115">
        <v>84</v>
      </c>
      <c r="K2091" s="143">
        <f t="shared" si="641"/>
        <v>0</v>
      </c>
      <c r="L2091" s="144">
        <f t="shared" si="647"/>
        <v>84</v>
      </c>
      <c r="M2091" s="275">
        <f t="shared" ref="M2091:M2115" si="652">IF(OR(MID(E2091,10,1)="0",MID(E2091,10,1)="F"),I2091,IF(OR(,MID(E2091,10,1)="S",MID(E2091,10,1)="L",MID(E2091,10,1)="B",MID(E2091,10,1)="X"),MID(E2091,11,1)*I2091,0))</f>
        <v>168</v>
      </c>
      <c r="N2091" s="98"/>
      <c r="O2091" s="93">
        <f t="shared" si="650"/>
        <v>0</v>
      </c>
      <c r="ON2091" s="100">
        <f t="shared" si="642"/>
        <v>0</v>
      </c>
    </row>
    <row r="2092" spans="1:404" ht="23.25" customHeight="1">
      <c r="A2092" s="97" t="str">
        <f t="shared" ref="A2092:A2099" si="653">D2092&amp;E2092</f>
        <v>095/KHBS-2166-06400-02-B2</v>
      </c>
      <c r="B2092" s="95">
        <v>44266</v>
      </c>
      <c r="C2092" s="97">
        <f t="shared" ca="1" si="651"/>
        <v>-798</v>
      </c>
      <c r="D2092" s="145" t="s">
        <v>797</v>
      </c>
      <c r="E2092" s="253" t="s">
        <v>623</v>
      </c>
      <c r="F2092" s="98" t="str">
        <f t="shared" si="646"/>
        <v>B2</v>
      </c>
      <c r="G2092" s="110">
        <f ca="1">SUMIF($A:E,$A2092,K:K)</f>
        <v>1</v>
      </c>
      <c r="H2092" s="97" t="s">
        <v>508</v>
      </c>
      <c r="I2092" s="98">
        <v>1</v>
      </c>
      <c r="J2092" s="146">
        <v>1</v>
      </c>
      <c r="K2092" s="143">
        <f t="shared" si="641"/>
        <v>1</v>
      </c>
      <c r="L2092" s="144">
        <f t="shared" si="647"/>
        <v>0</v>
      </c>
      <c r="M2092" s="275">
        <f t="shared" si="652"/>
        <v>1</v>
      </c>
      <c r="N2092" s="98">
        <v>3</v>
      </c>
      <c r="O2092" s="93">
        <f t="shared" si="650"/>
        <v>100</v>
      </c>
      <c r="BP2092" s="101">
        <v>1</v>
      </c>
      <c r="ON2092" s="100">
        <f t="shared" si="642"/>
        <v>0</v>
      </c>
    </row>
    <row r="2093" spans="1:404" ht="23.25" customHeight="1">
      <c r="A2093" s="97" t="str">
        <f t="shared" si="653"/>
        <v>001/EUROMARKET_SR-2166-06400-01-B</v>
      </c>
      <c r="B2093" s="95">
        <v>44265</v>
      </c>
      <c r="C2093" s="97">
        <f t="shared" ca="1" si="651"/>
        <v>-799</v>
      </c>
      <c r="D2093" s="145" t="s">
        <v>795</v>
      </c>
      <c r="E2093" s="253" t="s">
        <v>796</v>
      </c>
      <c r="F2093" s="98" t="str">
        <f t="shared" si="646"/>
        <v>B</v>
      </c>
      <c r="G2093" s="110">
        <f ca="1">SUMIF($A:E,$A2093,K:K)</f>
        <v>4</v>
      </c>
      <c r="H2093" s="97" t="s">
        <v>508</v>
      </c>
      <c r="I2093" s="98">
        <v>4</v>
      </c>
      <c r="J2093" s="146">
        <v>4</v>
      </c>
      <c r="K2093" s="143">
        <f t="shared" si="641"/>
        <v>4</v>
      </c>
      <c r="L2093" s="144">
        <f t="shared" si="647"/>
        <v>0</v>
      </c>
      <c r="M2093" s="275">
        <f t="shared" si="652"/>
        <v>4</v>
      </c>
      <c r="N2093" s="98">
        <v>2</v>
      </c>
      <c r="O2093" s="93">
        <f t="shared" si="650"/>
        <v>100</v>
      </c>
      <c r="BM2093" s="101">
        <v>4</v>
      </c>
      <c r="ON2093" s="100">
        <f t="shared" si="642"/>
        <v>0</v>
      </c>
    </row>
    <row r="2094" spans="1:404" ht="23.25" customHeight="1">
      <c r="A2094" s="97" t="str">
        <f t="shared" si="653"/>
        <v>0031/EUROMARKET_SR-2166-06400-01-B</v>
      </c>
      <c r="B2094" s="95">
        <v>44273</v>
      </c>
      <c r="C2094" s="97">
        <f t="shared" ca="1" si="651"/>
        <v>-791</v>
      </c>
      <c r="D2094" s="145" t="s">
        <v>802</v>
      </c>
      <c r="E2094" s="253" t="s">
        <v>796</v>
      </c>
      <c r="F2094" s="98" t="str">
        <f t="shared" si="646"/>
        <v>B</v>
      </c>
      <c r="G2094" s="110">
        <f ca="1">SUMIF($A:E,$A2094,K:K)</f>
        <v>3</v>
      </c>
      <c r="H2094" s="97" t="s">
        <v>508</v>
      </c>
      <c r="I2094" s="98">
        <v>3</v>
      </c>
      <c r="J2094" s="146">
        <v>3</v>
      </c>
      <c r="K2094" s="143">
        <f t="shared" si="641"/>
        <v>3</v>
      </c>
      <c r="L2094" s="144">
        <f t="shared" si="647"/>
        <v>0</v>
      </c>
      <c r="M2094" s="275">
        <f t="shared" si="652"/>
        <v>3</v>
      </c>
      <c r="N2094" s="98">
        <v>2</v>
      </c>
      <c r="O2094" s="93">
        <f t="shared" si="650"/>
        <v>100</v>
      </c>
      <c r="BR2094" s="101">
        <v>3</v>
      </c>
      <c r="ON2094" s="100">
        <f t="shared" si="642"/>
        <v>0</v>
      </c>
    </row>
    <row r="2095" spans="1:404" ht="23.25" customHeight="1">
      <c r="A2095" s="97" t="str">
        <f t="shared" si="653"/>
        <v>031/EUROMARKET-2166-06400-01-B</v>
      </c>
      <c r="B2095" s="95">
        <v>44314</v>
      </c>
      <c r="C2095" s="97">
        <f t="shared" ca="1" si="651"/>
        <v>-750</v>
      </c>
      <c r="D2095" s="96" t="s">
        <v>813</v>
      </c>
      <c r="E2095" s="94" t="s">
        <v>796</v>
      </c>
      <c r="F2095" s="98" t="str">
        <f t="shared" si="646"/>
        <v>B</v>
      </c>
      <c r="G2095" s="110">
        <f ca="1">SUMIF($A:E,$A2095,K:K)</f>
        <v>368</v>
      </c>
      <c r="H2095" s="97" t="s">
        <v>616</v>
      </c>
      <c r="I2095" s="98">
        <v>368</v>
      </c>
      <c r="J2095" s="99">
        <v>368</v>
      </c>
      <c r="K2095" s="143">
        <f t="shared" si="641"/>
        <v>368</v>
      </c>
      <c r="L2095" s="144">
        <f t="shared" si="647"/>
        <v>0</v>
      </c>
      <c r="M2095" s="275">
        <f t="shared" si="652"/>
        <v>368</v>
      </c>
      <c r="N2095" s="98">
        <v>3</v>
      </c>
      <c r="O2095" s="93">
        <f t="shared" si="650"/>
        <v>100</v>
      </c>
      <c r="CE2095" s="101">
        <v>13</v>
      </c>
      <c r="CF2095" s="101">
        <v>19</v>
      </c>
      <c r="CG2095" s="101">
        <v>21</v>
      </c>
      <c r="CH2095" s="101">
        <v>16</v>
      </c>
      <c r="CI2095" s="101">
        <v>17</v>
      </c>
      <c r="CJ2095" s="101">
        <v>10</v>
      </c>
      <c r="CM2095" s="101">
        <v>9</v>
      </c>
      <c r="CN2095" s="101">
        <v>30</v>
      </c>
      <c r="CP2095" s="101">
        <v>18</v>
      </c>
      <c r="CQ2095" s="101">
        <v>20</v>
      </c>
      <c r="CR2095" s="101">
        <v>19</v>
      </c>
      <c r="CS2095" s="101">
        <v>21</v>
      </c>
      <c r="CT2095" s="101">
        <v>19</v>
      </c>
      <c r="CU2095" s="101">
        <v>20</v>
      </c>
      <c r="CW2095" s="101">
        <v>19</v>
      </c>
      <c r="CX2095" s="101">
        <v>13</v>
      </c>
      <c r="CZ2095" s="101">
        <v>15</v>
      </c>
      <c r="DA2095" s="101">
        <v>15</v>
      </c>
      <c r="DB2095" s="101">
        <v>28</v>
      </c>
      <c r="DD2095" s="101">
        <v>25</v>
      </c>
      <c r="DE2095" s="101">
        <v>1</v>
      </c>
      <c r="ON2095" s="100">
        <f t="shared" si="642"/>
        <v>0</v>
      </c>
    </row>
    <row r="2096" spans="1:404" ht="23.25" customHeight="1">
      <c r="A2096" s="97" t="str">
        <f t="shared" si="653"/>
        <v>032/EUROMARKET-2166-06400-01-B</v>
      </c>
      <c r="B2096" s="95">
        <v>44314</v>
      </c>
      <c r="C2096" s="97">
        <f t="shared" ca="1" si="651"/>
        <v>-750</v>
      </c>
      <c r="D2096" s="96" t="s">
        <v>812</v>
      </c>
      <c r="E2096" s="94" t="s">
        <v>796</v>
      </c>
      <c r="F2096" s="98" t="str">
        <f t="shared" si="646"/>
        <v>B</v>
      </c>
      <c r="G2096" s="130">
        <f ca="1">SUMIF($A:E,$A2096,K:K)</f>
        <v>368</v>
      </c>
      <c r="H2096" s="97" t="s">
        <v>616</v>
      </c>
      <c r="I2096" s="98">
        <v>368</v>
      </c>
      <c r="J2096" s="99">
        <v>368</v>
      </c>
      <c r="K2096" s="143">
        <f t="shared" si="641"/>
        <v>368</v>
      </c>
      <c r="L2096" s="144">
        <f t="shared" si="647"/>
        <v>0</v>
      </c>
      <c r="M2096" s="275">
        <f t="shared" si="652"/>
        <v>368</v>
      </c>
      <c r="N2096" s="98">
        <v>2</v>
      </c>
      <c r="O2096" s="93">
        <f t="shared" si="650"/>
        <v>100</v>
      </c>
      <c r="CH2096" s="101">
        <v>7</v>
      </c>
      <c r="CI2096" s="101">
        <v>17</v>
      </c>
      <c r="CJ2096" s="101">
        <v>5</v>
      </c>
      <c r="CK2096" s="101">
        <v>11</v>
      </c>
      <c r="CM2096" s="101">
        <v>5</v>
      </c>
      <c r="CN2096" s="101">
        <v>5</v>
      </c>
      <c r="CP2096" s="101">
        <v>16</v>
      </c>
      <c r="CQ2096" s="101">
        <v>17</v>
      </c>
      <c r="CR2096" s="101">
        <v>17</v>
      </c>
      <c r="CS2096" s="101">
        <v>15</v>
      </c>
      <c r="CT2096" s="101">
        <v>16</v>
      </c>
      <c r="CU2096" s="101">
        <v>8</v>
      </c>
      <c r="CX2096" s="101">
        <v>23</v>
      </c>
      <c r="CZ2096" s="101">
        <v>33</v>
      </c>
      <c r="DA2096" s="101">
        <v>10</v>
      </c>
      <c r="DB2096" s="101">
        <v>20</v>
      </c>
      <c r="DE2096" s="101">
        <v>26</v>
      </c>
      <c r="DG2096" s="101">
        <v>38</v>
      </c>
      <c r="DK2096" s="101">
        <f>36+25+18</f>
        <v>79</v>
      </c>
      <c r="ON2096" s="100">
        <f t="shared" si="642"/>
        <v>0</v>
      </c>
    </row>
    <row r="2097" spans="1:404" ht="23.25" customHeight="1">
      <c r="A2097" s="97" t="str">
        <f t="shared" si="653"/>
        <v>165/KHBS-2166-06400-01-B</v>
      </c>
      <c r="B2097" s="95">
        <v>44319</v>
      </c>
      <c r="C2097" s="97">
        <f t="shared" ca="1" si="651"/>
        <v>-745</v>
      </c>
      <c r="D2097" s="96" t="s">
        <v>925</v>
      </c>
      <c r="E2097" s="94" t="s">
        <v>796</v>
      </c>
      <c r="F2097" s="98" t="str">
        <f t="shared" si="646"/>
        <v>B</v>
      </c>
      <c r="G2097" s="130">
        <f ca="1">SUMIF($A:E,$A2097,K:K)</f>
        <v>1</v>
      </c>
      <c r="H2097" s="97" t="s">
        <v>827</v>
      </c>
      <c r="I2097" s="98">
        <v>1</v>
      </c>
      <c r="J2097" s="99">
        <v>1</v>
      </c>
      <c r="K2097" s="143">
        <f t="shared" si="641"/>
        <v>1</v>
      </c>
      <c r="L2097" s="144">
        <f t="shared" si="647"/>
        <v>0</v>
      </c>
      <c r="M2097" s="275">
        <f t="shared" si="652"/>
        <v>1</v>
      </c>
      <c r="N2097" s="98">
        <v>2</v>
      </c>
      <c r="O2097" s="93">
        <f t="shared" si="650"/>
        <v>100</v>
      </c>
      <c r="DK2097" s="101">
        <v>1</v>
      </c>
      <c r="ON2097" s="100">
        <f t="shared" si="642"/>
        <v>0</v>
      </c>
    </row>
    <row r="2098" spans="1:404" ht="23.25" customHeight="1">
      <c r="A2098" s="97" t="str">
        <f t="shared" si="653"/>
        <v>003/ANNA-VG-21(đ3)66-06300-S3-A</v>
      </c>
      <c r="B2098" s="95">
        <v>44577</v>
      </c>
      <c r="C2098" s="97">
        <f t="shared" ca="1" si="651"/>
        <v>-487</v>
      </c>
      <c r="D2098" s="112" t="s">
        <v>1646</v>
      </c>
      <c r="E2098" s="279" t="s">
        <v>687</v>
      </c>
      <c r="F2098" s="98" t="str">
        <f t="shared" ref="F2098:F2123" si="654">MID(E2098,13,2)</f>
        <v>A</v>
      </c>
      <c r="G2098" s="110">
        <f ca="1">SUMIF($A:E,$A2098,K:K)</f>
        <v>72</v>
      </c>
      <c r="H2098" s="112" t="s">
        <v>990</v>
      </c>
      <c r="I2098" s="98">
        <v>72</v>
      </c>
      <c r="J2098" s="115">
        <v>72</v>
      </c>
      <c r="K2098" s="143">
        <f t="shared" si="641"/>
        <v>72</v>
      </c>
      <c r="L2098" s="144">
        <f t="shared" si="647"/>
        <v>0</v>
      </c>
      <c r="M2098" s="275">
        <f t="shared" si="652"/>
        <v>216</v>
      </c>
      <c r="N2098" s="98">
        <v>2</v>
      </c>
      <c r="O2098" s="93">
        <f t="shared" si="650"/>
        <v>100</v>
      </c>
      <c r="LY2098" s="100">
        <v>2</v>
      </c>
      <c r="LZ2098" s="100">
        <v>3</v>
      </c>
      <c r="MB2098" s="100">
        <v>6</v>
      </c>
      <c r="MD2098" s="100">
        <v>2</v>
      </c>
      <c r="ME2098" s="100">
        <v>3</v>
      </c>
      <c r="MF2098" s="100">
        <v>3</v>
      </c>
      <c r="MG2098" s="100">
        <v>3</v>
      </c>
      <c r="MH2098" s="100">
        <v>3</v>
      </c>
      <c r="MK2098" s="100">
        <v>3</v>
      </c>
      <c r="ML2098" s="100">
        <v>3</v>
      </c>
      <c r="MM2098" s="100">
        <v>1</v>
      </c>
      <c r="MN2098" s="100">
        <v>3</v>
      </c>
      <c r="MO2098" s="100">
        <v>3</v>
      </c>
      <c r="MP2098" s="100">
        <v>3</v>
      </c>
      <c r="MQ2098" s="100">
        <v>3</v>
      </c>
      <c r="MR2098" s="100">
        <v>3</v>
      </c>
      <c r="MS2098" s="100">
        <v>3</v>
      </c>
      <c r="MT2098" s="100">
        <v>4</v>
      </c>
      <c r="MU2098" s="100">
        <v>3</v>
      </c>
      <c r="MW2098" s="100">
        <v>3</v>
      </c>
      <c r="MX2098" s="100">
        <v>3</v>
      </c>
      <c r="MY2098" s="100">
        <v>3</v>
      </c>
      <c r="MZ2098" s="100">
        <v>4</v>
      </c>
      <c r="NA2098" s="100">
        <v>1</v>
      </c>
      <c r="NF2098" s="100">
        <v>1</v>
      </c>
      <c r="ON2098" s="100">
        <f t="shared" si="642"/>
        <v>0</v>
      </c>
    </row>
    <row r="2099" spans="1:404" ht="23.25" customHeight="1">
      <c r="A2099" s="97" t="str">
        <f t="shared" si="653"/>
        <v>003/ANNA-VG-21(đ2)66-05900-S1-A</v>
      </c>
      <c r="B2099" s="95">
        <v>44564</v>
      </c>
      <c r="C2099" s="97">
        <f t="shared" ca="1" si="651"/>
        <v>-500</v>
      </c>
      <c r="D2099" s="112" t="s">
        <v>1638</v>
      </c>
      <c r="E2099" s="279" t="s">
        <v>1641</v>
      </c>
      <c r="F2099" s="98" t="str">
        <f t="shared" si="654"/>
        <v>A</v>
      </c>
      <c r="G2099" s="110">
        <f ca="1">SUMIF($A:E,$A2099,K:K)</f>
        <v>110</v>
      </c>
      <c r="H2099" s="112" t="s">
        <v>990</v>
      </c>
      <c r="I2099" s="98">
        <v>110</v>
      </c>
      <c r="J2099" s="115">
        <v>110</v>
      </c>
      <c r="K2099" s="143">
        <f t="shared" si="641"/>
        <v>110</v>
      </c>
      <c r="L2099" s="144">
        <f t="shared" si="647"/>
        <v>0</v>
      </c>
      <c r="M2099" s="275">
        <f t="shared" si="652"/>
        <v>110</v>
      </c>
      <c r="N2099" s="98" t="s">
        <v>1776</v>
      </c>
      <c r="O2099" s="93">
        <f t="shared" si="650"/>
        <v>100</v>
      </c>
      <c r="LK2099" s="100">
        <v>4</v>
      </c>
      <c r="LL2099" s="100">
        <v>5</v>
      </c>
      <c r="LM2099" s="100">
        <v>5</v>
      </c>
      <c r="LN2099" s="100">
        <v>6</v>
      </c>
      <c r="LQ2099" s="100">
        <v>10</v>
      </c>
      <c r="LR2099" s="100">
        <v>4</v>
      </c>
      <c r="LT2099" s="100">
        <v>7</v>
      </c>
      <c r="LU2099" s="100">
        <v>9</v>
      </c>
      <c r="LW2099" s="100">
        <v>9</v>
      </c>
      <c r="LX2099" s="100">
        <v>6</v>
      </c>
      <c r="LZ2099" s="100">
        <v>16</v>
      </c>
      <c r="MA2099" s="100">
        <v>14</v>
      </c>
      <c r="MB2099" s="100">
        <v>4</v>
      </c>
      <c r="MD2099" s="100">
        <v>10</v>
      </c>
      <c r="MH2099" s="100">
        <v>1</v>
      </c>
      <c r="ON2099" s="100">
        <f t="shared" si="642"/>
        <v>0</v>
      </c>
    </row>
    <row r="2100" spans="1:404" ht="23.25" customHeight="1">
      <c r="A2100" s="97" t="str">
        <f>D2100&amp;E2101</f>
        <v>009/COMERZIA-2166-05824-S1-B</v>
      </c>
      <c r="B2100" s="95">
        <v>44569</v>
      </c>
      <c r="C2100" s="97">
        <f t="shared" ca="1" si="651"/>
        <v>-495</v>
      </c>
      <c r="D2100" s="96" t="s">
        <v>1232</v>
      </c>
      <c r="E2100" s="94" t="s">
        <v>1237</v>
      </c>
      <c r="F2100" s="98" t="str">
        <f t="shared" si="654"/>
        <v>B</v>
      </c>
      <c r="G2100" s="110">
        <f ca="1">SUMIF($A:E,$A2100,K:K)</f>
        <v>20</v>
      </c>
      <c r="H2100" s="97" t="s">
        <v>508</v>
      </c>
      <c r="I2100" s="98">
        <v>20</v>
      </c>
      <c r="J2100" s="97">
        <v>20</v>
      </c>
      <c r="K2100" s="143">
        <f t="shared" si="641"/>
        <v>20</v>
      </c>
      <c r="L2100" s="144">
        <f t="shared" si="647"/>
        <v>0</v>
      </c>
      <c r="M2100" s="275">
        <f t="shared" si="652"/>
        <v>20</v>
      </c>
      <c r="N2100" s="98">
        <v>6</v>
      </c>
      <c r="O2100" s="93">
        <f t="shared" si="650"/>
        <v>100</v>
      </c>
      <c r="MF2100" s="100">
        <v>8</v>
      </c>
      <c r="MG2100" s="100">
        <v>10</v>
      </c>
      <c r="MK2100" s="100">
        <v>2</v>
      </c>
      <c r="ON2100" s="100">
        <f t="shared" si="642"/>
        <v>0</v>
      </c>
    </row>
    <row r="2101" spans="1:404" ht="23.25" customHeight="1">
      <c r="A2101" s="97" t="str">
        <f>D2101&amp;E2101</f>
        <v>004/COMERZIA_SR-2166-05824-S1-B</v>
      </c>
      <c r="B2101" s="95">
        <v>44394</v>
      </c>
      <c r="C2101" s="97">
        <f t="shared" ca="1" si="651"/>
        <v>-670</v>
      </c>
      <c r="D2101" s="112" t="s">
        <v>1314</v>
      </c>
      <c r="E2101" s="123" t="s">
        <v>1237</v>
      </c>
      <c r="F2101" s="98" t="str">
        <f t="shared" si="654"/>
        <v>B</v>
      </c>
      <c r="G2101" s="110">
        <f ca="1">SUMIF($A:E,$A2101,K:K)</f>
        <v>1</v>
      </c>
      <c r="H2101" s="97" t="s">
        <v>508</v>
      </c>
      <c r="I2101" s="98">
        <v>1</v>
      </c>
      <c r="J2101" s="115">
        <v>1</v>
      </c>
      <c r="K2101" s="143">
        <f t="shared" si="641"/>
        <v>1</v>
      </c>
      <c r="L2101" s="144">
        <f t="shared" si="647"/>
        <v>0</v>
      </c>
      <c r="M2101" s="275">
        <f t="shared" si="652"/>
        <v>1</v>
      </c>
      <c r="N2101" s="98">
        <v>5</v>
      </c>
      <c r="O2101" s="93">
        <f t="shared" si="650"/>
        <v>100</v>
      </c>
      <c r="GE2101" s="100">
        <v>1</v>
      </c>
      <c r="ON2101" s="100">
        <f t="shared" si="642"/>
        <v>0</v>
      </c>
    </row>
    <row r="2102" spans="1:404" ht="23.25" customHeight="1">
      <c r="A2102" s="97" t="str">
        <f>D2106&amp;E2102</f>
        <v>009/COMERZIA-2166-05800-S1-B</v>
      </c>
      <c r="B2102" s="95">
        <v>44409</v>
      </c>
      <c r="C2102" s="97">
        <f t="shared" ca="1" si="651"/>
        <v>-655</v>
      </c>
      <c r="D2102" s="96" t="s">
        <v>938</v>
      </c>
      <c r="E2102" s="94" t="s">
        <v>944</v>
      </c>
      <c r="F2102" s="98" t="str">
        <f t="shared" si="654"/>
        <v>B</v>
      </c>
      <c r="G2102" s="110">
        <f ca="1">SUMIF($A:E,$A2102,K:K)</f>
        <v>236</v>
      </c>
      <c r="H2102" s="97" t="s">
        <v>508</v>
      </c>
      <c r="I2102" s="98">
        <v>200</v>
      </c>
      <c r="J2102" s="97">
        <v>200</v>
      </c>
      <c r="K2102" s="143">
        <f t="shared" si="641"/>
        <v>200</v>
      </c>
      <c r="L2102" s="144">
        <f t="shared" si="647"/>
        <v>0</v>
      </c>
      <c r="M2102" s="275">
        <f t="shared" si="652"/>
        <v>200</v>
      </c>
      <c r="N2102" s="98">
        <v>1</v>
      </c>
      <c r="O2102" s="93">
        <f t="shared" si="650"/>
        <v>100</v>
      </c>
      <c r="ED2102" s="100">
        <v>5</v>
      </c>
      <c r="EF2102" s="100">
        <v>5</v>
      </c>
      <c r="EG2102" s="100">
        <v>8</v>
      </c>
      <c r="EI2102" s="100">
        <v>5</v>
      </c>
      <c r="EJ2102" s="100">
        <v>9</v>
      </c>
      <c r="EL2102" s="100">
        <v>5</v>
      </c>
      <c r="EM2102" s="100">
        <v>9</v>
      </c>
      <c r="EO2102" s="100">
        <v>5</v>
      </c>
      <c r="EP2102" s="100">
        <v>10</v>
      </c>
      <c r="EQ2102" s="100">
        <v>5</v>
      </c>
      <c r="ER2102" s="100">
        <v>10</v>
      </c>
      <c r="EU2102" s="100">
        <v>8</v>
      </c>
      <c r="EV2102" s="100">
        <v>2</v>
      </c>
      <c r="EW2102" s="100">
        <v>10</v>
      </c>
      <c r="EX2102" s="100">
        <v>19</v>
      </c>
      <c r="EY2102" s="100">
        <v>10</v>
      </c>
      <c r="FA2102" s="100">
        <v>7</v>
      </c>
      <c r="FB2102" s="100">
        <v>10</v>
      </c>
      <c r="FC2102" s="100">
        <v>10</v>
      </c>
      <c r="FF2102" s="100">
        <v>20</v>
      </c>
      <c r="FH2102" s="100">
        <v>13</v>
      </c>
      <c r="FI2102" s="100">
        <v>4</v>
      </c>
      <c r="FK2102" s="100">
        <v>5</v>
      </c>
      <c r="FL2102" s="100">
        <v>6</v>
      </c>
      <c r="ON2102" s="100">
        <f t="shared" si="642"/>
        <v>0</v>
      </c>
    </row>
    <row r="2103" spans="1:404" ht="23.25" customHeight="1">
      <c r="A2103" s="97" t="str">
        <f>D2103&amp;E2103</f>
        <v>002/OBI-2166-05800-S1-B</v>
      </c>
      <c r="B2103" s="95">
        <v>44409</v>
      </c>
      <c r="C2103" s="97">
        <f t="shared" ca="1" si="651"/>
        <v>-655</v>
      </c>
      <c r="D2103" s="96" t="s">
        <v>938</v>
      </c>
      <c r="E2103" s="94" t="s">
        <v>944</v>
      </c>
      <c r="F2103" s="98" t="str">
        <f t="shared" si="654"/>
        <v>B</v>
      </c>
      <c r="G2103" s="110">
        <f ca="1">SUMIF($A:E,$A2103,K:K)</f>
        <v>200</v>
      </c>
      <c r="H2103" s="97" t="s">
        <v>508</v>
      </c>
      <c r="I2103" s="98">
        <v>200</v>
      </c>
      <c r="J2103" s="97">
        <v>200</v>
      </c>
      <c r="K2103" s="143">
        <f t="shared" si="641"/>
        <v>200</v>
      </c>
      <c r="L2103" s="144">
        <f t="shared" si="647"/>
        <v>0</v>
      </c>
      <c r="M2103" s="275">
        <f t="shared" si="652"/>
        <v>200</v>
      </c>
      <c r="N2103" s="98">
        <v>2</v>
      </c>
      <c r="O2103" s="93">
        <f t="shared" si="650"/>
        <v>100</v>
      </c>
      <c r="EC2103" s="100">
        <v>3</v>
      </c>
      <c r="ED2103" s="100">
        <v>9</v>
      </c>
      <c r="EF2103" s="100">
        <v>5</v>
      </c>
      <c r="EG2103" s="100">
        <v>4</v>
      </c>
      <c r="EH2103" s="100">
        <v>3</v>
      </c>
      <c r="EJ2103" s="100">
        <v>3</v>
      </c>
      <c r="EK2103" s="100">
        <v>5</v>
      </c>
      <c r="EM2103" s="100">
        <v>8</v>
      </c>
      <c r="EO2103" s="100">
        <v>3</v>
      </c>
      <c r="EP2103" s="100">
        <v>4</v>
      </c>
      <c r="EQ2103" s="100">
        <v>4</v>
      </c>
      <c r="ER2103" s="100">
        <v>15</v>
      </c>
      <c r="EU2103" s="100">
        <v>14</v>
      </c>
      <c r="EW2103" s="100">
        <v>19</v>
      </c>
      <c r="EX2103" s="100">
        <v>12</v>
      </c>
      <c r="EY2103" s="100">
        <v>10</v>
      </c>
      <c r="FA2103" s="100">
        <v>5</v>
      </c>
      <c r="FB2103" s="100">
        <v>5</v>
      </c>
      <c r="FC2103" s="100">
        <v>9</v>
      </c>
      <c r="FD2103" s="100">
        <v>8</v>
      </c>
      <c r="FE2103" s="100">
        <v>4</v>
      </c>
      <c r="FH2103" s="100">
        <v>3</v>
      </c>
      <c r="FJ2103" s="100">
        <v>18</v>
      </c>
      <c r="FK2103" s="100">
        <v>8</v>
      </c>
      <c r="FO2103" s="100">
        <v>5</v>
      </c>
      <c r="FT2103" s="100">
        <v>10</v>
      </c>
      <c r="FU2103" s="100">
        <v>4</v>
      </c>
      <c r="ON2103" s="100">
        <f t="shared" si="642"/>
        <v>0</v>
      </c>
    </row>
    <row r="2104" spans="1:404" ht="23.25" customHeight="1">
      <c r="A2104" s="97" t="str">
        <f>D2104&amp;E2104</f>
        <v>002T/OBI-2166-05800-S1-B</v>
      </c>
      <c r="B2104" s="95">
        <v>44416</v>
      </c>
      <c r="C2104" s="97">
        <f t="shared" ca="1" si="651"/>
        <v>-648</v>
      </c>
      <c r="D2104" s="112" t="s">
        <v>1047</v>
      </c>
      <c r="E2104" s="123" t="s">
        <v>944</v>
      </c>
      <c r="F2104" s="98" t="str">
        <f t="shared" si="654"/>
        <v>B</v>
      </c>
      <c r="G2104" s="110">
        <f ca="1">SUMIF($A:E,$A2104,K:K)</f>
        <v>228</v>
      </c>
      <c r="H2104" s="97" t="s">
        <v>616</v>
      </c>
      <c r="I2104" s="98">
        <v>96</v>
      </c>
      <c r="J2104" s="115">
        <v>96</v>
      </c>
      <c r="K2104" s="143">
        <f t="shared" si="641"/>
        <v>96</v>
      </c>
      <c r="L2104" s="144">
        <f t="shared" si="647"/>
        <v>0</v>
      </c>
      <c r="M2104" s="275">
        <f t="shared" si="652"/>
        <v>96</v>
      </c>
      <c r="N2104" s="98">
        <v>1</v>
      </c>
      <c r="O2104" s="93">
        <f t="shared" si="650"/>
        <v>100</v>
      </c>
      <c r="FL2104" s="100">
        <v>4</v>
      </c>
      <c r="FM2104" s="100">
        <v>5</v>
      </c>
      <c r="FO2104" s="100">
        <v>9</v>
      </c>
      <c r="FP2104" s="100">
        <v>5</v>
      </c>
      <c r="FT2104" s="100">
        <v>18</v>
      </c>
      <c r="FV2104" s="100">
        <v>9</v>
      </c>
      <c r="FW2104" s="100">
        <v>22</v>
      </c>
      <c r="GA2104" s="100">
        <v>11</v>
      </c>
      <c r="GB2104" s="100">
        <v>13</v>
      </c>
      <c r="ON2104" s="100">
        <f t="shared" si="642"/>
        <v>0</v>
      </c>
    </row>
    <row r="2105" spans="1:404" ht="23.25" customHeight="1">
      <c r="A2105" s="97" t="str">
        <f>D2105&amp;E2105</f>
        <v>002T/OBI-2166-05800-S1-B</v>
      </c>
      <c r="B2105" s="95">
        <v>44416</v>
      </c>
      <c r="C2105" s="97">
        <f t="shared" ca="1" si="651"/>
        <v>-648</v>
      </c>
      <c r="D2105" s="112" t="s">
        <v>1047</v>
      </c>
      <c r="E2105" s="123" t="s">
        <v>944</v>
      </c>
      <c r="F2105" s="98" t="str">
        <f t="shared" si="654"/>
        <v>B</v>
      </c>
      <c r="G2105" s="110">
        <f ca="1">SUMIF($A:E,$A2105,K:K)</f>
        <v>228</v>
      </c>
      <c r="H2105" s="97" t="s">
        <v>616</v>
      </c>
      <c r="I2105" s="98">
        <v>132</v>
      </c>
      <c r="J2105" s="115">
        <f>228-J2104</f>
        <v>132</v>
      </c>
      <c r="K2105" s="143">
        <f t="shared" si="641"/>
        <v>132</v>
      </c>
      <c r="L2105" s="144">
        <f t="shared" si="647"/>
        <v>0</v>
      </c>
      <c r="M2105" s="275">
        <f t="shared" si="652"/>
        <v>132</v>
      </c>
      <c r="N2105" s="98">
        <v>1</v>
      </c>
      <c r="O2105" s="93">
        <f t="shared" si="650"/>
        <v>100</v>
      </c>
      <c r="GB2105" s="100">
        <v>1</v>
      </c>
      <c r="GD2105" s="100">
        <v>10</v>
      </c>
      <c r="GE2105" s="100">
        <v>10</v>
      </c>
      <c r="GH2105" s="100">
        <v>19</v>
      </c>
      <c r="GI2105" s="100">
        <v>1</v>
      </c>
      <c r="GJ2105" s="100">
        <v>30</v>
      </c>
      <c r="GL2105" s="100">
        <v>18</v>
      </c>
      <c r="GO2105" s="100">
        <v>12</v>
      </c>
      <c r="GR2105" s="100">
        <v>27</v>
      </c>
      <c r="GV2105" s="100">
        <v>4</v>
      </c>
      <c r="ON2105" s="100">
        <f t="shared" si="642"/>
        <v>0</v>
      </c>
    </row>
    <row r="2106" spans="1:404" ht="23.25" customHeight="1">
      <c r="A2106" s="97" t="str">
        <f>D2106&amp;E2107</f>
        <v>009/COMERZIA-2166-05800-S1-B</v>
      </c>
      <c r="B2106" s="95">
        <v>44866</v>
      </c>
      <c r="C2106" s="97">
        <f t="shared" ca="1" si="651"/>
        <v>-198</v>
      </c>
      <c r="D2106" s="96" t="s">
        <v>1232</v>
      </c>
      <c r="E2106" s="94" t="s">
        <v>944</v>
      </c>
      <c r="F2106" s="98" t="str">
        <f t="shared" si="654"/>
        <v>B</v>
      </c>
      <c r="G2106" s="110">
        <f ca="1">SUMIF($A:E,$A2106,K:K)</f>
        <v>236</v>
      </c>
      <c r="H2106" s="97" t="s">
        <v>508</v>
      </c>
      <c r="I2106" s="98">
        <v>36</v>
      </c>
      <c r="J2106" s="97">
        <v>36</v>
      </c>
      <c r="K2106" s="143">
        <f t="shared" si="641"/>
        <v>36</v>
      </c>
      <c r="L2106" s="144">
        <f t="shared" si="647"/>
        <v>0</v>
      </c>
      <c r="M2106" s="275">
        <f t="shared" si="652"/>
        <v>36</v>
      </c>
      <c r="N2106" s="98">
        <v>4</v>
      </c>
      <c r="O2106" s="93">
        <f t="shared" si="650"/>
        <v>100</v>
      </c>
      <c r="MP2106" s="100">
        <v>13</v>
      </c>
      <c r="MR2106" s="100">
        <v>9</v>
      </c>
      <c r="MS2106" s="100">
        <v>5</v>
      </c>
      <c r="MT2106" s="100">
        <v>6</v>
      </c>
      <c r="MU2106" s="100">
        <v>3</v>
      </c>
      <c r="ON2106" s="100">
        <f t="shared" si="642"/>
        <v>0</v>
      </c>
    </row>
    <row r="2107" spans="1:404" ht="23.25" customHeight="1">
      <c r="A2107" s="97" t="str">
        <f>D2107&amp;E2107</f>
        <v>215/KHBS-2166-05800-S1-B</v>
      </c>
      <c r="B2107" s="95">
        <v>44394</v>
      </c>
      <c r="C2107" s="97">
        <f t="shared" ca="1" si="651"/>
        <v>-670</v>
      </c>
      <c r="D2107" s="96" t="s">
        <v>1313</v>
      </c>
      <c r="E2107" s="258" t="s">
        <v>944</v>
      </c>
      <c r="F2107" s="98" t="str">
        <f t="shared" si="654"/>
        <v>B</v>
      </c>
      <c r="G2107" s="110">
        <f ca="1">SUMIF($A:E,$A2107,K:K)</f>
        <v>1</v>
      </c>
      <c r="H2107" s="97" t="s">
        <v>508</v>
      </c>
      <c r="I2107" s="98">
        <v>72</v>
      </c>
      <c r="J2107" s="213">
        <v>1</v>
      </c>
      <c r="K2107" s="143">
        <f t="shared" si="641"/>
        <v>1</v>
      </c>
      <c r="L2107" s="144">
        <f t="shared" si="647"/>
        <v>0</v>
      </c>
      <c r="M2107" s="275">
        <f t="shared" si="652"/>
        <v>72</v>
      </c>
      <c r="N2107" s="98">
        <v>1</v>
      </c>
      <c r="O2107" s="93">
        <f t="shared" si="650"/>
        <v>100</v>
      </c>
      <c r="GB2107" s="100">
        <v>1</v>
      </c>
      <c r="ON2107" s="100">
        <f t="shared" si="642"/>
        <v>0</v>
      </c>
    </row>
    <row r="2108" spans="1:404" ht="23.25" customHeight="1">
      <c r="A2108" s="97" t="s">
        <v>1370</v>
      </c>
      <c r="B2108" s="95">
        <v>44476</v>
      </c>
      <c r="C2108" s="97">
        <f t="shared" ca="1" si="651"/>
        <v>-588</v>
      </c>
      <c r="D2108" s="112" t="s">
        <v>1397</v>
      </c>
      <c r="E2108" s="123" t="s">
        <v>944</v>
      </c>
      <c r="F2108" s="98" t="str">
        <f t="shared" si="654"/>
        <v>B</v>
      </c>
      <c r="G2108" s="110">
        <f ca="1">SUMIF($A:E,$A2108,K:K)</f>
        <v>5654</v>
      </c>
      <c r="H2108" s="97" t="s">
        <v>508</v>
      </c>
      <c r="I2108" s="98">
        <v>72</v>
      </c>
      <c r="J2108" s="115">
        <v>60</v>
      </c>
      <c r="K2108" s="143">
        <f t="shared" si="641"/>
        <v>60</v>
      </c>
      <c r="L2108" s="144">
        <f t="shared" si="647"/>
        <v>0</v>
      </c>
      <c r="M2108" s="275">
        <f t="shared" si="652"/>
        <v>72</v>
      </c>
      <c r="N2108" s="98">
        <v>1</v>
      </c>
      <c r="O2108" s="93">
        <f t="shared" si="650"/>
        <v>100</v>
      </c>
      <c r="GV2108" s="100">
        <v>5</v>
      </c>
      <c r="GY2108" s="100">
        <v>39</v>
      </c>
      <c r="GZ2108" s="100">
        <v>1</v>
      </c>
      <c r="HM2108" s="100">
        <v>9</v>
      </c>
      <c r="IG2108" s="100">
        <v>6</v>
      </c>
      <c r="ON2108" s="100">
        <f t="shared" si="642"/>
        <v>0</v>
      </c>
    </row>
    <row r="2109" spans="1:404" ht="23.25" customHeight="1">
      <c r="A2109" s="97" t="str">
        <f>D2109&amp;E2109</f>
        <v>001/NEVE YARAK-VG-2166-05800-S1-B</v>
      </c>
      <c r="B2109" s="218">
        <v>44661</v>
      </c>
      <c r="C2109" s="97">
        <f t="shared" ref="C2109:C2134" ca="1" si="655">B2109-TODAY()</f>
        <v>-403</v>
      </c>
      <c r="D2109" s="112" t="s">
        <v>1705</v>
      </c>
      <c r="E2109" s="123" t="s">
        <v>944</v>
      </c>
      <c r="F2109" s="98" t="str">
        <f t="shared" si="654"/>
        <v>B</v>
      </c>
      <c r="G2109" s="110">
        <f ca="1">SUMIF($A:E,$A2109,K:K)</f>
        <v>0</v>
      </c>
      <c r="H2109" s="97" t="s">
        <v>927</v>
      </c>
      <c r="I2109" s="98">
        <v>180</v>
      </c>
      <c r="J2109" s="115">
        <v>180</v>
      </c>
      <c r="K2109" s="143">
        <f t="shared" si="641"/>
        <v>0</v>
      </c>
      <c r="L2109" s="144">
        <f t="shared" si="647"/>
        <v>180</v>
      </c>
      <c r="M2109" s="275">
        <f t="shared" si="652"/>
        <v>180</v>
      </c>
      <c r="N2109" s="98"/>
      <c r="O2109" s="93">
        <f t="shared" si="650"/>
        <v>0</v>
      </c>
      <c r="ON2109" s="100">
        <f t="shared" si="642"/>
        <v>0</v>
      </c>
    </row>
    <row r="2110" spans="1:404" ht="23.25" customHeight="1">
      <c r="A2110" s="97" t="str">
        <f>D2110&amp;E2110</f>
        <v>003/ANNA-VG-21(đ3)66-05800-S1-A</v>
      </c>
      <c r="B2110" s="95">
        <v>44577</v>
      </c>
      <c r="C2110" s="97">
        <f t="shared" ca="1" si="655"/>
        <v>-487</v>
      </c>
      <c r="D2110" s="112" t="s">
        <v>1646</v>
      </c>
      <c r="E2110" s="279" t="s">
        <v>1647</v>
      </c>
      <c r="F2110" s="98" t="str">
        <f t="shared" si="654"/>
        <v>A</v>
      </c>
      <c r="G2110" s="110">
        <f ca="1">SUMIF($A:E,$A2110,K:K)</f>
        <v>88</v>
      </c>
      <c r="H2110" s="112" t="s">
        <v>990</v>
      </c>
      <c r="I2110" s="98">
        <v>88</v>
      </c>
      <c r="J2110" s="115">
        <v>88</v>
      </c>
      <c r="K2110" s="143">
        <f t="shared" si="641"/>
        <v>88</v>
      </c>
      <c r="L2110" s="144">
        <f t="shared" si="647"/>
        <v>0</v>
      </c>
      <c r="M2110" s="275">
        <f t="shared" si="652"/>
        <v>88</v>
      </c>
      <c r="N2110" s="98">
        <v>4</v>
      </c>
      <c r="O2110" s="93">
        <f t="shared" ref="O2110:O2127" si="656">K2110/J2110*100</f>
        <v>100</v>
      </c>
      <c r="LU2110" s="100">
        <v>4</v>
      </c>
      <c r="MD2110" s="100">
        <v>5</v>
      </c>
      <c r="ME2110" s="100">
        <v>5</v>
      </c>
      <c r="MF2110" s="100">
        <v>10</v>
      </c>
      <c r="MG2110" s="100">
        <v>9</v>
      </c>
      <c r="MH2110" s="100">
        <v>11</v>
      </c>
      <c r="MK2110" s="100">
        <v>9</v>
      </c>
      <c r="ML2110" s="100">
        <v>10</v>
      </c>
      <c r="MM2110" s="100">
        <v>7</v>
      </c>
      <c r="MN2110" s="100">
        <v>11</v>
      </c>
      <c r="MO2110" s="100">
        <v>7</v>
      </c>
      <c r="ON2110" s="100">
        <f t="shared" si="642"/>
        <v>0</v>
      </c>
    </row>
    <row r="2111" spans="1:404" ht="23.25" customHeight="1">
      <c r="A2111" s="97" t="str">
        <f>D2111&amp;E2111</f>
        <v>001/NEVE YARAK-VG-2166-05700-S1-B</v>
      </c>
      <c r="B2111" s="218">
        <v>44661</v>
      </c>
      <c r="C2111" s="97">
        <f t="shared" ca="1" si="655"/>
        <v>-403</v>
      </c>
      <c r="D2111" s="112" t="s">
        <v>1705</v>
      </c>
      <c r="E2111" s="123" t="s">
        <v>1706</v>
      </c>
      <c r="F2111" s="98" t="str">
        <f t="shared" si="654"/>
        <v>B</v>
      </c>
      <c r="G2111" s="110">
        <f ca="1">SUMIF($A:E,$A2111,K:K)</f>
        <v>0</v>
      </c>
      <c r="H2111" s="97" t="s">
        <v>927</v>
      </c>
      <c r="I2111" s="98">
        <v>154</v>
      </c>
      <c r="J2111" s="115">
        <v>154</v>
      </c>
      <c r="K2111" s="143">
        <f t="shared" si="641"/>
        <v>0</v>
      </c>
      <c r="L2111" s="144">
        <f t="shared" si="647"/>
        <v>154</v>
      </c>
      <c r="M2111" s="275">
        <f t="shared" si="652"/>
        <v>154</v>
      </c>
      <c r="N2111" s="98">
        <v>3</v>
      </c>
      <c r="O2111" s="93">
        <f t="shared" si="656"/>
        <v>0</v>
      </c>
      <c r="ON2111" s="100">
        <f t="shared" si="642"/>
        <v>0</v>
      </c>
    </row>
    <row r="2112" spans="1:404" ht="23.25" customHeight="1">
      <c r="A2112" s="97" t="str">
        <f>D2112&amp;E2112</f>
        <v>003/ANNA-VG-21(đ4)66-05700-S1-A</v>
      </c>
      <c r="B2112" s="95">
        <v>44579</v>
      </c>
      <c r="C2112" s="97">
        <f t="shared" ca="1" si="655"/>
        <v>-485</v>
      </c>
      <c r="D2112" s="112" t="s">
        <v>1652</v>
      </c>
      <c r="E2112" s="279" t="s">
        <v>1656</v>
      </c>
      <c r="F2112" s="98" t="str">
        <f t="shared" si="654"/>
        <v>A</v>
      </c>
      <c r="G2112" s="110">
        <f ca="1">SUMIF($A:E,$A2112,K:K)</f>
        <v>90</v>
      </c>
      <c r="H2112" s="112" t="s">
        <v>990</v>
      </c>
      <c r="I2112" s="98">
        <v>90</v>
      </c>
      <c r="J2112" s="115">
        <v>90</v>
      </c>
      <c r="K2112" s="143">
        <f t="shared" si="641"/>
        <v>90</v>
      </c>
      <c r="L2112" s="144">
        <f t="shared" si="647"/>
        <v>0</v>
      </c>
      <c r="M2112" s="275">
        <f t="shared" si="652"/>
        <v>90</v>
      </c>
      <c r="N2112" s="98">
        <v>2</v>
      </c>
      <c r="O2112" s="93">
        <f t="shared" si="656"/>
        <v>100</v>
      </c>
      <c r="LY2112" s="100">
        <v>1</v>
      </c>
      <c r="LZ2112" s="100">
        <v>4</v>
      </c>
      <c r="MB2112" s="100">
        <v>8</v>
      </c>
      <c r="MD2112" s="100">
        <v>4</v>
      </c>
      <c r="MG2112" s="100">
        <v>9</v>
      </c>
      <c r="MH2112" s="100">
        <v>4</v>
      </c>
      <c r="MK2112" s="100">
        <v>3</v>
      </c>
      <c r="ML2112" s="100">
        <v>4</v>
      </c>
      <c r="MM2112" s="100">
        <v>3</v>
      </c>
      <c r="MN2112" s="100">
        <v>4</v>
      </c>
      <c r="MO2112" s="100">
        <v>7</v>
      </c>
      <c r="MP2112" s="100">
        <v>4</v>
      </c>
      <c r="MQ2112" s="100">
        <v>4</v>
      </c>
      <c r="MR2112" s="100">
        <v>5</v>
      </c>
      <c r="MS2112" s="100">
        <v>4</v>
      </c>
      <c r="MT2112" s="100">
        <v>4</v>
      </c>
      <c r="MU2112" s="100">
        <v>4</v>
      </c>
      <c r="MX2112" s="100">
        <v>4</v>
      </c>
      <c r="NA2112" s="100">
        <v>2</v>
      </c>
      <c r="ND2112" s="100">
        <v>8</v>
      </c>
      <c r="ON2112" s="100">
        <f t="shared" si="642"/>
        <v>0</v>
      </c>
    </row>
    <row r="2113" spans="1:404" ht="23.25" customHeight="1">
      <c r="A2113" s="97" t="str">
        <f>D2113&amp;E2114</f>
        <v>009/COMERZIA-2166-05600-S1-B</v>
      </c>
      <c r="B2113" s="95">
        <v>44569</v>
      </c>
      <c r="C2113" s="97">
        <f t="shared" ca="1" si="655"/>
        <v>-495</v>
      </c>
      <c r="D2113" s="96" t="s">
        <v>1232</v>
      </c>
      <c r="E2113" s="94" t="s">
        <v>1236</v>
      </c>
      <c r="F2113" s="98" t="str">
        <f t="shared" si="654"/>
        <v>B</v>
      </c>
      <c r="G2113" s="110">
        <f ca="1">SUMIF($A:E,$A2113,K:K)</f>
        <v>44</v>
      </c>
      <c r="H2113" s="97" t="s">
        <v>508</v>
      </c>
      <c r="I2113" s="98">
        <v>20</v>
      </c>
      <c r="J2113" s="97">
        <v>20</v>
      </c>
      <c r="K2113" s="143">
        <f t="shared" si="641"/>
        <v>20</v>
      </c>
      <c r="L2113" s="144">
        <f t="shared" si="647"/>
        <v>0</v>
      </c>
      <c r="M2113" s="275">
        <f t="shared" si="652"/>
        <v>20</v>
      </c>
      <c r="N2113" s="98">
        <v>1</v>
      </c>
      <c r="O2113" s="93">
        <f t="shared" si="656"/>
        <v>100</v>
      </c>
      <c r="MK2113" s="100">
        <v>5</v>
      </c>
      <c r="ML2113" s="100">
        <v>2</v>
      </c>
      <c r="MM2113" s="100">
        <v>2</v>
      </c>
      <c r="MN2113" s="100">
        <v>2</v>
      </c>
      <c r="MO2113" s="100">
        <v>2</v>
      </c>
      <c r="MP2113" s="100">
        <v>1</v>
      </c>
      <c r="MQ2113" s="100">
        <v>1</v>
      </c>
      <c r="MR2113" s="100">
        <v>2</v>
      </c>
      <c r="MS2113" s="100">
        <v>3</v>
      </c>
      <c r="ON2113" s="100">
        <f t="shared" si="642"/>
        <v>0</v>
      </c>
    </row>
    <row r="2114" spans="1:404" ht="23.25" customHeight="1">
      <c r="A2114" s="97" t="str">
        <f>D2114&amp;E2115</f>
        <v>009/COMERZIA-2166-05600-S1-B</v>
      </c>
      <c r="B2114" s="95">
        <v>44570</v>
      </c>
      <c r="C2114" s="97">
        <f t="shared" ca="1" si="655"/>
        <v>-494</v>
      </c>
      <c r="D2114" s="96" t="s">
        <v>1232</v>
      </c>
      <c r="E2114" s="94" t="s">
        <v>1235</v>
      </c>
      <c r="F2114" s="98" t="str">
        <f t="shared" si="654"/>
        <v>B</v>
      </c>
      <c r="G2114" s="110">
        <f ca="1">SUMIF($A:E,$A2114,K:K)</f>
        <v>44</v>
      </c>
      <c r="H2114" s="97" t="s">
        <v>508</v>
      </c>
      <c r="I2114" s="98">
        <v>24</v>
      </c>
      <c r="J2114" s="97">
        <v>24</v>
      </c>
      <c r="K2114" s="143">
        <f t="shared" si="641"/>
        <v>24</v>
      </c>
      <c r="L2114" s="144">
        <f t="shared" si="647"/>
        <v>0</v>
      </c>
      <c r="M2114" s="275">
        <f t="shared" si="652"/>
        <v>24</v>
      </c>
      <c r="N2114" s="98">
        <v>3</v>
      </c>
      <c r="O2114" s="93">
        <f t="shared" si="656"/>
        <v>100</v>
      </c>
      <c r="MH2114" s="100">
        <v>4</v>
      </c>
      <c r="MK2114" s="100">
        <v>6</v>
      </c>
      <c r="ML2114" s="100">
        <v>4</v>
      </c>
      <c r="MM2114" s="100">
        <v>4</v>
      </c>
      <c r="MN2114" s="100">
        <v>6</v>
      </c>
      <c r="ON2114" s="100">
        <f t="shared" si="642"/>
        <v>0</v>
      </c>
    </row>
    <row r="2115" spans="1:404" ht="23.25" customHeight="1">
      <c r="A2115" s="97" t="str">
        <f>D2115&amp;E2115</f>
        <v>001/NEVE YARAK-VG-2166-05600-S1-B</v>
      </c>
      <c r="B2115" s="218">
        <v>44661</v>
      </c>
      <c r="C2115" s="97">
        <f t="shared" ca="1" si="655"/>
        <v>-403</v>
      </c>
      <c r="D2115" s="112" t="s">
        <v>1705</v>
      </c>
      <c r="E2115" s="123" t="s">
        <v>1235</v>
      </c>
      <c r="F2115" s="98" t="str">
        <f t="shared" si="654"/>
        <v>B</v>
      </c>
      <c r="G2115" s="110">
        <f ca="1">SUMIF($A:E,$A2115,K:K)</f>
        <v>66</v>
      </c>
      <c r="H2115" s="97" t="s">
        <v>927</v>
      </c>
      <c r="I2115" s="98">
        <v>144</v>
      </c>
      <c r="J2115" s="115">
        <v>144</v>
      </c>
      <c r="K2115" s="143">
        <f t="shared" si="641"/>
        <v>66</v>
      </c>
      <c r="L2115" s="144">
        <f t="shared" si="647"/>
        <v>78</v>
      </c>
      <c r="M2115" s="275">
        <f t="shared" si="652"/>
        <v>144</v>
      </c>
      <c r="N2115" s="98">
        <v>1</v>
      </c>
      <c r="O2115" s="93">
        <f t="shared" si="656"/>
        <v>45.833333333333329</v>
      </c>
      <c r="OI2115" s="100">
        <v>11</v>
      </c>
      <c r="OJ2115" s="100">
        <v>15</v>
      </c>
      <c r="OK2115" s="100">
        <v>5</v>
      </c>
      <c r="OM2115" s="100">
        <v>2</v>
      </c>
      <c r="ON2115" s="100">
        <f t="shared" si="642"/>
        <v>33</v>
      </c>
    </row>
    <row r="2116" spans="1:404" ht="23.25" customHeight="1">
      <c r="A2116" s="97" t="str">
        <f>D2116&amp;E2116</f>
        <v>003/ANNA-VG-21(đ4)66-05600-S1-A</v>
      </c>
      <c r="B2116" s="95">
        <v>44579</v>
      </c>
      <c r="C2116" s="97">
        <f t="shared" ca="1" si="655"/>
        <v>-485</v>
      </c>
      <c r="D2116" s="112" t="s">
        <v>1652</v>
      </c>
      <c r="E2116" s="279" t="s">
        <v>1655</v>
      </c>
      <c r="F2116" s="98" t="str">
        <f t="shared" si="654"/>
        <v>A</v>
      </c>
      <c r="G2116" s="110">
        <f ca="1">SUMIF($A:E,$A2116,K:K)</f>
        <v>90</v>
      </c>
      <c r="H2116" s="112" t="s">
        <v>990</v>
      </c>
      <c r="I2116" s="98">
        <v>90</v>
      </c>
      <c r="J2116" s="115">
        <v>90</v>
      </c>
      <c r="K2116" s="143">
        <f t="shared" ref="K2116:K2142" si="657">SUM(P2116:BBC2116)</f>
        <v>90</v>
      </c>
      <c r="L2116" s="144">
        <f t="shared" si="647"/>
        <v>0</v>
      </c>
      <c r="M2116" s="275">
        <f t="shared" ref="M2116:M2139" si="658">IF(OR(MID(E2116,10,1)="0",MID(E2116,10,1)="F"),I2116,IF(OR(,MID(E2116,10,1)="S",MID(E2116,10,1)="L",MID(E2116,10,1)="B",MID(E2116,10,1)="X"),MID(E2116,11,1)*I2116,0))</f>
        <v>90</v>
      </c>
      <c r="N2116" s="98">
        <v>3</v>
      </c>
      <c r="O2116" s="93">
        <f t="shared" si="656"/>
        <v>100</v>
      </c>
      <c r="MN2116" s="100">
        <v>1</v>
      </c>
      <c r="MO2116" s="100">
        <v>14</v>
      </c>
      <c r="MQ2116" s="100">
        <v>14</v>
      </c>
      <c r="MR2116" s="100">
        <v>14</v>
      </c>
      <c r="MS2116" s="100">
        <v>14</v>
      </c>
      <c r="MT2116" s="100">
        <v>21</v>
      </c>
      <c r="MW2116" s="100">
        <v>12</v>
      </c>
      <c r="ON2116" s="100">
        <f t="shared" ref="ON2116:ON2179" si="659">SUM(NS2116:OM2116)</f>
        <v>0</v>
      </c>
    </row>
    <row r="2117" spans="1:404" ht="23.25" customHeight="1">
      <c r="A2117" s="97" t="str">
        <f>D2117&amp;E2117</f>
        <v>002/OBI-2166-05300-03-B</v>
      </c>
      <c r="B2117" s="95">
        <v>44409</v>
      </c>
      <c r="C2117" s="97">
        <f t="shared" ca="1" si="655"/>
        <v>-655</v>
      </c>
      <c r="D2117" s="96" t="s">
        <v>938</v>
      </c>
      <c r="E2117" s="94" t="s">
        <v>956</v>
      </c>
      <c r="F2117" s="98" t="str">
        <f t="shared" si="654"/>
        <v>B</v>
      </c>
      <c r="G2117" s="110">
        <f ca="1">SUMIF($A:E,$A2117,K:K)</f>
        <v>636</v>
      </c>
      <c r="H2117" s="97" t="s">
        <v>508</v>
      </c>
      <c r="I2117" s="98">
        <v>72</v>
      </c>
      <c r="J2117" s="97">
        <v>636</v>
      </c>
      <c r="K2117" s="143">
        <f t="shared" si="657"/>
        <v>636</v>
      </c>
      <c r="L2117" s="144">
        <f t="shared" si="647"/>
        <v>0</v>
      </c>
      <c r="M2117" s="275">
        <f t="shared" si="658"/>
        <v>72</v>
      </c>
      <c r="N2117" s="98">
        <v>4</v>
      </c>
      <c r="O2117" s="93">
        <f t="shared" si="656"/>
        <v>100</v>
      </c>
      <c r="DR2117" s="101">
        <v>22</v>
      </c>
      <c r="DU2117" s="100">
        <v>17</v>
      </c>
      <c r="DW2117" s="100">
        <v>17</v>
      </c>
      <c r="DY2117" s="100">
        <v>14</v>
      </c>
      <c r="DZ2117" s="100">
        <v>11</v>
      </c>
      <c r="EA2117" s="100">
        <v>7</v>
      </c>
      <c r="EC2117" s="100">
        <v>24</v>
      </c>
      <c r="ED2117" s="100">
        <v>21</v>
      </c>
      <c r="EF2117" s="100">
        <v>16</v>
      </c>
      <c r="EG2117" s="100">
        <v>20</v>
      </c>
      <c r="EH2117" s="100">
        <v>10</v>
      </c>
      <c r="EI2117" s="100">
        <v>15</v>
      </c>
      <c r="EJ2117" s="100">
        <v>7</v>
      </c>
      <c r="EL2117" s="100">
        <v>11</v>
      </c>
      <c r="EN2117" s="100">
        <v>18</v>
      </c>
      <c r="EO2117" s="100">
        <v>18</v>
      </c>
      <c r="EP2117" s="100">
        <v>8</v>
      </c>
      <c r="EQ2117" s="100">
        <v>15</v>
      </c>
      <c r="ER2117" s="100">
        <v>13</v>
      </c>
      <c r="ET2117" s="100">
        <v>2</v>
      </c>
      <c r="EU2117" s="100">
        <v>19</v>
      </c>
      <c r="EV2117" s="100">
        <v>11</v>
      </c>
      <c r="EW2117" s="100">
        <v>9</v>
      </c>
      <c r="EX2117" s="100">
        <v>9</v>
      </c>
      <c r="EY2117" s="100">
        <v>2</v>
      </c>
      <c r="FA2117" s="100">
        <v>8</v>
      </c>
      <c r="FB2117" s="100">
        <v>19</v>
      </c>
      <c r="FD2117" s="100">
        <v>19</v>
      </c>
      <c r="FE2117" s="100">
        <v>12</v>
      </c>
      <c r="FH2117" s="100">
        <v>27</v>
      </c>
      <c r="FI2117" s="100">
        <v>13</v>
      </c>
      <c r="FJ2117" s="100">
        <v>17</v>
      </c>
      <c r="FK2117" s="100">
        <v>1</v>
      </c>
      <c r="FL2117" s="100">
        <v>28</v>
      </c>
      <c r="FM2117" s="100">
        <v>13</v>
      </c>
      <c r="FO2117" s="100">
        <v>19</v>
      </c>
      <c r="FP2117" s="100">
        <v>17</v>
      </c>
      <c r="FQ2117" s="100">
        <v>17</v>
      </c>
      <c r="FR2117" s="100">
        <v>14</v>
      </c>
      <c r="FS2117" s="100">
        <v>21</v>
      </c>
      <c r="FT2117" s="100">
        <v>11</v>
      </c>
      <c r="FU2117" s="100">
        <v>17</v>
      </c>
      <c r="FV2117" s="100">
        <v>24</v>
      </c>
      <c r="FW2117" s="100">
        <v>3</v>
      </c>
      <c r="ON2117" s="100">
        <f t="shared" si="659"/>
        <v>0</v>
      </c>
    </row>
    <row r="2118" spans="1:404" ht="23.25" customHeight="1">
      <c r="A2118" s="97" t="str">
        <f>D2118&amp;E2118</f>
        <v>002T/OBI-2166-05300-03-B</v>
      </c>
      <c r="B2118" s="95">
        <v>44416</v>
      </c>
      <c r="C2118" s="97">
        <f t="shared" ca="1" si="655"/>
        <v>-648</v>
      </c>
      <c r="D2118" s="112" t="s">
        <v>1047</v>
      </c>
      <c r="E2118" s="123" t="s">
        <v>956</v>
      </c>
      <c r="F2118" s="98" t="str">
        <f t="shared" si="654"/>
        <v>B</v>
      </c>
      <c r="G2118" s="110">
        <f ca="1">SUMIF($A:E,$A2118,K:K)</f>
        <v>352</v>
      </c>
      <c r="H2118" s="97" t="s">
        <v>616</v>
      </c>
      <c r="I2118" s="98">
        <v>72</v>
      </c>
      <c r="J2118" s="115">
        <v>352</v>
      </c>
      <c r="K2118" s="143">
        <f t="shared" si="657"/>
        <v>352</v>
      </c>
      <c r="L2118" s="144">
        <f t="shared" si="647"/>
        <v>0</v>
      </c>
      <c r="M2118" s="275">
        <f t="shared" si="658"/>
        <v>72</v>
      </c>
      <c r="N2118" s="98">
        <v>4</v>
      </c>
      <c r="O2118" s="93">
        <f t="shared" si="656"/>
        <v>100</v>
      </c>
      <c r="FW2118" s="100">
        <v>9</v>
      </c>
      <c r="FZ2118" s="100">
        <v>8</v>
      </c>
      <c r="GA2118" s="100">
        <v>9</v>
      </c>
      <c r="GB2118" s="100">
        <v>18</v>
      </c>
      <c r="GC2118" s="100">
        <v>22</v>
      </c>
      <c r="GD2118" s="100">
        <v>10</v>
      </c>
      <c r="GG2118" s="100">
        <v>28</v>
      </c>
      <c r="GH2118" s="100">
        <v>10</v>
      </c>
      <c r="GI2118" s="100">
        <v>18</v>
      </c>
      <c r="GJ2118" s="100">
        <v>19</v>
      </c>
      <c r="GK2118" s="100">
        <v>6</v>
      </c>
      <c r="GN2118" s="100">
        <v>24</v>
      </c>
      <c r="GO2118" s="100">
        <v>36</v>
      </c>
      <c r="GR2118" s="100">
        <v>18</v>
      </c>
      <c r="GS2118" s="100">
        <v>49</v>
      </c>
      <c r="GV2118" s="100">
        <v>37</v>
      </c>
      <c r="GW2118" s="100">
        <v>10</v>
      </c>
      <c r="GY2118" s="100">
        <v>15</v>
      </c>
      <c r="HB2118" s="100">
        <v>6</v>
      </c>
      <c r="ON2118" s="100">
        <f t="shared" si="659"/>
        <v>0</v>
      </c>
    </row>
    <row r="2119" spans="1:404" ht="23.25" customHeight="1">
      <c r="A2119" s="97" t="s">
        <v>1370</v>
      </c>
      <c r="B2119" s="95">
        <v>44534</v>
      </c>
      <c r="C2119" s="97">
        <f t="shared" ca="1" si="655"/>
        <v>-530</v>
      </c>
      <c r="D2119" s="112" t="s">
        <v>1400</v>
      </c>
      <c r="E2119" s="123" t="s">
        <v>956</v>
      </c>
      <c r="F2119" s="98" t="str">
        <f t="shared" si="654"/>
        <v>B</v>
      </c>
      <c r="G2119" s="110">
        <f ca="1">SUMIF($A:E,$A2119,K:K)</f>
        <v>5654</v>
      </c>
      <c r="H2119" s="97" t="s">
        <v>1402</v>
      </c>
      <c r="I2119" s="98">
        <v>72</v>
      </c>
      <c r="J2119" s="115">
        <v>64</v>
      </c>
      <c r="K2119" s="143">
        <f t="shared" si="657"/>
        <v>64</v>
      </c>
      <c r="L2119" s="144">
        <f t="shared" si="647"/>
        <v>0</v>
      </c>
      <c r="M2119" s="275">
        <f t="shared" si="658"/>
        <v>72</v>
      </c>
      <c r="N2119" s="98">
        <v>2</v>
      </c>
      <c r="O2119" s="93">
        <f t="shared" si="656"/>
        <v>100</v>
      </c>
      <c r="LG2119" s="100">
        <v>4</v>
      </c>
      <c r="LI2119" s="100">
        <v>3</v>
      </c>
      <c r="LK2119" s="100">
        <v>10</v>
      </c>
      <c r="LM2119" s="100">
        <v>17</v>
      </c>
      <c r="LN2119" s="100">
        <v>2</v>
      </c>
      <c r="LP2119" s="100">
        <v>28</v>
      </c>
      <c r="ON2119" s="100">
        <f t="shared" si="659"/>
        <v>0</v>
      </c>
    </row>
    <row r="2120" spans="1:404" ht="23.25" customHeight="1">
      <c r="A2120" s="97" t="str">
        <f>D2120&amp;E2120</f>
        <v>252/KHBS-21(002/OBI-21)66-05300-03-B</v>
      </c>
      <c r="B2120" s="95">
        <v>44437</v>
      </c>
      <c r="C2120" s="97">
        <f t="shared" ca="1" si="655"/>
        <v>-627</v>
      </c>
      <c r="D2120" s="112" t="s">
        <v>1763</v>
      </c>
      <c r="E2120" s="94" t="s">
        <v>956</v>
      </c>
      <c r="F2120" s="98" t="str">
        <f t="shared" si="654"/>
        <v>B</v>
      </c>
      <c r="G2120" s="110">
        <f ca="1">SUMIF($A:E,$A2120,K:K)</f>
        <v>1</v>
      </c>
      <c r="H2120" s="97" t="s">
        <v>616</v>
      </c>
      <c r="I2120" s="98">
        <v>1</v>
      </c>
      <c r="J2120" s="99">
        <v>1</v>
      </c>
      <c r="K2120" s="143">
        <f t="shared" si="657"/>
        <v>1</v>
      </c>
      <c r="L2120" s="144">
        <f t="shared" si="647"/>
        <v>0</v>
      </c>
      <c r="M2120" s="275">
        <f t="shared" si="658"/>
        <v>1</v>
      </c>
      <c r="N2120" s="98">
        <v>4</v>
      </c>
      <c r="O2120" s="93">
        <f t="shared" si="656"/>
        <v>100</v>
      </c>
      <c r="IB2120" s="100">
        <v>1</v>
      </c>
      <c r="ON2120" s="100">
        <f t="shared" si="659"/>
        <v>0</v>
      </c>
    </row>
    <row r="2121" spans="1:404" ht="23.25" customHeight="1">
      <c r="A2121" s="97" t="str">
        <f>D2121&amp;E2121</f>
        <v>002/OBI-2166-05300-02-B</v>
      </c>
      <c r="B2121" s="95">
        <v>44409</v>
      </c>
      <c r="C2121" s="97">
        <f t="shared" ca="1" si="655"/>
        <v>-655</v>
      </c>
      <c r="D2121" s="96" t="s">
        <v>938</v>
      </c>
      <c r="E2121" s="94" t="s">
        <v>943</v>
      </c>
      <c r="F2121" s="98" t="str">
        <f t="shared" si="654"/>
        <v>B</v>
      </c>
      <c r="G2121" s="110">
        <f ca="1">SUMIF($A:E,$A2121,K:K)</f>
        <v>636</v>
      </c>
      <c r="H2121" s="97" t="s">
        <v>508</v>
      </c>
      <c r="I2121" s="98">
        <v>363</v>
      </c>
      <c r="J2121" s="97">
        <v>636</v>
      </c>
      <c r="K2121" s="143">
        <f t="shared" si="657"/>
        <v>636</v>
      </c>
      <c r="L2121" s="144">
        <f t="shared" si="647"/>
        <v>0</v>
      </c>
      <c r="M2121" s="275">
        <f t="shared" si="658"/>
        <v>363</v>
      </c>
      <c r="N2121" s="98">
        <v>4</v>
      </c>
      <c r="O2121" s="93">
        <f t="shared" si="656"/>
        <v>100</v>
      </c>
      <c r="DR2121" s="101">
        <v>22</v>
      </c>
      <c r="DU2121" s="100">
        <v>17</v>
      </c>
      <c r="DW2121" s="100">
        <v>17</v>
      </c>
      <c r="DY2121" s="100">
        <v>14</v>
      </c>
      <c r="DZ2121" s="100">
        <v>11</v>
      </c>
      <c r="EA2121" s="100">
        <v>7</v>
      </c>
      <c r="EC2121" s="100">
        <v>24</v>
      </c>
      <c r="ED2121" s="100">
        <v>21</v>
      </c>
      <c r="EF2121" s="100">
        <v>16</v>
      </c>
      <c r="EG2121" s="100">
        <v>20</v>
      </c>
      <c r="EH2121" s="100">
        <v>10</v>
      </c>
      <c r="EI2121" s="100">
        <v>15</v>
      </c>
      <c r="EJ2121" s="100">
        <v>7</v>
      </c>
      <c r="EL2121" s="100">
        <v>11</v>
      </c>
      <c r="EN2121" s="100">
        <v>18</v>
      </c>
      <c r="EO2121" s="100">
        <v>18</v>
      </c>
      <c r="EP2121" s="100">
        <v>8</v>
      </c>
      <c r="EQ2121" s="100">
        <v>15</v>
      </c>
      <c r="ER2121" s="100">
        <v>13</v>
      </c>
      <c r="ET2121" s="100">
        <v>2</v>
      </c>
      <c r="EU2121" s="100">
        <v>19</v>
      </c>
      <c r="EV2121" s="100">
        <v>11</v>
      </c>
      <c r="EW2121" s="100">
        <v>9</v>
      </c>
      <c r="EX2121" s="100">
        <v>9</v>
      </c>
      <c r="EY2121" s="100">
        <v>2</v>
      </c>
      <c r="FA2121" s="100">
        <v>8</v>
      </c>
      <c r="FB2121" s="100">
        <v>19</v>
      </c>
      <c r="FD2121" s="100">
        <v>19</v>
      </c>
      <c r="FE2121" s="100">
        <v>12</v>
      </c>
      <c r="FH2121" s="100">
        <v>27</v>
      </c>
      <c r="FI2121" s="100">
        <v>13</v>
      </c>
      <c r="FJ2121" s="100">
        <v>17</v>
      </c>
      <c r="FK2121" s="100">
        <v>1</v>
      </c>
      <c r="FL2121" s="100">
        <v>28</v>
      </c>
      <c r="FM2121" s="100">
        <v>13</v>
      </c>
      <c r="FO2121" s="100">
        <v>19</v>
      </c>
      <c r="FP2121" s="100">
        <v>17</v>
      </c>
      <c r="FQ2121" s="100">
        <v>17</v>
      </c>
      <c r="FR2121" s="100">
        <v>14</v>
      </c>
      <c r="FS2121" s="100">
        <v>21</v>
      </c>
      <c r="FT2121" s="100">
        <v>11</v>
      </c>
      <c r="FU2121" s="100">
        <v>17</v>
      </c>
      <c r="FV2121" s="100">
        <v>24</v>
      </c>
      <c r="FW2121" s="100">
        <v>3</v>
      </c>
      <c r="ON2121" s="100">
        <f t="shared" si="659"/>
        <v>0</v>
      </c>
    </row>
    <row r="2122" spans="1:404" ht="23.25" customHeight="1">
      <c r="A2122" s="97" t="str">
        <f>D2122&amp;E2122</f>
        <v>002T/OBI-2166-05300-02-B</v>
      </c>
      <c r="B2122" s="95">
        <v>44416</v>
      </c>
      <c r="C2122" s="97">
        <f t="shared" ca="1" si="655"/>
        <v>-648</v>
      </c>
      <c r="D2122" s="112" t="s">
        <v>1047</v>
      </c>
      <c r="E2122" s="123" t="s">
        <v>943</v>
      </c>
      <c r="F2122" s="98" t="str">
        <f t="shared" si="654"/>
        <v>B</v>
      </c>
      <c r="G2122" s="110">
        <f ca="1">SUMIF($A:E,$A2122,K:K)</f>
        <v>352</v>
      </c>
      <c r="H2122" s="97" t="s">
        <v>616</v>
      </c>
      <c r="I2122" s="98">
        <v>352</v>
      </c>
      <c r="J2122" s="115">
        <v>352</v>
      </c>
      <c r="K2122" s="143">
        <f t="shared" si="657"/>
        <v>352</v>
      </c>
      <c r="L2122" s="144">
        <f t="shared" si="647"/>
        <v>0</v>
      </c>
      <c r="M2122" s="275">
        <f t="shared" si="658"/>
        <v>352</v>
      </c>
      <c r="N2122" s="98">
        <v>4</v>
      </c>
      <c r="O2122" s="93">
        <f t="shared" si="656"/>
        <v>100</v>
      </c>
      <c r="FW2122" s="100">
        <v>9</v>
      </c>
      <c r="FZ2122" s="100">
        <v>8</v>
      </c>
      <c r="GA2122" s="100">
        <v>9</v>
      </c>
      <c r="GB2122" s="100">
        <v>18</v>
      </c>
      <c r="GC2122" s="100">
        <v>22</v>
      </c>
      <c r="GD2122" s="100">
        <v>10</v>
      </c>
      <c r="GG2122" s="100">
        <v>28</v>
      </c>
      <c r="GH2122" s="100">
        <v>10</v>
      </c>
      <c r="GI2122" s="100">
        <v>18</v>
      </c>
      <c r="GJ2122" s="100">
        <v>19</v>
      </c>
      <c r="GK2122" s="100">
        <v>6</v>
      </c>
      <c r="GN2122" s="100">
        <v>24</v>
      </c>
      <c r="GO2122" s="100">
        <v>36</v>
      </c>
      <c r="GR2122" s="100">
        <v>18</v>
      </c>
      <c r="GS2122" s="100">
        <v>49</v>
      </c>
      <c r="GV2122" s="100">
        <v>37</v>
      </c>
      <c r="GW2122" s="100">
        <v>10</v>
      </c>
      <c r="GY2122" s="100">
        <v>15</v>
      </c>
      <c r="HB2122" s="100">
        <v>6</v>
      </c>
      <c r="ON2122" s="100">
        <f t="shared" si="659"/>
        <v>0</v>
      </c>
    </row>
    <row r="2123" spans="1:404" ht="23.25" customHeight="1">
      <c r="A2123" s="97" t="s">
        <v>1370</v>
      </c>
      <c r="B2123" s="95">
        <v>44534</v>
      </c>
      <c r="C2123" s="97">
        <f t="shared" ca="1" si="655"/>
        <v>-530</v>
      </c>
      <c r="D2123" s="112" t="s">
        <v>1400</v>
      </c>
      <c r="E2123" s="123" t="s">
        <v>943</v>
      </c>
      <c r="F2123" s="98" t="str">
        <f t="shared" si="654"/>
        <v>B</v>
      </c>
      <c r="G2123" s="110">
        <f ca="1">SUMIF($A:E,$A2123,K:K)</f>
        <v>5654</v>
      </c>
      <c r="H2123" s="97" t="s">
        <v>1402</v>
      </c>
      <c r="I2123" s="98">
        <v>64</v>
      </c>
      <c r="J2123" s="115">
        <v>64</v>
      </c>
      <c r="K2123" s="143">
        <f t="shared" si="657"/>
        <v>64</v>
      </c>
      <c r="L2123" s="144">
        <f t="shared" si="647"/>
        <v>0</v>
      </c>
      <c r="M2123" s="275">
        <f t="shared" si="658"/>
        <v>64</v>
      </c>
      <c r="N2123" s="98">
        <v>2</v>
      </c>
      <c r="O2123" s="93">
        <f t="shared" si="656"/>
        <v>100</v>
      </c>
      <c r="LG2123" s="100">
        <v>4</v>
      </c>
      <c r="LI2123" s="100">
        <v>3</v>
      </c>
      <c r="LK2123" s="100">
        <v>10</v>
      </c>
      <c r="LM2123" s="100">
        <v>17</v>
      </c>
      <c r="LN2123" s="100">
        <v>2</v>
      </c>
      <c r="LP2123" s="100">
        <v>28</v>
      </c>
      <c r="ON2123" s="100">
        <f t="shared" si="659"/>
        <v>0</v>
      </c>
    </row>
    <row r="2124" spans="1:404" ht="23.25" customHeight="1">
      <c r="A2124" s="97" t="str">
        <f>D2124&amp;E2124</f>
        <v>002/OBI-2166-05300-01-B</v>
      </c>
      <c r="B2124" s="95">
        <v>44409</v>
      </c>
      <c r="C2124" s="97">
        <f t="shared" ca="1" si="655"/>
        <v>-655</v>
      </c>
      <c r="D2124" s="96" t="s">
        <v>938</v>
      </c>
      <c r="E2124" s="94" t="s">
        <v>942</v>
      </c>
      <c r="F2124" s="98" t="str">
        <f t="shared" ref="F2124:F2144" si="660">MID(E2124,13,2)</f>
        <v>B</v>
      </c>
      <c r="G2124" s="110">
        <f ca="1">SUMIF($A:E,$A2124,K:K)</f>
        <v>636</v>
      </c>
      <c r="H2124" s="97" t="s">
        <v>508</v>
      </c>
      <c r="I2124" s="98">
        <v>636</v>
      </c>
      <c r="J2124" s="97">
        <v>636</v>
      </c>
      <c r="K2124" s="143">
        <f t="shared" si="657"/>
        <v>636</v>
      </c>
      <c r="L2124" s="144">
        <f t="shared" si="647"/>
        <v>0</v>
      </c>
      <c r="M2124" s="275">
        <f t="shared" si="658"/>
        <v>636</v>
      </c>
      <c r="N2124" s="98">
        <v>4</v>
      </c>
      <c r="O2124" s="93">
        <f t="shared" si="656"/>
        <v>100</v>
      </c>
      <c r="DR2124" s="101">
        <v>22</v>
      </c>
      <c r="DU2124" s="100">
        <v>17</v>
      </c>
      <c r="DW2124" s="100">
        <v>17</v>
      </c>
      <c r="DY2124" s="100">
        <v>14</v>
      </c>
      <c r="DZ2124" s="100">
        <v>11</v>
      </c>
      <c r="EA2124" s="100">
        <v>7</v>
      </c>
      <c r="EC2124" s="100">
        <v>24</v>
      </c>
      <c r="ED2124" s="100">
        <v>21</v>
      </c>
      <c r="EF2124" s="100">
        <v>16</v>
      </c>
      <c r="EG2124" s="100">
        <v>20</v>
      </c>
      <c r="EH2124" s="100">
        <v>10</v>
      </c>
      <c r="EI2124" s="100">
        <v>15</v>
      </c>
      <c r="EJ2124" s="100">
        <v>7</v>
      </c>
      <c r="EL2124" s="100">
        <v>11</v>
      </c>
      <c r="EN2124" s="100">
        <v>18</v>
      </c>
      <c r="EO2124" s="100">
        <v>18</v>
      </c>
      <c r="EP2124" s="100">
        <v>8</v>
      </c>
      <c r="EQ2124" s="100">
        <v>15</v>
      </c>
      <c r="ER2124" s="100">
        <v>13</v>
      </c>
      <c r="ET2124" s="100">
        <v>2</v>
      </c>
      <c r="EU2124" s="100">
        <v>19</v>
      </c>
      <c r="EV2124" s="100">
        <v>11</v>
      </c>
      <c r="EW2124" s="100">
        <v>9</v>
      </c>
      <c r="EX2124" s="100">
        <v>9</v>
      </c>
      <c r="EY2124" s="100">
        <v>2</v>
      </c>
      <c r="FA2124" s="100">
        <v>8</v>
      </c>
      <c r="FB2124" s="100">
        <v>19</v>
      </c>
      <c r="FD2124" s="100">
        <v>19</v>
      </c>
      <c r="FE2124" s="100">
        <v>12</v>
      </c>
      <c r="FH2124" s="100">
        <v>27</v>
      </c>
      <c r="FI2124" s="100">
        <v>13</v>
      </c>
      <c r="FJ2124" s="100">
        <v>17</v>
      </c>
      <c r="FK2124" s="100">
        <v>1</v>
      </c>
      <c r="FL2124" s="100">
        <v>28</v>
      </c>
      <c r="FM2124" s="100">
        <v>13</v>
      </c>
      <c r="FO2124" s="100">
        <v>19</v>
      </c>
      <c r="FP2124" s="100">
        <v>17</v>
      </c>
      <c r="FQ2124" s="100">
        <v>17</v>
      </c>
      <c r="FR2124" s="100">
        <v>14</v>
      </c>
      <c r="FS2124" s="100">
        <v>21</v>
      </c>
      <c r="FT2124" s="100">
        <v>11</v>
      </c>
      <c r="FU2124" s="100">
        <v>17</v>
      </c>
      <c r="FV2124" s="100">
        <v>24</v>
      </c>
      <c r="FW2124" s="100">
        <v>3</v>
      </c>
      <c r="ON2124" s="100">
        <f t="shared" si="659"/>
        <v>0</v>
      </c>
    </row>
    <row r="2125" spans="1:404" ht="23.25" customHeight="1">
      <c r="A2125" s="97" t="str">
        <f>D2125&amp;E2125</f>
        <v>002T/OBI-2166-05300-01-B</v>
      </c>
      <c r="B2125" s="95">
        <v>44416</v>
      </c>
      <c r="C2125" s="97">
        <f t="shared" ca="1" si="655"/>
        <v>-648</v>
      </c>
      <c r="D2125" s="112" t="s">
        <v>1047</v>
      </c>
      <c r="E2125" s="123" t="s">
        <v>942</v>
      </c>
      <c r="F2125" s="98" t="str">
        <f t="shared" si="660"/>
        <v>B</v>
      </c>
      <c r="G2125" s="110">
        <f ca="1">SUMIF($A:E,$A2125,K:K)</f>
        <v>352</v>
      </c>
      <c r="H2125" s="97" t="s">
        <v>616</v>
      </c>
      <c r="I2125" s="98">
        <v>352</v>
      </c>
      <c r="J2125" s="115">
        <v>352</v>
      </c>
      <c r="K2125" s="143">
        <f t="shared" si="657"/>
        <v>352</v>
      </c>
      <c r="L2125" s="144">
        <f t="shared" ref="L2125:L2173" si="661">J2125-K2125</f>
        <v>0</v>
      </c>
      <c r="M2125" s="275">
        <f t="shared" si="658"/>
        <v>352</v>
      </c>
      <c r="N2125" s="98">
        <v>4</v>
      </c>
      <c r="O2125" s="93">
        <f t="shared" si="656"/>
        <v>100</v>
      </c>
      <c r="FW2125" s="100">
        <v>9</v>
      </c>
      <c r="FZ2125" s="100">
        <v>8</v>
      </c>
      <c r="GA2125" s="100">
        <v>9</v>
      </c>
      <c r="GB2125" s="100">
        <v>18</v>
      </c>
      <c r="GC2125" s="100">
        <v>22</v>
      </c>
      <c r="GD2125" s="100">
        <v>10</v>
      </c>
      <c r="GG2125" s="100">
        <v>28</v>
      </c>
      <c r="GH2125" s="100">
        <v>10</v>
      </c>
      <c r="GI2125" s="100">
        <v>18</v>
      </c>
      <c r="GJ2125" s="100">
        <v>19</v>
      </c>
      <c r="GK2125" s="100">
        <v>6</v>
      </c>
      <c r="GN2125" s="100">
        <v>24</v>
      </c>
      <c r="GO2125" s="100">
        <v>36</v>
      </c>
      <c r="GR2125" s="100">
        <v>18</v>
      </c>
      <c r="GS2125" s="100">
        <v>49</v>
      </c>
      <c r="GV2125" s="100">
        <v>37</v>
      </c>
      <c r="GW2125" s="100">
        <v>10</v>
      </c>
      <c r="GY2125" s="100">
        <v>15</v>
      </c>
      <c r="HB2125" s="100">
        <v>6</v>
      </c>
      <c r="ON2125" s="100">
        <f t="shared" si="659"/>
        <v>0</v>
      </c>
    </row>
    <row r="2126" spans="1:404" ht="23.25" customHeight="1">
      <c r="A2126" s="97" t="s">
        <v>1370</v>
      </c>
      <c r="B2126" s="95">
        <v>44534</v>
      </c>
      <c r="C2126" s="97">
        <f t="shared" ca="1" si="655"/>
        <v>-530</v>
      </c>
      <c r="D2126" s="112" t="s">
        <v>1400</v>
      </c>
      <c r="E2126" s="123" t="s">
        <v>942</v>
      </c>
      <c r="F2126" s="98" t="str">
        <f t="shared" si="660"/>
        <v>B</v>
      </c>
      <c r="G2126" s="110">
        <f ca="1">SUMIF($A:E,$A2126,K:K)</f>
        <v>5654</v>
      </c>
      <c r="H2126" s="97" t="s">
        <v>1402</v>
      </c>
      <c r="I2126" s="98">
        <v>64</v>
      </c>
      <c r="J2126" s="115">
        <v>64</v>
      </c>
      <c r="K2126" s="143">
        <f t="shared" si="657"/>
        <v>64</v>
      </c>
      <c r="L2126" s="144">
        <f t="shared" si="661"/>
        <v>0</v>
      </c>
      <c r="M2126" s="275">
        <f t="shared" si="658"/>
        <v>64</v>
      </c>
      <c r="N2126" s="98">
        <v>2</v>
      </c>
      <c r="O2126" s="93">
        <f t="shared" si="656"/>
        <v>100</v>
      </c>
      <c r="LG2126" s="100">
        <v>4</v>
      </c>
      <c r="LI2126" s="100">
        <v>3</v>
      </c>
      <c r="LK2126" s="100">
        <v>10</v>
      </c>
      <c r="LM2126" s="100">
        <v>17</v>
      </c>
      <c r="LN2126" s="100">
        <v>2</v>
      </c>
      <c r="LP2126" s="100">
        <v>28</v>
      </c>
      <c r="ON2126" s="100">
        <f t="shared" si="659"/>
        <v>0</v>
      </c>
    </row>
    <row r="2127" spans="1:404" ht="23.25" customHeight="1">
      <c r="A2127" s="97" t="str">
        <f t="shared" ref="A2127:A2152" si="662">D2127&amp;E2127</f>
        <v>249/KHBS-21(002/OBI-21)66-05300-01-B</v>
      </c>
      <c r="B2127" s="95">
        <v>44437</v>
      </c>
      <c r="C2127" s="97">
        <f t="shared" ca="1" si="655"/>
        <v>-627</v>
      </c>
      <c r="D2127" s="112" t="s">
        <v>1759</v>
      </c>
      <c r="E2127" s="123" t="s">
        <v>942</v>
      </c>
      <c r="F2127" s="98" t="str">
        <f t="shared" si="660"/>
        <v>B</v>
      </c>
      <c r="G2127" s="110">
        <f ca="1">SUMIF($A:E,$A2127,K:K)</f>
        <v>2</v>
      </c>
      <c r="H2127" s="97" t="s">
        <v>1743</v>
      </c>
      <c r="I2127" s="98">
        <v>2</v>
      </c>
      <c r="J2127" s="99">
        <v>2</v>
      </c>
      <c r="K2127" s="143">
        <f t="shared" si="657"/>
        <v>2</v>
      </c>
      <c r="L2127" s="144">
        <f t="shared" si="661"/>
        <v>0</v>
      </c>
      <c r="M2127" s="275">
        <f t="shared" si="658"/>
        <v>2</v>
      </c>
      <c r="N2127" s="98">
        <v>4</v>
      </c>
      <c r="O2127" s="93">
        <f t="shared" si="656"/>
        <v>100</v>
      </c>
      <c r="IB2127" s="100">
        <v>2</v>
      </c>
      <c r="ON2127" s="100">
        <f t="shared" si="659"/>
        <v>0</v>
      </c>
    </row>
    <row r="2128" spans="1:404" ht="23.25" customHeight="1">
      <c r="A2128" s="97" t="str">
        <f t="shared" si="662"/>
        <v>003/ANNA-VG-21(đ4)66-03100-03-A</v>
      </c>
      <c r="B2128" s="95">
        <v>44579</v>
      </c>
      <c r="C2128" s="97">
        <f t="shared" ca="1" si="655"/>
        <v>-485</v>
      </c>
      <c r="D2128" s="112" t="s">
        <v>1652</v>
      </c>
      <c r="E2128" s="279" t="s">
        <v>1654</v>
      </c>
      <c r="F2128" s="98" t="str">
        <f t="shared" si="660"/>
        <v>A</v>
      </c>
      <c r="G2128" s="130">
        <f ca="1">SUMIF($A:E,$A2128,K:K)</f>
        <v>200</v>
      </c>
      <c r="H2128" s="112" t="s">
        <v>990</v>
      </c>
      <c r="I2128" s="98">
        <v>200</v>
      </c>
      <c r="J2128" s="115">
        <v>200</v>
      </c>
      <c r="K2128" s="143">
        <f t="shared" si="657"/>
        <v>200</v>
      </c>
      <c r="L2128" s="144">
        <f t="shared" si="661"/>
        <v>0</v>
      </c>
      <c r="M2128" s="275">
        <f t="shared" si="658"/>
        <v>200</v>
      </c>
      <c r="N2128" s="98">
        <v>1</v>
      </c>
      <c r="O2128" s="93">
        <f t="shared" ref="O2128:O2132" si="663">K2128/J2128*100</f>
        <v>100</v>
      </c>
      <c r="ME2128" s="100">
        <v>3</v>
      </c>
      <c r="MF2128" s="100">
        <v>10</v>
      </c>
      <c r="MG2128" s="100">
        <v>9</v>
      </c>
      <c r="MK2128" s="100">
        <v>6</v>
      </c>
      <c r="MM2128" s="100">
        <v>12</v>
      </c>
      <c r="MN2128" s="100">
        <v>8</v>
      </c>
      <c r="MO2128" s="100">
        <v>12</v>
      </c>
      <c r="MQ2128" s="100">
        <v>19</v>
      </c>
      <c r="MS2128" s="100">
        <v>7</v>
      </c>
      <c r="MT2128" s="100">
        <v>1</v>
      </c>
      <c r="MU2128" s="100">
        <v>6</v>
      </c>
      <c r="MW2128" s="100">
        <v>11</v>
      </c>
      <c r="MY2128" s="100">
        <v>12</v>
      </c>
      <c r="MZ2128" s="100">
        <v>6</v>
      </c>
      <c r="NA2128" s="100">
        <v>13</v>
      </c>
      <c r="NE2128" s="100">
        <v>26</v>
      </c>
      <c r="NF2128" s="100">
        <v>2</v>
      </c>
      <c r="NG2128" s="100">
        <v>37</v>
      </c>
      <c r="ON2128" s="100">
        <f t="shared" si="659"/>
        <v>0</v>
      </c>
    </row>
    <row r="2129" spans="1:404" ht="23.25" customHeight="1">
      <c r="A2129" s="97" t="str">
        <f t="shared" si="662"/>
        <v xml:space="preserve">	001/AL-FARES-VG-2166-03005-S2-B1</v>
      </c>
      <c r="B2129" s="95">
        <v>44686</v>
      </c>
      <c r="C2129" s="97">
        <f t="shared" ca="1" si="655"/>
        <v>-378</v>
      </c>
      <c r="D2129" s="112" t="s">
        <v>1814</v>
      </c>
      <c r="E2129" s="279" t="s">
        <v>1815</v>
      </c>
      <c r="F2129" s="98" t="str">
        <f t="shared" si="660"/>
        <v>B1</v>
      </c>
      <c r="G2129" s="110">
        <f ca="1">SUMIF($A:E,$A2129,K:K)</f>
        <v>0</v>
      </c>
      <c r="H2129" s="112" t="s">
        <v>1561</v>
      </c>
      <c r="I2129" s="98">
        <v>30</v>
      </c>
      <c r="J2129" s="115">
        <v>30</v>
      </c>
      <c r="K2129" s="143">
        <f t="shared" si="657"/>
        <v>0</v>
      </c>
      <c r="L2129" s="144">
        <f t="shared" si="661"/>
        <v>30</v>
      </c>
      <c r="M2129" s="275">
        <f t="shared" si="658"/>
        <v>60</v>
      </c>
      <c r="N2129" s="98"/>
      <c r="O2129" s="93">
        <f t="shared" si="663"/>
        <v>0</v>
      </c>
      <c r="ON2129" s="100">
        <f t="shared" si="659"/>
        <v>0</v>
      </c>
    </row>
    <row r="2130" spans="1:404" ht="23.25" customHeight="1">
      <c r="A2130" s="97" t="str">
        <f t="shared" si="662"/>
        <v>001/MOJAY-2166-03000-S2-B</v>
      </c>
      <c r="B2130" s="95">
        <v>44311</v>
      </c>
      <c r="C2130" s="97">
        <f t="shared" ca="1" si="655"/>
        <v>-753</v>
      </c>
      <c r="D2130" s="145" t="s">
        <v>742</v>
      </c>
      <c r="E2130" s="253" t="s">
        <v>494</v>
      </c>
      <c r="F2130" s="98" t="str">
        <f t="shared" si="660"/>
        <v>B</v>
      </c>
      <c r="G2130" s="110">
        <f ca="1">SUMIF($A:E,$A2130,K:K)</f>
        <v>32</v>
      </c>
      <c r="H2130" s="97" t="s">
        <v>508</v>
      </c>
      <c r="I2130" s="98">
        <v>32</v>
      </c>
      <c r="J2130" s="146">
        <v>32</v>
      </c>
      <c r="K2130" s="143">
        <f t="shared" si="657"/>
        <v>32</v>
      </c>
      <c r="L2130" s="144">
        <f t="shared" si="661"/>
        <v>0</v>
      </c>
      <c r="M2130" s="275">
        <f t="shared" si="658"/>
        <v>64</v>
      </c>
      <c r="N2130" s="98">
        <v>2</v>
      </c>
      <c r="O2130" s="93">
        <f t="shared" si="663"/>
        <v>100</v>
      </c>
      <c r="CC2130" s="101">
        <v>6</v>
      </c>
      <c r="CD2130" s="101">
        <v>2</v>
      </c>
      <c r="CG2130" s="101">
        <v>1</v>
      </c>
      <c r="CH2130" s="101">
        <v>1</v>
      </c>
      <c r="CL2130" s="101">
        <v>6</v>
      </c>
      <c r="CM2130" s="101">
        <v>1</v>
      </c>
      <c r="CN2130" s="101">
        <v>4</v>
      </c>
      <c r="CQ2130" s="101">
        <v>5</v>
      </c>
      <c r="CW2130" s="101">
        <v>2</v>
      </c>
      <c r="CX2130" s="101">
        <v>3</v>
      </c>
      <c r="CZ2130" s="101">
        <v>1</v>
      </c>
      <c r="ON2130" s="100">
        <f t="shared" si="659"/>
        <v>0</v>
      </c>
    </row>
    <row r="2131" spans="1:404" ht="23.25" customHeight="1">
      <c r="A2131" s="127" t="str">
        <f t="shared" si="662"/>
        <v>002/MOJAY-2166-03000-S2-B</v>
      </c>
      <c r="B2131" s="126">
        <v>44340</v>
      </c>
      <c r="C2131" s="127">
        <f t="shared" ca="1" si="655"/>
        <v>-724</v>
      </c>
      <c r="D2131" s="152" t="s">
        <v>735</v>
      </c>
      <c r="E2131" s="254" t="s">
        <v>494</v>
      </c>
      <c r="F2131" s="132" t="str">
        <f t="shared" si="660"/>
        <v>B</v>
      </c>
      <c r="G2131" s="130">
        <f ca="1">SUMIF($A:E,$A2131,K:K)</f>
        <v>32</v>
      </c>
      <c r="H2131" s="127" t="s">
        <v>508</v>
      </c>
      <c r="I2131" s="98">
        <v>32</v>
      </c>
      <c r="J2131" s="153">
        <v>32</v>
      </c>
      <c r="K2131" s="160">
        <f t="shared" si="657"/>
        <v>32</v>
      </c>
      <c r="L2131" s="151">
        <f t="shared" si="661"/>
        <v>0</v>
      </c>
      <c r="M2131" s="275">
        <f t="shared" si="658"/>
        <v>64</v>
      </c>
      <c r="N2131" s="132">
        <v>2</v>
      </c>
      <c r="O2131" s="93">
        <f t="shared" si="663"/>
        <v>100</v>
      </c>
      <c r="CZ2131" s="101">
        <v>4</v>
      </c>
      <c r="DA2131" s="101">
        <v>6</v>
      </c>
      <c r="DB2131" s="101">
        <v>1</v>
      </c>
      <c r="DF2131" s="101">
        <v>4</v>
      </c>
      <c r="DL2131" s="101">
        <v>4</v>
      </c>
      <c r="DM2131" s="101">
        <v>3</v>
      </c>
      <c r="DP2131" s="101">
        <v>4</v>
      </c>
      <c r="DS2131" s="100">
        <v>6</v>
      </c>
      <c r="ON2131" s="100">
        <f t="shared" si="659"/>
        <v>0</v>
      </c>
    </row>
    <row r="2132" spans="1:404" ht="23.25" customHeight="1">
      <c r="A2132" s="97" t="str">
        <f t="shared" si="662"/>
        <v>003/MOJAY-2166-03000-S2-B</v>
      </c>
      <c r="B2132" s="95">
        <v>44347</v>
      </c>
      <c r="C2132" s="97">
        <f t="shared" ca="1" si="655"/>
        <v>-717</v>
      </c>
      <c r="D2132" s="145" t="s">
        <v>748</v>
      </c>
      <c r="E2132" s="253" t="s">
        <v>494</v>
      </c>
      <c r="F2132" s="98" t="str">
        <f t="shared" si="660"/>
        <v>B</v>
      </c>
      <c r="G2132" s="110">
        <f ca="1">SUMIF($A:E,$A2132,K:K)</f>
        <v>32</v>
      </c>
      <c r="H2132" s="97" t="s">
        <v>508</v>
      </c>
      <c r="I2132" s="98">
        <v>32</v>
      </c>
      <c r="J2132" s="146">
        <v>32</v>
      </c>
      <c r="K2132" s="160">
        <f t="shared" si="657"/>
        <v>32</v>
      </c>
      <c r="L2132" s="151">
        <f t="shared" si="661"/>
        <v>0</v>
      </c>
      <c r="M2132" s="275">
        <f t="shared" si="658"/>
        <v>64</v>
      </c>
      <c r="N2132" s="98">
        <v>2</v>
      </c>
      <c r="O2132" s="93">
        <f t="shared" si="663"/>
        <v>100</v>
      </c>
      <c r="DU2132" s="100">
        <v>2</v>
      </c>
      <c r="DV2132" s="100">
        <v>2</v>
      </c>
      <c r="DZ2132" s="100">
        <v>8</v>
      </c>
      <c r="EA2132" s="100">
        <v>2</v>
      </c>
      <c r="ED2132" s="100">
        <v>5</v>
      </c>
      <c r="EF2132" s="100">
        <v>2</v>
      </c>
      <c r="EH2132" s="100">
        <v>2</v>
      </c>
      <c r="EI2132" s="100">
        <v>2</v>
      </c>
      <c r="EJ2132" s="100">
        <v>2</v>
      </c>
      <c r="EK2132" s="100">
        <v>3</v>
      </c>
      <c r="EL2132" s="100">
        <v>2</v>
      </c>
      <c r="ON2132" s="100">
        <f t="shared" si="659"/>
        <v>0</v>
      </c>
    </row>
    <row r="2133" spans="1:404" ht="23.25" customHeight="1">
      <c r="A2133" s="97" t="str">
        <f t="shared" si="662"/>
        <v>001/MOJAY-2166-03000-S2-A1(phen)</v>
      </c>
      <c r="B2133" s="95">
        <v>44311</v>
      </c>
      <c r="C2133" s="97">
        <f t="shared" ca="1" si="655"/>
        <v>-753</v>
      </c>
      <c r="D2133" s="145" t="s">
        <v>742</v>
      </c>
      <c r="E2133" s="253" t="s">
        <v>810</v>
      </c>
      <c r="F2133" s="98" t="str">
        <f t="shared" si="660"/>
        <v>A1</v>
      </c>
      <c r="G2133" s="110">
        <f ca="1">SUMIF($A:E,$A2133,K:K)</f>
        <v>32</v>
      </c>
      <c r="H2133" s="97" t="s">
        <v>749</v>
      </c>
      <c r="I2133" s="98">
        <v>32</v>
      </c>
      <c r="J2133" s="146">
        <v>32</v>
      </c>
      <c r="K2133" s="160">
        <f t="shared" si="657"/>
        <v>32</v>
      </c>
      <c r="L2133" s="151">
        <f t="shared" si="661"/>
        <v>0</v>
      </c>
      <c r="M2133" s="275">
        <f t="shared" si="658"/>
        <v>64</v>
      </c>
      <c r="N2133" s="98">
        <v>2</v>
      </c>
      <c r="O2133" s="93">
        <f t="shared" ref="O2133:O2144" si="664">K2133/J2133*100</f>
        <v>100</v>
      </c>
      <c r="CC2133" s="101">
        <v>6</v>
      </c>
      <c r="CD2133" s="101">
        <v>2</v>
      </c>
      <c r="CG2133" s="101">
        <v>1</v>
      </c>
      <c r="CH2133" s="101">
        <v>1</v>
      </c>
      <c r="CL2133" s="101">
        <v>6</v>
      </c>
      <c r="CM2133" s="101">
        <v>1</v>
      </c>
      <c r="CN2133" s="101">
        <v>4</v>
      </c>
      <c r="CQ2133" s="101">
        <v>5</v>
      </c>
      <c r="CW2133" s="101">
        <v>2</v>
      </c>
      <c r="CX2133" s="101">
        <v>3</v>
      </c>
      <c r="CZ2133" s="101">
        <v>1</v>
      </c>
      <c r="ON2133" s="100">
        <f t="shared" si="659"/>
        <v>0</v>
      </c>
    </row>
    <row r="2134" spans="1:404" ht="23.25" customHeight="1">
      <c r="A2134" s="97" t="str">
        <f t="shared" si="662"/>
        <v>003/ANNA-VG-21(đ7)66-03000-S2-A</v>
      </c>
      <c r="B2134" s="95">
        <v>44634</v>
      </c>
      <c r="C2134" s="97">
        <f t="shared" ca="1" si="655"/>
        <v>-430</v>
      </c>
      <c r="D2134" s="112" t="s">
        <v>1671</v>
      </c>
      <c r="E2134" s="279" t="s">
        <v>1672</v>
      </c>
      <c r="F2134" s="98" t="str">
        <f t="shared" si="660"/>
        <v>A</v>
      </c>
      <c r="G2134" s="110">
        <f ca="1">SUMIF($A:E,$A2134,K:K)</f>
        <v>10</v>
      </c>
      <c r="H2134" s="112" t="s">
        <v>990</v>
      </c>
      <c r="I2134" s="98">
        <v>10</v>
      </c>
      <c r="J2134" s="115">
        <v>10</v>
      </c>
      <c r="K2134" s="160">
        <f t="shared" si="657"/>
        <v>10</v>
      </c>
      <c r="L2134" s="151">
        <f t="shared" si="661"/>
        <v>0</v>
      </c>
      <c r="M2134" s="275">
        <f t="shared" si="658"/>
        <v>20</v>
      </c>
      <c r="N2134" s="98">
        <v>2</v>
      </c>
      <c r="O2134" s="93">
        <f t="shared" si="664"/>
        <v>100</v>
      </c>
      <c r="LW2134" s="100">
        <v>1</v>
      </c>
      <c r="LX2134" s="100">
        <v>5</v>
      </c>
      <c r="MA2134" s="100">
        <v>2</v>
      </c>
      <c r="MB2134" s="100">
        <v>2</v>
      </c>
      <c r="ON2134" s="100">
        <f t="shared" si="659"/>
        <v>0</v>
      </c>
    </row>
    <row r="2135" spans="1:404" ht="23.25" customHeight="1">
      <c r="A2135" s="97" t="str">
        <f t="shared" si="662"/>
        <v>002/MOJAY-2166-03000-02-A1(phen)</v>
      </c>
      <c r="B2135" s="95">
        <v>44340</v>
      </c>
      <c r="C2135" s="97">
        <f t="shared" ref="C2135:C2152" ca="1" si="665">B2135-TODAY()</f>
        <v>-724</v>
      </c>
      <c r="D2135" s="145" t="s">
        <v>735</v>
      </c>
      <c r="E2135" s="253" t="s">
        <v>429</v>
      </c>
      <c r="F2135" s="98" t="str">
        <f t="shared" si="660"/>
        <v>A1</v>
      </c>
      <c r="G2135" s="110">
        <f ca="1">SUMIF($A:E,$A2135,K:K)</f>
        <v>32</v>
      </c>
      <c r="H2135" s="97" t="s">
        <v>749</v>
      </c>
      <c r="I2135" s="98">
        <v>32</v>
      </c>
      <c r="J2135" s="146">
        <v>32</v>
      </c>
      <c r="K2135" s="143">
        <f t="shared" si="657"/>
        <v>32</v>
      </c>
      <c r="L2135" s="144">
        <f t="shared" si="661"/>
        <v>0</v>
      </c>
      <c r="M2135" s="275">
        <f t="shared" si="658"/>
        <v>32</v>
      </c>
      <c r="N2135" s="98">
        <v>2</v>
      </c>
      <c r="O2135" s="93">
        <f t="shared" si="664"/>
        <v>100</v>
      </c>
      <c r="DA2135" s="101">
        <v>10</v>
      </c>
      <c r="DB2135" s="101">
        <v>1</v>
      </c>
      <c r="DF2135" s="101">
        <v>4</v>
      </c>
      <c r="DL2135" s="101">
        <v>4</v>
      </c>
      <c r="DM2135" s="101">
        <v>3</v>
      </c>
      <c r="DP2135" s="101">
        <v>4</v>
      </c>
      <c r="DS2135" s="100">
        <v>6</v>
      </c>
      <c r="ON2135" s="100">
        <f t="shared" si="659"/>
        <v>0</v>
      </c>
    </row>
    <row r="2136" spans="1:404" ht="23.25" customHeight="1">
      <c r="A2136" s="97" t="str">
        <f t="shared" si="662"/>
        <v>003/MOJAY-2166-03000-02-A1(phen)</v>
      </c>
      <c r="B2136" s="95">
        <v>44347</v>
      </c>
      <c r="C2136" s="97">
        <f t="shared" ca="1" si="665"/>
        <v>-717</v>
      </c>
      <c r="D2136" s="145" t="s">
        <v>748</v>
      </c>
      <c r="E2136" s="253" t="s">
        <v>429</v>
      </c>
      <c r="F2136" s="98" t="str">
        <f t="shared" si="660"/>
        <v>A1</v>
      </c>
      <c r="G2136" s="110">
        <f ca="1">SUMIF($A:E,$A2136,K:K)</f>
        <v>32</v>
      </c>
      <c r="H2136" s="97" t="s">
        <v>749</v>
      </c>
      <c r="I2136" s="98">
        <v>32</v>
      </c>
      <c r="J2136" s="146">
        <v>32</v>
      </c>
      <c r="K2136" s="143">
        <f t="shared" si="657"/>
        <v>32</v>
      </c>
      <c r="L2136" s="144">
        <f t="shared" si="661"/>
        <v>0</v>
      </c>
      <c r="M2136" s="275">
        <f t="shared" si="658"/>
        <v>32</v>
      </c>
      <c r="N2136" s="98">
        <v>2</v>
      </c>
      <c r="O2136" s="93">
        <f t="shared" si="664"/>
        <v>100</v>
      </c>
      <c r="DU2136" s="100">
        <v>2</v>
      </c>
      <c r="DV2136" s="100">
        <v>2</v>
      </c>
      <c r="DZ2136" s="100">
        <v>8</v>
      </c>
      <c r="EA2136" s="100">
        <v>2</v>
      </c>
      <c r="ED2136" s="100">
        <v>5</v>
      </c>
      <c r="EF2136" s="100">
        <v>2</v>
      </c>
      <c r="EH2136" s="100">
        <v>2</v>
      </c>
      <c r="EI2136" s="100">
        <v>2</v>
      </c>
      <c r="EJ2136" s="100">
        <v>2</v>
      </c>
      <c r="EK2136" s="100">
        <v>3</v>
      </c>
      <c r="EL2136" s="100">
        <v>2</v>
      </c>
      <c r="ON2136" s="100">
        <f t="shared" si="659"/>
        <v>0</v>
      </c>
    </row>
    <row r="2137" spans="1:404" ht="23.25" customHeight="1">
      <c r="A2137" s="97" t="str">
        <f t="shared" si="662"/>
        <v>199/KHBS-21(003/MOJAY-21)66-03000-02-A1(phen)</v>
      </c>
      <c r="B2137" s="95">
        <v>44359</v>
      </c>
      <c r="C2137" s="97">
        <f t="shared" ca="1" si="665"/>
        <v>-705</v>
      </c>
      <c r="D2137" s="96" t="s">
        <v>1073</v>
      </c>
      <c r="E2137" s="94" t="s">
        <v>429</v>
      </c>
      <c r="F2137" s="98" t="str">
        <f t="shared" si="660"/>
        <v>A1</v>
      </c>
      <c r="G2137" s="110">
        <f ca="1">SUMIF($A:E,$A2137,K:K)</f>
        <v>7</v>
      </c>
      <c r="H2137" s="97" t="s">
        <v>616</v>
      </c>
      <c r="I2137" s="98">
        <v>7</v>
      </c>
      <c r="J2137" s="99">
        <v>7</v>
      </c>
      <c r="K2137" s="143">
        <f t="shared" si="657"/>
        <v>7</v>
      </c>
      <c r="L2137" s="144">
        <f t="shared" si="661"/>
        <v>0</v>
      </c>
      <c r="M2137" s="275">
        <f t="shared" si="658"/>
        <v>7</v>
      </c>
      <c r="N2137" s="98">
        <v>2</v>
      </c>
      <c r="O2137" s="93">
        <f t="shared" si="664"/>
        <v>100</v>
      </c>
      <c r="EW2137" s="100">
        <v>4</v>
      </c>
      <c r="FA2137" s="100">
        <v>3</v>
      </c>
      <c r="ON2137" s="100">
        <f t="shared" si="659"/>
        <v>0</v>
      </c>
    </row>
    <row r="2138" spans="1:404" ht="23.25" customHeight="1">
      <c r="A2138" s="97" t="str">
        <f t="shared" si="662"/>
        <v>382/POTTERYPOT-2166-02700-01-A1(phen)</v>
      </c>
      <c r="B2138" s="95">
        <v>44746</v>
      </c>
      <c r="C2138" s="97">
        <f t="shared" ca="1" si="665"/>
        <v>-318</v>
      </c>
      <c r="D2138" s="96" t="s">
        <v>1276</v>
      </c>
      <c r="E2138" s="280" t="s">
        <v>427</v>
      </c>
      <c r="F2138" s="98" t="str">
        <f t="shared" si="660"/>
        <v>A1</v>
      </c>
      <c r="G2138" s="110">
        <f ca="1">SUMIF($A:E,$A2138,K:K)</f>
        <v>0</v>
      </c>
      <c r="H2138" s="97" t="s">
        <v>749</v>
      </c>
      <c r="I2138" s="98">
        <v>10</v>
      </c>
      <c r="J2138" s="97">
        <v>10</v>
      </c>
      <c r="K2138" s="143">
        <f t="shared" si="657"/>
        <v>0</v>
      </c>
      <c r="L2138" s="144">
        <f t="shared" si="661"/>
        <v>10</v>
      </c>
      <c r="M2138" s="275">
        <f t="shared" si="658"/>
        <v>10</v>
      </c>
      <c r="N2138" s="98"/>
      <c r="O2138" s="93">
        <f t="shared" si="664"/>
        <v>0</v>
      </c>
      <c r="ON2138" s="100">
        <f t="shared" si="659"/>
        <v>0</v>
      </c>
    </row>
    <row r="2139" spans="1:404" ht="23.25" customHeight="1">
      <c r="A2139" s="97" t="str">
        <f t="shared" si="662"/>
        <v>118/NY/PP-USA-2166-03000-02-A1(phen)</v>
      </c>
      <c r="B2139" s="95">
        <v>44649</v>
      </c>
      <c r="C2139" s="97">
        <f t="shared" ca="1" si="665"/>
        <v>-415</v>
      </c>
      <c r="D2139" s="112" t="s">
        <v>1428</v>
      </c>
      <c r="E2139" s="288" t="s">
        <v>429</v>
      </c>
      <c r="F2139" s="98" t="str">
        <f t="shared" si="660"/>
        <v>A1</v>
      </c>
      <c r="G2139" s="110">
        <f ca="1">SUMIF($A:E,$A2139,K:K)</f>
        <v>31</v>
      </c>
      <c r="H2139" s="97" t="s">
        <v>616</v>
      </c>
      <c r="I2139" s="98">
        <v>29</v>
      </c>
      <c r="J2139" s="115">
        <v>29</v>
      </c>
      <c r="K2139" s="143">
        <f t="shared" si="657"/>
        <v>31</v>
      </c>
      <c r="L2139" s="144">
        <f t="shared" si="661"/>
        <v>-2</v>
      </c>
      <c r="M2139" s="275">
        <f t="shared" si="658"/>
        <v>29</v>
      </c>
      <c r="N2139" s="98">
        <v>2</v>
      </c>
      <c r="O2139" s="93">
        <f t="shared" si="664"/>
        <v>106.89655172413792</v>
      </c>
      <c r="MU2139" s="100">
        <v>1</v>
      </c>
      <c r="MX2139" s="100">
        <v>4</v>
      </c>
      <c r="MY2139" s="100">
        <v>1</v>
      </c>
      <c r="MZ2139" s="100">
        <v>3</v>
      </c>
      <c r="NA2139" s="100">
        <v>2</v>
      </c>
      <c r="ND2139" s="100">
        <v>1</v>
      </c>
      <c r="NF2139" s="100">
        <v>4</v>
      </c>
      <c r="NL2139" s="100">
        <v>2</v>
      </c>
      <c r="NN2139" s="100">
        <v>9</v>
      </c>
      <c r="NT2139" s="100">
        <v>1</v>
      </c>
      <c r="NZ2139" s="100">
        <v>1</v>
      </c>
      <c r="ON2139" s="100">
        <f t="shared" si="659"/>
        <v>2</v>
      </c>
    </row>
    <row r="2140" spans="1:404" ht="23.25" customHeight="1">
      <c r="A2140" s="97" t="str">
        <f t="shared" si="662"/>
        <v>451/POTTERYPOT-VG-2166-03000-02-A1(phen)</v>
      </c>
      <c r="B2140" s="95">
        <v>44658</v>
      </c>
      <c r="C2140" s="97">
        <f t="shared" ca="1" si="665"/>
        <v>-406</v>
      </c>
      <c r="D2140" s="112" t="s">
        <v>1589</v>
      </c>
      <c r="E2140" s="279" t="s">
        <v>429</v>
      </c>
      <c r="F2140" s="98" t="str">
        <f t="shared" si="660"/>
        <v>A1</v>
      </c>
      <c r="G2140" s="110">
        <f ca="1">SUMIF($A:E,$A2140,K:K)</f>
        <v>32</v>
      </c>
      <c r="H2140" s="97" t="s">
        <v>1593</v>
      </c>
      <c r="I2140" s="98">
        <v>21</v>
      </c>
      <c r="J2140" s="115">
        <v>21</v>
      </c>
      <c r="K2140" s="143">
        <f t="shared" si="657"/>
        <v>32</v>
      </c>
      <c r="L2140" s="144">
        <f t="shared" si="661"/>
        <v>-11</v>
      </c>
      <c r="M2140" s="275"/>
      <c r="N2140" s="98" t="s">
        <v>1776</v>
      </c>
      <c r="O2140" s="93">
        <f t="shared" si="664"/>
        <v>152.38095238095238</v>
      </c>
      <c r="OI2140" s="100">
        <v>4</v>
      </c>
      <c r="OJ2140" s="100">
        <v>2</v>
      </c>
      <c r="OK2140" s="100">
        <v>4</v>
      </c>
      <c r="OM2140" s="100">
        <v>6</v>
      </c>
      <c r="ON2140" s="100">
        <f t="shared" si="659"/>
        <v>16</v>
      </c>
    </row>
    <row r="2141" spans="1:404" ht="23.25" customHeight="1">
      <c r="A2141" s="97" t="str">
        <f t="shared" si="662"/>
        <v>003/ANNA-VG-21(đ2)66-03000-02-A1(phen)</v>
      </c>
      <c r="B2141" s="95">
        <v>44564</v>
      </c>
      <c r="C2141" s="97">
        <f t="shared" ca="1" si="665"/>
        <v>-500</v>
      </c>
      <c r="D2141" s="112" t="s">
        <v>1638</v>
      </c>
      <c r="E2141" s="279" t="s">
        <v>429</v>
      </c>
      <c r="F2141" s="98" t="str">
        <f t="shared" si="660"/>
        <v>A1</v>
      </c>
      <c r="G2141" s="110">
        <f ca="1">SUMIF($A:E,$A2141,K:K)</f>
        <v>64</v>
      </c>
      <c r="H2141" s="112" t="s">
        <v>1679</v>
      </c>
      <c r="I2141" s="98">
        <v>64</v>
      </c>
      <c r="J2141" s="115">
        <v>64</v>
      </c>
      <c r="K2141" s="143">
        <f t="shared" si="657"/>
        <v>64</v>
      </c>
      <c r="L2141" s="144">
        <f t="shared" si="661"/>
        <v>0</v>
      </c>
      <c r="M2141" s="275">
        <f>IF(OR(MID(E2141,10,1)="0",MID(E2141,10,1)="F"),I2141,IF(OR(,MID(E2141,10,1)="S",MID(E2141,10,1)="L",MID(E2141,10,1)="B",MID(E2141,10,1)="X"),MID(E2141,11,1)*I2141,0))</f>
        <v>64</v>
      </c>
      <c r="N2141" s="98">
        <v>2</v>
      </c>
      <c r="O2141" s="93">
        <f t="shared" si="664"/>
        <v>100</v>
      </c>
      <c r="LW2141" s="100">
        <v>1</v>
      </c>
      <c r="LX2141" s="100">
        <v>5</v>
      </c>
      <c r="MA2141" s="100">
        <v>2</v>
      </c>
      <c r="MB2141" s="100">
        <v>7</v>
      </c>
      <c r="MD2141" s="100">
        <v>5</v>
      </c>
      <c r="ME2141" s="100">
        <v>2</v>
      </c>
      <c r="MF2141" s="100">
        <v>4</v>
      </c>
      <c r="MG2141" s="100">
        <v>3</v>
      </c>
      <c r="MH2141" s="100">
        <v>2</v>
      </c>
      <c r="MK2141" s="100">
        <v>5</v>
      </c>
      <c r="MM2141" s="100">
        <v>2</v>
      </c>
      <c r="MN2141" s="100">
        <v>4</v>
      </c>
      <c r="MO2141" s="100">
        <v>4</v>
      </c>
      <c r="MQ2141" s="100">
        <v>10</v>
      </c>
      <c r="MR2141" s="100">
        <v>4</v>
      </c>
      <c r="MS2141" s="100">
        <v>2</v>
      </c>
      <c r="MU2141" s="100">
        <v>2</v>
      </c>
      <c r="ON2141" s="100">
        <f t="shared" si="659"/>
        <v>0</v>
      </c>
    </row>
    <row r="2142" spans="1:404" ht="23.25" customHeight="1">
      <c r="A2142" s="97" t="str">
        <f t="shared" si="662"/>
        <v xml:space="preserve">	457/POTTERYPOT-VG-2166-03000-02-A1(phen)</v>
      </c>
      <c r="B2142" s="95">
        <v>44674</v>
      </c>
      <c r="C2142" s="97">
        <f t="shared" ca="1" si="665"/>
        <v>-390</v>
      </c>
      <c r="D2142" s="112" t="s">
        <v>1866</v>
      </c>
      <c r="E2142" s="279" t="s">
        <v>429</v>
      </c>
      <c r="F2142" s="98" t="str">
        <f t="shared" si="660"/>
        <v>A1</v>
      </c>
      <c r="G2142" s="110">
        <f ca="1">SUMIF($A:E,$A2142,K:K)</f>
        <v>0</v>
      </c>
      <c r="H2142" s="112" t="s">
        <v>1867</v>
      </c>
      <c r="I2142" s="98">
        <v>21</v>
      </c>
      <c r="J2142" s="115">
        <v>21</v>
      </c>
      <c r="K2142" s="144">
        <f t="shared" si="657"/>
        <v>0</v>
      </c>
      <c r="L2142" s="144">
        <f t="shared" si="661"/>
        <v>21</v>
      </c>
      <c r="M2142" s="276"/>
      <c r="N2142" s="98"/>
      <c r="O2142" s="93">
        <f t="shared" si="664"/>
        <v>0</v>
      </c>
      <c r="ON2142" s="100">
        <f t="shared" si="659"/>
        <v>0</v>
      </c>
    </row>
    <row r="2143" spans="1:404" ht="23.25" customHeight="1">
      <c r="A2143" s="97" t="s">
        <v>2588</v>
      </c>
      <c r="B2143" s="95">
        <v>44668</v>
      </c>
      <c r="C2143" s="97">
        <v>51</v>
      </c>
      <c r="D2143" s="231" t="s">
        <v>1872</v>
      </c>
      <c r="E2143" s="279" t="s">
        <v>686</v>
      </c>
      <c r="F2143" s="98" t="s">
        <v>1770</v>
      </c>
      <c r="G2143" s="110">
        <v>0</v>
      </c>
      <c r="H2143" s="111" t="s">
        <v>1867</v>
      </c>
      <c r="I2143" s="98">
        <v>21</v>
      </c>
      <c r="J2143" s="115">
        <v>21</v>
      </c>
      <c r="K2143" s="144">
        <v>0</v>
      </c>
      <c r="L2143" s="144">
        <v>21</v>
      </c>
      <c r="M2143" s="98"/>
      <c r="N2143" s="98" t="s">
        <v>1776</v>
      </c>
      <c r="O2143" s="93"/>
      <c r="ON2143" s="100">
        <f t="shared" si="659"/>
        <v>0</v>
      </c>
    </row>
    <row r="2144" spans="1:404" ht="23.25" customHeight="1">
      <c r="A2144" s="97" t="str">
        <f t="shared" si="662"/>
        <v>115B/NY/PP-USA-VG-2066-03000-02-A1(phen)</v>
      </c>
      <c r="B2144" s="95">
        <v>44668</v>
      </c>
      <c r="C2144" s="97">
        <f t="shared" ca="1" si="665"/>
        <v>-396</v>
      </c>
      <c r="D2144" s="231" t="s">
        <v>1872</v>
      </c>
      <c r="E2144" s="281" t="s">
        <v>429</v>
      </c>
      <c r="F2144" s="98" t="str">
        <f t="shared" si="660"/>
        <v>A1</v>
      </c>
      <c r="G2144" s="110">
        <f ca="1">SUMIF($A:E,$A2144,K:K)</f>
        <v>0</v>
      </c>
      <c r="H2144" s="111" t="s">
        <v>1867</v>
      </c>
      <c r="I2144" s="98">
        <v>21</v>
      </c>
      <c r="J2144" s="115">
        <v>21</v>
      </c>
      <c r="K2144" s="144">
        <f t="shared" ref="K2144:K2207" si="666">SUM(P2144:BBC2144)</f>
        <v>0</v>
      </c>
      <c r="L2144" s="144">
        <f t="shared" si="661"/>
        <v>21</v>
      </c>
      <c r="M2144" s="276"/>
      <c r="N2144" s="98" t="s">
        <v>1776</v>
      </c>
      <c r="O2144" s="93">
        <f t="shared" si="664"/>
        <v>0</v>
      </c>
      <c r="ON2144" s="100">
        <f t="shared" si="659"/>
        <v>0</v>
      </c>
    </row>
    <row r="2145" spans="1:404" ht="23.25" customHeight="1">
      <c r="A2145" s="97" t="str">
        <f t="shared" si="662"/>
        <v>382/POTTERYPOT-2166-03000-02-A</v>
      </c>
      <c r="B2145" s="95">
        <v>44746</v>
      </c>
      <c r="C2145" s="97">
        <f t="shared" ca="1" si="665"/>
        <v>-318</v>
      </c>
      <c r="D2145" s="96" t="s">
        <v>1276</v>
      </c>
      <c r="E2145" s="280" t="s">
        <v>686</v>
      </c>
      <c r="F2145" s="98" t="str">
        <f t="shared" ref="F2145:F2152" si="667">MID(E2145,13,2)</f>
        <v>A</v>
      </c>
      <c r="G2145" s="110">
        <f ca="1">SUMIF($A:E,$A2145,K:K)</f>
        <v>42</v>
      </c>
      <c r="H2145" s="97" t="s">
        <v>964</v>
      </c>
      <c r="I2145" s="98">
        <v>24</v>
      </c>
      <c r="J2145" s="97">
        <v>24</v>
      </c>
      <c r="K2145" s="143">
        <f t="shared" si="666"/>
        <v>42</v>
      </c>
      <c r="L2145" s="144">
        <f t="shared" si="661"/>
        <v>-18</v>
      </c>
      <c r="M2145" s="275">
        <f>IF(OR(MID(E2145,10,1)="0",MID(E2145,10,1)="F"),I2145,IF(OR(,MID(E2145,10,1)="S",MID(E2145,10,1)="L",MID(E2145,10,1)="B",MID(E2145,10,1)="X"),MID(E2145,11,1)*I2145,0))</f>
        <v>24</v>
      </c>
      <c r="N2145" s="98">
        <v>2</v>
      </c>
      <c r="O2145" s="93">
        <f t="shared" ref="O2145" si="668">K2145/J2145*100</f>
        <v>175</v>
      </c>
      <c r="NZ2145" s="100">
        <v>7</v>
      </c>
      <c r="OA2145" s="100">
        <v>2</v>
      </c>
      <c r="OD2145" s="100">
        <v>4</v>
      </c>
      <c r="OH2145" s="100">
        <v>8</v>
      </c>
      <c r="ON2145" s="100">
        <f t="shared" si="659"/>
        <v>21</v>
      </c>
    </row>
    <row r="2146" spans="1:404" ht="23.25" customHeight="1">
      <c r="A2146" s="97" t="str">
        <f t="shared" si="662"/>
        <v>118/NY/PP-USA-2166-03000-02-A</v>
      </c>
      <c r="B2146" s="95">
        <v>44649</v>
      </c>
      <c r="C2146" s="97">
        <f t="shared" ca="1" si="665"/>
        <v>-415</v>
      </c>
      <c r="D2146" s="112" t="s">
        <v>1428</v>
      </c>
      <c r="E2146" s="123" t="s">
        <v>686</v>
      </c>
      <c r="F2146" s="98" t="str">
        <f t="shared" si="667"/>
        <v>A</v>
      </c>
      <c r="G2146" s="110">
        <f ca="1">SUMIF($A:E,$A2146,K:K)</f>
        <v>31</v>
      </c>
      <c r="H2146" s="97" t="s">
        <v>616</v>
      </c>
      <c r="I2146" s="98">
        <v>29</v>
      </c>
      <c r="J2146" s="115">
        <v>29</v>
      </c>
      <c r="K2146" s="143">
        <f t="shared" si="666"/>
        <v>31</v>
      </c>
      <c r="L2146" s="144">
        <f t="shared" si="661"/>
        <v>-2</v>
      </c>
      <c r="M2146" s="275">
        <f>IF(OR(MID(E2146,10,1)="0",MID(E2146,10,1)="F"),I2146,IF(OR(,MID(E2146,10,1)="S",MID(E2146,10,1)="L",MID(E2146,10,1)="B",MID(E2146,10,1)="X"),MID(E2146,11,1)*I2146,0))</f>
        <v>29</v>
      </c>
      <c r="N2146" s="98">
        <v>2</v>
      </c>
      <c r="O2146" s="93">
        <f>K2146/J2146*100</f>
        <v>106.89655172413792</v>
      </c>
      <c r="MU2146" s="100">
        <v>1</v>
      </c>
      <c r="MX2146" s="100">
        <v>4</v>
      </c>
      <c r="MZ2146" s="100">
        <v>3</v>
      </c>
      <c r="ND2146" s="100">
        <v>4</v>
      </c>
      <c r="NF2146" s="100">
        <v>4</v>
      </c>
      <c r="NL2146" s="100">
        <v>2</v>
      </c>
      <c r="NN2146" s="100">
        <v>9</v>
      </c>
      <c r="NU2146" s="100">
        <v>1</v>
      </c>
      <c r="NZ2146" s="100">
        <v>1</v>
      </c>
      <c r="ON2146" s="100">
        <f t="shared" si="659"/>
        <v>2</v>
      </c>
    </row>
    <row r="2147" spans="1:404" ht="23.25" customHeight="1">
      <c r="A2147" s="97" t="str">
        <f t="shared" si="662"/>
        <v>451/POTTERYPOT-VG-2166-03000-02-A</v>
      </c>
      <c r="B2147" s="95">
        <v>44658</v>
      </c>
      <c r="C2147" s="97">
        <f t="shared" ca="1" si="665"/>
        <v>-406</v>
      </c>
      <c r="D2147" s="112" t="s">
        <v>1589</v>
      </c>
      <c r="E2147" s="279" t="s">
        <v>686</v>
      </c>
      <c r="F2147" s="98" t="str">
        <f t="shared" si="667"/>
        <v>A</v>
      </c>
      <c r="G2147" s="110">
        <f ca="1">SUMIF($A:E,$A2147,K:K)</f>
        <v>32</v>
      </c>
      <c r="H2147" s="97" t="s">
        <v>927</v>
      </c>
      <c r="I2147" s="98">
        <v>21</v>
      </c>
      <c r="J2147" s="115">
        <v>21</v>
      </c>
      <c r="K2147" s="143">
        <f t="shared" si="666"/>
        <v>32</v>
      </c>
      <c r="L2147" s="144">
        <f t="shared" si="661"/>
        <v>-11</v>
      </c>
      <c r="M2147" s="275">
        <f>IF(OR(MID(E2147,10,1)="0",MID(E2147,10,1)="F"),I2147,IF(OR(,MID(E2147,10,1)="S",MID(E2147,10,1)="L",MID(E2147,10,1)="B",MID(E2147,10,1)="X"),MID(E2147,11,1)*I2147,0))</f>
        <v>21</v>
      </c>
      <c r="N2147" s="120" t="s">
        <v>1776</v>
      </c>
      <c r="O2147" s="93">
        <f t="shared" ref="O2147" si="669">K2147/J2147*100</f>
        <v>152.38095238095238</v>
      </c>
      <c r="OI2147" s="100">
        <v>4</v>
      </c>
      <c r="OJ2147" s="100">
        <v>2</v>
      </c>
      <c r="OK2147" s="100">
        <v>4</v>
      </c>
      <c r="OM2147" s="100">
        <v>6</v>
      </c>
      <c r="ON2147" s="100">
        <f t="shared" si="659"/>
        <v>16</v>
      </c>
    </row>
    <row r="2148" spans="1:404" ht="23.25" customHeight="1">
      <c r="A2148" s="127" t="str">
        <f t="shared" si="662"/>
        <v>003/ANNA-VG-21(đ2)66-03000-02-A</v>
      </c>
      <c r="B2148" s="126">
        <v>44564</v>
      </c>
      <c r="C2148" s="127">
        <f t="shared" ca="1" si="665"/>
        <v>-500</v>
      </c>
      <c r="D2148" s="208" t="s">
        <v>1638</v>
      </c>
      <c r="E2148" s="282" t="s">
        <v>686</v>
      </c>
      <c r="F2148" s="132" t="str">
        <f t="shared" si="667"/>
        <v>A</v>
      </c>
      <c r="G2148" s="130">
        <f ca="1">SUMIF($A:E,$A2148,K:K)</f>
        <v>54</v>
      </c>
      <c r="H2148" s="208" t="s">
        <v>990</v>
      </c>
      <c r="I2148" s="98">
        <v>54</v>
      </c>
      <c r="J2148" s="134">
        <v>54</v>
      </c>
      <c r="K2148" s="160">
        <f t="shared" si="666"/>
        <v>54</v>
      </c>
      <c r="L2148" s="151">
        <f t="shared" si="661"/>
        <v>0</v>
      </c>
      <c r="M2148" s="275">
        <f>IF(OR(MID(E2148,10,1)="0",MID(E2148,10,1)="F"),I2148,IF(OR(,MID(E2148,10,1)="S",MID(E2148,10,1)="L",MID(E2148,10,1)="B",MID(E2148,10,1)="X"),MID(E2148,11,1)*I2148,0))</f>
        <v>54</v>
      </c>
      <c r="N2148" s="120">
        <v>2</v>
      </c>
      <c r="O2148" s="228">
        <f>K2148/J2148*100</f>
        <v>100</v>
      </c>
      <c r="MB2148" s="100">
        <v>5</v>
      </c>
      <c r="MD2148" s="100">
        <v>5</v>
      </c>
      <c r="ME2148" s="100">
        <v>2</v>
      </c>
      <c r="MF2148" s="100">
        <v>4</v>
      </c>
      <c r="MG2148" s="100">
        <v>3</v>
      </c>
      <c r="MH2148" s="100">
        <v>2</v>
      </c>
      <c r="MK2148" s="100">
        <v>5</v>
      </c>
      <c r="ML2148" s="100">
        <v>3</v>
      </c>
      <c r="MM2148" s="100">
        <v>2</v>
      </c>
      <c r="MN2148" s="100">
        <v>4</v>
      </c>
      <c r="MO2148" s="100">
        <v>4</v>
      </c>
      <c r="MP2148" s="100">
        <v>4</v>
      </c>
      <c r="MQ2148" s="100">
        <v>3</v>
      </c>
      <c r="MR2148" s="100">
        <v>7</v>
      </c>
      <c r="MU2148" s="100">
        <v>1</v>
      </c>
      <c r="ON2148" s="100">
        <f t="shared" si="659"/>
        <v>0</v>
      </c>
    </row>
    <row r="2149" spans="1:404" ht="23.25" customHeight="1">
      <c r="A2149" s="97" t="str">
        <f t="shared" si="662"/>
        <v xml:space="preserve">	457/POTTERYPOT-VG-2166-03000-02-A</v>
      </c>
      <c r="B2149" s="95">
        <v>44674</v>
      </c>
      <c r="C2149" s="97">
        <f t="shared" ca="1" si="665"/>
        <v>-390</v>
      </c>
      <c r="D2149" s="112" t="s">
        <v>1866</v>
      </c>
      <c r="E2149" s="279" t="s">
        <v>686</v>
      </c>
      <c r="F2149" s="98" t="str">
        <f t="shared" si="667"/>
        <v>A</v>
      </c>
      <c r="G2149" s="110">
        <f ca="1">SUMIF($A:E,$A2149,K:K)</f>
        <v>0</v>
      </c>
      <c r="H2149" s="97" t="s">
        <v>601</v>
      </c>
      <c r="I2149" s="98">
        <v>24</v>
      </c>
      <c r="J2149" s="115">
        <v>21</v>
      </c>
      <c r="K2149" s="143">
        <f t="shared" si="666"/>
        <v>0</v>
      </c>
      <c r="L2149" s="144">
        <f t="shared" ref="L2149" si="670">J2149-K2149</f>
        <v>21</v>
      </c>
      <c r="M2149" s="276"/>
      <c r="N2149" s="98"/>
      <c r="O2149" s="93">
        <f t="shared" ref="O2149:O2150" si="671">K2149/J2149*100</f>
        <v>0</v>
      </c>
      <c r="ON2149" s="100">
        <f t="shared" si="659"/>
        <v>0</v>
      </c>
    </row>
    <row r="2150" spans="1:404" ht="23.25" customHeight="1">
      <c r="A2150" s="97" t="str">
        <f t="shared" si="662"/>
        <v>181/KHBS-21(002/MOJAY-21)66-03000-01-B</v>
      </c>
      <c r="B2150" s="95">
        <v>44333</v>
      </c>
      <c r="C2150" s="97">
        <f t="shared" ca="1" si="665"/>
        <v>-731</v>
      </c>
      <c r="D2150" s="96" t="s">
        <v>980</v>
      </c>
      <c r="E2150" s="94" t="s">
        <v>958</v>
      </c>
      <c r="F2150" s="98" t="str">
        <f t="shared" si="667"/>
        <v>B</v>
      </c>
      <c r="G2150" s="110">
        <f ca="1">SUMIF($A:E,$A2150,K:K)</f>
        <v>1</v>
      </c>
      <c r="H2150" s="97" t="s">
        <v>508</v>
      </c>
      <c r="I2150" s="98">
        <v>1</v>
      </c>
      <c r="J2150" s="99">
        <v>1</v>
      </c>
      <c r="K2150" s="143">
        <f t="shared" si="666"/>
        <v>1</v>
      </c>
      <c r="L2150" s="144">
        <f t="shared" si="661"/>
        <v>0</v>
      </c>
      <c r="M2150" s="275">
        <f t="shared" ref="M2150:M2152" si="672">IF(OR(MID(E2150,10,1)="0",MID(E2150,10,1)="F"),I2150,IF(OR(,MID(E2150,10,1)="S",MID(E2150,10,1)="L",MID(E2150,10,1)="B",MID(E2150,10,1)="X"),MID(E2150,11,1)*I2150,0))</f>
        <v>1</v>
      </c>
      <c r="N2150" s="98">
        <v>2</v>
      </c>
      <c r="O2150" s="93">
        <f t="shared" si="671"/>
        <v>100</v>
      </c>
      <c r="DV2150" s="100">
        <v>1</v>
      </c>
      <c r="ON2150" s="100">
        <f t="shared" si="659"/>
        <v>0</v>
      </c>
    </row>
    <row r="2151" spans="1:404" ht="23.25" customHeight="1">
      <c r="A2151" s="97" t="str">
        <f t="shared" si="662"/>
        <v>002/MOJAY-2166-03000-01-A1(phen)</v>
      </c>
      <c r="B2151" s="95">
        <v>44340</v>
      </c>
      <c r="C2151" s="97">
        <f t="shared" ca="1" si="665"/>
        <v>-724</v>
      </c>
      <c r="D2151" s="145" t="s">
        <v>735</v>
      </c>
      <c r="E2151" s="253" t="s">
        <v>428</v>
      </c>
      <c r="F2151" s="98" t="str">
        <f t="shared" si="667"/>
        <v>A1</v>
      </c>
      <c r="G2151" s="110">
        <f ca="1">SUMIF($A:E,$A2151,K:K)</f>
        <v>32</v>
      </c>
      <c r="H2151" s="97" t="s">
        <v>749</v>
      </c>
      <c r="I2151" s="98">
        <v>32</v>
      </c>
      <c r="J2151" s="146">
        <v>32</v>
      </c>
      <c r="K2151" s="143">
        <f t="shared" si="666"/>
        <v>32</v>
      </c>
      <c r="L2151" s="144">
        <f t="shared" si="661"/>
        <v>0</v>
      </c>
      <c r="M2151" s="275">
        <f t="shared" si="672"/>
        <v>32</v>
      </c>
      <c r="N2151" s="98">
        <v>2</v>
      </c>
      <c r="O2151" s="93">
        <f t="shared" ref="O2151:O2159" si="673">K2151/J2151*100</f>
        <v>100</v>
      </c>
      <c r="CZ2151" s="101">
        <v>4</v>
      </c>
      <c r="DA2151" s="101">
        <v>6</v>
      </c>
      <c r="DB2151" s="101">
        <v>1</v>
      </c>
      <c r="DF2151" s="101">
        <v>4</v>
      </c>
      <c r="DL2151" s="101">
        <v>4</v>
      </c>
      <c r="DM2151" s="101">
        <v>3</v>
      </c>
      <c r="DP2151" s="101">
        <v>4</v>
      </c>
      <c r="DS2151" s="100">
        <v>6</v>
      </c>
      <c r="ON2151" s="100">
        <f t="shared" si="659"/>
        <v>0</v>
      </c>
    </row>
    <row r="2152" spans="1:404" ht="23.25" customHeight="1">
      <c r="A2152" s="97" t="str">
        <f t="shared" si="662"/>
        <v>003/MOJAY-2166-03000-01-A1(phen)</v>
      </c>
      <c r="B2152" s="95">
        <v>44347</v>
      </c>
      <c r="C2152" s="97">
        <f t="shared" ca="1" si="665"/>
        <v>-717</v>
      </c>
      <c r="D2152" s="145" t="s">
        <v>748</v>
      </c>
      <c r="E2152" s="253" t="s">
        <v>428</v>
      </c>
      <c r="F2152" s="98" t="str">
        <f t="shared" si="667"/>
        <v>A1</v>
      </c>
      <c r="G2152" s="110">
        <f ca="1">SUMIF($A:E,$A2152,K:K)</f>
        <v>32</v>
      </c>
      <c r="H2152" s="97" t="s">
        <v>749</v>
      </c>
      <c r="I2152" s="98">
        <v>32</v>
      </c>
      <c r="J2152" s="146">
        <v>32</v>
      </c>
      <c r="K2152" s="143">
        <f t="shared" si="666"/>
        <v>32</v>
      </c>
      <c r="L2152" s="144">
        <f t="shared" si="661"/>
        <v>0</v>
      </c>
      <c r="M2152" s="275">
        <f t="shared" si="672"/>
        <v>32</v>
      </c>
      <c r="N2152" s="98">
        <v>2</v>
      </c>
      <c r="O2152" s="93">
        <f t="shared" si="673"/>
        <v>100</v>
      </c>
      <c r="DU2152" s="100">
        <v>2</v>
      </c>
      <c r="DV2152" s="100">
        <v>2</v>
      </c>
      <c r="DZ2152" s="100">
        <v>8</v>
      </c>
      <c r="EA2152" s="100">
        <v>2</v>
      </c>
      <c r="ED2152" s="100">
        <v>5</v>
      </c>
      <c r="EF2152" s="100">
        <v>2</v>
      </c>
      <c r="EH2152" s="100">
        <v>2</v>
      </c>
      <c r="EI2152" s="100">
        <v>2</v>
      </c>
      <c r="EJ2152" s="100">
        <v>2</v>
      </c>
      <c r="EK2152" s="100">
        <v>3</v>
      </c>
      <c r="EL2152" s="100">
        <v>2</v>
      </c>
      <c r="ON2152" s="100">
        <f t="shared" si="659"/>
        <v>0</v>
      </c>
    </row>
    <row r="2153" spans="1:404" ht="23.25" customHeight="1">
      <c r="A2153" s="97" t="s">
        <v>2039</v>
      </c>
      <c r="B2153" s="95">
        <v>44746</v>
      </c>
      <c r="C2153" s="97">
        <v>261</v>
      </c>
      <c r="D2153" s="96" t="s">
        <v>1276</v>
      </c>
      <c r="E2153" s="280" t="s">
        <v>429</v>
      </c>
      <c r="F2153" s="98" t="s">
        <v>1770</v>
      </c>
      <c r="G2153" s="110">
        <v>0</v>
      </c>
      <c r="H2153" s="97" t="s">
        <v>749</v>
      </c>
      <c r="I2153" s="98">
        <v>24</v>
      </c>
      <c r="J2153" s="97">
        <v>24</v>
      </c>
      <c r="K2153" s="143">
        <f t="shared" si="666"/>
        <v>42</v>
      </c>
      <c r="L2153" s="144">
        <f t="shared" ref="L2153" si="674">J2153-K2153</f>
        <v>-18</v>
      </c>
      <c r="M2153" s="98"/>
      <c r="N2153" s="98">
        <v>2</v>
      </c>
      <c r="O2153" s="93">
        <f t="shared" si="673"/>
        <v>175</v>
      </c>
      <c r="NZ2153" s="100">
        <v>7</v>
      </c>
      <c r="OA2153" s="100">
        <v>2</v>
      </c>
      <c r="OD2153" s="100">
        <v>4</v>
      </c>
      <c r="OH2153" s="100">
        <v>8</v>
      </c>
      <c r="ON2153" s="100">
        <f t="shared" si="659"/>
        <v>21</v>
      </c>
    </row>
    <row r="2154" spans="1:404" ht="23.25" customHeight="1">
      <c r="A2154" s="97" t="str">
        <f t="shared" ref="A2154:A2165" si="675">D2154&amp;E2154</f>
        <v>382/POTTERYPOT-2166-03000-01-A1(phen)</v>
      </c>
      <c r="B2154" s="95">
        <v>44658</v>
      </c>
      <c r="C2154" s="97">
        <f t="shared" ref="C2154:C2165" ca="1" si="676">B2154-TODAY()</f>
        <v>-406</v>
      </c>
      <c r="D2154" s="96" t="s">
        <v>1276</v>
      </c>
      <c r="E2154" s="280" t="s">
        <v>428</v>
      </c>
      <c r="F2154" s="98" t="str">
        <f t="shared" ref="F2154:F2165" si="677">MID(E2154,13,2)</f>
        <v>A1</v>
      </c>
      <c r="G2154" s="110">
        <f ca="1">SUMIF($A:E,$A2154,K:K)</f>
        <v>74</v>
      </c>
      <c r="H2154" s="97" t="s">
        <v>749</v>
      </c>
      <c r="I2154" s="98">
        <v>16</v>
      </c>
      <c r="J2154" s="97">
        <v>16</v>
      </c>
      <c r="K2154" s="143">
        <f t="shared" si="666"/>
        <v>32</v>
      </c>
      <c r="L2154" s="144">
        <f t="shared" si="661"/>
        <v>-16</v>
      </c>
      <c r="M2154" s="275">
        <f>IF(OR(MID(E2154,10,1)="0",MID(E2154,10,1)="F"),I2154,IF(OR(,MID(E2154,10,1)="S",MID(E2154,10,1)="L",MID(E2154,10,1)="B",MID(E2154,10,1)="X"),MID(E2154,11,1)*I2154,0))</f>
        <v>16</v>
      </c>
      <c r="N2154" s="98" t="s">
        <v>1776</v>
      </c>
      <c r="O2154" s="93">
        <f t="shared" si="673"/>
        <v>200</v>
      </c>
      <c r="OI2154" s="100">
        <v>4</v>
      </c>
      <c r="OJ2154" s="100">
        <v>2</v>
      </c>
      <c r="OK2154" s="100">
        <v>4</v>
      </c>
      <c r="OM2154" s="100">
        <v>6</v>
      </c>
      <c r="ON2154" s="100">
        <f t="shared" si="659"/>
        <v>16</v>
      </c>
    </row>
    <row r="2155" spans="1:404" ht="23.25" customHeight="1">
      <c r="A2155" s="97" t="str">
        <f t="shared" si="675"/>
        <v>118/NY/PP-USA-2166-03000-01-A1(phen)</v>
      </c>
      <c r="B2155" s="95">
        <v>44649</v>
      </c>
      <c r="C2155" s="97">
        <f t="shared" ca="1" si="676"/>
        <v>-415</v>
      </c>
      <c r="D2155" s="112" t="s">
        <v>1428</v>
      </c>
      <c r="E2155" s="279" t="s">
        <v>428</v>
      </c>
      <c r="F2155" s="98" t="str">
        <f t="shared" si="677"/>
        <v>A1</v>
      </c>
      <c r="G2155" s="110">
        <f ca="1">SUMIF($A:E,$A2155,K:K)</f>
        <v>8</v>
      </c>
      <c r="H2155" s="97" t="s">
        <v>616</v>
      </c>
      <c r="I2155" s="98">
        <v>8</v>
      </c>
      <c r="J2155" s="115">
        <v>8</v>
      </c>
      <c r="K2155" s="143">
        <f t="shared" si="666"/>
        <v>8</v>
      </c>
      <c r="L2155" s="144">
        <f t="shared" si="661"/>
        <v>0</v>
      </c>
      <c r="M2155" s="275">
        <f>IF(OR(MID(E2155,10,1)="0",MID(E2155,10,1)="F"),I2155,IF(OR(,MID(E2155,10,1)="S",MID(E2155,10,1)="L",MID(E2155,10,1)="B",MID(E2155,10,1)="X"),MID(E2155,11,1)*I2155,0))</f>
        <v>8</v>
      </c>
      <c r="N2155" s="98">
        <v>2</v>
      </c>
      <c r="O2155" s="93">
        <f t="shared" si="673"/>
        <v>100</v>
      </c>
      <c r="MX2155" s="100">
        <v>3</v>
      </c>
      <c r="MY2155" s="100">
        <v>2</v>
      </c>
      <c r="NA2155" s="100">
        <v>1</v>
      </c>
      <c r="ND2155" s="100">
        <v>1</v>
      </c>
      <c r="NF2155" s="100">
        <v>1</v>
      </c>
      <c r="ON2155" s="100">
        <f t="shared" si="659"/>
        <v>0</v>
      </c>
    </row>
    <row r="2156" spans="1:404" ht="23.25" customHeight="1">
      <c r="A2156" s="97" t="str">
        <f t="shared" si="675"/>
        <v>451/POTTERYPOT-VG-2166-03000-01-A1(phen)</v>
      </c>
      <c r="B2156" s="95">
        <v>44658</v>
      </c>
      <c r="C2156" s="97">
        <f t="shared" ca="1" si="676"/>
        <v>-406</v>
      </c>
      <c r="D2156" s="112" t="s">
        <v>1589</v>
      </c>
      <c r="E2156" s="279" t="s">
        <v>428</v>
      </c>
      <c r="F2156" s="98" t="str">
        <f t="shared" si="677"/>
        <v>A1</v>
      </c>
      <c r="G2156" s="110">
        <f ca="1">SUMIF($A:E,$A2156,K:K)</f>
        <v>0</v>
      </c>
      <c r="H2156" s="97" t="s">
        <v>1593</v>
      </c>
      <c r="I2156" s="98">
        <v>32</v>
      </c>
      <c r="J2156" s="115">
        <v>32</v>
      </c>
      <c r="K2156" s="143">
        <f t="shared" si="666"/>
        <v>0</v>
      </c>
      <c r="L2156" s="144">
        <f t="shared" si="661"/>
        <v>32</v>
      </c>
      <c r="M2156" s="275"/>
      <c r="N2156" s="98" t="s">
        <v>1776</v>
      </c>
      <c r="O2156" s="93">
        <f t="shared" si="673"/>
        <v>0</v>
      </c>
      <c r="ON2156" s="100">
        <f t="shared" si="659"/>
        <v>0</v>
      </c>
    </row>
    <row r="2157" spans="1:404" ht="23.25" customHeight="1">
      <c r="A2157" s="97" t="str">
        <f t="shared" si="675"/>
        <v>003/ANNA-VG-21(đ7)66-03000-01-A1(phen)</v>
      </c>
      <c r="B2157" s="95">
        <v>44634</v>
      </c>
      <c r="C2157" s="97">
        <f t="shared" ca="1" si="676"/>
        <v>-430</v>
      </c>
      <c r="D2157" s="112" t="s">
        <v>1671</v>
      </c>
      <c r="E2157" s="279" t="s">
        <v>428</v>
      </c>
      <c r="F2157" s="98" t="str">
        <f t="shared" si="677"/>
        <v>A1</v>
      </c>
      <c r="G2157" s="110">
        <f ca="1">SUMIF($A:E,$A2157,K:K)</f>
        <v>10</v>
      </c>
      <c r="H2157" s="112" t="s">
        <v>1679</v>
      </c>
      <c r="I2157" s="98">
        <v>10</v>
      </c>
      <c r="J2157" s="115">
        <v>10</v>
      </c>
      <c r="K2157" s="160">
        <f t="shared" si="666"/>
        <v>10</v>
      </c>
      <c r="L2157" s="151">
        <f t="shared" ref="L2157" si="678">J2157-K2157</f>
        <v>0</v>
      </c>
      <c r="M2157" s="275">
        <f>IF(OR(MID(E2157,10,1)="0",MID(E2157,10,1)="F"),I2157,IF(OR(,MID(E2157,10,1)="S",MID(E2157,10,1)="L",MID(E2157,10,1)="B",MID(E2157,10,1)="X"),MID(E2157,11,1)*I2157,0))</f>
        <v>10</v>
      </c>
      <c r="N2157" s="98">
        <v>2</v>
      </c>
      <c r="O2157" s="93">
        <f t="shared" si="673"/>
        <v>100</v>
      </c>
      <c r="LW2157" s="100">
        <v>1</v>
      </c>
      <c r="LX2157" s="100">
        <v>5</v>
      </c>
      <c r="MA2157" s="100">
        <v>2</v>
      </c>
      <c r="MB2157" s="100">
        <v>2</v>
      </c>
      <c r="ON2157" s="100">
        <f t="shared" si="659"/>
        <v>0</v>
      </c>
    </row>
    <row r="2158" spans="1:404" ht="23.25" customHeight="1">
      <c r="A2158" s="97" t="str">
        <f t="shared" si="675"/>
        <v xml:space="preserve">	457/POTTERYPOT-VG-2166-03000-01-A1(phen)</v>
      </c>
      <c r="B2158" s="95">
        <v>44674</v>
      </c>
      <c r="C2158" s="97">
        <f t="shared" ca="1" si="676"/>
        <v>-390</v>
      </c>
      <c r="D2158" s="112" t="s">
        <v>1866</v>
      </c>
      <c r="E2158" s="279" t="s">
        <v>428</v>
      </c>
      <c r="F2158" s="98" t="str">
        <f t="shared" si="677"/>
        <v>A1</v>
      </c>
      <c r="G2158" s="110">
        <f ca="1">SUMIF($A:E,$A2158,K:K)</f>
        <v>0</v>
      </c>
      <c r="H2158" s="112" t="s">
        <v>1867</v>
      </c>
      <c r="I2158" s="98">
        <v>8</v>
      </c>
      <c r="J2158" s="115">
        <v>8</v>
      </c>
      <c r="K2158" s="144">
        <f t="shared" si="666"/>
        <v>0</v>
      </c>
      <c r="L2158" s="144">
        <f t="shared" si="661"/>
        <v>8</v>
      </c>
      <c r="M2158" s="276"/>
      <c r="N2158" s="98"/>
      <c r="O2158" s="93">
        <f t="shared" si="673"/>
        <v>0</v>
      </c>
      <c r="ON2158" s="100">
        <f t="shared" si="659"/>
        <v>0</v>
      </c>
    </row>
    <row r="2159" spans="1:404" ht="23.25" customHeight="1">
      <c r="A2159" s="97" t="str">
        <f t="shared" si="675"/>
        <v>443/POTTERYPOT-VG-2166-03000-01-A1(phen)</v>
      </c>
      <c r="B2159" s="95">
        <v>44657</v>
      </c>
      <c r="C2159" s="97">
        <f t="shared" ca="1" si="676"/>
        <v>-407</v>
      </c>
      <c r="D2159" s="112" t="s">
        <v>1868</v>
      </c>
      <c r="E2159" s="279" t="s">
        <v>428</v>
      </c>
      <c r="F2159" s="98" t="str">
        <f t="shared" si="677"/>
        <v>A1</v>
      </c>
      <c r="G2159" s="110">
        <f ca="1">SUMIF($A:E,$A2159,K:K)</f>
        <v>0</v>
      </c>
      <c r="H2159" s="112" t="s">
        <v>1867</v>
      </c>
      <c r="I2159" s="98">
        <v>8</v>
      </c>
      <c r="J2159" s="115">
        <v>8</v>
      </c>
      <c r="K2159" s="144">
        <f t="shared" si="666"/>
        <v>0</v>
      </c>
      <c r="L2159" s="144">
        <f t="shared" si="661"/>
        <v>8</v>
      </c>
      <c r="M2159" s="276"/>
      <c r="N2159" s="98" t="s">
        <v>1776</v>
      </c>
      <c r="O2159" s="93">
        <f t="shared" si="673"/>
        <v>0</v>
      </c>
      <c r="ON2159" s="100">
        <f t="shared" si="659"/>
        <v>0</v>
      </c>
    </row>
    <row r="2160" spans="1:404" ht="23.25" customHeight="1">
      <c r="A2160" s="97" t="str">
        <f t="shared" si="675"/>
        <v>382/POTTERYPOT-2166-03000-01-A</v>
      </c>
      <c r="B2160" s="95">
        <v>44658</v>
      </c>
      <c r="C2160" s="127">
        <f t="shared" ca="1" si="676"/>
        <v>-406</v>
      </c>
      <c r="D2160" s="96" t="s">
        <v>1276</v>
      </c>
      <c r="E2160" s="280" t="s">
        <v>612</v>
      </c>
      <c r="F2160" s="98" t="str">
        <f t="shared" si="677"/>
        <v>A</v>
      </c>
      <c r="G2160" s="110">
        <f ca="1">SUMIF($A:E,$A2160,K:K)</f>
        <v>32</v>
      </c>
      <c r="H2160" s="97" t="s">
        <v>964</v>
      </c>
      <c r="I2160" s="98">
        <v>16</v>
      </c>
      <c r="J2160" s="97">
        <v>16</v>
      </c>
      <c r="K2160" s="143">
        <f t="shared" si="666"/>
        <v>32</v>
      </c>
      <c r="L2160" s="144">
        <f t="shared" si="661"/>
        <v>-16</v>
      </c>
      <c r="M2160" s="275">
        <f>IF(OR(MID(E2160,10,1)="0",MID(E2160,10,1)="F"),I2160,IF(OR(,MID(E2160,10,1)="S",MID(E2160,10,1)="L",MID(E2160,10,1)="B",MID(E2160,10,1)="X"),MID(E2160,11,1)*I2160,0))</f>
        <v>16</v>
      </c>
      <c r="N2160" s="98" t="s">
        <v>1776</v>
      </c>
      <c r="O2160" s="93">
        <f t="shared" ref="O2160:O2179" si="679">K2160/J2160*100</f>
        <v>200</v>
      </c>
      <c r="OI2160" s="100">
        <v>4</v>
      </c>
      <c r="OJ2160" s="100">
        <v>2</v>
      </c>
      <c r="OK2160" s="100">
        <v>4</v>
      </c>
      <c r="OM2160" s="100">
        <v>6</v>
      </c>
      <c r="ON2160" s="100">
        <f t="shared" si="659"/>
        <v>16</v>
      </c>
    </row>
    <row r="2161" spans="1:404" ht="23.25" customHeight="1">
      <c r="A2161" s="97" t="str">
        <f t="shared" si="675"/>
        <v>118/NY/PP-USA-2166-03000-01-A</v>
      </c>
      <c r="B2161" s="95">
        <v>44649</v>
      </c>
      <c r="C2161" s="127">
        <f t="shared" ca="1" si="676"/>
        <v>-415</v>
      </c>
      <c r="D2161" s="112" t="s">
        <v>1428</v>
      </c>
      <c r="E2161" s="279" t="s">
        <v>612</v>
      </c>
      <c r="F2161" s="98" t="str">
        <f t="shared" si="677"/>
        <v>A</v>
      </c>
      <c r="G2161" s="110">
        <f ca="1">SUMIF($A:E,$A2161,K:K)</f>
        <v>8</v>
      </c>
      <c r="H2161" s="97" t="s">
        <v>616</v>
      </c>
      <c r="I2161" s="98">
        <v>8</v>
      </c>
      <c r="J2161" s="115">
        <v>8</v>
      </c>
      <c r="K2161" s="143">
        <f t="shared" si="666"/>
        <v>8</v>
      </c>
      <c r="L2161" s="144">
        <f t="shared" si="661"/>
        <v>0</v>
      </c>
      <c r="M2161" s="275">
        <f>IF(OR(MID(E2161,10,1)="0",MID(E2161,10,1)="F"),I2161,IF(OR(,MID(E2161,10,1)="S",MID(E2161,10,1)="L",MID(E2161,10,1)="B",MID(E2161,10,1)="X"),MID(E2161,11,1)*I2161,0))</f>
        <v>8</v>
      </c>
      <c r="N2161" s="98">
        <v>2</v>
      </c>
      <c r="O2161" s="93">
        <f t="shared" si="679"/>
        <v>100</v>
      </c>
      <c r="MX2161" s="100">
        <v>3</v>
      </c>
      <c r="MY2161" s="100">
        <v>2</v>
      </c>
      <c r="NA2161" s="100">
        <v>1</v>
      </c>
      <c r="ND2161" s="100">
        <v>1</v>
      </c>
      <c r="NF2161" s="100">
        <v>1</v>
      </c>
      <c r="ON2161" s="100">
        <f t="shared" si="659"/>
        <v>0</v>
      </c>
    </row>
    <row r="2162" spans="1:404" ht="23.25" customHeight="1">
      <c r="A2162" s="97" t="str">
        <f t="shared" si="675"/>
        <v>451/POTTERYPOT-VG-2166-03000-01-A</v>
      </c>
      <c r="B2162" s="95">
        <v>44658</v>
      </c>
      <c r="C2162" s="127">
        <f t="shared" ca="1" si="676"/>
        <v>-406</v>
      </c>
      <c r="D2162" s="112" t="s">
        <v>1589</v>
      </c>
      <c r="E2162" s="279" t="s">
        <v>612</v>
      </c>
      <c r="F2162" s="98" t="str">
        <f t="shared" si="677"/>
        <v>A</v>
      </c>
      <c r="G2162" s="110">
        <f ca="1">SUMIF($A:E,$A2162,K:K)</f>
        <v>0</v>
      </c>
      <c r="H2162" s="97" t="s">
        <v>927</v>
      </c>
      <c r="I2162" s="98">
        <v>32</v>
      </c>
      <c r="J2162" s="115">
        <v>32</v>
      </c>
      <c r="K2162" s="143">
        <f t="shared" si="666"/>
        <v>0</v>
      </c>
      <c r="L2162" s="144">
        <f t="shared" si="661"/>
        <v>32</v>
      </c>
      <c r="M2162" s="275">
        <f>IF(OR(MID(E2162,10,1)="0",MID(E2162,10,1)="F"),I2162,IF(OR(,MID(E2162,10,1)="S",MID(E2162,10,1)="L",MID(E2162,10,1)="B",MID(E2162,10,1)="X"),MID(E2162,11,1)*I2162,0))</f>
        <v>32</v>
      </c>
      <c r="N2162" s="98" t="s">
        <v>1776</v>
      </c>
      <c r="O2162" s="93">
        <f t="shared" si="679"/>
        <v>0</v>
      </c>
      <c r="ON2162" s="100">
        <f t="shared" si="659"/>
        <v>0</v>
      </c>
    </row>
    <row r="2163" spans="1:404" ht="23.25" customHeight="1">
      <c r="A2163" s="127" t="str">
        <f t="shared" si="675"/>
        <v xml:space="preserve">	457/POTTERYPOT-VG-2166-03000-01-A</v>
      </c>
      <c r="B2163" s="126">
        <v>44674</v>
      </c>
      <c r="C2163" s="127">
        <f t="shared" ca="1" si="676"/>
        <v>-390</v>
      </c>
      <c r="D2163" s="208" t="s">
        <v>1866</v>
      </c>
      <c r="E2163" s="282" t="s">
        <v>612</v>
      </c>
      <c r="F2163" s="132" t="str">
        <f t="shared" si="677"/>
        <v>A</v>
      </c>
      <c r="G2163" s="130">
        <f ca="1">SUMIF($A:E,$A2163,K:K)</f>
        <v>0</v>
      </c>
      <c r="H2163" s="127" t="s">
        <v>601</v>
      </c>
      <c r="I2163" s="98">
        <v>8</v>
      </c>
      <c r="J2163" s="134">
        <v>8</v>
      </c>
      <c r="K2163" s="151">
        <f t="shared" si="666"/>
        <v>0</v>
      </c>
      <c r="L2163" s="151">
        <f t="shared" si="661"/>
        <v>8</v>
      </c>
      <c r="M2163" s="276"/>
      <c r="N2163" s="132"/>
      <c r="O2163" s="93">
        <f t="shared" si="679"/>
        <v>0</v>
      </c>
      <c r="ON2163" s="100">
        <f t="shared" si="659"/>
        <v>0</v>
      </c>
    </row>
    <row r="2164" spans="1:404" ht="23.25" customHeight="1">
      <c r="A2164" s="127" t="str">
        <f t="shared" si="675"/>
        <v>443/POTTERYPOT-VG-2166-03000-01-A</v>
      </c>
      <c r="B2164" s="126">
        <v>44657</v>
      </c>
      <c r="C2164" s="127">
        <f t="shared" ca="1" si="676"/>
        <v>-407</v>
      </c>
      <c r="D2164" s="208" t="s">
        <v>1868</v>
      </c>
      <c r="E2164" s="282" t="s">
        <v>612</v>
      </c>
      <c r="F2164" s="132" t="str">
        <f t="shared" si="677"/>
        <v>A</v>
      </c>
      <c r="G2164" s="130">
        <f ca="1">SUMIF($A:E,$A2164,K:K)</f>
        <v>0</v>
      </c>
      <c r="H2164" s="127" t="s">
        <v>601</v>
      </c>
      <c r="I2164" s="98">
        <v>8</v>
      </c>
      <c r="J2164" s="134">
        <v>8</v>
      </c>
      <c r="K2164" s="151">
        <f t="shared" si="666"/>
        <v>0</v>
      </c>
      <c r="L2164" s="151">
        <f t="shared" si="661"/>
        <v>8</v>
      </c>
      <c r="M2164" s="276"/>
      <c r="N2164" s="132" t="s">
        <v>1776</v>
      </c>
      <c r="O2164" s="93">
        <f t="shared" si="679"/>
        <v>0</v>
      </c>
      <c r="ON2164" s="100">
        <f t="shared" si="659"/>
        <v>0</v>
      </c>
    </row>
    <row r="2165" spans="1:404" ht="23.25" customHeight="1">
      <c r="A2165" s="127" t="str">
        <f t="shared" si="675"/>
        <v>007/YAMATEI-2166-02717-02-B</v>
      </c>
      <c r="B2165" s="95">
        <v>44641</v>
      </c>
      <c r="C2165" s="97">
        <f t="shared" ca="1" si="676"/>
        <v>-423</v>
      </c>
      <c r="D2165" s="112" t="s">
        <v>1569</v>
      </c>
      <c r="E2165" s="123" t="s">
        <v>1576</v>
      </c>
      <c r="F2165" s="132" t="str">
        <f t="shared" si="677"/>
        <v>B</v>
      </c>
      <c r="G2165" s="130">
        <f ca="1">SUMIF($A:E,$A2165,K:K)</f>
        <v>0</v>
      </c>
      <c r="H2165" s="97" t="s">
        <v>927</v>
      </c>
      <c r="I2165" s="98">
        <v>31</v>
      </c>
      <c r="J2165" s="115">
        <v>31</v>
      </c>
      <c r="K2165" s="160">
        <f t="shared" si="666"/>
        <v>0</v>
      </c>
      <c r="L2165" s="151">
        <f t="shared" si="661"/>
        <v>31</v>
      </c>
      <c r="M2165" s="275">
        <f>IF(OR(MID(E2165,10,1)="0",MID(E2165,10,1)="F"),I2165,IF(OR(,MID(E2165,10,1)="S",MID(E2165,10,1)="L",MID(E2165,10,1)="B",MID(E2165,10,1)="X"),MID(E2165,11,1)*I2165,0))</f>
        <v>31</v>
      </c>
      <c r="N2165" s="98"/>
      <c r="O2165" s="93">
        <f t="shared" si="679"/>
        <v>0</v>
      </c>
      <c r="ON2165" s="100">
        <f t="shared" si="659"/>
        <v>0</v>
      </c>
    </row>
    <row r="2166" spans="1:404" ht="23.25" customHeight="1">
      <c r="A2166" s="97" t="s">
        <v>2368</v>
      </c>
      <c r="B2166" s="95">
        <v>44569</v>
      </c>
      <c r="C2166" s="97">
        <v>11</v>
      </c>
      <c r="D2166" s="96" t="s">
        <v>1232</v>
      </c>
      <c r="E2166" s="94" t="s">
        <v>427</v>
      </c>
      <c r="F2166" s="98" t="str">
        <f t="shared" ref="F2166:F2167" si="680">MID(E2166,13,2)</f>
        <v>A1</v>
      </c>
      <c r="G2166" s="110">
        <f ca="1">SUMIF($A:E,$A2166,K:K)</f>
        <v>30</v>
      </c>
      <c r="H2166" s="97" t="s">
        <v>508</v>
      </c>
      <c r="I2166" s="98">
        <v>30</v>
      </c>
      <c r="J2166" s="97">
        <v>30</v>
      </c>
      <c r="K2166" s="143">
        <f t="shared" si="666"/>
        <v>30</v>
      </c>
      <c r="L2166" s="144">
        <f t="shared" ref="L2166:L2167" si="681">J2166-K2166</f>
        <v>0</v>
      </c>
      <c r="M2166" s="98">
        <v>1</v>
      </c>
      <c r="N2166" s="98">
        <v>1</v>
      </c>
      <c r="O2166" s="93">
        <f t="shared" si="679"/>
        <v>100</v>
      </c>
      <c r="ML2166" s="100">
        <v>14</v>
      </c>
      <c r="MM2166" s="100">
        <v>3</v>
      </c>
      <c r="MN2166" s="100">
        <v>2</v>
      </c>
      <c r="MO2166" s="100">
        <v>3</v>
      </c>
      <c r="MQ2166" s="100">
        <v>4</v>
      </c>
      <c r="MS2166" s="100">
        <v>1</v>
      </c>
      <c r="MT2166" s="100">
        <v>3</v>
      </c>
      <c r="ON2166" s="100">
        <f t="shared" si="659"/>
        <v>0</v>
      </c>
    </row>
    <row r="2167" spans="1:404" ht="23.25" customHeight="1">
      <c r="A2167" s="97" t="e">
        <f>D2167&amp;#REF!</f>
        <v>#REF!</v>
      </c>
      <c r="B2167" s="95">
        <v>44569</v>
      </c>
      <c r="C2167" s="97">
        <f t="shared" ref="C2167:C2196" ca="1" si="682">B2167-TODAY()</f>
        <v>-495</v>
      </c>
      <c r="D2167" s="96" t="s">
        <v>1232</v>
      </c>
      <c r="E2167" s="94" t="s">
        <v>1234</v>
      </c>
      <c r="F2167" s="98" t="str">
        <f t="shared" si="680"/>
        <v>B</v>
      </c>
      <c r="G2167" s="110">
        <f ca="1">SUMIF($A:E,$A2167,K:K)</f>
        <v>1754</v>
      </c>
      <c r="H2167" s="97" t="s">
        <v>508</v>
      </c>
      <c r="I2167" s="98">
        <v>30</v>
      </c>
      <c r="J2167" s="97">
        <v>30</v>
      </c>
      <c r="K2167" s="143">
        <f t="shared" si="666"/>
        <v>30</v>
      </c>
      <c r="L2167" s="144">
        <f t="shared" si="681"/>
        <v>0</v>
      </c>
      <c r="M2167" s="275">
        <f t="shared" ref="M2167:M2176" si="683">IF(OR(MID(E2167,10,1)="0",MID(E2167,10,1)="F"),I2167,IF(OR(,MID(E2167,10,1)="S",MID(E2167,10,1)="L",MID(E2167,10,1)="B",MID(E2167,10,1)="X"),MID(E2167,11,1)*I2167,0))</f>
        <v>90</v>
      </c>
      <c r="N2167" s="98">
        <v>1</v>
      </c>
      <c r="O2167" s="93">
        <f t="shared" si="679"/>
        <v>100</v>
      </c>
      <c r="MF2167" s="100">
        <v>4</v>
      </c>
      <c r="MG2167" s="100">
        <v>4</v>
      </c>
      <c r="MH2167" s="100">
        <v>1</v>
      </c>
      <c r="MK2167" s="100">
        <v>2</v>
      </c>
      <c r="ML2167" s="100">
        <v>3</v>
      </c>
      <c r="MM2167" s="100">
        <v>3</v>
      </c>
      <c r="MN2167" s="100">
        <v>2</v>
      </c>
      <c r="MP2167" s="100">
        <v>3</v>
      </c>
      <c r="MQ2167" s="100">
        <v>4</v>
      </c>
      <c r="MS2167" s="100">
        <v>1</v>
      </c>
      <c r="MT2167" s="100">
        <v>3</v>
      </c>
      <c r="ON2167" s="100">
        <f t="shared" si="659"/>
        <v>0</v>
      </c>
    </row>
    <row r="2168" spans="1:404" ht="23.25" customHeight="1">
      <c r="A2168" s="97" t="s">
        <v>1797</v>
      </c>
      <c r="B2168" s="95">
        <v>44469</v>
      </c>
      <c r="C2168" s="97">
        <f t="shared" ca="1" si="682"/>
        <v>-595</v>
      </c>
      <c r="D2168" s="112" t="s">
        <v>1540</v>
      </c>
      <c r="E2168" s="123" t="s">
        <v>628</v>
      </c>
      <c r="F2168" s="98" t="s">
        <v>561</v>
      </c>
      <c r="G2168" s="110">
        <v>61</v>
      </c>
      <c r="H2168" s="112" t="s">
        <v>1525</v>
      </c>
      <c r="I2168" s="98">
        <v>1</v>
      </c>
      <c r="J2168" s="115">
        <v>1</v>
      </c>
      <c r="K2168" s="143">
        <f t="shared" si="666"/>
        <v>1</v>
      </c>
      <c r="L2168" s="144">
        <f t="shared" si="661"/>
        <v>0</v>
      </c>
      <c r="M2168" s="275">
        <f t="shared" si="683"/>
        <v>1</v>
      </c>
      <c r="N2168" s="98">
        <v>1</v>
      </c>
      <c r="O2168" s="93">
        <f t="shared" si="679"/>
        <v>100</v>
      </c>
      <c r="IH2168" s="100">
        <v>1</v>
      </c>
      <c r="ON2168" s="100">
        <f t="shared" si="659"/>
        <v>0</v>
      </c>
    </row>
    <row r="2169" spans="1:404" ht="23.25" customHeight="1">
      <c r="A2169" s="97" t="str">
        <f t="shared" ref="A2169:A2176" si="684">D2169&amp;E2169</f>
        <v xml:space="preserve"> 009T/EUROMARKET-2166-02700-01-B</v>
      </c>
      <c r="B2169" s="95">
        <v>44469</v>
      </c>
      <c r="C2169" s="97">
        <f t="shared" ca="1" si="682"/>
        <v>-595</v>
      </c>
      <c r="D2169" s="112" t="s">
        <v>1540</v>
      </c>
      <c r="E2169" s="123" t="s">
        <v>628</v>
      </c>
      <c r="F2169" s="98" t="str">
        <f t="shared" ref="F2169:F2176" si="685">MID(E2169,13,2)</f>
        <v>B</v>
      </c>
      <c r="G2169" s="110">
        <f ca="1">SUMIF($A:E,$A2169,K:K)</f>
        <v>261</v>
      </c>
      <c r="H2169" s="112" t="s">
        <v>1525</v>
      </c>
      <c r="I2169" s="98">
        <v>39</v>
      </c>
      <c r="J2169" s="115">
        <v>39</v>
      </c>
      <c r="K2169" s="143">
        <f t="shared" si="666"/>
        <v>39</v>
      </c>
      <c r="L2169" s="144">
        <f t="shared" si="661"/>
        <v>0</v>
      </c>
      <c r="M2169" s="275">
        <f t="shared" si="683"/>
        <v>39</v>
      </c>
      <c r="N2169" s="98">
        <v>5</v>
      </c>
      <c r="O2169" s="93">
        <f t="shared" si="679"/>
        <v>100</v>
      </c>
      <c r="HS2169" s="100">
        <v>4</v>
      </c>
      <c r="HX2169" s="100">
        <v>21</v>
      </c>
      <c r="IE2169" s="100">
        <v>14</v>
      </c>
      <c r="ON2169" s="100">
        <f t="shared" si="659"/>
        <v>0</v>
      </c>
    </row>
    <row r="2170" spans="1:404" ht="23.25" customHeight="1">
      <c r="A2170" s="97" t="str">
        <f t="shared" si="684"/>
        <v xml:space="preserve"> 009T/EUROMARKET-2166-02700-01-B</v>
      </c>
      <c r="B2170" s="95">
        <v>44469</v>
      </c>
      <c r="C2170" s="97">
        <f t="shared" ca="1" si="682"/>
        <v>-595</v>
      </c>
      <c r="D2170" s="112" t="s">
        <v>1540</v>
      </c>
      <c r="E2170" s="123" t="s">
        <v>628</v>
      </c>
      <c r="F2170" s="98" t="str">
        <f t="shared" si="685"/>
        <v>B</v>
      </c>
      <c r="G2170" s="110">
        <f ca="1">SUMIF($A:E,$A2170,K:K)</f>
        <v>261</v>
      </c>
      <c r="H2170" s="112" t="s">
        <v>1525</v>
      </c>
      <c r="I2170" s="98">
        <v>100</v>
      </c>
      <c r="J2170" s="115">
        <v>100</v>
      </c>
      <c r="K2170" s="143">
        <f t="shared" si="666"/>
        <v>100</v>
      </c>
      <c r="L2170" s="144">
        <f t="shared" si="661"/>
        <v>0</v>
      </c>
      <c r="M2170" s="275">
        <f t="shared" si="683"/>
        <v>100</v>
      </c>
      <c r="N2170" s="98">
        <v>1</v>
      </c>
      <c r="O2170" s="93">
        <f t="shared" si="679"/>
        <v>100</v>
      </c>
      <c r="IH2170" s="100">
        <v>1</v>
      </c>
      <c r="II2170" s="100">
        <v>3</v>
      </c>
      <c r="IK2170" s="100">
        <v>7</v>
      </c>
      <c r="IO2170" s="100">
        <v>1</v>
      </c>
      <c r="IS2170" s="100">
        <v>9</v>
      </c>
      <c r="IT2170" s="100">
        <v>6</v>
      </c>
      <c r="IU2170" s="100">
        <v>6</v>
      </c>
      <c r="IV2170" s="100">
        <v>12</v>
      </c>
      <c r="IY2170" s="100">
        <v>3</v>
      </c>
      <c r="IZ2170" s="100">
        <v>8</v>
      </c>
      <c r="JA2170" s="100">
        <v>7</v>
      </c>
      <c r="JB2170" s="100">
        <v>9</v>
      </c>
      <c r="JC2170" s="100">
        <v>1</v>
      </c>
      <c r="JD2170" s="100">
        <v>3</v>
      </c>
      <c r="JF2170" s="100">
        <v>2</v>
      </c>
      <c r="JG2170" s="100">
        <v>11</v>
      </c>
      <c r="JH2170" s="100">
        <v>11</v>
      </c>
      <c r="ON2170" s="100">
        <f t="shared" si="659"/>
        <v>0</v>
      </c>
    </row>
    <row r="2171" spans="1:404" ht="23.25" customHeight="1">
      <c r="A2171" s="97" t="str">
        <f t="shared" si="684"/>
        <v xml:space="preserve"> 009T/EUROMARKET-2166-02700-01-B</v>
      </c>
      <c r="B2171" s="95">
        <v>44469</v>
      </c>
      <c r="C2171" s="97">
        <f t="shared" ca="1" si="682"/>
        <v>-595</v>
      </c>
      <c r="D2171" s="112" t="s">
        <v>1540</v>
      </c>
      <c r="E2171" s="123" t="s">
        <v>628</v>
      </c>
      <c r="F2171" s="98" t="str">
        <f t="shared" si="685"/>
        <v>B</v>
      </c>
      <c r="G2171" s="110">
        <f ca="1">SUMIF($A:E,$A2171,K:K)</f>
        <v>261</v>
      </c>
      <c r="H2171" s="112" t="s">
        <v>1525</v>
      </c>
      <c r="I2171" s="98">
        <v>121</v>
      </c>
      <c r="J2171" s="115">
        <f>260-J2169-J2170</f>
        <v>121</v>
      </c>
      <c r="K2171" s="143">
        <f t="shared" si="666"/>
        <v>121</v>
      </c>
      <c r="L2171" s="144">
        <f t="shared" si="661"/>
        <v>0</v>
      </c>
      <c r="M2171" s="275">
        <f t="shared" si="683"/>
        <v>121</v>
      </c>
      <c r="N2171" s="98">
        <v>2</v>
      </c>
      <c r="O2171" s="93">
        <f t="shared" si="679"/>
        <v>100</v>
      </c>
      <c r="HX2171" s="100">
        <v>13</v>
      </c>
      <c r="ID2171" s="100">
        <v>3</v>
      </c>
      <c r="IE2171" s="100">
        <v>6</v>
      </c>
      <c r="IF2171" s="100">
        <v>8</v>
      </c>
      <c r="IH2171" s="100">
        <v>7</v>
      </c>
      <c r="IM2171" s="100">
        <v>8</v>
      </c>
      <c r="IN2171" s="100">
        <v>10</v>
      </c>
      <c r="IO2171" s="100">
        <v>7</v>
      </c>
      <c r="IP2171" s="100">
        <v>2</v>
      </c>
      <c r="IR2171" s="100">
        <v>5</v>
      </c>
      <c r="IV2171" s="100">
        <v>16</v>
      </c>
      <c r="IY2171" s="100">
        <v>6</v>
      </c>
      <c r="IZ2171" s="100">
        <v>1</v>
      </c>
      <c r="JA2171" s="100">
        <v>10</v>
      </c>
      <c r="JB2171" s="100">
        <v>15</v>
      </c>
      <c r="JC2171" s="100">
        <v>4</v>
      </c>
      <c r="ON2171" s="100">
        <f t="shared" si="659"/>
        <v>0</v>
      </c>
    </row>
    <row r="2172" spans="1:404" ht="23.25" customHeight="1">
      <c r="A2172" s="97" t="str">
        <f t="shared" si="684"/>
        <v>051-VG_SR-21(EUROMARKET)66-02700-01-B</v>
      </c>
      <c r="B2172" s="95">
        <v>44426</v>
      </c>
      <c r="C2172" s="97">
        <f t="shared" ca="1" si="682"/>
        <v>-638</v>
      </c>
      <c r="D2172" s="112" t="s">
        <v>1546</v>
      </c>
      <c r="E2172" s="123" t="s">
        <v>628</v>
      </c>
      <c r="F2172" s="98" t="str">
        <f t="shared" si="685"/>
        <v>B</v>
      </c>
      <c r="G2172" s="110">
        <f ca="1">SUMIF($A:E,$A2172,K:K)</f>
        <v>5</v>
      </c>
      <c r="H2172" s="112" t="s">
        <v>1550</v>
      </c>
      <c r="I2172" s="98">
        <v>5</v>
      </c>
      <c r="J2172" s="99">
        <v>5</v>
      </c>
      <c r="K2172" s="143">
        <f t="shared" si="666"/>
        <v>5</v>
      </c>
      <c r="L2172" s="144">
        <f t="shared" si="661"/>
        <v>0</v>
      </c>
      <c r="M2172" s="275">
        <f t="shared" si="683"/>
        <v>5</v>
      </c>
      <c r="N2172" s="98">
        <v>5</v>
      </c>
      <c r="O2172" s="93">
        <f t="shared" si="679"/>
        <v>100</v>
      </c>
      <c r="HL2172" s="100">
        <v>5</v>
      </c>
      <c r="ON2172" s="100">
        <f t="shared" si="659"/>
        <v>0</v>
      </c>
    </row>
    <row r="2173" spans="1:404" ht="23.25" customHeight="1">
      <c r="A2173" s="97" t="str">
        <f t="shared" si="684"/>
        <v>001/EUROMARKET-VG_SR-2166-02700-01-B</v>
      </c>
      <c r="B2173" s="95">
        <v>44425</v>
      </c>
      <c r="C2173" s="97">
        <f t="shared" ca="1" si="682"/>
        <v>-639</v>
      </c>
      <c r="D2173" s="112" t="s">
        <v>1552</v>
      </c>
      <c r="E2173" s="123" t="s">
        <v>628</v>
      </c>
      <c r="F2173" s="98" t="str">
        <f t="shared" si="685"/>
        <v>B</v>
      </c>
      <c r="G2173" s="110">
        <f ca="1">SUMIF($A:E,$A2173,K:K)</f>
        <v>3</v>
      </c>
      <c r="H2173" s="112" t="s">
        <v>1553</v>
      </c>
      <c r="I2173" s="98">
        <v>3</v>
      </c>
      <c r="J2173" s="115">
        <v>3</v>
      </c>
      <c r="K2173" s="143">
        <f t="shared" si="666"/>
        <v>3</v>
      </c>
      <c r="L2173" s="144">
        <f t="shared" si="661"/>
        <v>0</v>
      </c>
      <c r="M2173" s="275">
        <f t="shared" si="683"/>
        <v>3</v>
      </c>
      <c r="N2173" s="98">
        <v>5</v>
      </c>
      <c r="O2173" s="93">
        <f t="shared" si="679"/>
        <v>100</v>
      </c>
      <c r="HJ2173" s="100">
        <v>3</v>
      </c>
      <c r="ON2173" s="100">
        <f t="shared" si="659"/>
        <v>0</v>
      </c>
    </row>
    <row r="2174" spans="1:404" ht="23.25" customHeight="1">
      <c r="A2174" s="97" t="str">
        <f t="shared" si="684"/>
        <v>001A/EUROMARKET-VG_SR-2166-02700-01-B</v>
      </c>
      <c r="B2174" s="217">
        <v>44437</v>
      </c>
      <c r="C2174" s="97">
        <f t="shared" ca="1" si="682"/>
        <v>-627</v>
      </c>
      <c r="D2174" s="112" t="s">
        <v>1695</v>
      </c>
      <c r="E2174" s="123" t="s">
        <v>628</v>
      </c>
      <c r="F2174" s="98" t="str">
        <f t="shared" si="685"/>
        <v>B</v>
      </c>
      <c r="G2174" s="110">
        <f ca="1">SUMIF($A:E,$A2174,K:K)</f>
        <v>1</v>
      </c>
      <c r="H2174" s="112" t="s">
        <v>1696</v>
      </c>
      <c r="I2174" s="98">
        <v>1</v>
      </c>
      <c r="J2174" s="115">
        <v>1</v>
      </c>
      <c r="K2174" s="143">
        <f t="shared" si="666"/>
        <v>1</v>
      </c>
      <c r="L2174" s="144">
        <f t="shared" ref="L2174:L2182" si="686">J2174-K2174</f>
        <v>0</v>
      </c>
      <c r="M2174" s="275">
        <f t="shared" si="683"/>
        <v>1</v>
      </c>
      <c r="N2174" s="211">
        <v>5</v>
      </c>
      <c r="O2174" s="93">
        <f t="shared" si="679"/>
        <v>100</v>
      </c>
      <c r="HL2174" s="100">
        <v>1</v>
      </c>
      <c r="ON2174" s="100">
        <f t="shared" si="659"/>
        <v>0</v>
      </c>
    </row>
    <row r="2175" spans="1:404" ht="23.25" customHeight="1">
      <c r="A2175" s="97" t="str">
        <f t="shared" si="684"/>
        <v>016T/EUROMARKET-2166-02700-01-B</v>
      </c>
      <c r="B2175" s="95">
        <v>44502</v>
      </c>
      <c r="C2175" s="97">
        <f t="shared" ca="1" si="682"/>
        <v>-562</v>
      </c>
      <c r="D2175" s="112" t="s">
        <v>1806</v>
      </c>
      <c r="E2175" s="123" t="s">
        <v>628</v>
      </c>
      <c r="F2175" s="98" t="str">
        <f t="shared" si="685"/>
        <v>B</v>
      </c>
      <c r="G2175" s="110">
        <f ca="1">SUMIF($A:E,$A2175,K:K)</f>
        <v>97</v>
      </c>
      <c r="H2175" s="112" t="s">
        <v>1807</v>
      </c>
      <c r="I2175" s="98">
        <v>97</v>
      </c>
      <c r="J2175" s="115">
        <v>97</v>
      </c>
      <c r="K2175" s="143">
        <f t="shared" si="666"/>
        <v>97</v>
      </c>
      <c r="L2175" s="144">
        <f t="shared" si="686"/>
        <v>0</v>
      </c>
      <c r="M2175" s="275">
        <f t="shared" si="683"/>
        <v>97</v>
      </c>
      <c r="N2175" s="98">
        <v>2</v>
      </c>
      <c r="O2175" s="93">
        <f t="shared" si="679"/>
        <v>100</v>
      </c>
      <c r="JG2175" s="100">
        <v>3</v>
      </c>
      <c r="JH2175" s="100">
        <v>14</v>
      </c>
      <c r="JI2175" s="100">
        <v>4</v>
      </c>
      <c r="JK2175" s="100">
        <v>6</v>
      </c>
      <c r="JM2175" s="100">
        <v>6</v>
      </c>
      <c r="JN2175" s="100">
        <v>2</v>
      </c>
      <c r="JP2175" s="100">
        <v>4</v>
      </c>
      <c r="JR2175" s="100">
        <v>6</v>
      </c>
      <c r="JW2175" s="100">
        <v>4</v>
      </c>
      <c r="JX2175" s="100">
        <v>3</v>
      </c>
      <c r="JY2175" s="100">
        <v>7</v>
      </c>
      <c r="KA2175" s="100">
        <v>5</v>
      </c>
      <c r="KB2175" s="100">
        <v>14</v>
      </c>
      <c r="KC2175" s="100">
        <v>2</v>
      </c>
      <c r="KD2175" s="100">
        <v>4</v>
      </c>
      <c r="KE2175" s="100">
        <v>10</v>
      </c>
      <c r="KF2175" s="100">
        <v>3</v>
      </c>
      <c r="ON2175" s="100">
        <f t="shared" si="659"/>
        <v>0</v>
      </c>
    </row>
    <row r="2176" spans="1:404" ht="23.25" customHeight="1">
      <c r="A2176" s="97" t="str">
        <f t="shared" si="684"/>
        <v>015/EUROMARKET-VG-2166-02700-01-B</v>
      </c>
      <c r="B2176" s="95">
        <v>44551</v>
      </c>
      <c r="C2176" s="97">
        <f t="shared" ca="1" si="682"/>
        <v>-513</v>
      </c>
      <c r="D2176" s="112" t="s">
        <v>1813</v>
      </c>
      <c r="E2176" s="123" t="s">
        <v>628</v>
      </c>
      <c r="F2176" s="98" t="str">
        <f t="shared" si="685"/>
        <v>B</v>
      </c>
      <c r="G2176" s="110">
        <f ca="1">SUMIF($A:E,$A2176,K:K)</f>
        <v>48</v>
      </c>
      <c r="H2176" s="112" t="s">
        <v>1807</v>
      </c>
      <c r="I2176" s="98">
        <v>48</v>
      </c>
      <c r="J2176" s="115">
        <v>48</v>
      </c>
      <c r="K2176" s="143">
        <f t="shared" si="666"/>
        <v>48</v>
      </c>
      <c r="L2176" s="144">
        <f t="shared" si="686"/>
        <v>0</v>
      </c>
      <c r="M2176" s="275">
        <f t="shared" si="683"/>
        <v>48</v>
      </c>
      <c r="N2176" s="98">
        <v>2</v>
      </c>
      <c r="O2176" s="93">
        <f t="shared" si="679"/>
        <v>100</v>
      </c>
      <c r="KF2176" s="100">
        <v>4</v>
      </c>
      <c r="KG2176" s="100">
        <v>4</v>
      </c>
      <c r="KH2176" s="100">
        <v>4</v>
      </c>
      <c r="KI2176" s="100">
        <v>3</v>
      </c>
      <c r="KJ2176" s="100">
        <v>5</v>
      </c>
      <c r="KR2176" s="100">
        <v>4</v>
      </c>
      <c r="KU2176" s="100">
        <v>3</v>
      </c>
      <c r="LB2176" s="100">
        <v>6</v>
      </c>
      <c r="LC2176" s="100">
        <v>4</v>
      </c>
      <c r="LF2176" s="100">
        <v>11</v>
      </c>
      <c r="ON2176" s="100">
        <f t="shared" si="659"/>
        <v>0</v>
      </c>
    </row>
    <row r="2177" spans="1:404" ht="23.25" customHeight="1">
      <c r="A2177" s="97" t="s">
        <v>2121</v>
      </c>
      <c r="B2177" s="95">
        <v>44528</v>
      </c>
      <c r="C2177" s="97">
        <f t="shared" ca="1" si="682"/>
        <v>-536</v>
      </c>
      <c r="D2177" s="112" t="s">
        <v>1832</v>
      </c>
      <c r="E2177" s="123" t="s">
        <v>628</v>
      </c>
      <c r="F2177" s="98" t="s">
        <v>561</v>
      </c>
      <c r="G2177" s="110">
        <v>48</v>
      </c>
      <c r="H2177" s="97" t="s">
        <v>601</v>
      </c>
      <c r="I2177" s="98">
        <v>46</v>
      </c>
      <c r="J2177" s="115">
        <v>46</v>
      </c>
      <c r="K2177" s="160">
        <f t="shared" si="666"/>
        <v>46</v>
      </c>
      <c r="L2177" s="151">
        <f t="shared" si="686"/>
        <v>0</v>
      </c>
      <c r="M2177" s="98">
        <v>1</v>
      </c>
      <c r="N2177" s="98">
        <v>2</v>
      </c>
      <c r="O2177" s="93">
        <f t="shared" si="679"/>
        <v>100</v>
      </c>
      <c r="LF2177" s="100">
        <v>4</v>
      </c>
      <c r="LI2177" s="100">
        <v>6</v>
      </c>
      <c r="LJ2177" s="100">
        <v>2</v>
      </c>
      <c r="LK2177" s="100">
        <v>3</v>
      </c>
      <c r="LM2177" s="100">
        <v>3</v>
      </c>
      <c r="LP2177" s="100">
        <v>4</v>
      </c>
      <c r="LR2177" s="100">
        <v>8</v>
      </c>
      <c r="LT2177" s="100">
        <v>6</v>
      </c>
      <c r="LY2177" s="100">
        <v>4</v>
      </c>
      <c r="LZ2177" s="100">
        <v>4</v>
      </c>
      <c r="ME2177" s="100">
        <v>2</v>
      </c>
      <c r="ON2177" s="100">
        <f t="shared" si="659"/>
        <v>0</v>
      </c>
    </row>
    <row r="2178" spans="1:404" ht="23.25" customHeight="1">
      <c r="A2178" s="97" t="str">
        <f>D2178&amp;E2178</f>
        <v xml:space="preserve">	018T/EUROMARKET-2166-02700-01-B</v>
      </c>
      <c r="B2178" s="95">
        <v>44528</v>
      </c>
      <c r="C2178" s="97">
        <f t="shared" ca="1" si="682"/>
        <v>-536</v>
      </c>
      <c r="D2178" s="112" t="s">
        <v>1832</v>
      </c>
      <c r="E2178" s="123" t="s">
        <v>628</v>
      </c>
      <c r="F2178" s="98" t="str">
        <f>MID(E2178,13,2)</f>
        <v>B</v>
      </c>
      <c r="G2178" s="110">
        <f ca="1">SUMIF($A:E,$A2178,K:K)</f>
        <v>146</v>
      </c>
      <c r="H2178" s="97" t="s">
        <v>601</v>
      </c>
      <c r="I2178" s="98">
        <v>100</v>
      </c>
      <c r="J2178" s="115">
        <v>100</v>
      </c>
      <c r="K2178" s="143">
        <f t="shared" si="666"/>
        <v>100</v>
      </c>
      <c r="L2178" s="144">
        <f t="shared" ref="L2178" si="687">J2178-K2178</f>
        <v>0</v>
      </c>
      <c r="M2178" s="276"/>
      <c r="N2178" s="98">
        <v>1</v>
      </c>
      <c r="O2178" s="93">
        <f t="shared" si="679"/>
        <v>100</v>
      </c>
      <c r="JJ2178" s="100">
        <v>4</v>
      </c>
      <c r="JR2178" s="100">
        <v>3</v>
      </c>
      <c r="JV2178" s="100">
        <v>3</v>
      </c>
      <c r="JX2178" s="100">
        <v>2</v>
      </c>
      <c r="JY2178" s="100">
        <v>3</v>
      </c>
      <c r="KA2178" s="100">
        <v>1</v>
      </c>
      <c r="KB2178" s="100">
        <v>3</v>
      </c>
      <c r="KC2178" s="100">
        <v>4</v>
      </c>
      <c r="KD2178" s="100">
        <v>4</v>
      </c>
      <c r="KF2178" s="100">
        <v>8</v>
      </c>
      <c r="KG2178" s="100">
        <v>1</v>
      </c>
      <c r="KI2178" s="100">
        <v>3</v>
      </c>
      <c r="KJ2178" s="100">
        <v>3</v>
      </c>
      <c r="KN2178" s="100">
        <v>1</v>
      </c>
      <c r="KO2178" s="100">
        <v>5</v>
      </c>
      <c r="KQ2178" s="100">
        <v>3</v>
      </c>
      <c r="KW2178" s="100">
        <v>9</v>
      </c>
      <c r="KX2178" s="100">
        <v>6</v>
      </c>
      <c r="KZ2178" s="100">
        <v>3</v>
      </c>
      <c r="LB2178" s="100">
        <v>11</v>
      </c>
      <c r="LC2178" s="100">
        <v>1</v>
      </c>
      <c r="LD2178" s="100">
        <v>7</v>
      </c>
      <c r="LE2178" s="100">
        <v>5</v>
      </c>
      <c r="LG2178" s="100">
        <v>5</v>
      </c>
      <c r="LJ2178" s="100">
        <v>2</v>
      </c>
      <c r="ON2178" s="100">
        <f t="shared" si="659"/>
        <v>0</v>
      </c>
    </row>
    <row r="2179" spans="1:404" ht="23.25" customHeight="1">
      <c r="A2179" s="97" t="str">
        <f>D2179&amp;E2179</f>
        <v>003/EUROMARKET-VG_SR-2166-02700-01-B</v>
      </c>
      <c r="B2179" s="95">
        <v>44458</v>
      </c>
      <c r="C2179" s="97">
        <f t="shared" ca="1" si="682"/>
        <v>-606</v>
      </c>
      <c r="D2179" s="96" t="s">
        <v>1839</v>
      </c>
      <c r="E2179" s="94" t="s">
        <v>628</v>
      </c>
      <c r="F2179" s="98" t="str">
        <f>MID(E2179,13,2)</f>
        <v>B</v>
      </c>
      <c r="G2179" s="110">
        <f ca="1">SUMIF($A:E,$A2179,K:K)</f>
        <v>1</v>
      </c>
      <c r="H2179" s="97" t="s">
        <v>1838</v>
      </c>
      <c r="I2179" s="98">
        <v>1</v>
      </c>
      <c r="J2179" s="99">
        <v>1</v>
      </c>
      <c r="K2179" s="143">
        <f t="shared" si="666"/>
        <v>1</v>
      </c>
      <c r="L2179" s="144">
        <f t="shared" si="686"/>
        <v>0</v>
      </c>
      <c r="M2179" s="276"/>
      <c r="N2179" s="98">
        <v>1</v>
      </c>
      <c r="O2179" s="93">
        <f t="shared" si="679"/>
        <v>100</v>
      </c>
      <c r="IR2179" s="100">
        <v>1</v>
      </c>
      <c r="ON2179" s="100">
        <f t="shared" si="659"/>
        <v>0</v>
      </c>
    </row>
    <row r="2180" spans="1:404" ht="23.25" customHeight="1">
      <c r="A2180" s="97" t="str">
        <f>D2180&amp;E2180</f>
        <v>382/POTTERYPOT-2166-02700-01-A1(phên)</v>
      </c>
      <c r="B2180" s="95">
        <v>44658</v>
      </c>
      <c r="C2180" s="97">
        <f t="shared" ca="1" si="682"/>
        <v>-406</v>
      </c>
      <c r="D2180" s="96" t="s">
        <v>1276</v>
      </c>
      <c r="E2180" s="280" t="s">
        <v>1277</v>
      </c>
      <c r="F2180" s="98" t="str">
        <f>MID(E2180,13,2)</f>
        <v>A1</v>
      </c>
      <c r="G2180" s="110">
        <f ca="1">SUMIF($A:E,$A2180,K:K)</f>
        <v>20</v>
      </c>
      <c r="H2180" s="97" t="s">
        <v>749</v>
      </c>
      <c r="I2180" s="98">
        <v>10</v>
      </c>
      <c r="J2180" s="97">
        <v>10</v>
      </c>
      <c r="K2180" s="143">
        <f t="shared" si="666"/>
        <v>20</v>
      </c>
      <c r="L2180" s="144">
        <f t="shared" si="686"/>
        <v>-10</v>
      </c>
      <c r="M2180" s="275">
        <f>IF(OR(MID(E2180,10,1)="0",MID(E2180,10,1)="F"),I2180,IF(OR(,MID(E2180,10,1)="S",MID(E2180,10,1)="L",MID(E2180,10,1)="B",MID(E2180,10,1)="X"),MID(E2180,11,1)*I2180,0))</f>
        <v>10</v>
      </c>
      <c r="N2180" s="98" t="s">
        <v>1776</v>
      </c>
      <c r="O2180" s="93">
        <f t="shared" ref="O2180:O2181" si="688">K2180/J2180*100</f>
        <v>200</v>
      </c>
      <c r="OI2180" s="100">
        <v>4</v>
      </c>
      <c r="OJ2180" s="100">
        <v>2</v>
      </c>
      <c r="OM2180" s="100">
        <v>4</v>
      </c>
      <c r="ON2180" s="100">
        <f t="shared" ref="ON2180:ON2243" si="689">SUM(NS2180:OM2180)</f>
        <v>10</v>
      </c>
    </row>
    <row r="2181" spans="1:404" ht="23.25" customHeight="1">
      <c r="A2181" s="97" t="str">
        <f>D2181&amp;E2181</f>
        <v>003/EUROMARKET-VG_SR-2166-02700-01-A1(Phên)</v>
      </c>
      <c r="B2181" s="95">
        <v>44458</v>
      </c>
      <c r="C2181" s="97">
        <f t="shared" ca="1" si="682"/>
        <v>-606</v>
      </c>
      <c r="D2181" s="96" t="s">
        <v>1839</v>
      </c>
      <c r="E2181" s="94" t="s">
        <v>1840</v>
      </c>
      <c r="F2181" s="98" t="str">
        <f>MID(E2181,13,2)</f>
        <v>A1</v>
      </c>
      <c r="G2181" s="110">
        <f ca="1">SUMIF($A:E,$A2181,K:K)</f>
        <v>1</v>
      </c>
      <c r="H2181" s="97" t="s">
        <v>1838</v>
      </c>
      <c r="I2181" s="98">
        <v>1</v>
      </c>
      <c r="J2181" s="99">
        <v>1</v>
      </c>
      <c r="K2181" s="143">
        <f t="shared" si="666"/>
        <v>1</v>
      </c>
      <c r="L2181" s="144">
        <f t="shared" si="686"/>
        <v>0</v>
      </c>
      <c r="M2181" s="276"/>
      <c r="N2181" s="98">
        <v>1</v>
      </c>
      <c r="O2181" s="93">
        <f t="shared" si="688"/>
        <v>100</v>
      </c>
      <c r="IR2181" s="100">
        <v>1</v>
      </c>
      <c r="ON2181" s="100">
        <f t="shared" si="689"/>
        <v>0</v>
      </c>
    </row>
    <row r="2182" spans="1:404" ht="23.25" customHeight="1">
      <c r="A2182" s="97" t="s">
        <v>1857</v>
      </c>
      <c r="B2182" s="95">
        <v>44570</v>
      </c>
      <c r="C2182" s="97">
        <f t="shared" ca="1" si="682"/>
        <v>-494</v>
      </c>
      <c r="D2182" s="96" t="s">
        <v>1195</v>
      </c>
      <c r="E2182" s="280" t="s">
        <v>427</v>
      </c>
      <c r="F2182" s="98" t="s">
        <v>1775</v>
      </c>
      <c r="G2182" s="110">
        <v>0</v>
      </c>
      <c r="H2182" s="97" t="s">
        <v>964</v>
      </c>
      <c r="I2182" s="98">
        <v>10</v>
      </c>
      <c r="J2182" s="97">
        <v>10</v>
      </c>
      <c r="K2182" s="160">
        <f t="shared" si="666"/>
        <v>10</v>
      </c>
      <c r="L2182" s="151">
        <f t="shared" si="686"/>
        <v>0</v>
      </c>
      <c r="M2182" s="277"/>
      <c r="N2182" s="98">
        <v>2</v>
      </c>
      <c r="O2182" s="93">
        <f t="shared" ref="O2182:O2184" si="690">K2182/J2182*100</f>
        <v>100</v>
      </c>
      <c r="LT2182" s="100">
        <v>1</v>
      </c>
      <c r="LW2182" s="100">
        <v>9</v>
      </c>
      <c r="ON2182" s="100">
        <f t="shared" si="689"/>
        <v>0</v>
      </c>
    </row>
    <row r="2183" spans="1:404" ht="23.25" customHeight="1">
      <c r="A2183" s="97" t="str">
        <f>D2183&amp;E2183</f>
        <v>118/NY/PP-USA-2166-02700-01-A1(phen)</v>
      </c>
      <c r="B2183" s="95">
        <v>44649</v>
      </c>
      <c r="C2183" s="97">
        <f t="shared" ca="1" si="682"/>
        <v>-415</v>
      </c>
      <c r="D2183" s="112" t="s">
        <v>1428</v>
      </c>
      <c r="E2183" s="279" t="s">
        <v>427</v>
      </c>
      <c r="F2183" s="98" t="str">
        <f>MID(E2183,13,2)</f>
        <v>A1</v>
      </c>
      <c r="G2183" s="110">
        <f ca="1">SUMIF($A:E,$A2183,K:K)</f>
        <v>20</v>
      </c>
      <c r="H2183" s="97" t="s">
        <v>616</v>
      </c>
      <c r="I2183" s="98">
        <v>10</v>
      </c>
      <c r="J2183" s="115">
        <v>10</v>
      </c>
      <c r="K2183" s="143">
        <f t="shared" si="666"/>
        <v>20</v>
      </c>
      <c r="L2183" s="144">
        <f t="shared" ref="L2183:L2212" si="691">J2183-K2183</f>
        <v>-10</v>
      </c>
      <c r="M2183" s="275">
        <f t="shared" ref="M2183:M2189" si="692">IF(OR(MID(E2183,10,1)="0",MID(E2183,10,1)="F"),I2183,IF(OR(,MID(E2183,10,1)="S",MID(E2183,10,1)="L",MID(E2183,10,1)="B",MID(E2183,10,1)="X"),MID(E2183,11,1)*I2183,0))</f>
        <v>10</v>
      </c>
      <c r="N2183" s="98" t="s">
        <v>1776</v>
      </c>
      <c r="O2183" s="93">
        <f t="shared" si="690"/>
        <v>200</v>
      </c>
      <c r="NY2183" s="100">
        <v>3</v>
      </c>
      <c r="NZ2183" s="100">
        <v>3</v>
      </c>
      <c r="OA2183" s="100">
        <v>3</v>
      </c>
      <c r="OB2183" s="100">
        <v>1</v>
      </c>
      <c r="ON2183" s="100">
        <f t="shared" si="689"/>
        <v>10</v>
      </c>
    </row>
    <row r="2184" spans="1:404" ht="23.25" customHeight="1">
      <c r="A2184" s="97" t="s">
        <v>1769</v>
      </c>
      <c r="B2184" s="95">
        <v>44466</v>
      </c>
      <c r="C2184" s="97">
        <f t="shared" ca="1" si="682"/>
        <v>-598</v>
      </c>
      <c r="D2184" s="112" t="s">
        <v>1540</v>
      </c>
      <c r="E2184" s="123" t="s">
        <v>427</v>
      </c>
      <c r="F2184" s="98" t="s">
        <v>1770</v>
      </c>
      <c r="G2184" s="110">
        <v>61</v>
      </c>
      <c r="H2184" s="112" t="s">
        <v>1543</v>
      </c>
      <c r="I2184" s="98">
        <v>1</v>
      </c>
      <c r="J2184" s="115">
        <v>1</v>
      </c>
      <c r="K2184" s="143">
        <f t="shared" si="666"/>
        <v>1</v>
      </c>
      <c r="L2184" s="144">
        <f>J2184-K2184</f>
        <v>0</v>
      </c>
      <c r="M2184" s="275">
        <f t="shared" si="692"/>
        <v>1</v>
      </c>
      <c r="N2184" s="98">
        <v>1</v>
      </c>
      <c r="O2184" s="93">
        <f t="shared" si="690"/>
        <v>100</v>
      </c>
      <c r="IH2184" s="100">
        <v>1</v>
      </c>
      <c r="ON2184" s="100">
        <f t="shared" si="689"/>
        <v>0</v>
      </c>
    </row>
    <row r="2185" spans="1:404" ht="23.25" customHeight="1">
      <c r="A2185" s="97" t="str">
        <f>D2185&amp;E2185</f>
        <v xml:space="preserve"> 009T/EUROMARKET-2166-02700-01-A1(phen)</v>
      </c>
      <c r="B2185" s="95">
        <v>44466</v>
      </c>
      <c r="C2185" s="97">
        <f t="shared" ca="1" si="682"/>
        <v>-598</v>
      </c>
      <c r="D2185" s="112" t="s">
        <v>1540</v>
      </c>
      <c r="E2185" s="123" t="s">
        <v>427</v>
      </c>
      <c r="F2185" s="98" t="str">
        <f>MID(E2185,13,2)</f>
        <v>A1</v>
      </c>
      <c r="G2185" s="110">
        <f ca="1">SUMIF($A:E,$A2185,K:K)</f>
        <v>261</v>
      </c>
      <c r="H2185" s="112" t="s">
        <v>1543</v>
      </c>
      <c r="I2185" s="98">
        <v>39</v>
      </c>
      <c r="J2185" s="115">
        <v>39</v>
      </c>
      <c r="K2185" s="143">
        <f t="shared" si="666"/>
        <v>39</v>
      </c>
      <c r="L2185" s="144">
        <f t="shared" si="691"/>
        <v>0</v>
      </c>
      <c r="M2185" s="275">
        <f t="shared" si="692"/>
        <v>39</v>
      </c>
      <c r="N2185" s="98">
        <v>5</v>
      </c>
      <c r="O2185" s="93">
        <f t="shared" ref="O2185:O2195" si="693">K2185/J2185*100</f>
        <v>100</v>
      </c>
      <c r="HS2185" s="100">
        <v>4</v>
      </c>
      <c r="HX2185" s="100">
        <v>21</v>
      </c>
      <c r="IE2185" s="100">
        <v>14</v>
      </c>
      <c r="ON2185" s="100">
        <f t="shared" si="689"/>
        <v>0</v>
      </c>
    </row>
    <row r="2186" spans="1:404" ht="23.25" customHeight="1">
      <c r="A2186" s="97" t="s">
        <v>1769</v>
      </c>
      <c r="B2186" s="95">
        <v>44469</v>
      </c>
      <c r="C2186" s="97">
        <f t="shared" ca="1" si="682"/>
        <v>-595</v>
      </c>
      <c r="D2186" s="112" t="s">
        <v>1540</v>
      </c>
      <c r="E2186" s="123" t="s">
        <v>427</v>
      </c>
      <c r="F2186" s="98" t="s">
        <v>1770</v>
      </c>
      <c r="G2186" s="110">
        <v>41</v>
      </c>
      <c r="H2186" s="112" t="s">
        <v>1543</v>
      </c>
      <c r="I2186" s="98">
        <v>100</v>
      </c>
      <c r="J2186" s="115">
        <v>100</v>
      </c>
      <c r="K2186" s="143">
        <f t="shared" si="666"/>
        <v>100</v>
      </c>
      <c r="L2186" s="144">
        <f t="shared" si="691"/>
        <v>0</v>
      </c>
      <c r="M2186" s="275">
        <f t="shared" si="692"/>
        <v>100</v>
      </c>
      <c r="N2186" s="98">
        <v>1</v>
      </c>
      <c r="O2186" s="93">
        <f t="shared" si="693"/>
        <v>100</v>
      </c>
      <c r="IH2186" s="100">
        <v>1</v>
      </c>
      <c r="II2186" s="100">
        <v>3</v>
      </c>
      <c r="IK2186" s="100">
        <v>7</v>
      </c>
      <c r="IO2186" s="100">
        <v>1</v>
      </c>
      <c r="IS2186" s="100">
        <v>9</v>
      </c>
      <c r="IT2186" s="100">
        <v>6</v>
      </c>
      <c r="IU2186" s="100">
        <v>6</v>
      </c>
      <c r="IV2186" s="100">
        <v>12</v>
      </c>
      <c r="IY2186" s="100">
        <v>3</v>
      </c>
      <c r="IZ2186" s="100">
        <v>8</v>
      </c>
      <c r="JA2186" s="100">
        <v>7</v>
      </c>
      <c r="JC2186" s="100">
        <v>10</v>
      </c>
      <c r="JD2186" s="100">
        <v>3</v>
      </c>
      <c r="JF2186" s="100">
        <v>2</v>
      </c>
      <c r="JG2186" s="100">
        <v>11</v>
      </c>
      <c r="JH2186" s="100">
        <v>11</v>
      </c>
      <c r="ON2186" s="100">
        <f t="shared" si="689"/>
        <v>0</v>
      </c>
    </row>
    <row r="2187" spans="1:404" ht="23.25" customHeight="1">
      <c r="A2187" s="97" t="str">
        <f t="shared" ref="A2187:A2194" si="694">D2187&amp;E2187</f>
        <v xml:space="preserve"> 009T/EUROMARKET-2166-02700-01-A1(phen)</v>
      </c>
      <c r="B2187" s="95">
        <v>44469</v>
      </c>
      <c r="C2187" s="97">
        <f t="shared" ca="1" si="682"/>
        <v>-595</v>
      </c>
      <c r="D2187" s="112" t="s">
        <v>1540</v>
      </c>
      <c r="E2187" s="123" t="s">
        <v>427</v>
      </c>
      <c r="F2187" s="98" t="str">
        <f t="shared" ref="F2187:F2194" si="695">MID(E2187,13,2)</f>
        <v>A1</v>
      </c>
      <c r="G2187" s="110">
        <f ca="1">SUMIF($A:E,$A2187,K:K)</f>
        <v>261</v>
      </c>
      <c r="H2187" s="112" t="s">
        <v>1543</v>
      </c>
      <c r="I2187" s="98">
        <v>121</v>
      </c>
      <c r="J2187" s="115">
        <v>121</v>
      </c>
      <c r="K2187" s="143">
        <f t="shared" si="666"/>
        <v>121</v>
      </c>
      <c r="L2187" s="144">
        <f t="shared" si="691"/>
        <v>0</v>
      </c>
      <c r="M2187" s="275">
        <f t="shared" si="692"/>
        <v>121</v>
      </c>
      <c r="N2187" s="98">
        <v>2</v>
      </c>
      <c r="O2187" s="93">
        <f t="shared" si="693"/>
        <v>100</v>
      </c>
      <c r="HX2187" s="100">
        <v>13</v>
      </c>
      <c r="ID2187" s="100">
        <v>3</v>
      </c>
      <c r="IE2187" s="100">
        <v>6</v>
      </c>
      <c r="IF2187" s="100">
        <v>8</v>
      </c>
      <c r="IH2187" s="100">
        <v>7</v>
      </c>
      <c r="IL2187" s="100">
        <v>4</v>
      </c>
      <c r="IM2187" s="100">
        <v>4</v>
      </c>
      <c r="IN2187" s="100">
        <v>10</v>
      </c>
      <c r="IO2187" s="100">
        <v>7</v>
      </c>
      <c r="IR2187" s="100">
        <v>7</v>
      </c>
      <c r="IV2187" s="100">
        <v>16</v>
      </c>
      <c r="IY2187" s="100">
        <v>6</v>
      </c>
      <c r="IZ2187" s="100">
        <v>1</v>
      </c>
      <c r="JA2187" s="100">
        <v>10</v>
      </c>
      <c r="JB2187" s="100">
        <v>15</v>
      </c>
      <c r="JC2187" s="100">
        <v>4</v>
      </c>
      <c r="ON2187" s="100">
        <f t="shared" si="689"/>
        <v>0</v>
      </c>
    </row>
    <row r="2188" spans="1:404" ht="23.25" customHeight="1">
      <c r="A2188" s="97" t="str">
        <f t="shared" si="694"/>
        <v>051-VG_SR-21(EUROMARKET)66-02700-01-A1(phen)</v>
      </c>
      <c r="B2188" s="95">
        <v>44426</v>
      </c>
      <c r="C2188" s="97">
        <f t="shared" ca="1" si="682"/>
        <v>-638</v>
      </c>
      <c r="D2188" s="112" t="s">
        <v>1546</v>
      </c>
      <c r="E2188" s="123" t="s">
        <v>427</v>
      </c>
      <c r="F2188" s="98" t="str">
        <f t="shared" si="695"/>
        <v>A1</v>
      </c>
      <c r="G2188" s="110">
        <f ca="1">SUMIF($A:E,$A2188,K:K)</f>
        <v>5</v>
      </c>
      <c r="H2188" s="112" t="s">
        <v>1545</v>
      </c>
      <c r="I2188" s="98">
        <v>5</v>
      </c>
      <c r="J2188" s="99">
        <v>5</v>
      </c>
      <c r="K2188" s="143">
        <f t="shared" si="666"/>
        <v>5</v>
      </c>
      <c r="L2188" s="144">
        <f t="shared" si="691"/>
        <v>0</v>
      </c>
      <c r="M2188" s="275">
        <f t="shared" si="692"/>
        <v>5</v>
      </c>
      <c r="N2188" s="98">
        <v>5</v>
      </c>
      <c r="O2188" s="93">
        <f t="shared" si="693"/>
        <v>100</v>
      </c>
      <c r="HL2188" s="100">
        <v>5</v>
      </c>
      <c r="ON2188" s="100">
        <f t="shared" si="689"/>
        <v>0</v>
      </c>
    </row>
    <row r="2189" spans="1:404" ht="23.25" customHeight="1">
      <c r="A2189" s="97" t="str">
        <f t="shared" si="694"/>
        <v>001/EUROMARKET-VG_SR-2166-02700-01-A1(phen)</v>
      </c>
      <c r="B2189" s="95">
        <v>44425</v>
      </c>
      <c r="C2189" s="97">
        <f t="shared" ca="1" si="682"/>
        <v>-639</v>
      </c>
      <c r="D2189" s="112" t="s">
        <v>1552</v>
      </c>
      <c r="E2189" s="123" t="s">
        <v>427</v>
      </c>
      <c r="F2189" s="98" t="str">
        <f t="shared" si="695"/>
        <v>A1</v>
      </c>
      <c r="G2189" s="110">
        <f ca="1">SUMIF($A:E,$A2189,K:K)</f>
        <v>3</v>
      </c>
      <c r="H2189" s="112" t="s">
        <v>1543</v>
      </c>
      <c r="I2189" s="98">
        <v>3</v>
      </c>
      <c r="J2189" s="115">
        <v>3</v>
      </c>
      <c r="K2189" s="143">
        <f t="shared" si="666"/>
        <v>3</v>
      </c>
      <c r="L2189" s="144">
        <f t="shared" si="691"/>
        <v>0</v>
      </c>
      <c r="M2189" s="275">
        <f t="shared" si="692"/>
        <v>3</v>
      </c>
      <c r="N2189" s="98">
        <v>5</v>
      </c>
      <c r="O2189" s="93">
        <f t="shared" si="693"/>
        <v>100</v>
      </c>
      <c r="HJ2189" s="100">
        <v>3</v>
      </c>
      <c r="ON2189" s="100">
        <f t="shared" si="689"/>
        <v>0</v>
      </c>
    </row>
    <row r="2190" spans="1:404" ht="23.25" customHeight="1">
      <c r="A2190" s="97" t="str">
        <f t="shared" si="694"/>
        <v>451/POTTERYPOT-VG-2166-02700-01-A1(phen)</v>
      </c>
      <c r="B2190" s="95">
        <v>44658</v>
      </c>
      <c r="C2190" s="97">
        <f t="shared" ca="1" si="682"/>
        <v>-406</v>
      </c>
      <c r="D2190" s="112" t="s">
        <v>1589</v>
      </c>
      <c r="E2190" s="279" t="s">
        <v>427</v>
      </c>
      <c r="F2190" s="98" t="str">
        <f t="shared" si="695"/>
        <v>A1</v>
      </c>
      <c r="G2190" s="110">
        <f ca="1">SUMIF($A:E,$A2190,K:K)</f>
        <v>0</v>
      </c>
      <c r="H2190" s="97" t="s">
        <v>1593</v>
      </c>
      <c r="I2190" s="98">
        <v>10</v>
      </c>
      <c r="J2190" s="115">
        <v>10</v>
      </c>
      <c r="K2190" s="143">
        <f t="shared" si="666"/>
        <v>0</v>
      </c>
      <c r="L2190" s="144">
        <f t="shared" si="691"/>
        <v>10</v>
      </c>
      <c r="M2190" s="275"/>
      <c r="N2190" s="98" t="s">
        <v>1776</v>
      </c>
      <c r="O2190" s="93">
        <f t="shared" si="693"/>
        <v>0</v>
      </c>
      <c r="ON2190" s="100">
        <f t="shared" si="689"/>
        <v>0</v>
      </c>
    </row>
    <row r="2191" spans="1:404" ht="23.25" customHeight="1">
      <c r="A2191" s="97" t="str">
        <f t="shared" si="694"/>
        <v>003/ANNA-VG-21(đ1)66-02700-01-A1(phen)</v>
      </c>
      <c r="B2191" s="95">
        <v>44543</v>
      </c>
      <c r="C2191" s="97">
        <f t="shared" ca="1" si="682"/>
        <v>-521</v>
      </c>
      <c r="D2191" s="112" t="s">
        <v>1622</v>
      </c>
      <c r="E2191" s="279" t="s">
        <v>427</v>
      </c>
      <c r="F2191" s="98" t="str">
        <f t="shared" si="695"/>
        <v>A1</v>
      </c>
      <c r="G2191" s="110">
        <f ca="1">SUMIF($A:E,$A2191,K:K)</f>
        <v>18</v>
      </c>
      <c r="H2191" s="112" t="s">
        <v>1679</v>
      </c>
      <c r="I2191" s="98">
        <v>18</v>
      </c>
      <c r="J2191" s="115">
        <v>18</v>
      </c>
      <c r="K2191" s="143">
        <f t="shared" si="666"/>
        <v>18</v>
      </c>
      <c r="L2191" s="144">
        <f t="shared" si="691"/>
        <v>0</v>
      </c>
      <c r="M2191" s="275">
        <f>IF(OR(MID(E2191,10,1)="0",MID(E2191,10,1)="F"),I2191,IF(OR(,MID(E2191,10,1)="S",MID(E2191,10,1)="L",MID(E2191,10,1)="B",MID(E2191,10,1)="X"),MID(E2191,11,1)*I2191,0))</f>
        <v>18</v>
      </c>
      <c r="N2191" s="98">
        <v>2</v>
      </c>
      <c r="O2191" s="93">
        <f t="shared" si="693"/>
        <v>100</v>
      </c>
      <c r="LR2191" s="100">
        <v>8</v>
      </c>
      <c r="LT2191" s="100">
        <v>10</v>
      </c>
      <c r="ON2191" s="100">
        <f t="shared" si="689"/>
        <v>0</v>
      </c>
    </row>
    <row r="2192" spans="1:404" ht="23.25" customHeight="1">
      <c r="A2192" s="97" t="str">
        <f t="shared" si="694"/>
        <v>001A/EUROMARKET-VG_SR-2166-02700-01-A1(phen)</v>
      </c>
      <c r="B2192" s="217">
        <v>44437</v>
      </c>
      <c r="C2192" s="97">
        <f t="shared" ca="1" si="682"/>
        <v>-627</v>
      </c>
      <c r="D2192" s="112" t="s">
        <v>1695</v>
      </c>
      <c r="E2192" s="123" t="s">
        <v>427</v>
      </c>
      <c r="F2192" s="98" t="str">
        <f t="shared" si="695"/>
        <v>A1</v>
      </c>
      <c r="G2192" s="110">
        <f ca="1">SUMIF($A:E,$A2192,K:K)</f>
        <v>1</v>
      </c>
      <c r="H2192" s="112" t="s">
        <v>1699</v>
      </c>
      <c r="I2192" s="98">
        <v>1</v>
      </c>
      <c r="J2192" s="115">
        <v>1</v>
      </c>
      <c r="K2192" s="143">
        <f t="shared" si="666"/>
        <v>1</v>
      </c>
      <c r="L2192" s="144">
        <f t="shared" si="691"/>
        <v>0</v>
      </c>
      <c r="M2192" s="275">
        <f>IF(OR(MID(E2192,10,1)="0",MID(E2192,10,1)="F"),I2192,IF(OR(,MID(E2192,10,1)="S",MID(E2192,10,1)="L",MID(E2192,10,1)="B",MID(E2192,10,1)="X"),MID(E2192,11,1)*I2192,0))</f>
        <v>1</v>
      </c>
      <c r="N2192" s="211">
        <v>5</v>
      </c>
      <c r="O2192" s="93">
        <f t="shared" si="693"/>
        <v>100</v>
      </c>
      <c r="HL2192" s="100">
        <v>1</v>
      </c>
      <c r="ON2192" s="100">
        <f t="shared" si="689"/>
        <v>0</v>
      </c>
    </row>
    <row r="2193" spans="1:404" ht="23.25" customHeight="1">
      <c r="A2193" s="97" t="str">
        <f t="shared" si="694"/>
        <v>016T/EUROMARKET-2166-02700-01-A1(phen)</v>
      </c>
      <c r="B2193" s="95">
        <v>44502</v>
      </c>
      <c r="C2193" s="97">
        <f t="shared" ca="1" si="682"/>
        <v>-562</v>
      </c>
      <c r="D2193" s="112" t="s">
        <v>1806</v>
      </c>
      <c r="E2193" s="123" t="s">
        <v>427</v>
      </c>
      <c r="F2193" s="98" t="str">
        <f t="shared" si="695"/>
        <v>A1</v>
      </c>
      <c r="G2193" s="110">
        <f ca="1">SUMIF($A:E,$A2193,K:K)</f>
        <v>97</v>
      </c>
      <c r="H2193" s="112" t="s">
        <v>1699</v>
      </c>
      <c r="I2193" s="98">
        <v>97</v>
      </c>
      <c r="J2193" s="115">
        <v>97</v>
      </c>
      <c r="K2193" s="143">
        <f t="shared" si="666"/>
        <v>97</v>
      </c>
      <c r="L2193" s="144">
        <f t="shared" si="691"/>
        <v>0</v>
      </c>
      <c r="M2193" s="275">
        <f>IF(OR(MID(E2193,10,1)="0",MID(E2193,10,1)="F"),I2193,IF(OR(,MID(E2193,10,1)="S",MID(E2193,10,1)="L",MID(E2193,10,1)="B",MID(E2193,10,1)="X"),MID(E2193,11,1)*I2193,0))</f>
        <v>97</v>
      </c>
      <c r="N2193" s="98">
        <v>2</v>
      </c>
      <c r="O2193" s="93">
        <f t="shared" si="693"/>
        <v>100</v>
      </c>
      <c r="JG2193" s="100">
        <v>3</v>
      </c>
      <c r="JH2193" s="100">
        <v>14</v>
      </c>
      <c r="JI2193" s="100">
        <v>4</v>
      </c>
      <c r="JK2193" s="100">
        <v>6</v>
      </c>
      <c r="JM2193" s="100">
        <v>6</v>
      </c>
      <c r="JN2193" s="100">
        <v>2</v>
      </c>
      <c r="JP2193" s="100">
        <v>4</v>
      </c>
      <c r="JR2193" s="100">
        <v>6</v>
      </c>
      <c r="JW2193" s="100">
        <v>4</v>
      </c>
      <c r="JX2193" s="100">
        <v>3</v>
      </c>
      <c r="JY2193" s="100">
        <v>7</v>
      </c>
      <c r="KA2193" s="100">
        <v>5</v>
      </c>
      <c r="KB2193" s="100">
        <v>14</v>
      </c>
      <c r="KC2193" s="100">
        <v>2</v>
      </c>
      <c r="KD2193" s="100">
        <v>4</v>
      </c>
      <c r="KE2193" s="100">
        <v>10</v>
      </c>
      <c r="KF2193" s="100">
        <v>3</v>
      </c>
      <c r="ON2193" s="100">
        <f t="shared" si="689"/>
        <v>0</v>
      </c>
    </row>
    <row r="2194" spans="1:404" ht="23.25" customHeight="1">
      <c r="A2194" s="97" t="str">
        <f t="shared" si="694"/>
        <v>015/EUROMARKET-VG-2166-02700-01-A1(phen)</v>
      </c>
      <c r="B2194" s="95">
        <v>44551</v>
      </c>
      <c r="C2194" s="97">
        <f t="shared" ca="1" si="682"/>
        <v>-513</v>
      </c>
      <c r="D2194" s="112" t="s">
        <v>1813</v>
      </c>
      <c r="E2194" s="123" t="s">
        <v>427</v>
      </c>
      <c r="F2194" s="98" t="str">
        <f t="shared" si="695"/>
        <v>A1</v>
      </c>
      <c r="G2194" s="110">
        <f ca="1">SUMIF($A:E,$A2194,K:K)</f>
        <v>48</v>
      </c>
      <c r="H2194" s="97" t="s">
        <v>1593</v>
      </c>
      <c r="I2194" s="98">
        <v>48</v>
      </c>
      <c r="J2194" s="115">
        <v>48</v>
      </c>
      <c r="K2194" s="143">
        <f t="shared" si="666"/>
        <v>48</v>
      </c>
      <c r="L2194" s="144">
        <f t="shared" si="691"/>
        <v>0</v>
      </c>
      <c r="M2194" s="275">
        <f>IF(OR(MID(E2194,10,1)="0",MID(E2194,10,1)="F"),I2194,IF(OR(,MID(E2194,10,1)="S",MID(E2194,10,1)="L",MID(E2194,10,1)="B",MID(E2194,10,1)="X"),MID(E2194,11,1)*I2194,0))</f>
        <v>48</v>
      </c>
      <c r="N2194" s="98">
        <v>2</v>
      </c>
      <c r="O2194" s="93">
        <f t="shared" si="693"/>
        <v>100</v>
      </c>
      <c r="KF2194" s="100">
        <v>4</v>
      </c>
      <c r="KG2194" s="100">
        <v>4</v>
      </c>
      <c r="KH2194" s="100">
        <v>4</v>
      </c>
      <c r="KI2194" s="100">
        <v>3</v>
      </c>
      <c r="KJ2194" s="100">
        <v>5</v>
      </c>
      <c r="KR2194" s="100">
        <v>4</v>
      </c>
      <c r="KU2194" s="100">
        <v>3</v>
      </c>
      <c r="LB2194" s="100">
        <v>6</v>
      </c>
      <c r="LC2194" s="100">
        <v>4</v>
      </c>
      <c r="LF2194" s="100">
        <v>11</v>
      </c>
      <c r="ON2194" s="100">
        <f t="shared" si="689"/>
        <v>0</v>
      </c>
    </row>
    <row r="2195" spans="1:404" ht="23.25" customHeight="1">
      <c r="A2195" s="97" t="s">
        <v>2122</v>
      </c>
      <c r="B2195" s="95">
        <v>44528</v>
      </c>
      <c r="C2195" s="97">
        <f t="shared" ca="1" si="682"/>
        <v>-536</v>
      </c>
      <c r="D2195" s="112" t="s">
        <v>1833</v>
      </c>
      <c r="E2195" s="123" t="s">
        <v>427</v>
      </c>
      <c r="F2195" s="98" t="s">
        <v>1770</v>
      </c>
      <c r="G2195" s="110">
        <v>48</v>
      </c>
      <c r="H2195" s="97" t="s">
        <v>601</v>
      </c>
      <c r="I2195" s="98">
        <v>46</v>
      </c>
      <c r="J2195" s="115">
        <v>46</v>
      </c>
      <c r="K2195" s="160">
        <f t="shared" si="666"/>
        <v>46</v>
      </c>
      <c r="L2195" s="151">
        <f t="shared" si="691"/>
        <v>0</v>
      </c>
      <c r="M2195" s="98">
        <v>1</v>
      </c>
      <c r="N2195" s="98">
        <v>2</v>
      </c>
      <c r="O2195" s="93">
        <f t="shared" si="693"/>
        <v>100</v>
      </c>
      <c r="LF2195" s="100">
        <v>4</v>
      </c>
      <c r="LI2195" s="100">
        <v>6</v>
      </c>
      <c r="LJ2195" s="100">
        <v>2</v>
      </c>
      <c r="LM2195" s="100">
        <v>6</v>
      </c>
      <c r="LP2195" s="100">
        <v>4</v>
      </c>
      <c r="LR2195" s="100">
        <v>8</v>
      </c>
      <c r="LT2195" s="100">
        <v>6</v>
      </c>
      <c r="LY2195" s="100">
        <v>4</v>
      </c>
      <c r="LZ2195" s="100">
        <v>4</v>
      </c>
      <c r="ME2195" s="100">
        <v>2</v>
      </c>
      <c r="ON2195" s="100">
        <f t="shared" si="689"/>
        <v>0</v>
      </c>
    </row>
    <row r="2196" spans="1:404" ht="23.25" customHeight="1">
      <c r="A2196" s="97" t="str">
        <f>D2196&amp;E2196</f>
        <v>018T/EUROMARKET-2166-02700-01-A1(phen)</v>
      </c>
      <c r="B2196" s="95">
        <v>44528</v>
      </c>
      <c r="C2196" s="97">
        <f t="shared" ca="1" si="682"/>
        <v>-536</v>
      </c>
      <c r="D2196" s="112" t="s">
        <v>1833</v>
      </c>
      <c r="E2196" s="123" t="s">
        <v>427</v>
      </c>
      <c r="F2196" s="98" t="str">
        <f t="shared" ref="F2196:F2232" si="696">MID(E2196,13,2)</f>
        <v>A1</v>
      </c>
      <c r="G2196" s="110">
        <f ca="1">SUMIF($A:E,$A2196,K:K)</f>
        <v>146</v>
      </c>
      <c r="H2196" s="97" t="s">
        <v>601</v>
      </c>
      <c r="I2196" s="98">
        <v>100</v>
      </c>
      <c r="J2196" s="115">
        <v>100</v>
      </c>
      <c r="K2196" s="143">
        <f t="shared" si="666"/>
        <v>100</v>
      </c>
      <c r="L2196" s="144">
        <f t="shared" ref="L2196" si="697">J2196-K2196</f>
        <v>0</v>
      </c>
      <c r="M2196" s="276"/>
      <c r="N2196" s="98">
        <v>1</v>
      </c>
      <c r="O2196" s="93">
        <f t="shared" ref="O2196" si="698">K2196/J2196*100</f>
        <v>100</v>
      </c>
      <c r="JJ2196" s="100">
        <v>4</v>
      </c>
      <c r="JR2196" s="100">
        <v>3</v>
      </c>
      <c r="JV2196" s="100">
        <v>3</v>
      </c>
      <c r="JX2196" s="100">
        <v>2</v>
      </c>
      <c r="JY2196" s="100">
        <v>3</v>
      </c>
      <c r="KA2196" s="100">
        <v>1</v>
      </c>
      <c r="KB2196" s="100">
        <v>3</v>
      </c>
      <c r="KC2196" s="100">
        <v>4</v>
      </c>
      <c r="KD2196" s="100">
        <v>4</v>
      </c>
      <c r="KF2196" s="100">
        <v>8</v>
      </c>
      <c r="KG2196" s="100">
        <v>1</v>
      </c>
      <c r="KI2196" s="100">
        <v>3</v>
      </c>
      <c r="KJ2196" s="100">
        <v>3</v>
      </c>
      <c r="KN2196" s="100">
        <v>1</v>
      </c>
      <c r="KO2196" s="100">
        <v>5</v>
      </c>
      <c r="KQ2196" s="100">
        <v>3</v>
      </c>
      <c r="KW2196" s="100">
        <v>9</v>
      </c>
      <c r="KX2196" s="100">
        <v>6</v>
      </c>
      <c r="KZ2196" s="100">
        <v>3</v>
      </c>
      <c r="LB2196" s="100">
        <v>11</v>
      </c>
      <c r="LC2196" s="100">
        <v>1</v>
      </c>
      <c r="LD2196" s="100">
        <v>7</v>
      </c>
      <c r="LE2196" s="100">
        <v>5</v>
      </c>
      <c r="LG2196" s="100">
        <v>5</v>
      </c>
      <c r="LJ2196" s="100">
        <v>2</v>
      </c>
      <c r="ON2196" s="100">
        <f t="shared" si="689"/>
        <v>0</v>
      </c>
    </row>
    <row r="2197" spans="1:404" ht="23.25" customHeight="1">
      <c r="A2197" s="97" t="str">
        <f>D2197&amp;E2198</f>
        <v>414/POTTERYPOT-2166-02700-01-A</v>
      </c>
      <c r="B2197" s="95">
        <v>44570</v>
      </c>
      <c r="C2197" s="97">
        <f t="shared" ref="C2197:C2221" ca="1" si="699">B2197-TODAY()</f>
        <v>-494</v>
      </c>
      <c r="D2197" s="96" t="s">
        <v>1195</v>
      </c>
      <c r="E2197" s="280" t="s">
        <v>1196</v>
      </c>
      <c r="F2197" s="98" t="str">
        <f t="shared" si="696"/>
        <v>A</v>
      </c>
      <c r="G2197" s="110">
        <f ca="1">SUMIF($A:E,$A2197,K:K)</f>
        <v>10</v>
      </c>
      <c r="H2197" s="97" t="s">
        <v>964</v>
      </c>
      <c r="I2197" s="98">
        <v>10</v>
      </c>
      <c r="J2197" s="97">
        <v>10</v>
      </c>
      <c r="K2197" s="143">
        <f t="shared" si="666"/>
        <v>10</v>
      </c>
      <c r="L2197" s="144">
        <f t="shared" si="691"/>
        <v>0</v>
      </c>
      <c r="M2197" s="275">
        <f t="shared" ref="M2197:M2232" si="700">IF(OR(MID(E2197,10,1)="0",MID(E2197,10,1)="F"),I2197,IF(OR(,MID(E2197,10,1)="S",MID(E2197,10,1)="L",MID(E2197,10,1)="B",MID(E2197,10,1)="X"),MID(E2197,11,1)*I2197,0))</f>
        <v>10</v>
      </c>
      <c r="N2197" s="98">
        <v>2</v>
      </c>
      <c r="O2197" s="93">
        <f t="shared" ref="O2197:O2236" si="701">K2197/J2197*100</f>
        <v>100</v>
      </c>
      <c r="LT2197" s="100">
        <v>2</v>
      </c>
      <c r="LW2197" s="100">
        <v>7</v>
      </c>
      <c r="LZ2197" s="100">
        <v>1</v>
      </c>
      <c r="ON2197" s="100">
        <f t="shared" si="689"/>
        <v>0</v>
      </c>
    </row>
    <row r="2198" spans="1:404" ht="23.25" customHeight="1">
      <c r="A2198" s="97" t="str">
        <f>D2198&amp;E2198</f>
        <v>382/POTTERYPOT-2166-02700-01-A</v>
      </c>
      <c r="B2198" s="95">
        <v>44658</v>
      </c>
      <c r="C2198" s="97">
        <f t="shared" ca="1" si="699"/>
        <v>-406</v>
      </c>
      <c r="D2198" s="96" t="s">
        <v>1276</v>
      </c>
      <c r="E2198" s="280" t="s">
        <v>1196</v>
      </c>
      <c r="F2198" s="98" t="str">
        <f t="shared" si="696"/>
        <v>A</v>
      </c>
      <c r="G2198" s="110">
        <f ca="1">SUMIF($A:E,$A2198,K:K)</f>
        <v>20</v>
      </c>
      <c r="H2198" s="97" t="s">
        <v>964</v>
      </c>
      <c r="I2198" s="98">
        <v>10</v>
      </c>
      <c r="J2198" s="97">
        <v>10</v>
      </c>
      <c r="K2198" s="143">
        <f t="shared" si="666"/>
        <v>20</v>
      </c>
      <c r="L2198" s="144">
        <f t="shared" si="691"/>
        <v>-10</v>
      </c>
      <c r="M2198" s="275">
        <f t="shared" si="700"/>
        <v>10</v>
      </c>
      <c r="N2198" s="98" t="s">
        <v>1776</v>
      </c>
      <c r="O2198" s="93">
        <f t="shared" si="701"/>
        <v>200</v>
      </c>
      <c r="OI2198" s="100">
        <v>4</v>
      </c>
      <c r="OJ2198" s="100">
        <v>2</v>
      </c>
      <c r="OM2198" s="100">
        <v>4</v>
      </c>
      <c r="ON2198" s="100">
        <f t="shared" si="689"/>
        <v>10</v>
      </c>
    </row>
    <row r="2199" spans="1:404" ht="23.25" customHeight="1">
      <c r="A2199" s="97" t="str">
        <f>D2199&amp;E2199</f>
        <v>118/NY/PP-USA-2166-02700-01-A</v>
      </c>
      <c r="B2199" s="95">
        <v>44649</v>
      </c>
      <c r="C2199" s="97">
        <f t="shared" ca="1" si="699"/>
        <v>-415</v>
      </c>
      <c r="D2199" s="112" t="s">
        <v>1428</v>
      </c>
      <c r="E2199" s="279" t="s">
        <v>1196</v>
      </c>
      <c r="F2199" s="98" t="str">
        <f t="shared" si="696"/>
        <v>A</v>
      </c>
      <c r="G2199" s="110">
        <f ca="1">SUMIF($A:E,$A2199,K:K)</f>
        <v>20</v>
      </c>
      <c r="H2199" s="97" t="s">
        <v>616</v>
      </c>
      <c r="I2199" s="98">
        <v>10</v>
      </c>
      <c r="J2199" s="115">
        <v>10</v>
      </c>
      <c r="K2199" s="143">
        <f t="shared" si="666"/>
        <v>20</v>
      </c>
      <c r="L2199" s="144">
        <f t="shared" si="691"/>
        <v>-10</v>
      </c>
      <c r="M2199" s="275">
        <f t="shared" si="700"/>
        <v>10</v>
      </c>
      <c r="N2199" s="98" t="s">
        <v>1776</v>
      </c>
      <c r="O2199" s="93">
        <f t="shared" si="701"/>
        <v>200</v>
      </c>
      <c r="NY2199" s="100">
        <v>3</v>
      </c>
      <c r="NZ2199" s="100">
        <v>3</v>
      </c>
      <c r="OA2199" s="100">
        <v>3</v>
      </c>
      <c r="OB2199" s="100">
        <v>1</v>
      </c>
      <c r="ON2199" s="100">
        <f t="shared" si="689"/>
        <v>10</v>
      </c>
    </row>
    <row r="2200" spans="1:404" ht="23.25" customHeight="1">
      <c r="A2200" s="97" t="str">
        <f>D2200&amp;E2200</f>
        <v>451/POTTERYPOT-VG-2166-02700-01-A</v>
      </c>
      <c r="B2200" s="95">
        <v>44658</v>
      </c>
      <c r="C2200" s="97">
        <f t="shared" ca="1" si="699"/>
        <v>-406</v>
      </c>
      <c r="D2200" s="112" t="s">
        <v>1589</v>
      </c>
      <c r="E2200" s="279" t="s">
        <v>1196</v>
      </c>
      <c r="F2200" s="98" t="str">
        <f t="shared" si="696"/>
        <v>A</v>
      </c>
      <c r="G2200" s="110">
        <f ca="1">SUMIF($A:E,$A2200,K:K)</f>
        <v>0</v>
      </c>
      <c r="H2200" s="97" t="s">
        <v>927</v>
      </c>
      <c r="I2200" s="98">
        <v>10</v>
      </c>
      <c r="J2200" s="115">
        <v>10</v>
      </c>
      <c r="K2200" s="143">
        <f t="shared" si="666"/>
        <v>0</v>
      </c>
      <c r="L2200" s="144">
        <f t="shared" si="691"/>
        <v>10</v>
      </c>
      <c r="M2200" s="275">
        <f t="shared" si="700"/>
        <v>10</v>
      </c>
      <c r="N2200" s="98" t="s">
        <v>1776</v>
      </c>
      <c r="O2200" s="93">
        <f t="shared" si="701"/>
        <v>0</v>
      </c>
      <c r="ON2200" s="100">
        <f t="shared" si="689"/>
        <v>0</v>
      </c>
    </row>
    <row r="2201" spans="1:404" ht="23.25" customHeight="1">
      <c r="A2201" s="97" t="str">
        <f>D2201&amp;E2201</f>
        <v>003/ANNA-VG-21(đ1)66-02700-01-A</v>
      </c>
      <c r="B2201" s="95">
        <v>44543</v>
      </c>
      <c r="C2201" s="97">
        <f t="shared" ca="1" si="699"/>
        <v>-521</v>
      </c>
      <c r="D2201" s="112" t="s">
        <v>1622</v>
      </c>
      <c r="E2201" s="279" t="s">
        <v>1196</v>
      </c>
      <c r="F2201" s="98" t="str">
        <f t="shared" si="696"/>
        <v>A</v>
      </c>
      <c r="G2201" s="110">
        <f ca="1">SUMIF($A:E,$A2201,K:K)</f>
        <v>18</v>
      </c>
      <c r="H2201" s="112" t="s">
        <v>990</v>
      </c>
      <c r="I2201" s="98">
        <v>18</v>
      </c>
      <c r="J2201" s="115">
        <v>18</v>
      </c>
      <c r="K2201" s="143">
        <f t="shared" si="666"/>
        <v>18</v>
      </c>
      <c r="L2201" s="144">
        <f t="shared" si="691"/>
        <v>0</v>
      </c>
      <c r="M2201" s="275">
        <f t="shared" si="700"/>
        <v>18</v>
      </c>
      <c r="N2201" s="98">
        <v>2</v>
      </c>
      <c r="O2201" s="93">
        <f t="shared" si="701"/>
        <v>100</v>
      </c>
      <c r="LR2201" s="100">
        <v>8</v>
      </c>
      <c r="LT2201" s="100">
        <v>10</v>
      </c>
      <c r="ON2201" s="100">
        <f t="shared" si="689"/>
        <v>0</v>
      </c>
    </row>
    <row r="2202" spans="1:404" ht="23.25" customHeight="1">
      <c r="A2202" s="97" t="str">
        <f>D2202&amp;E2203</f>
        <v>009/COMERZIA-2166-02624-03-B</v>
      </c>
      <c r="B2202" s="95">
        <v>44569</v>
      </c>
      <c r="C2202" s="97">
        <f t="shared" ca="1" si="699"/>
        <v>-495</v>
      </c>
      <c r="D2202" s="96" t="s">
        <v>1232</v>
      </c>
      <c r="E2202" s="94" t="s">
        <v>1233</v>
      </c>
      <c r="F2202" s="98" t="str">
        <f t="shared" si="696"/>
        <v>B</v>
      </c>
      <c r="G2202" s="110">
        <f ca="1">SUMIF($A:E,$A2202,K:K)</f>
        <v>16</v>
      </c>
      <c r="H2202" s="97" t="s">
        <v>508</v>
      </c>
      <c r="I2202" s="98">
        <v>16</v>
      </c>
      <c r="J2202" s="97">
        <v>16</v>
      </c>
      <c r="K2202" s="143">
        <f t="shared" si="666"/>
        <v>16</v>
      </c>
      <c r="L2202" s="144">
        <f t="shared" si="691"/>
        <v>0</v>
      </c>
      <c r="M2202" s="275">
        <f t="shared" si="700"/>
        <v>48</v>
      </c>
      <c r="N2202" s="98">
        <v>4</v>
      </c>
      <c r="O2202" s="93">
        <f t="shared" si="701"/>
        <v>100</v>
      </c>
      <c r="LZ2202" s="100">
        <v>3</v>
      </c>
      <c r="MB2202" s="100">
        <v>3</v>
      </c>
      <c r="MD2202" s="100">
        <v>5</v>
      </c>
      <c r="ME2202" s="100">
        <v>3</v>
      </c>
      <c r="MF2202" s="100">
        <v>1</v>
      </c>
      <c r="MG2202" s="100">
        <v>1</v>
      </c>
      <c r="ON2202" s="100">
        <f t="shared" si="689"/>
        <v>0</v>
      </c>
    </row>
    <row r="2203" spans="1:404" ht="23.25" customHeight="1">
      <c r="A2203" s="97" t="str">
        <f t="shared" ref="A2203:A2216" si="702">D2203&amp;E2203</f>
        <v>002T/OBI-2166-02624-03-B</v>
      </c>
      <c r="B2203" s="95">
        <v>44416</v>
      </c>
      <c r="C2203" s="97">
        <f t="shared" ca="1" si="699"/>
        <v>-648</v>
      </c>
      <c r="D2203" s="112" t="s">
        <v>1047</v>
      </c>
      <c r="E2203" s="123" t="s">
        <v>1050</v>
      </c>
      <c r="F2203" s="98" t="str">
        <f t="shared" si="696"/>
        <v>B</v>
      </c>
      <c r="G2203" s="110">
        <f ca="1">SUMIF($A:E,$A2203,K:K)</f>
        <v>80</v>
      </c>
      <c r="H2203" s="97" t="s">
        <v>616</v>
      </c>
      <c r="I2203" s="98">
        <v>80</v>
      </c>
      <c r="J2203" s="115">
        <v>80</v>
      </c>
      <c r="K2203" s="143">
        <f t="shared" si="666"/>
        <v>80</v>
      </c>
      <c r="L2203" s="144">
        <f t="shared" si="691"/>
        <v>0</v>
      </c>
      <c r="M2203" s="275">
        <f t="shared" si="700"/>
        <v>80</v>
      </c>
      <c r="N2203" s="98">
        <v>4</v>
      </c>
      <c r="O2203" s="93">
        <f t="shared" si="701"/>
        <v>100</v>
      </c>
      <c r="EX2203" s="100">
        <v>17</v>
      </c>
      <c r="EY2203" s="100">
        <v>5</v>
      </c>
      <c r="FB2203" s="100">
        <v>12</v>
      </c>
      <c r="FC2203" s="100">
        <v>8</v>
      </c>
      <c r="FD2203" s="100">
        <v>13</v>
      </c>
      <c r="FE2203" s="100">
        <v>1</v>
      </c>
      <c r="FF2203" s="100">
        <v>8</v>
      </c>
      <c r="FH2203" s="100">
        <v>11</v>
      </c>
      <c r="FI2203" s="100">
        <v>5</v>
      </c>
      <c r="ON2203" s="100">
        <f t="shared" si="689"/>
        <v>0</v>
      </c>
    </row>
    <row r="2204" spans="1:404" ht="23.25" customHeight="1">
      <c r="A2204" s="97" t="str">
        <f t="shared" si="702"/>
        <v>004/OBI-2166-02624-03-B</v>
      </c>
      <c r="B2204" s="95">
        <v>44448</v>
      </c>
      <c r="C2204" s="97">
        <f t="shared" ca="1" si="699"/>
        <v>-616</v>
      </c>
      <c r="D2204" s="96" t="s">
        <v>1137</v>
      </c>
      <c r="E2204" s="94" t="s">
        <v>1050</v>
      </c>
      <c r="F2204" s="98" t="str">
        <f t="shared" si="696"/>
        <v>B</v>
      </c>
      <c r="G2204" s="110">
        <f ca="1">SUMIF($A:E,$A2204,K:K)</f>
        <v>168</v>
      </c>
      <c r="H2204" s="97" t="s">
        <v>616</v>
      </c>
      <c r="I2204" s="98">
        <v>168</v>
      </c>
      <c r="J2204" s="97">
        <v>168</v>
      </c>
      <c r="K2204" s="143">
        <f t="shared" si="666"/>
        <v>168</v>
      </c>
      <c r="L2204" s="144">
        <f t="shared" si="691"/>
        <v>0</v>
      </c>
      <c r="M2204" s="275">
        <f t="shared" si="700"/>
        <v>168</v>
      </c>
      <c r="N2204" s="98">
        <v>4</v>
      </c>
      <c r="O2204" s="93">
        <f t="shared" si="701"/>
        <v>100</v>
      </c>
      <c r="FI2204" s="100">
        <v>3</v>
      </c>
      <c r="FJ2204" s="100">
        <v>8</v>
      </c>
      <c r="FK2204" s="100">
        <v>9</v>
      </c>
      <c r="FL2204" s="100">
        <v>16</v>
      </c>
      <c r="FO2204" s="100">
        <v>8</v>
      </c>
      <c r="FP2204" s="100">
        <v>16</v>
      </c>
      <c r="FR2204" s="100">
        <v>8</v>
      </c>
      <c r="FS2204" s="100">
        <v>16</v>
      </c>
      <c r="FU2204" s="100">
        <v>8</v>
      </c>
      <c r="FV2204" s="100">
        <v>7</v>
      </c>
      <c r="FW2204" s="100">
        <v>8</v>
      </c>
      <c r="FX2204" s="100">
        <v>7</v>
      </c>
      <c r="FZ2204" s="100">
        <v>9</v>
      </c>
      <c r="GA2204" s="100">
        <v>7</v>
      </c>
      <c r="GB2204" s="100">
        <v>5</v>
      </c>
      <c r="GC2204" s="100">
        <v>11</v>
      </c>
      <c r="GD2204" s="100">
        <v>8</v>
      </c>
      <c r="GE2204" s="100">
        <v>6</v>
      </c>
      <c r="GG2204" s="100">
        <v>3</v>
      </c>
      <c r="GH2204" s="100">
        <v>4</v>
      </c>
      <c r="GS2204" s="100">
        <v>1</v>
      </c>
      <c r="ON2204" s="100">
        <f t="shared" si="689"/>
        <v>0</v>
      </c>
    </row>
    <row r="2205" spans="1:404" ht="23.25" customHeight="1">
      <c r="A2205" s="97" t="str">
        <f t="shared" si="702"/>
        <v>002T/OBI-2166-02624-02-B</v>
      </c>
      <c r="B2205" s="95">
        <v>44416</v>
      </c>
      <c r="C2205" s="97">
        <f t="shared" ca="1" si="699"/>
        <v>-648</v>
      </c>
      <c r="D2205" s="112" t="s">
        <v>1047</v>
      </c>
      <c r="E2205" s="123" t="s">
        <v>1049</v>
      </c>
      <c r="F2205" s="98" t="str">
        <f t="shared" si="696"/>
        <v>B</v>
      </c>
      <c r="G2205" s="110">
        <f ca="1">SUMIF($A:E,$A2205,K:K)</f>
        <v>80</v>
      </c>
      <c r="H2205" s="97" t="s">
        <v>616</v>
      </c>
      <c r="I2205" s="98">
        <v>80</v>
      </c>
      <c r="J2205" s="115">
        <v>80</v>
      </c>
      <c r="K2205" s="143">
        <f t="shared" si="666"/>
        <v>80</v>
      </c>
      <c r="L2205" s="144">
        <f t="shared" si="691"/>
        <v>0</v>
      </c>
      <c r="M2205" s="275">
        <f t="shared" si="700"/>
        <v>80</v>
      </c>
      <c r="N2205" s="98">
        <v>4</v>
      </c>
      <c r="O2205" s="93">
        <f t="shared" si="701"/>
        <v>100</v>
      </c>
      <c r="EX2205" s="100">
        <v>17</v>
      </c>
      <c r="EY2205" s="100">
        <v>5</v>
      </c>
      <c r="FB2205" s="100">
        <v>12</v>
      </c>
      <c r="FC2205" s="100">
        <v>8</v>
      </c>
      <c r="FD2205" s="100">
        <v>13</v>
      </c>
      <c r="FE2205" s="100">
        <v>1</v>
      </c>
      <c r="FF2205" s="100">
        <v>8</v>
      </c>
      <c r="FH2205" s="100">
        <v>11</v>
      </c>
      <c r="FI2205" s="100">
        <v>5</v>
      </c>
      <c r="ON2205" s="100">
        <f t="shared" si="689"/>
        <v>0</v>
      </c>
    </row>
    <row r="2206" spans="1:404" ht="23.25" customHeight="1">
      <c r="A2206" s="97" t="str">
        <f t="shared" si="702"/>
        <v>004/OBI-2166-02624-02-B</v>
      </c>
      <c r="B2206" s="95">
        <v>44448</v>
      </c>
      <c r="C2206" s="97">
        <f t="shared" ca="1" si="699"/>
        <v>-616</v>
      </c>
      <c r="D2206" s="96" t="s">
        <v>1137</v>
      </c>
      <c r="E2206" s="94" t="s">
        <v>1049</v>
      </c>
      <c r="F2206" s="98" t="str">
        <f t="shared" si="696"/>
        <v>B</v>
      </c>
      <c r="G2206" s="110">
        <f ca="1">SUMIF($A:E,$A2206,K:K)</f>
        <v>168</v>
      </c>
      <c r="H2206" s="97" t="s">
        <v>616</v>
      </c>
      <c r="I2206" s="98">
        <v>168</v>
      </c>
      <c r="J2206" s="97">
        <v>168</v>
      </c>
      <c r="K2206" s="143">
        <f t="shared" si="666"/>
        <v>168</v>
      </c>
      <c r="L2206" s="144">
        <f t="shared" si="691"/>
        <v>0</v>
      </c>
      <c r="M2206" s="275">
        <f t="shared" si="700"/>
        <v>168</v>
      </c>
      <c r="N2206" s="98">
        <v>4</v>
      </c>
      <c r="O2206" s="93">
        <f t="shared" si="701"/>
        <v>100</v>
      </c>
      <c r="FI2206" s="100">
        <v>3</v>
      </c>
      <c r="FJ2206" s="100">
        <v>8</v>
      </c>
      <c r="FK2206" s="100">
        <v>9</v>
      </c>
      <c r="FL2206" s="100">
        <v>16</v>
      </c>
      <c r="FO2206" s="100">
        <v>8</v>
      </c>
      <c r="FP2206" s="100">
        <v>16</v>
      </c>
      <c r="FR2206" s="100">
        <v>8</v>
      </c>
      <c r="FS2206" s="100">
        <v>16</v>
      </c>
      <c r="FU2206" s="100">
        <v>8</v>
      </c>
      <c r="FV2206" s="100">
        <v>7</v>
      </c>
      <c r="FW2206" s="100">
        <v>8</v>
      </c>
      <c r="FX2206" s="100">
        <v>7</v>
      </c>
      <c r="FZ2206" s="100">
        <v>9</v>
      </c>
      <c r="GA2206" s="100">
        <v>7</v>
      </c>
      <c r="GB2206" s="100">
        <v>5</v>
      </c>
      <c r="GC2206" s="100">
        <v>11</v>
      </c>
      <c r="GD2206" s="100">
        <v>8</v>
      </c>
      <c r="GE2206" s="100">
        <v>6</v>
      </c>
      <c r="GG2206" s="100">
        <v>3</v>
      </c>
      <c r="GH2206" s="100">
        <v>4</v>
      </c>
      <c r="GS2206" s="100">
        <v>1</v>
      </c>
      <c r="ON2206" s="100">
        <f t="shared" si="689"/>
        <v>0</v>
      </c>
    </row>
    <row r="2207" spans="1:404" ht="23.25" customHeight="1">
      <c r="A2207" s="97" t="str">
        <f t="shared" si="702"/>
        <v>002T/OBI-2166-02624-01-B</v>
      </c>
      <c r="B2207" s="95">
        <v>44416</v>
      </c>
      <c r="C2207" s="97">
        <f t="shared" ca="1" si="699"/>
        <v>-648</v>
      </c>
      <c r="D2207" s="112" t="s">
        <v>1047</v>
      </c>
      <c r="E2207" s="123" t="s">
        <v>1048</v>
      </c>
      <c r="F2207" s="98" t="str">
        <f t="shared" si="696"/>
        <v>B</v>
      </c>
      <c r="G2207" s="130">
        <f ca="1">SUMIF($A:E,$A2207,K:K)</f>
        <v>80</v>
      </c>
      <c r="H2207" s="97" t="s">
        <v>616</v>
      </c>
      <c r="I2207" s="98">
        <v>80</v>
      </c>
      <c r="J2207" s="115">
        <v>80</v>
      </c>
      <c r="K2207" s="143">
        <f t="shared" si="666"/>
        <v>80</v>
      </c>
      <c r="L2207" s="144">
        <f t="shared" si="691"/>
        <v>0</v>
      </c>
      <c r="M2207" s="275">
        <f t="shared" si="700"/>
        <v>80</v>
      </c>
      <c r="N2207" s="98">
        <v>4</v>
      </c>
      <c r="O2207" s="93">
        <f t="shared" si="701"/>
        <v>100</v>
      </c>
      <c r="EX2207" s="100">
        <v>17</v>
      </c>
      <c r="EY2207" s="100">
        <v>5</v>
      </c>
      <c r="FB2207" s="100">
        <v>12</v>
      </c>
      <c r="FC2207" s="100">
        <v>8</v>
      </c>
      <c r="FD2207" s="100">
        <v>13</v>
      </c>
      <c r="FE2207" s="100">
        <v>1</v>
      </c>
      <c r="FF2207" s="100">
        <v>8</v>
      </c>
      <c r="FH2207" s="100">
        <v>11</v>
      </c>
      <c r="FI2207" s="100">
        <v>5</v>
      </c>
      <c r="ON2207" s="100">
        <f t="shared" si="689"/>
        <v>0</v>
      </c>
    </row>
    <row r="2208" spans="1:404" ht="23.25" customHeight="1">
      <c r="A2208" s="97" t="str">
        <f t="shared" si="702"/>
        <v>004/OBI-2166-02624-01-B</v>
      </c>
      <c r="B2208" s="95">
        <v>44448</v>
      </c>
      <c r="C2208" s="97">
        <f t="shared" ca="1" si="699"/>
        <v>-616</v>
      </c>
      <c r="D2208" s="96" t="s">
        <v>1137</v>
      </c>
      <c r="E2208" s="94" t="s">
        <v>1048</v>
      </c>
      <c r="F2208" s="98" t="str">
        <f t="shared" si="696"/>
        <v>B</v>
      </c>
      <c r="G2208" s="110">
        <f ca="1">SUMIF($A:E,$A2208,K:K)</f>
        <v>168</v>
      </c>
      <c r="H2208" s="97" t="s">
        <v>616</v>
      </c>
      <c r="I2208" s="98">
        <v>168</v>
      </c>
      <c r="J2208" s="97">
        <v>168</v>
      </c>
      <c r="K2208" s="143">
        <f t="shared" ref="K2208:K2271" si="703">SUM(P2208:BBC2208)</f>
        <v>168</v>
      </c>
      <c r="L2208" s="144">
        <f t="shared" si="691"/>
        <v>0</v>
      </c>
      <c r="M2208" s="275">
        <f t="shared" si="700"/>
        <v>168</v>
      </c>
      <c r="N2208" s="98">
        <v>4</v>
      </c>
      <c r="O2208" s="93">
        <f t="shared" si="701"/>
        <v>100</v>
      </c>
      <c r="FI2208" s="100">
        <v>3</v>
      </c>
      <c r="FJ2208" s="100">
        <v>8</v>
      </c>
      <c r="FK2208" s="100">
        <v>9</v>
      </c>
      <c r="FL2208" s="100">
        <v>16</v>
      </c>
      <c r="FO2208" s="100">
        <v>8</v>
      </c>
      <c r="FP2208" s="100">
        <v>16</v>
      </c>
      <c r="FR2208" s="100">
        <v>8</v>
      </c>
      <c r="FS2208" s="100">
        <v>16</v>
      </c>
      <c r="FU2208" s="100">
        <v>8</v>
      </c>
      <c r="FV2208" s="100">
        <v>7</v>
      </c>
      <c r="FW2208" s="100">
        <v>8</v>
      </c>
      <c r="FX2208" s="100">
        <v>7</v>
      </c>
      <c r="FZ2208" s="100">
        <v>9</v>
      </c>
      <c r="GA2208" s="100">
        <v>7</v>
      </c>
      <c r="GB2208" s="100">
        <v>5</v>
      </c>
      <c r="GC2208" s="100">
        <v>11</v>
      </c>
      <c r="GD2208" s="100">
        <v>8</v>
      </c>
      <c r="GE2208" s="100">
        <v>6</v>
      </c>
      <c r="GG2208" s="100">
        <v>3</v>
      </c>
      <c r="GH2208" s="100">
        <v>4</v>
      </c>
      <c r="GS2208" s="100">
        <v>1</v>
      </c>
      <c r="ON2208" s="100">
        <f t="shared" si="689"/>
        <v>0</v>
      </c>
    </row>
    <row r="2209" spans="1:404" ht="23.25" customHeight="1">
      <c r="A2209" s="97" t="str">
        <f t="shared" si="702"/>
        <v>001/ERMITAZAS-2166-02605-S3-B1</v>
      </c>
      <c r="B2209" s="95">
        <v>44656</v>
      </c>
      <c r="C2209" s="97">
        <f t="shared" ca="1" si="699"/>
        <v>-408</v>
      </c>
      <c r="D2209" s="112" t="s">
        <v>1495</v>
      </c>
      <c r="E2209" s="279" t="s">
        <v>1496</v>
      </c>
      <c r="F2209" s="98" t="str">
        <f t="shared" si="696"/>
        <v>B1</v>
      </c>
      <c r="G2209" s="110">
        <f ca="1">SUMIF($A:E,$A2209,K:K)</f>
        <v>14</v>
      </c>
      <c r="H2209" s="112" t="s">
        <v>1494</v>
      </c>
      <c r="I2209" s="98">
        <v>32</v>
      </c>
      <c r="J2209" s="115">
        <v>32</v>
      </c>
      <c r="K2209" s="143">
        <f t="shared" si="703"/>
        <v>14</v>
      </c>
      <c r="L2209" s="144">
        <f t="shared" si="691"/>
        <v>18</v>
      </c>
      <c r="M2209" s="275">
        <f t="shared" si="700"/>
        <v>96</v>
      </c>
      <c r="N2209" s="98">
        <v>1</v>
      </c>
      <c r="O2209" s="93">
        <f t="shared" si="701"/>
        <v>43.75</v>
      </c>
      <c r="OM2209" s="100">
        <v>7</v>
      </c>
      <c r="ON2209" s="100">
        <f t="shared" si="689"/>
        <v>7</v>
      </c>
    </row>
    <row r="2210" spans="1:404" ht="23.25" customHeight="1">
      <c r="A2210" s="97" t="str">
        <f t="shared" si="702"/>
        <v>007/YAMATEI-2166-02605-L2-B1</v>
      </c>
      <c r="B2210" s="95">
        <v>44641</v>
      </c>
      <c r="C2210" s="97">
        <f t="shared" ca="1" si="699"/>
        <v>-423</v>
      </c>
      <c r="D2210" s="112" t="s">
        <v>1569</v>
      </c>
      <c r="E2210" s="289" t="s">
        <v>1575</v>
      </c>
      <c r="F2210" s="98" t="str">
        <f t="shared" si="696"/>
        <v>B1</v>
      </c>
      <c r="G2210" s="110">
        <f ca="1">SUMIF($A:E,$A2210,K:K)</f>
        <v>0</v>
      </c>
      <c r="H2210" s="97" t="s">
        <v>927</v>
      </c>
      <c r="I2210" s="98">
        <v>32</v>
      </c>
      <c r="J2210" s="115">
        <v>32</v>
      </c>
      <c r="K2210" s="143">
        <f t="shared" si="703"/>
        <v>0</v>
      </c>
      <c r="L2210" s="144">
        <f t="shared" si="691"/>
        <v>32</v>
      </c>
      <c r="M2210" s="275">
        <f t="shared" si="700"/>
        <v>64</v>
      </c>
      <c r="N2210" s="98"/>
      <c r="O2210" s="93">
        <f t="shared" si="701"/>
        <v>0</v>
      </c>
      <c r="ON2210" s="100">
        <f t="shared" si="689"/>
        <v>0</v>
      </c>
    </row>
    <row r="2211" spans="1:404" ht="23.25" customHeight="1">
      <c r="A2211" s="97" t="str">
        <f t="shared" si="702"/>
        <v xml:space="preserve"> 001/YAMATEI-VG_SR-2166-02605-03-B1</v>
      </c>
      <c r="B2211" s="95">
        <v>44419</v>
      </c>
      <c r="C2211" s="97">
        <f t="shared" ca="1" si="699"/>
        <v>-645</v>
      </c>
      <c r="D2211" s="112" t="s">
        <v>1556</v>
      </c>
      <c r="E2211" s="123" t="s">
        <v>1557</v>
      </c>
      <c r="F2211" s="98" t="str">
        <f t="shared" si="696"/>
        <v>B1</v>
      </c>
      <c r="G2211" s="110">
        <f ca="1">SUMIF($A:E,$A2211,K:K)</f>
        <v>3</v>
      </c>
      <c r="H2211" s="112" t="s">
        <v>1561</v>
      </c>
      <c r="I2211" s="98">
        <v>3</v>
      </c>
      <c r="J2211" s="115">
        <v>3</v>
      </c>
      <c r="K2211" s="143">
        <f t="shared" si="703"/>
        <v>3</v>
      </c>
      <c r="L2211" s="144">
        <f t="shared" si="691"/>
        <v>0</v>
      </c>
      <c r="M2211" s="275">
        <f t="shared" si="700"/>
        <v>3</v>
      </c>
      <c r="N2211" s="98">
        <v>5</v>
      </c>
      <c r="O2211" s="93">
        <f t="shared" si="701"/>
        <v>100</v>
      </c>
      <c r="HD2211" s="100">
        <v>3</v>
      </c>
      <c r="ON2211" s="100">
        <f t="shared" si="689"/>
        <v>0</v>
      </c>
    </row>
    <row r="2212" spans="1:404" ht="23.25" customHeight="1">
      <c r="A2212" s="97" t="str">
        <f t="shared" si="702"/>
        <v>007/YAMATEI-2166-02605-02-B1</v>
      </c>
      <c r="B2212" s="95">
        <v>44641</v>
      </c>
      <c r="C2212" s="97">
        <f t="shared" ca="1" si="699"/>
        <v>-423</v>
      </c>
      <c r="D2212" s="112" t="s">
        <v>1569</v>
      </c>
      <c r="E2212" s="289" t="s">
        <v>1574</v>
      </c>
      <c r="F2212" s="98" t="str">
        <f t="shared" si="696"/>
        <v>B1</v>
      </c>
      <c r="G2212" s="110">
        <f ca="1">SUMIF($A:E,$A2212,K:K)</f>
        <v>120</v>
      </c>
      <c r="H2212" s="97" t="s">
        <v>927</v>
      </c>
      <c r="I2212" s="98">
        <v>60</v>
      </c>
      <c r="J2212" s="115">
        <v>60</v>
      </c>
      <c r="K2212" s="143">
        <f t="shared" si="703"/>
        <v>120</v>
      </c>
      <c r="L2212" s="144">
        <f t="shared" si="691"/>
        <v>-60</v>
      </c>
      <c r="M2212" s="275">
        <f t="shared" si="700"/>
        <v>60</v>
      </c>
      <c r="N2212" s="98">
        <v>1</v>
      </c>
      <c r="O2212" s="93">
        <f t="shared" si="701"/>
        <v>200</v>
      </c>
      <c r="OC2212" s="100">
        <v>7</v>
      </c>
      <c r="OF2212" s="100">
        <v>5</v>
      </c>
      <c r="OG2212" s="100">
        <v>13</v>
      </c>
      <c r="OH2212" s="100">
        <v>3</v>
      </c>
      <c r="OI2212" s="100">
        <v>16</v>
      </c>
      <c r="OJ2212" s="100">
        <v>16</v>
      </c>
      <c r="ON2212" s="100">
        <f t="shared" si="689"/>
        <v>60</v>
      </c>
    </row>
    <row r="2213" spans="1:404" ht="23.25" customHeight="1">
      <c r="A2213" s="97" t="str">
        <f t="shared" si="702"/>
        <v>003/MOJAY-2166-02600-L2-B</v>
      </c>
      <c r="B2213" s="95">
        <v>44347</v>
      </c>
      <c r="C2213" s="97">
        <f t="shared" ca="1" si="699"/>
        <v>-717</v>
      </c>
      <c r="D2213" s="145" t="s">
        <v>748</v>
      </c>
      <c r="E2213" s="253" t="s">
        <v>736</v>
      </c>
      <c r="F2213" s="98" t="str">
        <f t="shared" si="696"/>
        <v>B</v>
      </c>
      <c r="G2213" s="110">
        <f ca="1">SUMIF($A:E,$A2213,K:K)</f>
        <v>21</v>
      </c>
      <c r="H2213" s="97" t="s">
        <v>508</v>
      </c>
      <c r="I2213" s="98">
        <v>21</v>
      </c>
      <c r="J2213" s="146">
        <v>21</v>
      </c>
      <c r="K2213" s="143">
        <f t="shared" si="703"/>
        <v>21</v>
      </c>
      <c r="L2213" s="144">
        <f t="shared" ref="L2213:L2239" si="704">J2213-K2213</f>
        <v>0</v>
      </c>
      <c r="M2213" s="275">
        <f t="shared" si="700"/>
        <v>42</v>
      </c>
      <c r="N2213" s="98">
        <v>1</v>
      </c>
      <c r="O2213" s="93">
        <f t="shared" si="701"/>
        <v>100</v>
      </c>
      <c r="DM2213" s="101">
        <v>10</v>
      </c>
      <c r="DO2213" s="101">
        <v>7</v>
      </c>
      <c r="DS2213" s="100">
        <v>1</v>
      </c>
      <c r="DU2213" s="100">
        <v>2</v>
      </c>
      <c r="ED2213" s="100">
        <v>1</v>
      </c>
      <c r="ON2213" s="100">
        <f t="shared" si="689"/>
        <v>0</v>
      </c>
    </row>
    <row r="2214" spans="1:404" ht="23.25" customHeight="1">
      <c r="A2214" s="97" t="str">
        <f t="shared" si="702"/>
        <v>001/MOJAY-2166-02600-L2-B</v>
      </c>
      <c r="B2214" s="95">
        <v>44311</v>
      </c>
      <c r="C2214" s="97">
        <f t="shared" ca="1" si="699"/>
        <v>-753</v>
      </c>
      <c r="D2214" s="145" t="s">
        <v>742</v>
      </c>
      <c r="E2214" s="253" t="s">
        <v>736</v>
      </c>
      <c r="F2214" s="98" t="str">
        <f t="shared" si="696"/>
        <v>B</v>
      </c>
      <c r="G2214" s="110">
        <f ca="1">SUMIF($A:E,$A2214,K:K)</f>
        <v>21</v>
      </c>
      <c r="H2214" s="97" t="s">
        <v>507</v>
      </c>
      <c r="I2214" s="98">
        <v>21</v>
      </c>
      <c r="J2214" s="146">
        <v>21</v>
      </c>
      <c r="K2214" s="143">
        <f t="shared" si="703"/>
        <v>21</v>
      </c>
      <c r="L2214" s="144">
        <f t="shared" si="704"/>
        <v>0</v>
      </c>
      <c r="M2214" s="275">
        <f t="shared" si="700"/>
        <v>42</v>
      </c>
      <c r="N2214" s="98">
        <v>5</v>
      </c>
      <c r="O2214" s="93">
        <f t="shared" si="701"/>
        <v>100</v>
      </c>
      <c r="CG2214" s="101">
        <v>2</v>
      </c>
      <c r="CK2214" s="101">
        <v>4</v>
      </c>
      <c r="CL2214" s="101">
        <v>2</v>
      </c>
      <c r="CN2214" s="101">
        <v>4</v>
      </c>
      <c r="CP2214" s="101">
        <v>2</v>
      </c>
      <c r="CQ2214" s="101">
        <v>2</v>
      </c>
      <c r="CR2214" s="101">
        <v>2</v>
      </c>
      <c r="CS2214" s="101">
        <v>2</v>
      </c>
      <c r="CT2214" s="101">
        <v>1</v>
      </c>
      <c r="ON2214" s="100">
        <f t="shared" si="689"/>
        <v>0</v>
      </c>
    </row>
    <row r="2215" spans="1:404" ht="23.25" customHeight="1">
      <c r="A2215" s="97" t="str">
        <f t="shared" si="702"/>
        <v>002/MOJAY-2166-02600-L2-B</v>
      </c>
      <c r="B2215" s="95">
        <v>44340</v>
      </c>
      <c r="C2215" s="97">
        <f t="shared" ca="1" si="699"/>
        <v>-724</v>
      </c>
      <c r="D2215" s="145" t="s">
        <v>735</v>
      </c>
      <c r="E2215" s="253" t="s">
        <v>736</v>
      </c>
      <c r="F2215" s="98" t="str">
        <f t="shared" si="696"/>
        <v>B</v>
      </c>
      <c r="G2215" s="110">
        <f ca="1">SUMIF($A:E,$A2215,K:K)</f>
        <v>21</v>
      </c>
      <c r="H2215" s="97" t="s">
        <v>508</v>
      </c>
      <c r="I2215" s="98">
        <v>21</v>
      </c>
      <c r="J2215" s="146">
        <v>21</v>
      </c>
      <c r="K2215" s="143">
        <f t="shared" si="703"/>
        <v>21</v>
      </c>
      <c r="L2215" s="144">
        <f t="shared" si="704"/>
        <v>0</v>
      </c>
      <c r="M2215" s="275">
        <f t="shared" si="700"/>
        <v>42</v>
      </c>
      <c r="N2215" s="98">
        <v>1</v>
      </c>
      <c r="O2215" s="93">
        <f t="shared" si="701"/>
        <v>100</v>
      </c>
      <c r="DB2215" s="101">
        <v>2</v>
      </c>
      <c r="DE2215" s="101">
        <v>3</v>
      </c>
      <c r="DF2215" s="101">
        <v>6</v>
      </c>
      <c r="DM2215" s="101">
        <v>10</v>
      </c>
      <c r="ON2215" s="100">
        <f t="shared" si="689"/>
        <v>0</v>
      </c>
    </row>
    <row r="2216" spans="1:404" ht="23.25" customHeight="1">
      <c r="A2216" s="97" t="str">
        <f t="shared" si="702"/>
        <v>003/ANNA-VG-21(đ2)66-02600-L2-A</v>
      </c>
      <c r="B2216" s="95">
        <v>44564</v>
      </c>
      <c r="C2216" s="97">
        <f t="shared" ca="1" si="699"/>
        <v>-500</v>
      </c>
      <c r="D2216" s="112" t="s">
        <v>1638</v>
      </c>
      <c r="E2216" s="279" t="s">
        <v>685</v>
      </c>
      <c r="F2216" s="98" t="str">
        <f t="shared" si="696"/>
        <v>A</v>
      </c>
      <c r="G2216" s="110">
        <f ca="1">SUMIF($A:E,$A2216,K:K)</f>
        <v>32</v>
      </c>
      <c r="H2216" s="112" t="s">
        <v>990</v>
      </c>
      <c r="I2216" s="98">
        <v>32</v>
      </c>
      <c r="J2216" s="115">
        <v>32</v>
      </c>
      <c r="K2216" s="143">
        <f t="shared" si="703"/>
        <v>32</v>
      </c>
      <c r="L2216" s="144">
        <f t="shared" si="704"/>
        <v>0</v>
      </c>
      <c r="M2216" s="275">
        <f t="shared" si="700"/>
        <v>64</v>
      </c>
      <c r="N2216" s="98" t="s">
        <v>1776</v>
      </c>
      <c r="O2216" s="93">
        <f t="shared" si="701"/>
        <v>100</v>
      </c>
      <c r="MH2216" s="100">
        <v>6</v>
      </c>
      <c r="MK2216" s="100">
        <v>2</v>
      </c>
      <c r="ML2216" s="100">
        <v>2</v>
      </c>
      <c r="MN2216" s="100">
        <v>4</v>
      </c>
      <c r="MO2216" s="100">
        <v>4</v>
      </c>
      <c r="MP2216" s="100">
        <v>4</v>
      </c>
      <c r="MQ2216" s="100">
        <v>4</v>
      </c>
      <c r="MR2216" s="100">
        <v>4</v>
      </c>
      <c r="MS2216" s="100">
        <v>2</v>
      </c>
      <c r="ON2216" s="100">
        <f t="shared" si="689"/>
        <v>0</v>
      </c>
    </row>
    <row r="2217" spans="1:404" ht="23.25" customHeight="1">
      <c r="A2217" s="97" t="str">
        <f>D2219&amp;E2217</f>
        <v>002T/OBI-2166-02600-03-B</v>
      </c>
      <c r="B2217" s="95">
        <v>44409</v>
      </c>
      <c r="C2217" s="97">
        <f t="shared" ca="1" si="699"/>
        <v>-655</v>
      </c>
      <c r="D2217" s="96" t="s">
        <v>938</v>
      </c>
      <c r="E2217" s="94" t="s">
        <v>941</v>
      </c>
      <c r="F2217" s="98" t="str">
        <f t="shared" si="696"/>
        <v>B</v>
      </c>
      <c r="G2217" s="110">
        <f ca="1">SUMIF($A:E,$A2217,K:K)</f>
        <v>252</v>
      </c>
      <c r="H2217" s="97" t="s">
        <v>508</v>
      </c>
      <c r="I2217" s="98">
        <v>100</v>
      </c>
      <c r="J2217" s="97">
        <v>100</v>
      </c>
      <c r="K2217" s="143">
        <f t="shared" si="703"/>
        <v>100</v>
      </c>
      <c r="L2217" s="144">
        <f t="shared" si="704"/>
        <v>0</v>
      </c>
      <c r="M2217" s="275">
        <f t="shared" si="700"/>
        <v>100</v>
      </c>
      <c r="N2217" s="98">
        <v>1</v>
      </c>
      <c r="O2217" s="93">
        <f t="shared" si="701"/>
        <v>100</v>
      </c>
      <c r="ED2217" s="100">
        <v>1</v>
      </c>
      <c r="EG2217" s="100">
        <v>4</v>
      </c>
      <c r="EI2217" s="100">
        <v>3</v>
      </c>
      <c r="EJ2217" s="100">
        <v>4</v>
      </c>
      <c r="EK2217" s="100">
        <v>1</v>
      </c>
      <c r="EL2217" s="100">
        <v>2</v>
      </c>
      <c r="EM2217" s="100">
        <v>3</v>
      </c>
      <c r="EO2217" s="100">
        <v>4</v>
      </c>
      <c r="EP2217" s="100">
        <v>6</v>
      </c>
      <c r="EQ2217" s="100">
        <v>4</v>
      </c>
      <c r="ER2217" s="100">
        <v>4</v>
      </c>
      <c r="ET2217" s="100">
        <v>3</v>
      </c>
      <c r="EU2217" s="100">
        <v>3</v>
      </c>
      <c r="EV2217" s="100">
        <v>3</v>
      </c>
      <c r="EX2217" s="100">
        <v>9</v>
      </c>
      <c r="EY2217" s="100">
        <v>4</v>
      </c>
      <c r="FA2217" s="100">
        <v>4</v>
      </c>
      <c r="FB2217" s="100">
        <v>4</v>
      </c>
      <c r="FC2217" s="100">
        <v>4</v>
      </c>
      <c r="FE2217" s="100">
        <v>2</v>
      </c>
      <c r="FF2217" s="100">
        <v>8</v>
      </c>
      <c r="FI2217" s="100">
        <v>6</v>
      </c>
      <c r="FJ2217" s="100">
        <v>4</v>
      </c>
      <c r="FK2217" s="100">
        <v>2</v>
      </c>
      <c r="FL2217" s="100">
        <v>4</v>
      </c>
      <c r="GB2217" s="100">
        <v>3</v>
      </c>
      <c r="GC2217" s="100">
        <v>1</v>
      </c>
      <c r="ON2217" s="100">
        <f t="shared" si="689"/>
        <v>0</v>
      </c>
    </row>
    <row r="2218" spans="1:404" ht="23.25" customHeight="1">
      <c r="A2218" s="97" t="str">
        <f>D2218&amp;E2218</f>
        <v>002/OBI-2166-02600-03-B</v>
      </c>
      <c r="B2218" s="95">
        <v>44409</v>
      </c>
      <c r="C2218" s="97">
        <f t="shared" ca="1" si="699"/>
        <v>-655</v>
      </c>
      <c r="D2218" s="96" t="s">
        <v>938</v>
      </c>
      <c r="E2218" s="94" t="s">
        <v>941</v>
      </c>
      <c r="F2218" s="98" t="str">
        <f t="shared" si="696"/>
        <v>B</v>
      </c>
      <c r="G2218" s="110">
        <f ca="1">SUMIF($A:E,$A2218,K:K)</f>
        <v>168</v>
      </c>
      <c r="H2218" s="97" t="s">
        <v>508</v>
      </c>
      <c r="I2218" s="98">
        <v>168</v>
      </c>
      <c r="J2218" s="97">
        <v>168</v>
      </c>
      <c r="K2218" s="143">
        <f t="shared" si="703"/>
        <v>168</v>
      </c>
      <c r="L2218" s="144">
        <f t="shared" si="704"/>
        <v>0</v>
      </c>
      <c r="M2218" s="275">
        <f t="shared" si="700"/>
        <v>168</v>
      </c>
      <c r="N2218" s="98">
        <v>4</v>
      </c>
      <c r="O2218" s="93">
        <f t="shared" si="701"/>
        <v>100</v>
      </c>
      <c r="DZ2218" s="100">
        <v>8</v>
      </c>
      <c r="EA2218" s="100">
        <v>3</v>
      </c>
      <c r="EC2218" s="100">
        <v>4</v>
      </c>
      <c r="ED2218" s="100">
        <v>5</v>
      </c>
      <c r="EF2218" s="100">
        <v>4</v>
      </c>
      <c r="EG2218" s="100">
        <v>4</v>
      </c>
      <c r="EH2218" s="100">
        <v>4</v>
      </c>
      <c r="EI2218" s="100">
        <v>8</v>
      </c>
      <c r="EJ2218" s="100">
        <v>6</v>
      </c>
      <c r="EK2218" s="100">
        <v>7</v>
      </c>
      <c r="EL2218" s="100">
        <v>7</v>
      </c>
      <c r="EN2218" s="100">
        <v>9</v>
      </c>
      <c r="EP2218" s="100">
        <v>6</v>
      </c>
      <c r="EQ2218" s="100">
        <v>12</v>
      </c>
      <c r="ET2218" s="100">
        <v>14</v>
      </c>
      <c r="EU2218" s="100">
        <v>5</v>
      </c>
      <c r="EW2218" s="100">
        <v>8</v>
      </c>
      <c r="EX2218" s="100">
        <v>8</v>
      </c>
      <c r="EY2218" s="100">
        <v>12</v>
      </c>
      <c r="FB2218" s="100">
        <v>8</v>
      </c>
      <c r="FC2218" s="100">
        <v>6</v>
      </c>
      <c r="FD2218" s="100">
        <v>9</v>
      </c>
      <c r="FE2218" s="100">
        <v>4</v>
      </c>
      <c r="FF2218" s="100">
        <v>6</v>
      </c>
      <c r="FH2218" s="100">
        <v>1</v>
      </c>
      <c r="ON2218" s="100">
        <f t="shared" si="689"/>
        <v>0</v>
      </c>
    </row>
    <row r="2219" spans="1:404" ht="23.25" customHeight="1">
      <c r="A2219" s="97" t="str">
        <f>D2219&amp;E2219</f>
        <v>002T/OBI-2166-02600-03-B</v>
      </c>
      <c r="B2219" s="95">
        <v>44416</v>
      </c>
      <c r="C2219" s="97">
        <f t="shared" ca="1" si="699"/>
        <v>-648</v>
      </c>
      <c r="D2219" s="112" t="s">
        <v>1047</v>
      </c>
      <c r="E2219" s="123" t="s">
        <v>941</v>
      </c>
      <c r="F2219" s="98" t="str">
        <f t="shared" si="696"/>
        <v>B</v>
      </c>
      <c r="G2219" s="110">
        <f ca="1">SUMIF($A:E,$A2219,K:K)</f>
        <v>252</v>
      </c>
      <c r="H2219" s="97" t="s">
        <v>616</v>
      </c>
      <c r="I2219" s="98">
        <v>152</v>
      </c>
      <c r="J2219" s="115">
        <v>152</v>
      </c>
      <c r="K2219" s="143">
        <f t="shared" si="703"/>
        <v>152</v>
      </c>
      <c r="L2219" s="144">
        <f t="shared" si="704"/>
        <v>0</v>
      </c>
      <c r="M2219" s="275">
        <f t="shared" si="700"/>
        <v>152</v>
      </c>
      <c r="N2219" s="98">
        <v>4</v>
      </c>
      <c r="O2219" s="93">
        <f t="shared" si="701"/>
        <v>100</v>
      </c>
      <c r="FH2219" s="100">
        <v>7</v>
      </c>
      <c r="FI2219" s="100">
        <v>7</v>
      </c>
      <c r="FJ2219" s="100">
        <v>8</v>
      </c>
      <c r="FK2219" s="100">
        <v>11</v>
      </c>
      <c r="FL2219" s="100">
        <v>15</v>
      </c>
      <c r="FO2219" s="100">
        <v>10</v>
      </c>
      <c r="FP2219" s="100">
        <v>23</v>
      </c>
      <c r="FR2219" s="100">
        <v>11</v>
      </c>
      <c r="FS2219" s="100">
        <v>21</v>
      </c>
      <c r="FT2219" s="100">
        <v>3</v>
      </c>
      <c r="FU2219" s="100">
        <v>15</v>
      </c>
      <c r="FV2219" s="100">
        <v>11</v>
      </c>
      <c r="FW2219" s="100">
        <v>9</v>
      </c>
      <c r="FZ2219" s="100">
        <v>1</v>
      </c>
      <c r="ON2219" s="100">
        <f t="shared" si="689"/>
        <v>0</v>
      </c>
    </row>
    <row r="2220" spans="1:404" ht="23.25" customHeight="1">
      <c r="A2220" s="97" t="s">
        <v>1370</v>
      </c>
      <c r="B2220" s="95">
        <v>44476</v>
      </c>
      <c r="C2220" s="97">
        <f t="shared" ca="1" si="699"/>
        <v>-588</v>
      </c>
      <c r="D2220" s="112" t="s">
        <v>1397</v>
      </c>
      <c r="E2220" s="123" t="s">
        <v>941</v>
      </c>
      <c r="F2220" s="98" t="str">
        <f t="shared" si="696"/>
        <v>B</v>
      </c>
      <c r="G2220" s="110">
        <f ca="1">SUMIF($A:E,$A2220,K:K)</f>
        <v>5654</v>
      </c>
      <c r="H2220" s="97" t="s">
        <v>1402</v>
      </c>
      <c r="I2220" s="98">
        <v>40</v>
      </c>
      <c r="J2220" s="115">
        <v>40</v>
      </c>
      <c r="K2220" s="143">
        <f t="shared" si="703"/>
        <v>40</v>
      </c>
      <c r="L2220" s="144">
        <f t="shared" si="704"/>
        <v>0</v>
      </c>
      <c r="M2220" s="275">
        <f t="shared" si="700"/>
        <v>40</v>
      </c>
      <c r="N2220" s="98">
        <v>5</v>
      </c>
      <c r="O2220" s="93">
        <f t="shared" si="701"/>
        <v>100</v>
      </c>
      <c r="GW2220" s="100">
        <v>8</v>
      </c>
      <c r="GX2220" s="100">
        <v>6</v>
      </c>
      <c r="GY2220" s="100">
        <v>4</v>
      </c>
      <c r="HB2220" s="100">
        <v>4</v>
      </c>
      <c r="HC2220" s="100">
        <v>2</v>
      </c>
      <c r="HF2220" s="100">
        <v>2</v>
      </c>
      <c r="HG2220" s="100">
        <v>1</v>
      </c>
      <c r="HI2220" s="100">
        <v>4</v>
      </c>
      <c r="HM2220" s="100">
        <v>2</v>
      </c>
      <c r="HN2220" s="100">
        <v>2</v>
      </c>
      <c r="HP2220" s="100">
        <v>2</v>
      </c>
      <c r="HQ2220" s="100">
        <v>2</v>
      </c>
      <c r="HS2220" s="100">
        <v>1</v>
      </c>
      <c r="ON2220" s="100">
        <f t="shared" si="689"/>
        <v>0</v>
      </c>
    </row>
    <row r="2221" spans="1:404" ht="23.25" customHeight="1">
      <c r="A2221" s="97" t="str">
        <f>D2221&amp;E2221</f>
        <v>001/GREENPOT-VG_SR-2166-02600-03-B</v>
      </c>
      <c r="B2221" s="95">
        <v>44426</v>
      </c>
      <c r="C2221" s="97">
        <f t="shared" ca="1" si="699"/>
        <v>-638</v>
      </c>
      <c r="D2221" s="112" t="s">
        <v>1606</v>
      </c>
      <c r="E2221" s="123" t="s">
        <v>941</v>
      </c>
      <c r="F2221" s="98" t="str">
        <f t="shared" si="696"/>
        <v>B</v>
      </c>
      <c r="G2221" s="110">
        <f ca="1">SUMIF($A:E,$A2221,K:K)</f>
        <v>3</v>
      </c>
      <c r="H2221" s="112" t="s">
        <v>1616</v>
      </c>
      <c r="I2221" s="98">
        <v>3</v>
      </c>
      <c r="J2221" s="115">
        <v>3</v>
      </c>
      <c r="K2221" s="143">
        <f t="shared" si="703"/>
        <v>3</v>
      </c>
      <c r="L2221" s="144">
        <f t="shared" si="704"/>
        <v>0</v>
      </c>
      <c r="M2221" s="275">
        <f t="shared" si="700"/>
        <v>3</v>
      </c>
      <c r="N2221" s="98">
        <v>5</v>
      </c>
      <c r="O2221" s="93">
        <f t="shared" si="701"/>
        <v>100</v>
      </c>
      <c r="HE2221" s="100">
        <v>1</v>
      </c>
      <c r="HF2221" s="100">
        <v>2</v>
      </c>
      <c r="ON2221" s="100">
        <f t="shared" si="689"/>
        <v>0</v>
      </c>
    </row>
    <row r="2222" spans="1:404" ht="23.25" customHeight="1">
      <c r="A2222" s="97" t="str">
        <f>D2222&amp;E2222</f>
        <v>054/VG_SR-21( POTTERYBARN)66-02600-03-B</v>
      </c>
      <c r="B2222" s="95">
        <v>44426</v>
      </c>
      <c r="C2222" s="97"/>
      <c r="D2222" s="112" t="s">
        <v>1690</v>
      </c>
      <c r="E2222" s="123" t="s">
        <v>941</v>
      </c>
      <c r="F2222" s="98" t="str">
        <f t="shared" si="696"/>
        <v>B</v>
      </c>
      <c r="G2222" s="110">
        <f ca="1">SUMIF($A:E,$A2222,K:K)</f>
        <v>2</v>
      </c>
      <c r="H2222" s="97" t="s">
        <v>1691</v>
      </c>
      <c r="I2222" s="98">
        <v>2</v>
      </c>
      <c r="J2222" s="99">
        <v>2</v>
      </c>
      <c r="K2222" s="143">
        <f t="shared" si="703"/>
        <v>2</v>
      </c>
      <c r="L2222" s="144">
        <f t="shared" si="704"/>
        <v>0</v>
      </c>
      <c r="M2222" s="275">
        <f t="shared" si="700"/>
        <v>2</v>
      </c>
      <c r="N2222" s="98">
        <v>5</v>
      </c>
      <c r="O2222" s="93">
        <f t="shared" si="701"/>
        <v>100</v>
      </c>
      <c r="HI2222" s="100">
        <v>2</v>
      </c>
      <c r="ON2222" s="100">
        <f t="shared" si="689"/>
        <v>0</v>
      </c>
    </row>
    <row r="2223" spans="1:404" ht="23.25" customHeight="1">
      <c r="A2223" s="97" t="str">
        <f>D2225&amp;E2223</f>
        <v>002T/OBI-2166-02600-02-B</v>
      </c>
      <c r="B2223" s="95">
        <v>44409</v>
      </c>
      <c r="C2223" s="97">
        <f t="shared" ref="C2223:C2232" ca="1" si="705">B2223-TODAY()</f>
        <v>-655</v>
      </c>
      <c r="D2223" s="96" t="s">
        <v>938</v>
      </c>
      <c r="E2223" s="94" t="s">
        <v>627</v>
      </c>
      <c r="F2223" s="98" t="str">
        <f t="shared" si="696"/>
        <v>B</v>
      </c>
      <c r="G2223" s="110">
        <f ca="1">SUMIF($A:E,$A2223,K:K)</f>
        <v>252</v>
      </c>
      <c r="H2223" s="97" t="s">
        <v>508</v>
      </c>
      <c r="I2223" s="98">
        <v>100</v>
      </c>
      <c r="J2223" s="97">
        <v>100</v>
      </c>
      <c r="K2223" s="143">
        <f t="shared" si="703"/>
        <v>100</v>
      </c>
      <c r="L2223" s="144">
        <f t="shared" si="704"/>
        <v>0</v>
      </c>
      <c r="M2223" s="275">
        <f t="shared" si="700"/>
        <v>100</v>
      </c>
      <c r="N2223" s="98">
        <v>1</v>
      </c>
      <c r="O2223" s="93">
        <f t="shared" si="701"/>
        <v>100</v>
      </c>
      <c r="ED2223" s="100">
        <v>1</v>
      </c>
      <c r="EG2223" s="100">
        <v>4</v>
      </c>
      <c r="EI2223" s="100">
        <v>3</v>
      </c>
      <c r="EJ2223" s="100">
        <v>4</v>
      </c>
      <c r="EK2223" s="100">
        <v>1</v>
      </c>
      <c r="EL2223" s="100">
        <v>2</v>
      </c>
      <c r="EM2223" s="100">
        <v>3</v>
      </c>
      <c r="EO2223" s="100">
        <v>4</v>
      </c>
      <c r="EP2223" s="100">
        <v>6</v>
      </c>
      <c r="EQ2223" s="100">
        <v>4</v>
      </c>
      <c r="ER2223" s="100">
        <v>4</v>
      </c>
      <c r="ET2223" s="100">
        <v>3</v>
      </c>
      <c r="EU2223" s="100">
        <v>3</v>
      </c>
      <c r="EV2223" s="100">
        <v>3</v>
      </c>
      <c r="EX2223" s="100">
        <v>9</v>
      </c>
      <c r="EY2223" s="100">
        <v>4</v>
      </c>
      <c r="FA2223" s="100">
        <v>4</v>
      </c>
      <c r="FB2223" s="100">
        <v>4</v>
      </c>
      <c r="FC2223" s="100">
        <v>4</v>
      </c>
      <c r="FE2223" s="100">
        <v>2</v>
      </c>
      <c r="FF2223" s="100">
        <v>8</v>
      </c>
      <c r="FI2223" s="100">
        <v>6</v>
      </c>
      <c r="FJ2223" s="100">
        <v>4</v>
      </c>
      <c r="FK2223" s="100">
        <v>2</v>
      </c>
      <c r="FL2223" s="100">
        <v>4</v>
      </c>
      <c r="GB2223" s="100">
        <v>3</v>
      </c>
      <c r="GC2223" s="100">
        <v>1</v>
      </c>
      <c r="ON2223" s="100">
        <f t="shared" si="689"/>
        <v>0</v>
      </c>
    </row>
    <row r="2224" spans="1:404" ht="23.25" customHeight="1">
      <c r="A2224" s="97" t="str">
        <f>D2224&amp;E2224</f>
        <v>002/OBI-2166-02600-02-B</v>
      </c>
      <c r="B2224" s="95">
        <v>44409</v>
      </c>
      <c r="C2224" s="97">
        <f t="shared" ca="1" si="705"/>
        <v>-655</v>
      </c>
      <c r="D2224" s="96" t="s">
        <v>938</v>
      </c>
      <c r="E2224" s="94" t="s">
        <v>627</v>
      </c>
      <c r="F2224" s="98" t="str">
        <f t="shared" si="696"/>
        <v>B</v>
      </c>
      <c r="G2224" s="110">
        <f ca="1">SUMIF($A:E,$A2224,K:K)</f>
        <v>168</v>
      </c>
      <c r="H2224" s="97" t="s">
        <v>508</v>
      </c>
      <c r="I2224" s="98">
        <v>168</v>
      </c>
      <c r="J2224" s="97">
        <v>168</v>
      </c>
      <c r="K2224" s="143">
        <f t="shared" si="703"/>
        <v>168</v>
      </c>
      <c r="L2224" s="144">
        <f t="shared" si="704"/>
        <v>0</v>
      </c>
      <c r="M2224" s="275">
        <f t="shared" si="700"/>
        <v>168</v>
      </c>
      <c r="N2224" s="98">
        <v>4</v>
      </c>
      <c r="O2224" s="93">
        <f t="shared" si="701"/>
        <v>100</v>
      </c>
      <c r="DZ2224" s="100">
        <v>8</v>
      </c>
      <c r="EA2224" s="100">
        <v>3</v>
      </c>
      <c r="ED2224" s="100">
        <v>5</v>
      </c>
      <c r="EF2224" s="100">
        <v>8</v>
      </c>
      <c r="EG2224" s="100">
        <v>4</v>
      </c>
      <c r="EH2224" s="100">
        <v>4</v>
      </c>
      <c r="EI2224" s="100">
        <v>8</v>
      </c>
      <c r="EJ2224" s="100">
        <v>6</v>
      </c>
      <c r="EK2224" s="100">
        <v>7</v>
      </c>
      <c r="EL2224" s="100">
        <v>7</v>
      </c>
      <c r="EN2224" s="100">
        <v>9</v>
      </c>
      <c r="EP2224" s="100">
        <v>6</v>
      </c>
      <c r="EQ2224" s="100">
        <v>12</v>
      </c>
      <c r="ET2224" s="100">
        <v>14</v>
      </c>
      <c r="EU2224" s="100">
        <v>5</v>
      </c>
      <c r="EW2224" s="100">
        <v>8</v>
      </c>
      <c r="EX2224" s="100">
        <v>8</v>
      </c>
      <c r="EY2224" s="100">
        <v>12</v>
      </c>
      <c r="FB2224" s="100">
        <v>8</v>
      </c>
      <c r="FC2224" s="100">
        <v>6</v>
      </c>
      <c r="FD2224" s="100">
        <v>9</v>
      </c>
      <c r="FE2224" s="100">
        <v>4</v>
      </c>
      <c r="FF2224" s="100">
        <v>6</v>
      </c>
      <c r="FH2224" s="100">
        <v>1</v>
      </c>
      <c r="ON2224" s="100">
        <f t="shared" si="689"/>
        <v>0</v>
      </c>
    </row>
    <row r="2225" spans="1:404" ht="23.25" customHeight="1">
      <c r="A2225" s="97" t="str">
        <f>D2225&amp;E2225</f>
        <v>002T/OBI-2166-02600-02-B</v>
      </c>
      <c r="B2225" s="95">
        <v>44416</v>
      </c>
      <c r="C2225" s="97">
        <f t="shared" ca="1" si="705"/>
        <v>-648</v>
      </c>
      <c r="D2225" s="112" t="s">
        <v>1047</v>
      </c>
      <c r="E2225" s="123" t="s">
        <v>627</v>
      </c>
      <c r="F2225" s="98" t="str">
        <f t="shared" si="696"/>
        <v>B</v>
      </c>
      <c r="G2225" s="110">
        <f ca="1">SUMIF($A:E,$A2225,K:K)</f>
        <v>252</v>
      </c>
      <c r="H2225" s="97" t="s">
        <v>616</v>
      </c>
      <c r="I2225" s="98">
        <v>152</v>
      </c>
      <c r="J2225" s="115">
        <v>152</v>
      </c>
      <c r="K2225" s="143">
        <f t="shared" si="703"/>
        <v>152</v>
      </c>
      <c r="L2225" s="144">
        <f t="shared" si="704"/>
        <v>0</v>
      </c>
      <c r="M2225" s="275">
        <f t="shared" si="700"/>
        <v>152</v>
      </c>
      <c r="N2225" s="98">
        <v>4</v>
      </c>
      <c r="O2225" s="93">
        <f t="shared" si="701"/>
        <v>100</v>
      </c>
      <c r="FH2225" s="100">
        <v>7</v>
      </c>
      <c r="FI2225" s="100">
        <v>7</v>
      </c>
      <c r="FJ2225" s="100">
        <v>8</v>
      </c>
      <c r="FK2225" s="100">
        <v>11</v>
      </c>
      <c r="FL2225" s="100">
        <v>15</v>
      </c>
      <c r="FO2225" s="100">
        <v>10</v>
      </c>
      <c r="FP2225" s="100">
        <v>23</v>
      </c>
      <c r="FR2225" s="100">
        <v>11</v>
      </c>
      <c r="FS2225" s="100">
        <v>21</v>
      </c>
      <c r="FT2225" s="100">
        <v>3</v>
      </c>
      <c r="FU2225" s="100">
        <v>15</v>
      </c>
      <c r="FV2225" s="100">
        <v>11</v>
      </c>
      <c r="FW2225" s="100">
        <v>9</v>
      </c>
      <c r="FZ2225" s="100">
        <v>1</v>
      </c>
      <c r="ON2225" s="100">
        <f t="shared" si="689"/>
        <v>0</v>
      </c>
    </row>
    <row r="2226" spans="1:404" ht="23.25" customHeight="1">
      <c r="A2226" s="97" t="s">
        <v>1370</v>
      </c>
      <c r="B2226" s="95">
        <v>44476</v>
      </c>
      <c r="C2226" s="97">
        <f t="shared" ca="1" si="705"/>
        <v>-588</v>
      </c>
      <c r="D2226" s="112" t="s">
        <v>1397</v>
      </c>
      <c r="E2226" s="123" t="s">
        <v>627</v>
      </c>
      <c r="F2226" s="98" t="str">
        <f t="shared" si="696"/>
        <v>B</v>
      </c>
      <c r="G2226" s="110">
        <f ca="1">SUMIF($A:E,$A2226,K:K)</f>
        <v>5654</v>
      </c>
      <c r="H2226" s="97" t="s">
        <v>1402</v>
      </c>
      <c r="I2226" s="98">
        <v>40</v>
      </c>
      <c r="J2226" s="115">
        <v>40</v>
      </c>
      <c r="K2226" s="143">
        <f t="shared" si="703"/>
        <v>40</v>
      </c>
      <c r="L2226" s="144">
        <f t="shared" si="704"/>
        <v>0</v>
      </c>
      <c r="M2226" s="275">
        <f t="shared" si="700"/>
        <v>40</v>
      </c>
      <c r="N2226" s="98">
        <v>5</v>
      </c>
      <c r="O2226" s="93">
        <f t="shared" si="701"/>
        <v>100</v>
      </c>
      <c r="GW2226" s="100">
        <v>8</v>
      </c>
      <c r="GX2226" s="100">
        <v>6</v>
      </c>
      <c r="GY2226" s="100">
        <v>4</v>
      </c>
      <c r="HB2226" s="100">
        <v>4</v>
      </c>
      <c r="HC2226" s="100">
        <v>2</v>
      </c>
      <c r="HF2226" s="100">
        <v>2</v>
      </c>
      <c r="HG2226" s="100">
        <v>1</v>
      </c>
      <c r="HI2226" s="100">
        <v>4</v>
      </c>
      <c r="HM2226" s="100">
        <v>2</v>
      </c>
      <c r="HN2226" s="100">
        <v>2</v>
      </c>
      <c r="HP2226" s="100">
        <v>2</v>
      </c>
      <c r="HQ2226" s="100">
        <v>2</v>
      </c>
      <c r="HS2226" s="100">
        <v>1</v>
      </c>
      <c r="ON2226" s="100">
        <f t="shared" si="689"/>
        <v>0</v>
      </c>
    </row>
    <row r="2227" spans="1:404" ht="23.25" customHeight="1">
      <c r="A2227" s="97" t="str">
        <f t="shared" ref="A2227:A2232" si="706">D2227&amp;E2227</f>
        <v>046/PTSP-PT-2166-02600-02-B</v>
      </c>
      <c r="B2227" s="95">
        <v>44416</v>
      </c>
      <c r="C2227" s="97">
        <f t="shared" ca="1" si="705"/>
        <v>-648</v>
      </c>
      <c r="D2227" s="96" t="s">
        <v>1530</v>
      </c>
      <c r="E2227" s="94" t="s">
        <v>627</v>
      </c>
      <c r="F2227" s="98" t="str">
        <f t="shared" si="696"/>
        <v>B</v>
      </c>
      <c r="G2227" s="110">
        <f ca="1">SUMIF($A:E,$A2227,K:K)</f>
        <v>12</v>
      </c>
      <c r="H2227" s="167" t="s">
        <v>1532</v>
      </c>
      <c r="I2227" s="98">
        <v>12</v>
      </c>
      <c r="J2227" s="99">
        <v>12</v>
      </c>
      <c r="K2227" s="143">
        <f t="shared" si="703"/>
        <v>12</v>
      </c>
      <c r="L2227" s="144">
        <f t="shared" si="704"/>
        <v>0</v>
      </c>
      <c r="M2227" s="275">
        <f t="shared" si="700"/>
        <v>12</v>
      </c>
      <c r="N2227" s="98">
        <v>2</v>
      </c>
      <c r="O2227" s="93">
        <f t="shared" si="701"/>
        <v>100</v>
      </c>
      <c r="HB2227" s="100">
        <v>8</v>
      </c>
      <c r="HD2227" s="100">
        <v>3</v>
      </c>
      <c r="HF2227" s="100">
        <v>1</v>
      </c>
      <c r="ON2227" s="100">
        <f t="shared" si="689"/>
        <v>0</v>
      </c>
    </row>
    <row r="2228" spans="1:404" ht="23.25" customHeight="1">
      <c r="A2228" s="97" t="str">
        <f t="shared" si="706"/>
        <v xml:space="preserve"> 009T/EUROMARKET-2166-02600-02-B</v>
      </c>
      <c r="B2228" s="95">
        <v>44469</v>
      </c>
      <c r="C2228" s="97">
        <f t="shared" ca="1" si="705"/>
        <v>-595</v>
      </c>
      <c r="D2228" s="112" t="s">
        <v>1540</v>
      </c>
      <c r="E2228" s="123" t="s">
        <v>627</v>
      </c>
      <c r="F2228" s="132" t="str">
        <f t="shared" si="696"/>
        <v>B</v>
      </c>
      <c r="G2228" s="130">
        <f ca="1">SUMIF($A:E,$A2228,K:K)</f>
        <v>737</v>
      </c>
      <c r="H2228" s="112" t="s">
        <v>1525</v>
      </c>
      <c r="I2228" s="98">
        <v>737</v>
      </c>
      <c r="J2228" s="115">
        <v>737</v>
      </c>
      <c r="K2228" s="160">
        <f t="shared" si="703"/>
        <v>737</v>
      </c>
      <c r="L2228" s="151">
        <f t="shared" si="704"/>
        <v>0</v>
      </c>
      <c r="M2228" s="275">
        <f t="shared" si="700"/>
        <v>737</v>
      </c>
      <c r="N2228" s="98">
        <v>3</v>
      </c>
      <c r="O2228" s="93">
        <f t="shared" si="701"/>
        <v>100</v>
      </c>
      <c r="HQ2228" s="100">
        <v>2</v>
      </c>
      <c r="HR2228" s="100">
        <v>2</v>
      </c>
      <c r="HS2228" s="100">
        <v>7</v>
      </c>
      <c r="HT2228" s="100">
        <v>22</v>
      </c>
      <c r="HW2228" s="100">
        <v>30</v>
      </c>
      <c r="HX2228" s="100">
        <v>25</v>
      </c>
      <c r="IB2228" s="100">
        <v>21</v>
      </c>
      <c r="ID2228" s="100">
        <v>18</v>
      </c>
      <c r="IE2228" s="100">
        <v>43</v>
      </c>
      <c r="IF2228" s="100">
        <v>25</v>
      </c>
      <c r="IG2228" s="100">
        <v>16</v>
      </c>
      <c r="IH2228" s="100">
        <v>27</v>
      </c>
      <c r="IK2228" s="100">
        <v>31</v>
      </c>
      <c r="IL2228" s="100">
        <v>7</v>
      </c>
      <c r="IM2228" s="100">
        <f>35+28</f>
        <v>63</v>
      </c>
      <c r="IN2228" s="100">
        <v>17</v>
      </c>
      <c r="IR2228" s="100">
        <v>34</v>
      </c>
      <c r="IS2228" s="100">
        <v>60</v>
      </c>
      <c r="IT2228" s="100">
        <v>53</v>
      </c>
      <c r="IU2228" s="100">
        <v>18</v>
      </c>
      <c r="IV2228" s="100">
        <v>37</v>
      </c>
      <c r="IW2228" s="100">
        <v>43</v>
      </c>
      <c r="IZ2228" s="100">
        <v>12</v>
      </c>
      <c r="JA2228" s="100">
        <v>25</v>
      </c>
      <c r="JD2228" s="100">
        <v>87</v>
      </c>
      <c r="JF2228" s="100">
        <v>12</v>
      </c>
      <c r="ON2228" s="100">
        <f t="shared" si="689"/>
        <v>0</v>
      </c>
    </row>
    <row r="2229" spans="1:404" ht="23.25" customHeight="1">
      <c r="A2229" s="127" t="str">
        <f t="shared" si="706"/>
        <v>051-VG_SR-21(EUROMARKET)66-02600-02-B</v>
      </c>
      <c r="B2229" s="126">
        <v>44426</v>
      </c>
      <c r="C2229" s="127">
        <f t="shared" ca="1" si="705"/>
        <v>-638</v>
      </c>
      <c r="D2229" s="208" t="s">
        <v>1546</v>
      </c>
      <c r="E2229" s="226" t="s">
        <v>627</v>
      </c>
      <c r="F2229" s="132" t="str">
        <f t="shared" si="696"/>
        <v>B</v>
      </c>
      <c r="G2229" s="130">
        <f ca="1">SUMIF($A:E,$A2229,K:K)</f>
        <v>5</v>
      </c>
      <c r="H2229" s="208" t="s">
        <v>1555</v>
      </c>
      <c r="I2229" s="98">
        <v>5</v>
      </c>
      <c r="J2229" s="131">
        <v>5</v>
      </c>
      <c r="K2229" s="143">
        <f t="shared" si="703"/>
        <v>5</v>
      </c>
      <c r="L2229" s="144">
        <f t="shared" si="704"/>
        <v>0</v>
      </c>
      <c r="M2229" s="275">
        <f t="shared" si="700"/>
        <v>5</v>
      </c>
      <c r="N2229" s="132">
        <v>5</v>
      </c>
      <c r="O2229" s="93">
        <f t="shared" si="701"/>
        <v>100</v>
      </c>
      <c r="HI2229" s="100">
        <v>3</v>
      </c>
      <c r="HJ2229" s="100">
        <v>2</v>
      </c>
      <c r="ON2229" s="100">
        <f t="shared" si="689"/>
        <v>0</v>
      </c>
    </row>
    <row r="2230" spans="1:404" ht="23.25" customHeight="1">
      <c r="A2230" s="97" t="str">
        <f t="shared" si="706"/>
        <v>001/EUROMARKET-VG_SR-2166-02600-02-B</v>
      </c>
      <c r="B2230" s="95">
        <v>44425</v>
      </c>
      <c r="C2230" s="97">
        <f t="shared" ca="1" si="705"/>
        <v>-639</v>
      </c>
      <c r="D2230" s="112" t="s">
        <v>1552</v>
      </c>
      <c r="E2230" s="123" t="s">
        <v>627</v>
      </c>
      <c r="F2230" s="98" t="str">
        <f t="shared" si="696"/>
        <v>B</v>
      </c>
      <c r="G2230" s="110">
        <f ca="1">SUMIF($A:E,$A2230,K:K)</f>
        <v>4</v>
      </c>
      <c r="H2230" s="112" t="s">
        <v>1553</v>
      </c>
      <c r="I2230" s="98">
        <v>4</v>
      </c>
      <c r="J2230" s="115">
        <v>4</v>
      </c>
      <c r="K2230" s="160">
        <f t="shared" si="703"/>
        <v>4</v>
      </c>
      <c r="L2230" s="151">
        <f t="shared" si="704"/>
        <v>0</v>
      </c>
      <c r="M2230" s="275">
        <f t="shared" si="700"/>
        <v>4</v>
      </c>
      <c r="N2230" s="98">
        <v>5</v>
      </c>
      <c r="O2230" s="93">
        <f t="shared" si="701"/>
        <v>100</v>
      </c>
      <c r="HJ2230" s="100">
        <v>1</v>
      </c>
      <c r="HK2230" s="100">
        <v>3</v>
      </c>
      <c r="ON2230" s="100">
        <f t="shared" si="689"/>
        <v>0</v>
      </c>
    </row>
    <row r="2231" spans="1:404" ht="23.25" customHeight="1">
      <c r="A2231" s="127" t="str">
        <f t="shared" si="706"/>
        <v>001/GREENPOT-VG_SR-2166-02600-02-B</v>
      </c>
      <c r="B2231" s="126">
        <v>44426</v>
      </c>
      <c r="C2231" s="127">
        <f t="shared" ca="1" si="705"/>
        <v>-638</v>
      </c>
      <c r="D2231" s="208" t="s">
        <v>1606</v>
      </c>
      <c r="E2231" s="226" t="s">
        <v>627</v>
      </c>
      <c r="F2231" s="132" t="str">
        <f t="shared" si="696"/>
        <v>B</v>
      </c>
      <c r="G2231" s="130">
        <f ca="1">SUMIF($A:E,$A2231,K:K)</f>
        <v>3</v>
      </c>
      <c r="H2231" s="208" t="s">
        <v>1616</v>
      </c>
      <c r="I2231" s="98">
        <v>3</v>
      </c>
      <c r="J2231" s="134">
        <v>3</v>
      </c>
      <c r="K2231" s="160">
        <f t="shared" si="703"/>
        <v>3</v>
      </c>
      <c r="L2231" s="151">
        <f t="shared" si="704"/>
        <v>0</v>
      </c>
      <c r="M2231" s="275">
        <f t="shared" si="700"/>
        <v>3</v>
      </c>
      <c r="N2231" s="132">
        <v>5</v>
      </c>
      <c r="O2231" s="93">
        <f t="shared" si="701"/>
        <v>100</v>
      </c>
      <c r="HE2231" s="100">
        <v>3</v>
      </c>
      <c r="ON2231" s="100">
        <f t="shared" si="689"/>
        <v>0</v>
      </c>
    </row>
    <row r="2232" spans="1:404" ht="23.25" customHeight="1">
      <c r="A2232" s="97" t="str">
        <f t="shared" si="706"/>
        <v>001A/EUROMARKET-VG_SR-2166-02600-02-B</v>
      </c>
      <c r="B2232" s="217">
        <v>44437</v>
      </c>
      <c r="C2232" s="97">
        <f t="shared" ca="1" si="705"/>
        <v>-627</v>
      </c>
      <c r="D2232" s="112" t="s">
        <v>1695</v>
      </c>
      <c r="E2232" s="123" t="s">
        <v>627</v>
      </c>
      <c r="F2232" s="98" t="str">
        <f t="shared" si="696"/>
        <v>B</v>
      </c>
      <c r="G2232" s="110">
        <f ca="1">SUMIF($A:E,$A2232,K:K)</f>
        <v>1</v>
      </c>
      <c r="H2232" s="208" t="s">
        <v>1696</v>
      </c>
      <c r="I2232" s="98">
        <v>1</v>
      </c>
      <c r="J2232" s="115">
        <v>1</v>
      </c>
      <c r="K2232" s="160">
        <f t="shared" si="703"/>
        <v>1</v>
      </c>
      <c r="L2232" s="151">
        <f t="shared" si="704"/>
        <v>0</v>
      </c>
      <c r="M2232" s="275">
        <f t="shared" si="700"/>
        <v>1</v>
      </c>
      <c r="N2232" s="211">
        <v>3</v>
      </c>
      <c r="O2232" s="93">
        <f t="shared" si="701"/>
        <v>100</v>
      </c>
      <c r="HQ2232" s="100">
        <v>1</v>
      </c>
      <c r="ON2232" s="100">
        <f t="shared" si="689"/>
        <v>0</v>
      </c>
    </row>
    <row r="2233" spans="1:404" ht="23.25" customHeight="1">
      <c r="A2233" s="97" t="s">
        <v>2053</v>
      </c>
      <c r="B2233" s="95">
        <v>44502</v>
      </c>
      <c r="C2233" s="97">
        <v>14</v>
      </c>
      <c r="D2233" s="112" t="s">
        <v>1806</v>
      </c>
      <c r="E2233" s="123" t="s">
        <v>627</v>
      </c>
      <c r="F2233" s="98" t="s">
        <v>561</v>
      </c>
      <c r="G2233" s="110">
        <v>527</v>
      </c>
      <c r="H2233" s="208" t="s">
        <v>1807</v>
      </c>
      <c r="I2233" s="98">
        <v>192</v>
      </c>
      <c r="J2233" s="115">
        <v>192</v>
      </c>
      <c r="K2233" s="160">
        <f t="shared" si="703"/>
        <v>192</v>
      </c>
      <c r="L2233" s="151">
        <f t="shared" si="704"/>
        <v>0</v>
      </c>
      <c r="M2233" s="98">
        <v>3</v>
      </c>
      <c r="N2233" s="98">
        <v>6</v>
      </c>
      <c r="O2233" s="93">
        <f t="shared" si="701"/>
        <v>100</v>
      </c>
      <c r="JT2233" s="100">
        <v>11</v>
      </c>
      <c r="JU2233" s="100">
        <v>5</v>
      </c>
      <c r="JV2233" s="100">
        <v>15</v>
      </c>
      <c r="JW2233" s="100">
        <v>28</v>
      </c>
      <c r="JX2233" s="100">
        <v>17</v>
      </c>
      <c r="JY2233" s="100">
        <v>47</v>
      </c>
      <c r="KA2233" s="100">
        <v>22</v>
      </c>
      <c r="KB2233" s="100">
        <v>36</v>
      </c>
      <c r="KC2233" s="100">
        <v>11</v>
      </c>
      <c r="ON2233" s="100">
        <f t="shared" si="689"/>
        <v>0</v>
      </c>
    </row>
    <row r="2234" spans="1:404" ht="23.25" customHeight="1">
      <c r="A2234" s="97" t="str">
        <f t="shared" ref="A2234:A2249" si="707">D2234&amp;E2234</f>
        <v>016T/EUROMARKET-2166-02600-02-B</v>
      </c>
      <c r="B2234" s="95">
        <v>44502</v>
      </c>
      <c r="C2234" s="97">
        <f t="shared" ref="C2234:C2256" ca="1" si="708">B2234-TODAY()</f>
        <v>-562</v>
      </c>
      <c r="D2234" s="112" t="s">
        <v>1806</v>
      </c>
      <c r="E2234" s="123" t="s">
        <v>627</v>
      </c>
      <c r="F2234" s="98" t="str">
        <f t="shared" ref="F2234:F2256" si="709">MID(E2234,13,2)</f>
        <v>B</v>
      </c>
      <c r="G2234" s="110">
        <f ca="1">SUMIF($A:E,$A2234,K:K)</f>
        <v>527</v>
      </c>
      <c r="H2234" s="208" t="s">
        <v>1807</v>
      </c>
      <c r="I2234" s="98">
        <v>335</v>
      </c>
      <c r="J2234" s="115">
        <f>527-J2233</f>
        <v>335</v>
      </c>
      <c r="K2234" s="160">
        <f t="shared" si="703"/>
        <v>335</v>
      </c>
      <c r="L2234" s="151">
        <f t="shared" si="704"/>
        <v>0</v>
      </c>
      <c r="M2234" s="275">
        <f t="shared" ref="M2234:M2256" si="710">IF(OR(MID(E2234,10,1)="0",MID(E2234,10,1)="F"),I2234,IF(OR(,MID(E2234,10,1)="S",MID(E2234,10,1)="L",MID(E2234,10,1)="B",MID(E2234,10,1)="X"),MID(E2234,11,1)*I2234,0))</f>
        <v>335</v>
      </c>
      <c r="N2234" s="98">
        <v>3</v>
      </c>
      <c r="O2234" s="93">
        <f t="shared" si="701"/>
        <v>100</v>
      </c>
      <c r="JF2234" s="100">
        <v>46</v>
      </c>
      <c r="JG2234" s="100">
        <v>16</v>
      </c>
      <c r="JH2234" s="100">
        <v>11</v>
      </c>
      <c r="JI2234" s="100">
        <v>7</v>
      </c>
      <c r="JJ2234" s="100">
        <v>18</v>
      </c>
      <c r="JK2234" s="100">
        <v>59</v>
      </c>
      <c r="JM2234" s="100">
        <v>21</v>
      </c>
      <c r="JN2234" s="100">
        <v>13</v>
      </c>
      <c r="JO2234" s="100">
        <v>2</v>
      </c>
      <c r="JP2234" s="100">
        <v>24</v>
      </c>
      <c r="JQ2234" s="100">
        <v>23</v>
      </c>
      <c r="JR2234" s="100">
        <v>8</v>
      </c>
      <c r="JT2234" s="100">
        <v>44</v>
      </c>
      <c r="KN2234" s="100">
        <v>31</v>
      </c>
      <c r="KO2234" s="100">
        <v>12</v>
      </c>
      <c r="ON2234" s="100">
        <f t="shared" si="689"/>
        <v>0</v>
      </c>
    </row>
    <row r="2235" spans="1:404" ht="23.25" customHeight="1">
      <c r="A2235" s="127" t="str">
        <f t="shared" si="707"/>
        <v>015/EUROMARKET-VG-2166-02600-02-B</v>
      </c>
      <c r="B2235" s="126">
        <v>44551</v>
      </c>
      <c r="C2235" s="127">
        <f t="shared" ca="1" si="708"/>
        <v>-513</v>
      </c>
      <c r="D2235" s="208" t="s">
        <v>1813</v>
      </c>
      <c r="E2235" s="123" t="s">
        <v>627</v>
      </c>
      <c r="F2235" s="98" t="str">
        <f t="shared" si="709"/>
        <v>B</v>
      </c>
      <c r="G2235" s="110">
        <f ca="1">SUMIF($A:E,$A2235,K:K)</f>
        <v>264</v>
      </c>
      <c r="H2235" s="208" t="s">
        <v>1807</v>
      </c>
      <c r="I2235" s="98">
        <v>264</v>
      </c>
      <c r="J2235" s="134">
        <v>264</v>
      </c>
      <c r="K2235" s="160">
        <f t="shared" si="703"/>
        <v>264</v>
      </c>
      <c r="L2235" s="151">
        <f t="shared" si="704"/>
        <v>0</v>
      </c>
      <c r="M2235" s="275">
        <f t="shared" si="710"/>
        <v>264</v>
      </c>
      <c r="N2235" s="132">
        <v>6</v>
      </c>
      <c r="O2235" s="93">
        <f t="shared" si="701"/>
        <v>100</v>
      </c>
      <c r="LL2235" s="100">
        <v>20</v>
      </c>
      <c r="LM2235" s="100">
        <v>26</v>
      </c>
      <c r="LN2235" s="100">
        <v>13</v>
      </c>
      <c r="LP2235" s="100">
        <v>10</v>
      </c>
      <c r="LQ2235" s="100">
        <v>15</v>
      </c>
      <c r="LR2235" s="100">
        <v>5</v>
      </c>
      <c r="LS2235" s="100">
        <v>1</v>
      </c>
      <c r="LT2235" s="100">
        <v>14</v>
      </c>
      <c r="LW2235" s="100">
        <v>24</v>
      </c>
      <c r="LX2235" s="100">
        <v>28</v>
      </c>
      <c r="LY2235" s="100">
        <v>24</v>
      </c>
      <c r="MA2235" s="100">
        <v>23</v>
      </c>
      <c r="MB2235" s="100">
        <v>16</v>
      </c>
      <c r="MD2235" s="100">
        <v>30</v>
      </c>
      <c r="ME2235" s="100">
        <v>15</v>
      </c>
      <c r="ON2235" s="100">
        <f t="shared" si="689"/>
        <v>0</v>
      </c>
    </row>
    <row r="2236" spans="1:404" ht="23.25" customHeight="1">
      <c r="A2236" s="97" t="str">
        <f t="shared" si="707"/>
        <v xml:space="preserve">	018T/EUROMARKET-2166-02600-02-B</v>
      </c>
      <c r="B2236" s="95">
        <v>44528</v>
      </c>
      <c r="C2236" s="97">
        <f t="shared" ca="1" si="708"/>
        <v>-536</v>
      </c>
      <c r="D2236" s="111" t="s">
        <v>1832</v>
      </c>
      <c r="E2236" s="123" t="s">
        <v>627</v>
      </c>
      <c r="F2236" s="98" t="str">
        <f t="shared" si="709"/>
        <v>B</v>
      </c>
      <c r="G2236" s="110">
        <f ca="1">SUMIF($A:E,$A2236,K:K)</f>
        <v>793</v>
      </c>
      <c r="H2236" s="97" t="s">
        <v>616</v>
      </c>
      <c r="I2236" s="98">
        <v>793</v>
      </c>
      <c r="J2236" s="227">
        <v>793</v>
      </c>
      <c r="K2236" s="143">
        <f t="shared" si="703"/>
        <v>793</v>
      </c>
      <c r="L2236" s="144">
        <f t="shared" si="704"/>
        <v>0</v>
      </c>
      <c r="M2236" s="275">
        <f t="shared" si="710"/>
        <v>793</v>
      </c>
      <c r="N2236" s="98">
        <v>6</v>
      </c>
      <c r="O2236" s="93">
        <f t="shared" si="701"/>
        <v>100</v>
      </c>
      <c r="KC2236" s="100">
        <v>9</v>
      </c>
      <c r="KD2236" s="100">
        <v>47</v>
      </c>
      <c r="KF2236" s="100">
        <v>40</v>
      </c>
      <c r="KG2236" s="100">
        <v>22</v>
      </c>
      <c r="KH2236" s="100">
        <v>23</v>
      </c>
      <c r="KI2236" s="100">
        <v>16</v>
      </c>
      <c r="KJ2236" s="100">
        <v>19</v>
      </c>
      <c r="KN2236" s="100">
        <v>3</v>
      </c>
      <c r="KO2236" s="100">
        <v>6</v>
      </c>
      <c r="KP2236" s="100">
        <v>26</v>
      </c>
      <c r="KQ2236" s="100">
        <v>25</v>
      </c>
      <c r="KR2236" s="100">
        <v>35</v>
      </c>
      <c r="KS2236" s="100">
        <v>12</v>
      </c>
      <c r="KU2236" s="100">
        <v>23</v>
      </c>
      <c r="KV2236" s="100">
        <v>35</v>
      </c>
      <c r="KW2236" s="100">
        <v>27</v>
      </c>
      <c r="KX2236" s="100">
        <v>41</v>
      </c>
      <c r="KY2236" s="100">
        <v>10</v>
      </c>
      <c r="KZ2236" s="100">
        <v>16</v>
      </c>
      <c r="LB2236" s="100">
        <v>57</v>
      </c>
      <c r="LC2236" s="100">
        <v>35</v>
      </c>
      <c r="LD2236" s="100">
        <v>31</v>
      </c>
      <c r="LE2236" s="100">
        <v>17</v>
      </c>
      <c r="LF2236" s="100">
        <v>83</v>
      </c>
      <c r="LG2236" s="100">
        <v>2</v>
      </c>
      <c r="LI2236" s="100">
        <v>65</v>
      </c>
      <c r="LJ2236" s="100">
        <v>21</v>
      </c>
      <c r="LK2236" s="100">
        <v>16</v>
      </c>
      <c r="LL2236" s="100">
        <v>31</v>
      </c>
      <c r="ON2236" s="100">
        <f t="shared" si="689"/>
        <v>0</v>
      </c>
    </row>
    <row r="2237" spans="1:404" ht="23.25" customHeight="1">
      <c r="A2237" s="97" t="str">
        <f t="shared" si="707"/>
        <v>451/POTTERYPOT-VG-2166-02600-02-A</v>
      </c>
      <c r="B2237" s="95">
        <v>44658</v>
      </c>
      <c r="C2237" s="97">
        <f t="shared" ca="1" si="708"/>
        <v>-406</v>
      </c>
      <c r="D2237" s="112" t="s">
        <v>1589</v>
      </c>
      <c r="E2237" s="279" t="s">
        <v>1590</v>
      </c>
      <c r="F2237" s="98" t="str">
        <f t="shared" si="709"/>
        <v>A</v>
      </c>
      <c r="G2237" s="110">
        <f ca="1">SUMIF($A:E,$A2237,K:K)</f>
        <v>0</v>
      </c>
      <c r="H2237" s="97" t="s">
        <v>927</v>
      </c>
      <c r="I2237" s="98">
        <v>30</v>
      </c>
      <c r="J2237" s="115">
        <v>30</v>
      </c>
      <c r="K2237" s="143">
        <f t="shared" si="703"/>
        <v>0</v>
      </c>
      <c r="L2237" s="144">
        <f t="shared" si="704"/>
        <v>30</v>
      </c>
      <c r="M2237" s="275">
        <f t="shared" si="710"/>
        <v>30</v>
      </c>
      <c r="N2237" s="98" t="s">
        <v>1776</v>
      </c>
      <c r="O2237" s="93">
        <f t="shared" ref="O2237" si="711">K2237/J2237*100</f>
        <v>0</v>
      </c>
      <c r="ON2237" s="100">
        <f t="shared" si="689"/>
        <v>0</v>
      </c>
    </row>
    <row r="2238" spans="1:404" ht="23.25" customHeight="1">
      <c r="A2238" s="97" t="str">
        <f t="shared" si="707"/>
        <v>001/GREENPOT-VG_SR-2166-02600-01-B</v>
      </c>
      <c r="B2238" s="95">
        <v>44426</v>
      </c>
      <c r="C2238" s="97">
        <f t="shared" ca="1" si="708"/>
        <v>-638</v>
      </c>
      <c r="D2238" s="112" t="s">
        <v>1606</v>
      </c>
      <c r="E2238" s="123" t="s">
        <v>626</v>
      </c>
      <c r="F2238" s="98" t="str">
        <f t="shared" si="709"/>
        <v>B</v>
      </c>
      <c r="G2238" s="110">
        <f ca="1">SUMIF($A:E,$A2238,K:K)</f>
        <v>3</v>
      </c>
      <c r="H2238" s="112" t="s">
        <v>1616</v>
      </c>
      <c r="I2238" s="98">
        <v>3</v>
      </c>
      <c r="J2238" s="115">
        <v>3</v>
      </c>
      <c r="K2238" s="143">
        <f t="shared" si="703"/>
        <v>3</v>
      </c>
      <c r="L2238" s="144">
        <f t="shared" si="704"/>
        <v>0</v>
      </c>
      <c r="M2238" s="275">
        <f t="shared" si="710"/>
        <v>3</v>
      </c>
      <c r="N2238" s="98">
        <v>5</v>
      </c>
      <c r="O2238" s="93">
        <f t="shared" ref="O2238:O2242" si="712">K2238/J2238*100</f>
        <v>100</v>
      </c>
      <c r="HJ2238" s="100">
        <v>3</v>
      </c>
      <c r="ON2238" s="100">
        <f t="shared" si="689"/>
        <v>0</v>
      </c>
    </row>
    <row r="2239" spans="1:404" ht="23.25" customHeight="1">
      <c r="A2239" s="97" t="str">
        <f t="shared" si="707"/>
        <v>024/SR-21(WESTELM)66-02600-01-B</v>
      </c>
      <c r="B2239" s="95">
        <v>44463</v>
      </c>
      <c r="C2239" s="97">
        <f t="shared" ca="1" si="708"/>
        <v>-601</v>
      </c>
      <c r="D2239" s="112" t="s">
        <v>1861</v>
      </c>
      <c r="E2239" s="123" t="s">
        <v>626</v>
      </c>
      <c r="F2239" s="98" t="str">
        <f t="shared" si="709"/>
        <v>B</v>
      </c>
      <c r="G2239" s="110">
        <f ca="1">SUMIF($A:E,$A2239,K:K)</f>
        <v>2</v>
      </c>
      <c r="H2239" s="97" t="s">
        <v>616</v>
      </c>
      <c r="I2239" s="98">
        <v>2</v>
      </c>
      <c r="J2239" s="115">
        <v>2</v>
      </c>
      <c r="K2239" s="144">
        <f t="shared" si="703"/>
        <v>2</v>
      </c>
      <c r="L2239" s="144">
        <f t="shared" si="704"/>
        <v>0</v>
      </c>
      <c r="M2239" s="275">
        <f t="shared" si="710"/>
        <v>2</v>
      </c>
      <c r="N2239" s="98">
        <v>3</v>
      </c>
      <c r="O2239" s="93">
        <f t="shared" si="712"/>
        <v>100</v>
      </c>
      <c r="IW2239" s="100">
        <v>2</v>
      </c>
      <c r="ON2239" s="100">
        <f t="shared" si="689"/>
        <v>0</v>
      </c>
    </row>
    <row r="2240" spans="1:404" ht="23.25" customHeight="1">
      <c r="A2240" s="127" t="str">
        <f t="shared" si="707"/>
        <v>101_SR-21(POTTER POTS)66-02600-01-A</v>
      </c>
      <c r="B2240" s="95">
        <v>44402</v>
      </c>
      <c r="C2240" s="127">
        <f t="shared" ca="1" si="708"/>
        <v>-662</v>
      </c>
      <c r="D2240" s="96" t="s">
        <v>1414</v>
      </c>
      <c r="E2240" s="94" t="s">
        <v>611</v>
      </c>
      <c r="F2240" s="98" t="str">
        <f t="shared" si="709"/>
        <v>A</v>
      </c>
      <c r="G2240" s="110">
        <f ca="1">SUMIF($A:E,$A2240,K:K)</f>
        <v>1</v>
      </c>
      <c r="H2240" s="97" t="s">
        <v>1415</v>
      </c>
      <c r="I2240" s="98">
        <v>1</v>
      </c>
      <c r="J2240" s="99">
        <v>1</v>
      </c>
      <c r="K2240" s="143">
        <f t="shared" si="703"/>
        <v>1</v>
      </c>
      <c r="L2240" s="144">
        <f t="shared" ref="L2240:L2261" si="713">J2240-K2240</f>
        <v>0</v>
      </c>
      <c r="M2240" s="275">
        <f t="shared" si="710"/>
        <v>1</v>
      </c>
      <c r="N2240" s="98">
        <v>5</v>
      </c>
      <c r="O2240" s="93">
        <f t="shared" si="712"/>
        <v>100</v>
      </c>
      <c r="GL2240" s="100">
        <v>1</v>
      </c>
      <c r="ON2240" s="100">
        <f t="shared" si="689"/>
        <v>0</v>
      </c>
    </row>
    <row r="2241" spans="1:404" ht="23.25" customHeight="1">
      <c r="A2241" s="127" t="str">
        <f t="shared" si="707"/>
        <v>451/POTTERYPOT-VG-2166-02600-01-A</v>
      </c>
      <c r="B2241" s="95">
        <v>44658</v>
      </c>
      <c r="C2241" s="127">
        <f t="shared" ca="1" si="708"/>
        <v>-406</v>
      </c>
      <c r="D2241" s="112" t="s">
        <v>1589</v>
      </c>
      <c r="E2241" s="279" t="s">
        <v>611</v>
      </c>
      <c r="F2241" s="98" t="str">
        <f t="shared" si="709"/>
        <v>A</v>
      </c>
      <c r="G2241" s="110">
        <f ca="1">SUMIF($A:E,$A2241,K:K)</f>
        <v>0</v>
      </c>
      <c r="H2241" s="97" t="s">
        <v>927</v>
      </c>
      <c r="I2241" s="98">
        <v>16</v>
      </c>
      <c r="J2241" s="115">
        <v>16</v>
      </c>
      <c r="K2241" s="143">
        <f t="shared" si="703"/>
        <v>0</v>
      </c>
      <c r="L2241" s="144">
        <f t="shared" si="713"/>
        <v>16</v>
      </c>
      <c r="M2241" s="275">
        <f t="shared" si="710"/>
        <v>16</v>
      </c>
      <c r="N2241" s="98" t="s">
        <v>1776</v>
      </c>
      <c r="O2241" s="93">
        <f t="shared" si="712"/>
        <v>0</v>
      </c>
      <c r="ON2241" s="100">
        <f t="shared" si="689"/>
        <v>0</v>
      </c>
    </row>
    <row r="2242" spans="1:404" ht="23.25" customHeight="1">
      <c r="A2242" s="127" t="str">
        <f t="shared" si="707"/>
        <v xml:space="preserve">	457/POTTERYPOT-VG-2166-02600-01-A</v>
      </c>
      <c r="B2242" s="95">
        <v>44674</v>
      </c>
      <c r="C2242" s="127">
        <f t="shared" ca="1" si="708"/>
        <v>-390</v>
      </c>
      <c r="D2242" s="112" t="s">
        <v>1866</v>
      </c>
      <c r="E2242" s="279" t="s">
        <v>611</v>
      </c>
      <c r="F2242" s="98" t="str">
        <f t="shared" si="709"/>
        <v>A</v>
      </c>
      <c r="G2242" s="110">
        <f ca="1">SUMIF($A:E,$A2242,K:K)</f>
        <v>0</v>
      </c>
      <c r="H2242" s="97" t="s">
        <v>601</v>
      </c>
      <c r="I2242" s="98">
        <v>64</v>
      </c>
      <c r="J2242" s="115">
        <v>64</v>
      </c>
      <c r="K2242" s="144">
        <f t="shared" si="703"/>
        <v>0</v>
      </c>
      <c r="L2242" s="144">
        <f t="shared" si="713"/>
        <v>64</v>
      </c>
      <c r="M2242" s="275">
        <f t="shared" si="710"/>
        <v>64</v>
      </c>
      <c r="N2242" s="98" t="s">
        <v>1776</v>
      </c>
      <c r="O2242" s="93">
        <f t="shared" si="712"/>
        <v>0</v>
      </c>
      <c r="ON2242" s="100">
        <f t="shared" si="689"/>
        <v>0</v>
      </c>
    </row>
    <row r="2243" spans="1:404" ht="23.25" customHeight="1">
      <c r="A2243" s="97" t="str">
        <f t="shared" si="707"/>
        <v>048/VG_SR-21(METRO)66-02500-S2-A</v>
      </c>
      <c r="B2243" s="95">
        <v>44418</v>
      </c>
      <c r="C2243" s="97">
        <f t="shared" ca="1" si="708"/>
        <v>-646</v>
      </c>
      <c r="D2243" s="112" t="s">
        <v>1523</v>
      </c>
      <c r="E2243" s="123" t="s">
        <v>684</v>
      </c>
      <c r="F2243" s="98" t="str">
        <f t="shared" si="709"/>
        <v>A</v>
      </c>
      <c r="G2243" s="110">
        <f ca="1">SUMIF($A:E,$A2243,K:K)</f>
        <v>1</v>
      </c>
      <c r="H2243" s="112" t="s">
        <v>1525</v>
      </c>
      <c r="I2243" s="98">
        <v>1</v>
      </c>
      <c r="J2243" s="99">
        <v>1</v>
      </c>
      <c r="K2243" s="143">
        <f t="shared" si="703"/>
        <v>1</v>
      </c>
      <c r="L2243" s="144">
        <f t="shared" si="713"/>
        <v>0</v>
      </c>
      <c r="M2243" s="275">
        <f t="shared" si="710"/>
        <v>2</v>
      </c>
      <c r="N2243" s="98">
        <v>1</v>
      </c>
      <c r="O2243" s="93">
        <f t="shared" ref="O2243:O2276" si="714">K2243/J2243*100</f>
        <v>100</v>
      </c>
      <c r="HD2243" s="100">
        <v>1</v>
      </c>
      <c r="ON2243" s="100">
        <f t="shared" si="689"/>
        <v>0</v>
      </c>
    </row>
    <row r="2244" spans="1:404" ht="23.25" customHeight="1">
      <c r="A2244" s="97" t="str">
        <f t="shared" si="707"/>
        <v>001/METRO-VG_SR-2166-02500-S2-A</v>
      </c>
      <c r="B2244" s="95">
        <v>44418</v>
      </c>
      <c r="C2244" s="97">
        <f t="shared" ca="1" si="708"/>
        <v>-646</v>
      </c>
      <c r="D2244" s="112" t="s">
        <v>1526</v>
      </c>
      <c r="E2244" s="123" t="s">
        <v>684</v>
      </c>
      <c r="F2244" s="98" t="str">
        <f t="shared" si="709"/>
        <v>A</v>
      </c>
      <c r="G2244" s="110">
        <f ca="1">SUMIF($A:E,$A2244,K:K)</f>
        <v>2</v>
      </c>
      <c r="H2244" s="112" t="s">
        <v>1525</v>
      </c>
      <c r="I2244" s="98">
        <v>2</v>
      </c>
      <c r="J2244" s="99">
        <v>2</v>
      </c>
      <c r="K2244" s="160">
        <f t="shared" si="703"/>
        <v>2</v>
      </c>
      <c r="L2244" s="151">
        <f t="shared" si="713"/>
        <v>0</v>
      </c>
      <c r="M2244" s="275">
        <f t="shared" si="710"/>
        <v>4</v>
      </c>
      <c r="N2244" s="98">
        <v>1</v>
      </c>
      <c r="O2244" s="93">
        <f t="shared" si="714"/>
        <v>100</v>
      </c>
      <c r="HB2244" s="100">
        <v>1</v>
      </c>
      <c r="HD2244" s="100">
        <v>1</v>
      </c>
      <c r="ON2244" s="100">
        <f t="shared" ref="ON2244:ON2307" si="715">SUM(NS2244:OM2244)</f>
        <v>0</v>
      </c>
    </row>
    <row r="2245" spans="1:404" ht="23.25" customHeight="1">
      <c r="A2245" s="127" t="str">
        <f t="shared" si="707"/>
        <v>003/ANNA-VG-21(đ1)66-02500-S2-A</v>
      </c>
      <c r="B2245" s="95">
        <v>44545</v>
      </c>
      <c r="C2245" s="97">
        <f t="shared" ca="1" si="708"/>
        <v>-519</v>
      </c>
      <c r="D2245" s="208" t="s">
        <v>1622</v>
      </c>
      <c r="E2245" s="282" t="s">
        <v>684</v>
      </c>
      <c r="F2245" s="132" t="str">
        <f t="shared" si="709"/>
        <v>A</v>
      </c>
      <c r="G2245" s="130">
        <f ca="1">SUMIF($A:E,$A2245,K:K)</f>
        <v>36</v>
      </c>
      <c r="H2245" s="208" t="s">
        <v>990</v>
      </c>
      <c r="I2245" s="98">
        <v>36</v>
      </c>
      <c r="J2245" s="134">
        <v>36</v>
      </c>
      <c r="K2245" s="160">
        <f t="shared" si="703"/>
        <v>36</v>
      </c>
      <c r="L2245" s="151">
        <f t="shared" si="713"/>
        <v>0</v>
      </c>
      <c r="M2245" s="275">
        <f t="shared" si="710"/>
        <v>72</v>
      </c>
      <c r="N2245" s="98" t="s">
        <v>1776</v>
      </c>
      <c r="O2245" s="228">
        <f t="shared" si="714"/>
        <v>100</v>
      </c>
      <c r="LD2245" s="100">
        <v>2</v>
      </c>
      <c r="LF2245" s="100">
        <v>5</v>
      </c>
      <c r="LI2245" s="100">
        <v>7</v>
      </c>
      <c r="LK2245" s="100">
        <v>6</v>
      </c>
      <c r="LL2245" s="100">
        <v>3</v>
      </c>
      <c r="LM2245" s="100">
        <v>3</v>
      </c>
      <c r="LN2245" s="100">
        <v>2</v>
      </c>
      <c r="LP2245" s="100">
        <v>3</v>
      </c>
      <c r="LQ2245" s="100">
        <v>4</v>
      </c>
      <c r="LT2245" s="100">
        <v>1</v>
      </c>
      <c r="ON2245" s="100">
        <f t="shared" si="715"/>
        <v>0</v>
      </c>
    </row>
    <row r="2246" spans="1:404" ht="23.25" customHeight="1">
      <c r="A2246" s="97" t="str">
        <f t="shared" si="707"/>
        <v>023/METRO-VG-2166-02500-02-A</v>
      </c>
      <c r="B2246" s="95">
        <v>44504</v>
      </c>
      <c r="C2246" s="97">
        <f t="shared" ca="1" si="708"/>
        <v>-560</v>
      </c>
      <c r="D2246" s="96" t="s">
        <v>1746</v>
      </c>
      <c r="E2246" s="280" t="s">
        <v>1747</v>
      </c>
      <c r="F2246" s="98" t="str">
        <f t="shared" si="709"/>
        <v>A</v>
      </c>
      <c r="G2246" s="110">
        <f ca="1">SUMIF($A:E,$A2246,K:K)</f>
        <v>192</v>
      </c>
      <c r="H2246" s="97" t="s">
        <v>1743</v>
      </c>
      <c r="I2246" s="98">
        <v>192</v>
      </c>
      <c r="J2246" s="99">
        <v>192</v>
      </c>
      <c r="K2246" s="160">
        <f t="shared" si="703"/>
        <v>192</v>
      </c>
      <c r="L2246" s="151">
        <f t="shared" si="713"/>
        <v>0</v>
      </c>
      <c r="M2246" s="275">
        <f t="shared" si="710"/>
        <v>192</v>
      </c>
      <c r="N2246" s="98" t="s">
        <v>1776</v>
      </c>
      <c r="O2246" s="93">
        <f t="shared" si="714"/>
        <v>100</v>
      </c>
      <c r="JQ2246" s="100">
        <v>10</v>
      </c>
      <c r="JT2246" s="100">
        <v>14</v>
      </c>
      <c r="JU2246" s="100">
        <v>13</v>
      </c>
      <c r="JV2246" s="100">
        <v>14</v>
      </c>
      <c r="JW2246" s="100">
        <v>9</v>
      </c>
      <c r="JX2246" s="100">
        <v>6</v>
      </c>
      <c r="JY2246" s="100">
        <v>1</v>
      </c>
      <c r="KA2246" s="100">
        <v>31</v>
      </c>
      <c r="KB2246" s="100">
        <v>7</v>
      </c>
      <c r="KC2246" s="100">
        <v>8</v>
      </c>
      <c r="KD2246" s="100">
        <v>5</v>
      </c>
      <c r="KE2246" s="100">
        <v>9</v>
      </c>
      <c r="KF2246" s="100">
        <v>14</v>
      </c>
      <c r="KG2246" s="100">
        <v>11</v>
      </c>
      <c r="KH2246" s="100">
        <v>6</v>
      </c>
      <c r="KI2246" s="100">
        <v>16</v>
      </c>
      <c r="KJ2246" s="100">
        <v>18</v>
      </c>
      <c r="ON2246" s="100">
        <f t="shared" si="715"/>
        <v>0</v>
      </c>
    </row>
    <row r="2247" spans="1:404" ht="23.25" customHeight="1">
      <c r="A2247" s="97" t="str">
        <f t="shared" si="707"/>
        <v>023/METRO-VG-2166-02500-01-A</v>
      </c>
      <c r="B2247" s="95">
        <v>44504</v>
      </c>
      <c r="C2247" s="97">
        <f t="shared" ca="1" si="708"/>
        <v>-560</v>
      </c>
      <c r="D2247" s="112" t="s">
        <v>1746</v>
      </c>
      <c r="E2247" s="279" t="s">
        <v>835</v>
      </c>
      <c r="F2247" s="98" t="str">
        <f t="shared" si="709"/>
        <v>A</v>
      </c>
      <c r="G2247" s="110">
        <f ca="1">SUMIF($A:E,$A2247,K:K)</f>
        <v>192</v>
      </c>
      <c r="H2247" s="97" t="s">
        <v>1878</v>
      </c>
      <c r="I2247" s="98">
        <v>192</v>
      </c>
      <c r="J2247" s="115">
        <v>192</v>
      </c>
      <c r="K2247" s="160">
        <f t="shared" si="703"/>
        <v>192</v>
      </c>
      <c r="L2247" s="151">
        <f t="shared" si="713"/>
        <v>0</v>
      </c>
      <c r="M2247" s="275">
        <f t="shared" si="710"/>
        <v>192</v>
      </c>
      <c r="N2247" s="98" t="s">
        <v>1776</v>
      </c>
      <c r="O2247" s="93">
        <f t="shared" si="714"/>
        <v>100</v>
      </c>
      <c r="JQ2247" s="100">
        <v>10</v>
      </c>
      <c r="JT2247" s="100">
        <v>14</v>
      </c>
      <c r="JU2247" s="100">
        <v>13</v>
      </c>
      <c r="JV2247" s="100">
        <v>14</v>
      </c>
      <c r="JW2247" s="100">
        <v>9</v>
      </c>
      <c r="JX2247" s="100">
        <v>6</v>
      </c>
      <c r="JY2247" s="100">
        <v>1</v>
      </c>
      <c r="KA2247" s="100">
        <v>31</v>
      </c>
      <c r="KB2247" s="100">
        <v>7</v>
      </c>
      <c r="KC2247" s="100">
        <v>8</v>
      </c>
      <c r="KD2247" s="100">
        <v>5</v>
      </c>
      <c r="KE2247" s="100">
        <v>9</v>
      </c>
      <c r="KF2247" s="100">
        <v>14</v>
      </c>
      <c r="KG2247" s="100">
        <v>11</v>
      </c>
      <c r="KH2247" s="100">
        <v>6</v>
      </c>
      <c r="KI2247" s="100">
        <v>16</v>
      </c>
      <c r="KJ2247" s="100">
        <v>18</v>
      </c>
      <c r="ON2247" s="100">
        <f t="shared" si="715"/>
        <v>0</v>
      </c>
    </row>
    <row r="2248" spans="1:404" ht="23.25" customHeight="1">
      <c r="A2248" s="97" t="str">
        <f t="shared" si="707"/>
        <v>52_SR-21(OBI)66-02300-03-B</v>
      </c>
      <c r="B2248" s="95">
        <v>44437</v>
      </c>
      <c r="C2248" s="97">
        <f t="shared" ca="1" si="708"/>
        <v>-627</v>
      </c>
      <c r="D2248" s="96" t="s">
        <v>1760</v>
      </c>
      <c r="E2248" s="94" t="s">
        <v>1761</v>
      </c>
      <c r="F2248" s="98" t="str">
        <f t="shared" si="709"/>
        <v>B</v>
      </c>
      <c r="G2248" s="110">
        <f ca="1">SUMIF($A:E,$A2248,K:K)</f>
        <v>1</v>
      </c>
      <c r="H2248" s="97" t="s">
        <v>1691</v>
      </c>
      <c r="I2248" s="98">
        <v>1</v>
      </c>
      <c r="J2248" s="99">
        <v>1</v>
      </c>
      <c r="K2248" s="160">
        <f t="shared" si="703"/>
        <v>1</v>
      </c>
      <c r="L2248" s="151">
        <f t="shared" si="713"/>
        <v>0</v>
      </c>
      <c r="M2248" s="275">
        <f t="shared" si="710"/>
        <v>1</v>
      </c>
      <c r="N2248" s="98">
        <v>1</v>
      </c>
      <c r="O2248" s="93">
        <f t="shared" si="714"/>
        <v>100</v>
      </c>
      <c r="HT2248" s="100">
        <v>1</v>
      </c>
      <c r="ON2248" s="100">
        <f t="shared" si="715"/>
        <v>0</v>
      </c>
    </row>
    <row r="2249" spans="1:404" ht="23.25" customHeight="1">
      <c r="A2249" s="127" t="str">
        <f t="shared" si="707"/>
        <v>040/VG_SR-21( MMAX)66-01737-L3-B4</v>
      </c>
      <c r="B2249" s="126">
        <v>44397</v>
      </c>
      <c r="C2249" s="97">
        <f t="shared" ca="1" si="708"/>
        <v>-667</v>
      </c>
      <c r="D2249" s="208" t="s">
        <v>1299</v>
      </c>
      <c r="E2249" s="226" t="s">
        <v>1300</v>
      </c>
      <c r="F2249" s="132" t="str">
        <f t="shared" si="709"/>
        <v>B4</v>
      </c>
      <c r="G2249" s="130">
        <f ca="1">SUMIF($A:E,$A2249,K:K)</f>
        <v>2</v>
      </c>
      <c r="H2249" s="127" t="s">
        <v>508</v>
      </c>
      <c r="I2249" s="98">
        <v>2</v>
      </c>
      <c r="J2249" s="131">
        <v>2</v>
      </c>
      <c r="K2249" s="160">
        <f t="shared" si="703"/>
        <v>2</v>
      </c>
      <c r="L2249" s="151">
        <f t="shared" si="713"/>
        <v>0</v>
      </c>
      <c r="M2249" s="275">
        <f t="shared" si="710"/>
        <v>6</v>
      </c>
      <c r="N2249" s="132">
        <v>2</v>
      </c>
      <c r="O2249" s="93">
        <f t="shared" si="714"/>
        <v>100</v>
      </c>
      <c r="GJ2249" s="100">
        <v>1</v>
      </c>
      <c r="GL2249" s="100">
        <v>1</v>
      </c>
      <c r="ON2249" s="100">
        <f t="shared" si="715"/>
        <v>0</v>
      </c>
    </row>
    <row r="2250" spans="1:404" ht="23.25" customHeight="1">
      <c r="A2250" s="97" t="str">
        <f>D2250&amp;E2251</f>
        <v>001T/MMAX-2166-01737-B3-B4</v>
      </c>
      <c r="B2250" s="95">
        <v>44406</v>
      </c>
      <c r="C2250" s="101">
        <f t="shared" ca="1" si="708"/>
        <v>-658</v>
      </c>
      <c r="D2250" s="96" t="s">
        <v>1179</v>
      </c>
      <c r="E2250" s="94" t="s">
        <v>1180</v>
      </c>
      <c r="F2250" s="98" t="str">
        <f t="shared" si="709"/>
        <v>B4</v>
      </c>
      <c r="G2250" s="110">
        <f ca="1">SUMIF($A:E,$A2250,K:K)</f>
        <v>120</v>
      </c>
      <c r="H2250" s="97" t="s">
        <v>933</v>
      </c>
      <c r="I2250" s="98">
        <v>120</v>
      </c>
      <c r="J2250" s="99">
        <v>120</v>
      </c>
      <c r="K2250" s="143">
        <f t="shared" si="703"/>
        <v>120</v>
      </c>
      <c r="L2250" s="144">
        <f t="shared" si="713"/>
        <v>0</v>
      </c>
      <c r="M2250" s="275">
        <f t="shared" si="710"/>
        <v>360</v>
      </c>
      <c r="N2250" s="98">
        <v>2</v>
      </c>
      <c r="O2250" s="93">
        <f t="shared" si="714"/>
        <v>100</v>
      </c>
      <c r="GB2250" s="100">
        <v>5</v>
      </c>
      <c r="GC2250" s="100">
        <v>4</v>
      </c>
      <c r="GG2250" s="100">
        <v>1</v>
      </c>
      <c r="GH2250" s="100">
        <v>8</v>
      </c>
      <c r="GI2250" s="100">
        <v>13</v>
      </c>
      <c r="GJ2250" s="100">
        <v>23</v>
      </c>
      <c r="GK2250" s="100">
        <v>5</v>
      </c>
      <c r="GL2250" s="100">
        <v>6</v>
      </c>
      <c r="GN2250" s="100">
        <v>21</v>
      </c>
      <c r="GP2250" s="100">
        <v>16</v>
      </c>
      <c r="GQ2250" s="100">
        <v>13</v>
      </c>
      <c r="GR2250" s="100">
        <v>5</v>
      </c>
      <c r="ON2250" s="100">
        <f t="shared" si="715"/>
        <v>0</v>
      </c>
    </row>
    <row r="2251" spans="1:404" ht="23.25" customHeight="1">
      <c r="A2251" s="97" t="str">
        <f>D2251&amp;E2252</f>
        <v>002/HOMESENSE-2166-01737-B3-B4</v>
      </c>
      <c r="B2251" s="95">
        <v>44569</v>
      </c>
      <c r="C2251" s="97">
        <f t="shared" ca="1" si="708"/>
        <v>-495</v>
      </c>
      <c r="D2251" s="96" t="s">
        <v>1224</v>
      </c>
      <c r="E2251" s="94" t="s">
        <v>1180</v>
      </c>
      <c r="F2251" s="132" t="str">
        <f t="shared" si="709"/>
        <v>B4</v>
      </c>
      <c r="G2251" s="130">
        <f ca="1">SUMIF($A:E,$A2251,K:K)</f>
        <v>240</v>
      </c>
      <c r="H2251" s="97" t="s">
        <v>508</v>
      </c>
      <c r="I2251" s="98">
        <v>240</v>
      </c>
      <c r="J2251" s="97">
        <v>240</v>
      </c>
      <c r="K2251" s="143">
        <f t="shared" si="703"/>
        <v>240</v>
      </c>
      <c r="L2251" s="144">
        <f t="shared" si="713"/>
        <v>0</v>
      </c>
      <c r="M2251" s="275">
        <f t="shared" si="710"/>
        <v>720</v>
      </c>
      <c r="N2251" s="98">
        <v>2</v>
      </c>
      <c r="O2251" s="93">
        <f t="shared" si="714"/>
        <v>100</v>
      </c>
      <c r="LY2251" s="100">
        <v>8</v>
      </c>
      <c r="LZ2251" s="100">
        <v>10</v>
      </c>
      <c r="MA2251" s="100">
        <v>10</v>
      </c>
      <c r="MB2251" s="100">
        <v>1</v>
      </c>
      <c r="MD2251" s="100">
        <v>9</v>
      </c>
      <c r="ME2251" s="100">
        <v>9</v>
      </c>
      <c r="MF2251" s="100">
        <v>17</v>
      </c>
      <c r="MG2251" s="100">
        <v>17</v>
      </c>
      <c r="MH2251" s="100">
        <v>10</v>
      </c>
      <c r="MK2251" s="100">
        <v>19</v>
      </c>
      <c r="ML2251" s="100">
        <v>1</v>
      </c>
      <c r="MM2251" s="100">
        <v>10</v>
      </c>
      <c r="MN2251" s="100">
        <v>10</v>
      </c>
      <c r="MO2251" s="100">
        <v>18</v>
      </c>
      <c r="MP2251" s="100">
        <v>80</v>
      </c>
      <c r="MQ2251" s="100">
        <v>6</v>
      </c>
      <c r="MU2251" s="100">
        <v>1</v>
      </c>
      <c r="ND2251" s="100">
        <v>4</v>
      </c>
      <c r="ON2251" s="100">
        <f t="shared" si="715"/>
        <v>0</v>
      </c>
    </row>
    <row r="2252" spans="1:404" ht="23.25" customHeight="1">
      <c r="A2252" s="97" t="str">
        <f>D2252&amp;E2253</f>
        <v>003/MARSHALLS-2166-01737-B3-B4</v>
      </c>
      <c r="B2252" s="95">
        <v>44480</v>
      </c>
      <c r="C2252" s="97">
        <f t="shared" ca="1" si="708"/>
        <v>-584</v>
      </c>
      <c r="D2252" s="96" t="s">
        <v>1252</v>
      </c>
      <c r="E2252" s="94" t="s">
        <v>1180</v>
      </c>
      <c r="F2252" s="98" t="str">
        <f t="shared" si="709"/>
        <v>B4</v>
      </c>
      <c r="G2252" s="110">
        <f ca="1">SUMIF($A:E,$A2252,K:K)</f>
        <v>392</v>
      </c>
      <c r="H2252" s="97" t="s">
        <v>508</v>
      </c>
      <c r="I2252" s="98">
        <v>392</v>
      </c>
      <c r="J2252" s="97">
        <v>392</v>
      </c>
      <c r="K2252" s="143">
        <f t="shared" si="703"/>
        <v>392</v>
      </c>
      <c r="L2252" s="144">
        <f t="shared" si="713"/>
        <v>0</v>
      </c>
      <c r="M2252" s="275">
        <f t="shared" si="710"/>
        <v>1176</v>
      </c>
      <c r="N2252" s="98">
        <v>2</v>
      </c>
      <c r="O2252" s="93">
        <f t="shared" si="714"/>
        <v>100</v>
      </c>
      <c r="IS2252" s="100">
        <v>9</v>
      </c>
      <c r="IT2252" s="100">
        <v>3</v>
      </c>
      <c r="IU2252" s="100">
        <v>28</v>
      </c>
      <c r="IV2252" s="100">
        <v>1</v>
      </c>
      <c r="IW2252" s="100">
        <v>17</v>
      </c>
      <c r="IY2252" s="100">
        <v>19</v>
      </c>
      <c r="IZ2252" s="100">
        <v>27</v>
      </c>
      <c r="JA2252" s="100">
        <v>37</v>
      </c>
      <c r="JB2252" s="100">
        <v>16</v>
      </c>
      <c r="JC2252" s="100">
        <v>5</v>
      </c>
      <c r="JF2252" s="100">
        <f>19+24</f>
        <v>43</v>
      </c>
      <c r="JG2252" s="100">
        <v>10</v>
      </c>
      <c r="JH2252" s="100">
        <v>21</v>
      </c>
      <c r="JI2252" s="100">
        <v>22</v>
      </c>
      <c r="JJ2252" s="100">
        <v>30</v>
      </c>
      <c r="JK2252" s="100">
        <v>39</v>
      </c>
      <c r="JM2252" s="100">
        <v>25</v>
      </c>
      <c r="JN2252" s="100">
        <v>40</v>
      </c>
      <c r="ON2252" s="100">
        <f t="shared" si="715"/>
        <v>0</v>
      </c>
    </row>
    <row r="2253" spans="1:404" ht="23.25" customHeight="1">
      <c r="A2253" s="97" t="str">
        <f>D2253&amp;E2254</f>
        <v>003/TJ MAXX-2166-01737-B3-B4</v>
      </c>
      <c r="B2253" s="95">
        <v>44472</v>
      </c>
      <c r="C2253" s="101">
        <f t="shared" ca="1" si="708"/>
        <v>-592</v>
      </c>
      <c r="D2253" s="96" t="s">
        <v>1253</v>
      </c>
      <c r="E2253" s="94" t="s">
        <v>1180</v>
      </c>
      <c r="F2253" s="98" t="str">
        <f t="shared" si="709"/>
        <v>B4</v>
      </c>
      <c r="G2253" s="110">
        <f ca="1">SUMIF($A:E,$A2253,K:K)</f>
        <v>584</v>
      </c>
      <c r="H2253" s="97" t="s">
        <v>508</v>
      </c>
      <c r="I2253" s="98">
        <v>584</v>
      </c>
      <c r="J2253" s="97">
        <v>584</v>
      </c>
      <c r="K2253" s="143">
        <f t="shared" si="703"/>
        <v>584</v>
      </c>
      <c r="L2253" s="144">
        <f t="shared" si="713"/>
        <v>0</v>
      </c>
      <c r="M2253" s="275">
        <f t="shared" si="710"/>
        <v>1752</v>
      </c>
      <c r="N2253" s="98">
        <v>2</v>
      </c>
      <c r="O2253" s="93">
        <f t="shared" si="714"/>
        <v>100</v>
      </c>
      <c r="GR2253" s="100">
        <v>5</v>
      </c>
      <c r="GS2253" s="100">
        <v>13</v>
      </c>
      <c r="GU2253" s="100">
        <v>10</v>
      </c>
      <c r="GV2253" s="100">
        <v>22</v>
      </c>
      <c r="GW2253" s="100">
        <v>3</v>
      </c>
      <c r="GX2253" s="100">
        <v>3</v>
      </c>
      <c r="GY2253" s="100">
        <v>19</v>
      </c>
      <c r="GZ2253" s="100">
        <v>11</v>
      </c>
      <c r="HB2253" s="100">
        <v>14</v>
      </c>
      <c r="HC2253" s="100">
        <v>7</v>
      </c>
      <c r="HD2253" s="100">
        <v>17</v>
      </c>
      <c r="HE2253" s="100">
        <v>10</v>
      </c>
      <c r="HF2253" s="100">
        <v>18</v>
      </c>
      <c r="HG2253" s="100">
        <v>20</v>
      </c>
      <c r="HI2253" s="100">
        <v>16</v>
      </c>
      <c r="HJ2253" s="100">
        <v>18</v>
      </c>
      <c r="HK2253" s="100">
        <v>7</v>
      </c>
      <c r="HL2253" s="100">
        <v>11</v>
      </c>
      <c r="HM2253" s="100">
        <v>16</v>
      </c>
      <c r="HN2253" s="100">
        <v>16</v>
      </c>
      <c r="HP2253" s="100">
        <v>15</v>
      </c>
      <c r="HQ2253" s="100">
        <v>10</v>
      </c>
      <c r="HR2253" s="100">
        <v>22</v>
      </c>
      <c r="HS2253" s="100">
        <v>21</v>
      </c>
      <c r="HU2253" s="100">
        <v>10</v>
      </c>
      <c r="HW2253" s="100">
        <v>18</v>
      </c>
      <c r="HX2253" s="100">
        <v>11</v>
      </c>
      <c r="HY2253" s="100">
        <v>9</v>
      </c>
      <c r="IB2253" s="100">
        <v>9</v>
      </c>
      <c r="ID2253" s="100">
        <v>7</v>
      </c>
      <c r="IE2253" s="100">
        <v>6</v>
      </c>
      <c r="IF2253" s="100">
        <v>29</v>
      </c>
      <c r="IG2253" s="100">
        <v>17</v>
      </c>
      <c r="IH2253" s="100">
        <v>10</v>
      </c>
      <c r="II2253" s="100">
        <v>12</v>
      </c>
      <c r="IL2253" s="100">
        <v>14</v>
      </c>
      <c r="IN2253" s="100">
        <v>35</v>
      </c>
      <c r="IO2253" s="100">
        <v>10</v>
      </c>
      <c r="IP2253" s="100">
        <v>15</v>
      </c>
      <c r="IR2253" s="100">
        <v>5</v>
      </c>
      <c r="IS2253" s="100">
        <v>43</v>
      </c>
      <c r="ON2253" s="100">
        <f t="shared" si="715"/>
        <v>0</v>
      </c>
    </row>
    <row r="2254" spans="1:404" ht="23.25" customHeight="1">
      <c r="A2254" s="97" t="str">
        <f>D2254&amp;E2254</f>
        <v>003/TK MAXX-2166-01737-B3-B4</v>
      </c>
      <c r="B2254" s="95" t="s">
        <v>1278</v>
      </c>
      <c r="C2254" s="97">
        <f t="shared" ca="1" si="708"/>
        <v>-538</v>
      </c>
      <c r="D2254" s="96" t="s">
        <v>1279</v>
      </c>
      <c r="E2254" s="94" t="s">
        <v>1180</v>
      </c>
      <c r="F2254" s="98" t="str">
        <f t="shared" si="709"/>
        <v>B4</v>
      </c>
      <c r="G2254" s="110">
        <f ca="1">SUMIF($A:E,$A2254,K:K)</f>
        <v>352</v>
      </c>
      <c r="H2254" s="97" t="s">
        <v>933</v>
      </c>
      <c r="I2254" s="98">
        <v>352</v>
      </c>
      <c r="J2254" s="97">
        <v>352</v>
      </c>
      <c r="K2254" s="143">
        <f t="shared" si="703"/>
        <v>352</v>
      </c>
      <c r="L2254" s="144">
        <f t="shared" si="713"/>
        <v>0</v>
      </c>
      <c r="M2254" s="275">
        <f t="shared" si="710"/>
        <v>1056</v>
      </c>
      <c r="N2254" s="98">
        <v>2</v>
      </c>
      <c r="O2254" s="93">
        <f t="shared" si="714"/>
        <v>100</v>
      </c>
      <c r="JQ2254" s="100">
        <v>13</v>
      </c>
      <c r="JT2254" s="100">
        <v>29</v>
      </c>
      <c r="JU2254" s="100">
        <v>17</v>
      </c>
      <c r="JV2254" s="100">
        <v>13</v>
      </c>
      <c r="JX2254" s="100">
        <v>15</v>
      </c>
      <c r="JY2254" s="100">
        <f>8+14</f>
        <v>22</v>
      </c>
      <c r="KA2254" s="100">
        <v>20</v>
      </c>
      <c r="KB2254" s="100">
        <v>14</v>
      </c>
      <c r="KC2254" s="100">
        <v>10</v>
      </c>
      <c r="KD2254" s="100">
        <v>10</v>
      </c>
      <c r="KE2254" s="100">
        <v>18</v>
      </c>
      <c r="KG2254" s="100">
        <v>14</v>
      </c>
      <c r="KH2254" s="100">
        <v>9</v>
      </c>
      <c r="KI2254" s="100">
        <v>8</v>
      </c>
      <c r="KJ2254" s="100">
        <v>7</v>
      </c>
      <c r="KN2254" s="100">
        <v>9</v>
      </c>
      <c r="KO2254" s="100">
        <v>17</v>
      </c>
      <c r="KP2254" s="100">
        <v>10</v>
      </c>
      <c r="KQ2254" s="100">
        <v>8</v>
      </c>
      <c r="KU2254" s="100">
        <v>4</v>
      </c>
      <c r="KY2254" s="100">
        <v>19</v>
      </c>
      <c r="KZ2254" s="100">
        <v>9</v>
      </c>
      <c r="LB2254" s="100">
        <v>10</v>
      </c>
      <c r="LC2254" s="100">
        <v>10</v>
      </c>
      <c r="LD2254" s="100">
        <v>26</v>
      </c>
      <c r="LF2254" s="100">
        <v>11</v>
      </c>
      <c r="ON2254" s="100">
        <f t="shared" si="715"/>
        <v>0</v>
      </c>
    </row>
    <row r="2255" spans="1:404" ht="23.25" customHeight="1">
      <c r="A2255" s="127" t="str">
        <f>D2255&amp;E2255</f>
        <v>004/TK MAXX-2166-01737-B3-B4</v>
      </c>
      <c r="B2255" s="95">
        <v>44540</v>
      </c>
      <c r="C2255" s="97">
        <f t="shared" ca="1" si="708"/>
        <v>-524</v>
      </c>
      <c r="D2255" s="128" t="s">
        <v>1292</v>
      </c>
      <c r="E2255" s="129" t="s">
        <v>1180</v>
      </c>
      <c r="F2255" s="132" t="str">
        <f t="shared" si="709"/>
        <v>B4</v>
      </c>
      <c r="G2255" s="130">
        <f ca="1">SUMIF($A:E,$A2255,K:K)</f>
        <v>160</v>
      </c>
      <c r="H2255" s="127" t="s">
        <v>933</v>
      </c>
      <c r="I2255" s="98">
        <v>160</v>
      </c>
      <c r="J2255" s="132">
        <v>160</v>
      </c>
      <c r="K2255" s="160">
        <f t="shared" si="703"/>
        <v>160</v>
      </c>
      <c r="L2255" s="151">
        <f t="shared" si="713"/>
        <v>0</v>
      </c>
      <c r="M2255" s="275">
        <f t="shared" si="710"/>
        <v>480</v>
      </c>
      <c r="N2255" s="132">
        <v>2</v>
      </c>
      <c r="O2255" s="93">
        <f t="shared" si="714"/>
        <v>100</v>
      </c>
      <c r="LF2255" s="100">
        <v>11</v>
      </c>
      <c r="LG2255" s="100">
        <v>9</v>
      </c>
      <c r="LJ2255" s="100">
        <v>29</v>
      </c>
      <c r="LL2255" s="100">
        <v>9</v>
      </c>
      <c r="LN2255" s="100">
        <v>13</v>
      </c>
      <c r="LP2255" s="100">
        <v>31</v>
      </c>
      <c r="LQ2255" s="100">
        <v>19</v>
      </c>
      <c r="LR2255" s="100">
        <v>19</v>
      </c>
      <c r="LS2255" s="100">
        <v>20</v>
      </c>
      <c r="ON2255" s="100">
        <f t="shared" si="715"/>
        <v>0</v>
      </c>
    </row>
    <row r="2256" spans="1:404" ht="23.25" customHeight="1">
      <c r="A2256" s="97" t="s">
        <v>1370</v>
      </c>
      <c r="B2256" s="95">
        <v>44602</v>
      </c>
      <c r="C2256" s="138">
        <f t="shared" ca="1" si="708"/>
        <v>-462</v>
      </c>
      <c r="D2256" s="112" t="s">
        <v>2200</v>
      </c>
      <c r="E2256" s="123" t="s">
        <v>1180</v>
      </c>
      <c r="F2256" s="98" t="str">
        <f t="shared" si="709"/>
        <v>B4</v>
      </c>
      <c r="G2256" s="110">
        <f ca="1">SUMIF($A:E,$A2256,K:K)</f>
        <v>5654</v>
      </c>
      <c r="H2256" s="97" t="s">
        <v>508</v>
      </c>
      <c r="I2256" s="98">
        <v>56</v>
      </c>
      <c r="J2256" s="115">
        <v>56</v>
      </c>
      <c r="K2256" s="143">
        <f t="shared" si="703"/>
        <v>56</v>
      </c>
      <c r="L2256" s="144">
        <f t="shared" si="713"/>
        <v>0</v>
      </c>
      <c r="M2256" s="275">
        <f t="shared" si="710"/>
        <v>168</v>
      </c>
      <c r="N2256" s="98">
        <v>2</v>
      </c>
      <c r="O2256" s="93">
        <f t="shared" si="714"/>
        <v>100</v>
      </c>
      <c r="LS2256" s="100">
        <v>2</v>
      </c>
      <c r="LT2256" s="100">
        <v>27</v>
      </c>
      <c r="LU2256" s="100">
        <v>5</v>
      </c>
      <c r="LW2256" s="100">
        <v>10</v>
      </c>
      <c r="LX2256" s="100">
        <v>10</v>
      </c>
      <c r="LY2256" s="100">
        <v>2</v>
      </c>
      <c r="ON2256" s="100">
        <f t="shared" si="715"/>
        <v>0</v>
      </c>
    </row>
    <row r="2257" spans="1:404" ht="23.25" customHeight="1">
      <c r="A2257" s="97" t="str">
        <f>D2257&amp;E2258</f>
        <v>036/VG_SR-21(MMAX)66-01729-S4-B</v>
      </c>
      <c r="B2257" s="95">
        <v>44377</v>
      </c>
      <c r="C2257" s="97">
        <f t="shared" ref="C2257:C2286" ca="1" si="716">B2257-TODAY()</f>
        <v>-687</v>
      </c>
      <c r="D2257" s="96" t="s">
        <v>1184</v>
      </c>
      <c r="E2257" s="94" t="s">
        <v>1185</v>
      </c>
      <c r="F2257" s="98" t="str">
        <f t="shared" ref="F2257:F2286" si="717">MID(E2257,13,2)</f>
        <v>B4</v>
      </c>
      <c r="G2257" s="110">
        <f ca="1">SUMIF($A:E,$A2257,K:K)</f>
        <v>2</v>
      </c>
      <c r="H2257" s="97" t="s">
        <v>933</v>
      </c>
      <c r="I2257" s="98">
        <v>2</v>
      </c>
      <c r="J2257" s="99">
        <v>2</v>
      </c>
      <c r="K2257" s="143">
        <f t="shared" si="703"/>
        <v>2</v>
      </c>
      <c r="L2257" s="144">
        <f t="shared" si="713"/>
        <v>0</v>
      </c>
      <c r="M2257" s="275">
        <f t="shared" ref="M2257:M2286" si="718">IF(OR(MID(E2257,10,1)="0",MID(E2257,10,1)="F"),I2257,IF(OR(,MID(E2257,10,1)="S",MID(E2257,10,1)="L",MID(E2257,10,1)="B",MID(E2257,10,1)="X"),MID(E2257,11,1)*I2257,0))</f>
        <v>2</v>
      </c>
      <c r="N2257" s="98">
        <v>2</v>
      </c>
      <c r="O2257" s="93">
        <f t="shared" si="714"/>
        <v>100</v>
      </c>
      <c r="FQ2257" s="100">
        <v>1</v>
      </c>
      <c r="FS2257" s="100">
        <v>1</v>
      </c>
      <c r="ON2257" s="100">
        <f t="shared" si="715"/>
        <v>0</v>
      </c>
    </row>
    <row r="2258" spans="1:404" ht="23.25" customHeight="1">
      <c r="A2258" s="97" t="str">
        <f>D2258&amp;E2259</f>
        <v>001/TK MAXX-USA-2166-01729-S4-B</v>
      </c>
      <c r="B2258" s="95">
        <v>44602</v>
      </c>
      <c r="C2258" s="97">
        <f t="shared" ca="1" si="716"/>
        <v>-462</v>
      </c>
      <c r="D2258" s="112" t="s">
        <v>1363</v>
      </c>
      <c r="E2258" s="123" t="s">
        <v>1364</v>
      </c>
      <c r="F2258" s="98" t="str">
        <f t="shared" si="717"/>
        <v>B</v>
      </c>
      <c r="G2258" s="110">
        <f ca="1">SUMIF($A:E,$A2258,K:K)</f>
        <v>56</v>
      </c>
      <c r="H2258" s="97" t="s">
        <v>508</v>
      </c>
      <c r="I2258" s="98">
        <v>56</v>
      </c>
      <c r="J2258" s="115">
        <v>56</v>
      </c>
      <c r="K2258" s="143">
        <f t="shared" si="703"/>
        <v>56</v>
      </c>
      <c r="L2258" s="144">
        <f t="shared" si="713"/>
        <v>0</v>
      </c>
      <c r="M2258" s="275">
        <f t="shared" si="718"/>
        <v>224</v>
      </c>
      <c r="N2258" s="98">
        <v>3</v>
      </c>
      <c r="O2258" s="93">
        <f t="shared" si="714"/>
        <v>100</v>
      </c>
      <c r="MM2258" s="100">
        <v>16</v>
      </c>
      <c r="NI2258" s="100">
        <v>28</v>
      </c>
      <c r="NK2258" s="100">
        <v>11</v>
      </c>
      <c r="NM2258" s="100">
        <v>1</v>
      </c>
      <c r="ON2258" s="100">
        <f t="shared" si="715"/>
        <v>0</v>
      </c>
    </row>
    <row r="2259" spans="1:404" ht="23.25" customHeight="1">
      <c r="A2259" s="97" t="str">
        <f>D2259&amp;E2259</f>
        <v>001/SIERRA-2166-01729-S4-B</v>
      </c>
      <c r="B2259" s="206">
        <v>44523</v>
      </c>
      <c r="C2259" s="135">
        <f t="shared" ca="1" si="716"/>
        <v>-541</v>
      </c>
      <c r="D2259" s="208" t="s">
        <v>1369</v>
      </c>
      <c r="E2259" s="226" t="s">
        <v>1364</v>
      </c>
      <c r="F2259" s="132" t="str">
        <f t="shared" si="717"/>
        <v>B</v>
      </c>
      <c r="G2259" s="130">
        <f ca="1">SUMIF($A:E,$A2259,K:K)</f>
        <v>24</v>
      </c>
      <c r="H2259" s="127" t="s">
        <v>508</v>
      </c>
      <c r="I2259" s="98">
        <v>24</v>
      </c>
      <c r="J2259" s="134">
        <v>24</v>
      </c>
      <c r="K2259" s="160">
        <f t="shared" si="703"/>
        <v>24</v>
      </c>
      <c r="L2259" s="151">
        <f t="shared" si="713"/>
        <v>0</v>
      </c>
      <c r="M2259" s="275">
        <f t="shared" si="718"/>
        <v>96</v>
      </c>
      <c r="N2259" s="132">
        <v>4</v>
      </c>
      <c r="O2259" s="93">
        <f t="shared" si="714"/>
        <v>100</v>
      </c>
      <c r="HY2259" s="100">
        <v>3</v>
      </c>
      <c r="ID2259" s="100">
        <v>3</v>
      </c>
      <c r="IE2259" s="100">
        <v>5</v>
      </c>
      <c r="IG2259" s="100">
        <v>8</v>
      </c>
      <c r="IH2259" s="100">
        <v>4</v>
      </c>
      <c r="IL2259" s="100">
        <v>1</v>
      </c>
      <c r="ON2259" s="100">
        <f t="shared" si="715"/>
        <v>0</v>
      </c>
    </row>
    <row r="2260" spans="1:404" ht="23.25" customHeight="1">
      <c r="A2260" s="97" t="str">
        <f>D2260&amp;E2260</f>
        <v>006/HOMEGOODS-2166-01729-S4-B</v>
      </c>
      <c r="B2260" s="95">
        <v>44555</v>
      </c>
      <c r="C2260" s="97">
        <f t="shared" ca="1" si="716"/>
        <v>-509</v>
      </c>
      <c r="D2260" s="112" t="s">
        <v>1433</v>
      </c>
      <c r="E2260" s="123" t="s">
        <v>1364</v>
      </c>
      <c r="F2260" s="98" t="str">
        <f t="shared" si="717"/>
        <v>B</v>
      </c>
      <c r="G2260" s="110">
        <f ca="1">SUMIF($A:E,$A2260,K:K)</f>
        <v>512</v>
      </c>
      <c r="H2260" s="127" t="s">
        <v>616</v>
      </c>
      <c r="I2260" s="98">
        <v>512</v>
      </c>
      <c r="J2260" s="115">
        <v>512</v>
      </c>
      <c r="K2260" s="143">
        <f t="shared" si="703"/>
        <v>512</v>
      </c>
      <c r="L2260" s="144">
        <f t="shared" si="713"/>
        <v>0</v>
      </c>
      <c r="M2260" s="275">
        <f t="shared" si="718"/>
        <v>2048</v>
      </c>
      <c r="N2260" s="98">
        <v>3</v>
      </c>
      <c r="O2260" s="93">
        <f t="shared" si="714"/>
        <v>100</v>
      </c>
      <c r="KN2260" s="100">
        <v>3</v>
      </c>
      <c r="KO2260" s="100">
        <v>1</v>
      </c>
      <c r="KP2260" s="100">
        <v>20</v>
      </c>
      <c r="KQ2260" s="100">
        <v>10</v>
      </c>
      <c r="KR2260" s="100">
        <v>30</v>
      </c>
      <c r="KV2260" s="100">
        <v>20</v>
      </c>
      <c r="KW2260" s="100">
        <v>9</v>
      </c>
      <c r="KX2260" s="100">
        <v>11</v>
      </c>
      <c r="KY2260" s="100">
        <v>10</v>
      </c>
      <c r="KZ2260" s="100">
        <v>10</v>
      </c>
      <c r="LB2260" s="100">
        <v>10</v>
      </c>
      <c r="LC2260" s="100">
        <v>10</v>
      </c>
      <c r="LD2260" s="100">
        <v>20</v>
      </c>
      <c r="LE2260" s="100">
        <v>10</v>
      </c>
      <c r="LF2260" s="100">
        <v>10</v>
      </c>
      <c r="LG2260" s="100">
        <v>19</v>
      </c>
      <c r="LK2260" s="100">
        <v>9</v>
      </c>
      <c r="LL2260" s="100">
        <v>10</v>
      </c>
      <c r="LN2260" s="100">
        <v>19</v>
      </c>
      <c r="LP2260" s="100">
        <v>21</v>
      </c>
      <c r="LQ2260" s="100">
        <v>10</v>
      </c>
      <c r="LR2260" s="100">
        <v>10</v>
      </c>
      <c r="LS2260" s="100">
        <v>19</v>
      </c>
      <c r="LT2260" s="100">
        <v>20</v>
      </c>
      <c r="LU2260" s="100">
        <v>20</v>
      </c>
      <c r="LW2260" s="100">
        <v>16</v>
      </c>
      <c r="LX2260" s="100">
        <v>20</v>
      </c>
      <c r="LY2260" s="100">
        <v>20</v>
      </c>
      <c r="LZ2260" s="100">
        <v>20</v>
      </c>
      <c r="MA2260" s="100">
        <v>20</v>
      </c>
      <c r="MB2260" s="100">
        <v>20</v>
      </c>
      <c r="MD2260" s="100">
        <v>15</v>
      </c>
      <c r="ME2260" s="100">
        <v>20</v>
      </c>
      <c r="MF2260" s="100">
        <v>19</v>
      </c>
      <c r="MG2260" s="100">
        <v>1</v>
      </c>
      <c r="ON2260" s="100">
        <f t="shared" si="715"/>
        <v>0</v>
      </c>
    </row>
    <row r="2261" spans="1:404" ht="23.25" customHeight="1">
      <c r="A2261" s="97" t="str">
        <f>D2261&amp;E2262</f>
        <v>045/VG_SR-21( TJX)66-01729-B3-B</v>
      </c>
      <c r="B2261" s="95">
        <v>44398</v>
      </c>
      <c r="C2261" s="97">
        <f t="shared" ca="1" si="716"/>
        <v>-666</v>
      </c>
      <c r="D2261" s="112" t="s">
        <v>1406</v>
      </c>
      <c r="E2261" s="123" t="s">
        <v>1407</v>
      </c>
      <c r="F2261" s="98" t="str">
        <f t="shared" si="717"/>
        <v>B</v>
      </c>
      <c r="G2261" s="110">
        <f ca="1">SUMIF($A:E,$A2261,K:K)</f>
        <v>2</v>
      </c>
      <c r="H2261" s="112" t="s">
        <v>1405</v>
      </c>
      <c r="I2261" s="98">
        <v>2</v>
      </c>
      <c r="J2261" s="115">
        <v>2</v>
      </c>
      <c r="K2261" s="143">
        <f t="shared" si="703"/>
        <v>2</v>
      </c>
      <c r="L2261" s="144">
        <f t="shared" si="713"/>
        <v>0</v>
      </c>
      <c r="M2261" s="275">
        <f t="shared" si="718"/>
        <v>4</v>
      </c>
      <c r="N2261" s="98">
        <v>4</v>
      </c>
      <c r="O2261" s="93">
        <f t="shared" si="714"/>
        <v>100</v>
      </c>
      <c r="GI2261" s="100">
        <v>2</v>
      </c>
      <c r="ON2261" s="100">
        <f t="shared" si="715"/>
        <v>0</v>
      </c>
    </row>
    <row r="2262" spans="1:404" ht="23.25" customHeight="1">
      <c r="A2262" s="97" t="str">
        <f>D2262&amp;E2263</f>
        <v>004/HOMESENSE-2166-01729-B3-B</v>
      </c>
      <c r="B2262" s="95">
        <v>44571</v>
      </c>
      <c r="C2262" s="97">
        <f t="shared" ca="1" si="716"/>
        <v>-493</v>
      </c>
      <c r="D2262" s="96" t="s">
        <v>1255</v>
      </c>
      <c r="E2262" s="94" t="s">
        <v>1257</v>
      </c>
      <c r="F2262" s="98" t="str">
        <f t="shared" si="717"/>
        <v>B</v>
      </c>
      <c r="G2262" s="110">
        <f ca="1">SUMIF($A:E,$A2262,K:K)</f>
        <v>256</v>
      </c>
      <c r="H2262" s="97" t="s">
        <v>508</v>
      </c>
      <c r="I2262" s="98">
        <v>256</v>
      </c>
      <c r="J2262" s="97">
        <v>256</v>
      </c>
      <c r="K2262" s="143">
        <f t="shared" si="703"/>
        <v>256</v>
      </c>
      <c r="L2262" s="144">
        <f t="shared" ref="L2262:L2287" si="719">J2262-K2262</f>
        <v>0</v>
      </c>
      <c r="M2262" s="275">
        <f t="shared" si="718"/>
        <v>768</v>
      </c>
      <c r="N2262" s="98">
        <v>3</v>
      </c>
      <c r="O2262" s="93">
        <f t="shared" si="714"/>
        <v>100</v>
      </c>
      <c r="MG2262" s="100">
        <v>20</v>
      </c>
      <c r="MH2262" s="100">
        <v>21</v>
      </c>
      <c r="MK2262" s="100">
        <v>30</v>
      </c>
      <c r="ML2262" s="100">
        <v>29</v>
      </c>
      <c r="MM2262" s="100">
        <v>30</v>
      </c>
      <c r="MN2262" s="100">
        <v>30</v>
      </c>
      <c r="MO2262" s="100">
        <v>29</v>
      </c>
      <c r="MP2262" s="100">
        <v>31</v>
      </c>
      <c r="MQ2262" s="100">
        <v>27</v>
      </c>
      <c r="MR2262" s="100">
        <v>9</v>
      </c>
      <c r="ON2262" s="100">
        <f t="shared" si="715"/>
        <v>0</v>
      </c>
    </row>
    <row r="2263" spans="1:404" ht="23.25" customHeight="1">
      <c r="A2263" s="97" t="str">
        <f>D2263&amp;E2264</f>
        <v>005/TK MAXX-2166-01729-B3-B</v>
      </c>
      <c r="B2263" s="95" t="s">
        <v>1282</v>
      </c>
      <c r="C2263" s="97">
        <f t="shared" ca="1" si="716"/>
        <v>-508</v>
      </c>
      <c r="D2263" s="96" t="s">
        <v>1283</v>
      </c>
      <c r="E2263" s="94" t="s">
        <v>1257</v>
      </c>
      <c r="F2263" s="98" t="str">
        <f t="shared" si="717"/>
        <v>B</v>
      </c>
      <c r="G2263" s="110">
        <f ca="1">SUMIF($A:E,$A2263,K:K)</f>
        <v>384</v>
      </c>
      <c r="H2263" s="97" t="s">
        <v>933</v>
      </c>
      <c r="I2263" s="98">
        <v>384</v>
      </c>
      <c r="J2263" s="97">
        <v>384</v>
      </c>
      <c r="K2263" s="160">
        <f t="shared" si="703"/>
        <v>384</v>
      </c>
      <c r="L2263" s="151">
        <f t="shared" si="719"/>
        <v>0</v>
      </c>
      <c r="M2263" s="275">
        <f t="shared" si="718"/>
        <v>1152</v>
      </c>
      <c r="N2263" s="98">
        <v>6</v>
      </c>
      <c r="O2263" s="93">
        <f t="shared" si="714"/>
        <v>100</v>
      </c>
      <c r="JO2263" s="100">
        <v>14</v>
      </c>
      <c r="JP2263" s="100">
        <v>7</v>
      </c>
      <c r="JQ2263" s="100">
        <v>4</v>
      </c>
      <c r="JR2263" s="100">
        <v>2</v>
      </c>
      <c r="JT2263" s="100">
        <v>9</v>
      </c>
      <c r="JU2263" s="100">
        <v>3</v>
      </c>
      <c r="JV2263" s="100">
        <v>5</v>
      </c>
      <c r="JW2263" s="100">
        <v>5</v>
      </c>
      <c r="JX2263" s="100">
        <v>8</v>
      </c>
      <c r="JY2263" s="100">
        <v>1</v>
      </c>
      <c r="KA2263" s="100">
        <v>16</v>
      </c>
      <c r="KB2263" s="100">
        <v>13</v>
      </c>
      <c r="KC2263" s="100">
        <v>15</v>
      </c>
      <c r="KD2263" s="100">
        <v>8</v>
      </c>
      <c r="KE2263" s="100">
        <v>5</v>
      </c>
      <c r="KF2263" s="100">
        <v>5</v>
      </c>
      <c r="KG2263" s="100">
        <v>5</v>
      </c>
      <c r="KH2263" s="100">
        <v>8</v>
      </c>
      <c r="KI2263" s="100">
        <v>14</v>
      </c>
      <c r="KJ2263" s="100">
        <v>11</v>
      </c>
      <c r="KO2263" s="100">
        <v>6</v>
      </c>
      <c r="KP2263" s="100">
        <v>4</v>
      </c>
      <c r="KQ2263" s="100">
        <v>11</v>
      </c>
      <c r="KS2263" s="100">
        <v>16</v>
      </c>
      <c r="KU2263" s="100">
        <v>6</v>
      </c>
      <c r="KV2263" s="100">
        <v>6</v>
      </c>
      <c r="KW2263" s="100">
        <v>10</v>
      </c>
      <c r="KX2263" s="100">
        <v>11</v>
      </c>
      <c r="KY2263" s="100">
        <v>7</v>
      </c>
      <c r="KZ2263" s="100">
        <v>22</v>
      </c>
      <c r="LB2263" s="100">
        <v>5</v>
      </c>
      <c r="LC2263" s="100">
        <v>11</v>
      </c>
      <c r="LD2263" s="100">
        <v>7</v>
      </c>
      <c r="LE2263" s="100">
        <v>19</v>
      </c>
      <c r="LF2263" s="100">
        <v>10</v>
      </c>
      <c r="LG2263" s="100">
        <v>10</v>
      </c>
      <c r="LI2263" s="100">
        <v>10</v>
      </c>
      <c r="LJ2263" s="100">
        <v>5</v>
      </c>
      <c r="LK2263" s="100">
        <v>10</v>
      </c>
      <c r="LL2263" s="100">
        <v>10</v>
      </c>
      <c r="LM2263" s="100">
        <v>5</v>
      </c>
      <c r="LN2263" s="100">
        <v>14</v>
      </c>
      <c r="LP2263" s="100">
        <v>6</v>
      </c>
      <c r="LQ2263" s="100">
        <v>5</v>
      </c>
      <c r="ON2263" s="100">
        <f t="shared" si="715"/>
        <v>0</v>
      </c>
    </row>
    <row r="2264" spans="1:404" ht="23.25" customHeight="1">
      <c r="A2264" s="97" t="str">
        <f>D2264&amp;E2265</f>
        <v>006/TK MAXX-2166-01729-B2-B</v>
      </c>
      <c r="B2264" s="206">
        <v>44563</v>
      </c>
      <c r="C2264" s="97">
        <f t="shared" ca="1" si="716"/>
        <v>-501</v>
      </c>
      <c r="D2264" s="96" t="s">
        <v>1293</v>
      </c>
      <c r="E2264" s="94" t="s">
        <v>1257</v>
      </c>
      <c r="F2264" s="98" t="str">
        <f t="shared" si="717"/>
        <v>B</v>
      </c>
      <c r="G2264" s="110">
        <f ca="1">SUMIF($A:E,$A2264,K:K)</f>
        <v>144</v>
      </c>
      <c r="H2264" s="97" t="s">
        <v>933</v>
      </c>
      <c r="I2264" s="98">
        <v>144</v>
      </c>
      <c r="J2264" s="98">
        <v>144</v>
      </c>
      <c r="K2264" s="160">
        <f t="shared" si="703"/>
        <v>144</v>
      </c>
      <c r="L2264" s="151">
        <f t="shared" si="719"/>
        <v>0</v>
      </c>
      <c r="M2264" s="275">
        <f t="shared" si="718"/>
        <v>432</v>
      </c>
      <c r="N2264" s="98">
        <v>6</v>
      </c>
      <c r="O2264" s="93">
        <f t="shared" si="714"/>
        <v>100</v>
      </c>
      <c r="LR2264" s="100">
        <v>5</v>
      </c>
      <c r="LS2264" s="100">
        <v>5</v>
      </c>
      <c r="LT2264" s="100">
        <v>6</v>
      </c>
      <c r="LU2264" s="100">
        <v>7</v>
      </c>
      <c r="LW2264" s="100">
        <v>16</v>
      </c>
      <c r="LX2264" s="100">
        <v>5</v>
      </c>
      <c r="LY2264" s="100">
        <v>15</v>
      </c>
      <c r="LZ2264" s="100">
        <v>5</v>
      </c>
      <c r="MB2264" s="100">
        <v>5</v>
      </c>
      <c r="MD2264" s="100">
        <v>15</v>
      </c>
      <c r="ME2264" s="100">
        <v>5</v>
      </c>
      <c r="MF2264" s="100">
        <v>20</v>
      </c>
      <c r="MG2264" s="100">
        <v>4</v>
      </c>
      <c r="MH2264" s="100">
        <v>20</v>
      </c>
      <c r="MK2264" s="100">
        <v>9</v>
      </c>
      <c r="ML2264" s="100">
        <v>1</v>
      </c>
      <c r="NE2264" s="100">
        <v>1</v>
      </c>
      <c r="ON2264" s="100">
        <f t="shared" si="715"/>
        <v>0</v>
      </c>
    </row>
    <row r="2265" spans="1:404" ht="23.25" customHeight="1">
      <c r="A2265" s="97" t="str">
        <f>D2265&amp;E2266</f>
        <v>004/HOMESENSE-2166-01729-04-B</v>
      </c>
      <c r="B2265" s="95">
        <v>44578</v>
      </c>
      <c r="C2265" s="97">
        <f t="shared" ca="1" si="716"/>
        <v>-486</v>
      </c>
      <c r="D2265" s="96" t="s">
        <v>1255</v>
      </c>
      <c r="E2265" s="94" t="s">
        <v>1256</v>
      </c>
      <c r="F2265" s="98" t="str">
        <f t="shared" si="717"/>
        <v>B</v>
      </c>
      <c r="G2265" s="110">
        <f ca="1">SUMIF($A:E,$A2265,K:K)</f>
        <v>360</v>
      </c>
      <c r="H2265" s="97" t="s">
        <v>508</v>
      </c>
      <c r="I2265" s="98">
        <v>360</v>
      </c>
      <c r="J2265" s="97">
        <v>360</v>
      </c>
      <c r="K2265" s="143">
        <f t="shared" si="703"/>
        <v>360</v>
      </c>
      <c r="L2265" s="144">
        <f t="shared" si="719"/>
        <v>0</v>
      </c>
      <c r="M2265" s="275">
        <f t="shared" si="718"/>
        <v>720</v>
      </c>
      <c r="N2265" s="98">
        <v>3</v>
      </c>
      <c r="O2265" s="93">
        <f t="shared" si="714"/>
        <v>100</v>
      </c>
      <c r="LL2265" s="100">
        <v>18</v>
      </c>
      <c r="LN2265" s="100">
        <v>4</v>
      </c>
      <c r="LP2265" s="100">
        <v>13</v>
      </c>
      <c r="LQ2265" s="100">
        <v>12</v>
      </c>
      <c r="LR2265" s="100">
        <v>9</v>
      </c>
      <c r="LX2265" s="100">
        <v>2</v>
      </c>
      <c r="MR2265" s="100">
        <v>21</v>
      </c>
      <c r="MS2265" s="100">
        <v>30</v>
      </c>
      <c r="MT2265" s="100">
        <v>30</v>
      </c>
      <c r="MW2265" s="100">
        <v>30</v>
      </c>
      <c r="MX2265" s="100">
        <v>60</v>
      </c>
      <c r="MZ2265" s="100">
        <v>28</v>
      </c>
      <c r="NA2265" s="100">
        <v>28</v>
      </c>
      <c r="ND2265" s="100">
        <v>15</v>
      </c>
      <c r="NE2265" s="100">
        <v>60</v>
      </c>
      <c r="ON2265" s="100">
        <f t="shared" si="715"/>
        <v>0</v>
      </c>
    </row>
    <row r="2266" spans="1:404" ht="23.25" customHeight="1">
      <c r="A2266" s="97" t="str">
        <f>D2266&amp;E2266</f>
        <v>001T/HOMEGOODS-2166-01729-04-B</v>
      </c>
      <c r="B2266" s="95">
        <v>44408</v>
      </c>
      <c r="C2266" s="97">
        <f t="shared" ca="1" si="716"/>
        <v>-656</v>
      </c>
      <c r="D2266" s="96" t="s">
        <v>1090</v>
      </c>
      <c r="E2266" s="94" t="s">
        <v>1093</v>
      </c>
      <c r="F2266" s="98" t="str">
        <f t="shared" si="717"/>
        <v>B</v>
      </c>
      <c r="G2266" s="110">
        <f ca="1">SUMIF($A:E,$A2266,K:K)</f>
        <v>320</v>
      </c>
      <c r="H2266" s="97" t="s">
        <v>616</v>
      </c>
      <c r="I2266" s="98">
        <v>320</v>
      </c>
      <c r="J2266" s="97">
        <v>320</v>
      </c>
      <c r="K2266" s="143">
        <f t="shared" si="703"/>
        <v>320</v>
      </c>
      <c r="L2266" s="144">
        <f t="shared" si="719"/>
        <v>0</v>
      </c>
      <c r="M2266" s="275">
        <f t="shared" si="718"/>
        <v>320</v>
      </c>
      <c r="N2266" s="98">
        <v>4</v>
      </c>
      <c r="O2266" s="93">
        <f t="shared" si="714"/>
        <v>100</v>
      </c>
      <c r="FZ2266" s="100">
        <v>9</v>
      </c>
      <c r="GA2266" s="100">
        <v>5</v>
      </c>
      <c r="GB2266" s="100">
        <v>5</v>
      </c>
      <c r="GC2266" s="100">
        <v>2</v>
      </c>
      <c r="GD2266" s="100">
        <v>17</v>
      </c>
      <c r="GE2266" s="100">
        <v>9</v>
      </c>
      <c r="GG2266" s="100">
        <v>13</v>
      </c>
      <c r="GH2266" s="100">
        <v>16</v>
      </c>
      <c r="GI2266" s="100">
        <v>17</v>
      </c>
      <c r="GJ2266" s="100">
        <v>19</v>
      </c>
      <c r="GK2266" s="100">
        <v>23</v>
      </c>
      <c r="GL2266" s="100">
        <v>20</v>
      </c>
      <c r="GN2266" s="100">
        <v>10</v>
      </c>
      <c r="GO2266" s="100">
        <v>41</v>
      </c>
      <c r="GP2266" s="100">
        <v>24</v>
      </c>
      <c r="GQ2266" s="100">
        <v>27</v>
      </c>
      <c r="GR2266" s="100">
        <v>22</v>
      </c>
      <c r="GS2266" s="100">
        <v>22</v>
      </c>
      <c r="GU2266" s="100">
        <v>9</v>
      </c>
      <c r="GV2266" s="100">
        <v>10</v>
      </c>
      <c r="ON2266" s="100">
        <f t="shared" si="715"/>
        <v>0</v>
      </c>
    </row>
    <row r="2267" spans="1:404" ht="23.25" customHeight="1">
      <c r="A2267" s="97" t="str">
        <f>D2267&amp;E2268</f>
        <v>045/VG_SR-21( TJX)66-01729-04-B</v>
      </c>
      <c r="B2267" s="95">
        <v>44398</v>
      </c>
      <c r="C2267" s="97">
        <f t="shared" ca="1" si="716"/>
        <v>-666</v>
      </c>
      <c r="D2267" s="112" t="s">
        <v>1406</v>
      </c>
      <c r="E2267" s="123" t="s">
        <v>1093</v>
      </c>
      <c r="F2267" s="98" t="str">
        <f t="shared" si="717"/>
        <v>B</v>
      </c>
      <c r="G2267" s="110">
        <f ca="1">SUMIF($A:E,$A2267,K:K)</f>
        <v>2</v>
      </c>
      <c r="H2267" s="112" t="s">
        <v>1405</v>
      </c>
      <c r="I2267" s="98">
        <v>2</v>
      </c>
      <c r="J2267" s="115">
        <v>2</v>
      </c>
      <c r="K2267" s="143">
        <f t="shared" si="703"/>
        <v>2</v>
      </c>
      <c r="L2267" s="144">
        <f t="shared" si="719"/>
        <v>0</v>
      </c>
      <c r="M2267" s="275">
        <f t="shared" si="718"/>
        <v>2</v>
      </c>
      <c r="N2267" s="98">
        <v>4</v>
      </c>
      <c r="O2267" s="93">
        <f t="shared" si="714"/>
        <v>100</v>
      </c>
      <c r="GI2267" s="100">
        <v>2</v>
      </c>
      <c r="ON2267" s="100">
        <f t="shared" si="715"/>
        <v>0</v>
      </c>
    </row>
    <row r="2268" spans="1:404" ht="23.25" customHeight="1">
      <c r="A2268" s="97" t="str">
        <f>D2268&amp;E2268</f>
        <v>244/KHBS-2166-01729-04-B</v>
      </c>
      <c r="B2268" s="95">
        <v>44430</v>
      </c>
      <c r="C2268" s="97">
        <f t="shared" ca="1" si="716"/>
        <v>-634</v>
      </c>
      <c r="D2268" s="96" t="s">
        <v>1730</v>
      </c>
      <c r="E2268" s="94" t="s">
        <v>1093</v>
      </c>
      <c r="F2268" s="98" t="str">
        <f t="shared" si="717"/>
        <v>B</v>
      </c>
      <c r="G2268" s="110">
        <f ca="1">SUMIF($A:E,$A2268,K:K)</f>
        <v>1</v>
      </c>
      <c r="H2268" s="97" t="s">
        <v>616</v>
      </c>
      <c r="I2268" s="98">
        <v>1</v>
      </c>
      <c r="J2268" s="99">
        <v>1</v>
      </c>
      <c r="K2268" s="143">
        <f t="shared" si="703"/>
        <v>1</v>
      </c>
      <c r="L2268" s="144">
        <f t="shared" si="719"/>
        <v>0</v>
      </c>
      <c r="M2268" s="275">
        <f t="shared" si="718"/>
        <v>1</v>
      </c>
      <c r="N2268" s="98">
        <v>4</v>
      </c>
      <c r="O2268" s="93">
        <f t="shared" si="714"/>
        <v>100</v>
      </c>
      <c r="HM2268" s="100">
        <v>1</v>
      </c>
      <c r="ON2268" s="100">
        <f t="shared" si="715"/>
        <v>0</v>
      </c>
    </row>
    <row r="2269" spans="1:404" ht="23.25" customHeight="1">
      <c r="A2269" s="97" t="str">
        <f>D2269&amp;E2269</f>
        <v>001T/HOMEGOODS-2166-01729-03-B</v>
      </c>
      <c r="B2269" s="95">
        <v>44408</v>
      </c>
      <c r="C2269" s="97">
        <f t="shared" ca="1" si="716"/>
        <v>-656</v>
      </c>
      <c r="D2269" s="96" t="s">
        <v>1090</v>
      </c>
      <c r="E2269" s="94" t="s">
        <v>1092</v>
      </c>
      <c r="F2269" s="98" t="str">
        <f t="shared" si="717"/>
        <v>B</v>
      </c>
      <c r="G2269" s="110">
        <f ca="1">SUMIF($A:E,$A2269,K:K)</f>
        <v>320</v>
      </c>
      <c r="H2269" s="97" t="s">
        <v>616</v>
      </c>
      <c r="I2269" s="98">
        <v>320</v>
      </c>
      <c r="J2269" s="97">
        <v>320</v>
      </c>
      <c r="K2269" s="143">
        <f t="shared" si="703"/>
        <v>320</v>
      </c>
      <c r="L2269" s="144">
        <f t="shared" si="719"/>
        <v>0</v>
      </c>
      <c r="M2269" s="275">
        <f t="shared" si="718"/>
        <v>320</v>
      </c>
      <c r="N2269" s="98">
        <v>4</v>
      </c>
      <c r="O2269" s="93">
        <f t="shared" si="714"/>
        <v>100</v>
      </c>
      <c r="FZ2269" s="100">
        <v>9</v>
      </c>
      <c r="GA2269" s="100">
        <v>5</v>
      </c>
      <c r="GB2269" s="100">
        <v>7</v>
      </c>
      <c r="GD2269" s="100">
        <v>16</v>
      </c>
      <c r="GE2269" s="100">
        <v>8</v>
      </c>
      <c r="GG2269" s="100">
        <v>13</v>
      </c>
      <c r="GH2269" s="100">
        <v>14</v>
      </c>
      <c r="GI2269" s="100">
        <v>17</v>
      </c>
      <c r="GJ2269" s="100">
        <v>19</v>
      </c>
      <c r="GK2269" s="100">
        <v>23</v>
      </c>
      <c r="GL2269" s="100">
        <v>20</v>
      </c>
      <c r="GN2269" s="100">
        <v>10</v>
      </c>
      <c r="GO2269" s="100">
        <v>41</v>
      </c>
      <c r="GP2269" s="100">
        <v>24</v>
      </c>
      <c r="GQ2269" s="100">
        <v>27</v>
      </c>
      <c r="GR2269" s="100">
        <v>22</v>
      </c>
      <c r="GS2269" s="100">
        <v>22</v>
      </c>
      <c r="GU2269" s="100">
        <v>11</v>
      </c>
      <c r="GV2269" s="100">
        <v>11</v>
      </c>
      <c r="GX2269" s="100">
        <v>1</v>
      </c>
      <c r="ON2269" s="100">
        <f t="shared" si="715"/>
        <v>0</v>
      </c>
    </row>
    <row r="2270" spans="1:404" ht="23.25" customHeight="1">
      <c r="A2270" s="127" t="str">
        <f>D2270&amp;E2270</f>
        <v>001T/HOMEGOODS-2166-01729-02-B</v>
      </c>
      <c r="B2270" s="126">
        <v>44408</v>
      </c>
      <c r="C2270" s="127">
        <f t="shared" ca="1" si="716"/>
        <v>-656</v>
      </c>
      <c r="D2270" s="128" t="s">
        <v>1090</v>
      </c>
      <c r="E2270" s="129" t="s">
        <v>1091</v>
      </c>
      <c r="F2270" s="132" t="str">
        <f t="shared" si="717"/>
        <v>B</v>
      </c>
      <c r="G2270" s="130">
        <f ca="1">SUMIF($A:E,$A2270,K:K)</f>
        <v>320</v>
      </c>
      <c r="H2270" s="127" t="s">
        <v>616</v>
      </c>
      <c r="I2270" s="98">
        <v>320</v>
      </c>
      <c r="J2270" s="127">
        <v>320</v>
      </c>
      <c r="K2270" s="160">
        <f t="shared" si="703"/>
        <v>320</v>
      </c>
      <c r="L2270" s="151">
        <f t="shared" si="719"/>
        <v>0</v>
      </c>
      <c r="M2270" s="275">
        <f t="shared" si="718"/>
        <v>320</v>
      </c>
      <c r="N2270" s="132">
        <v>4</v>
      </c>
      <c r="O2270" s="93">
        <f t="shared" si="714"/>
        <v>100</v>
      </c>
      <c r="FZ2270" s="100">
        <v>9</v>
      </c>
      <c r="GA2270" s="100">
        <v>5</v>
      </c>
      <c r="GB2270" s="100">
        <v>9</v>
      </c>
      <c r="GD2270" s="100">
        <v>23</v>
      </c>
      <c r="GE2270" s="100">
        <v>14</v>
      </c>
      <c r="GG2270" s="100">
        <v>10</v>
      </c>
      <c r="GH2270" s="100">
        <v>15</v>
      </c>
      <c r="GI2270" s="100">
        <v>17</v>
      </c>
      <c r="GJ2270" s="100">
        <v>19</v>
      </c>
      <c r="GK2270" s="100">
        <v>23</v>
      </c>
      <c r="GL2270" s="100">
        <v>20</v>
      </c>
      <c r="GN2270" s="100">
        <v>10</v>
      </c>
      <c r="GO2270" s="100">
        <v>41</v>
      </c>
      <c r="GP2270" s="100">
        <v>24</v>
      </c>
      <c r="GQ2270" s="100">
        <v>27</v>
      </c>
      <c r="GR2270" s="100">
        <v>22</v>
      </c>
      <c r="GS2270" s="100">
        <v>22</v>
      </c>
      <c r="GX2270" s="100">
        <v>10</v>
      </c>
      <c r="ON2270" s="100">
        <f t="shared" si="715"/>
        <v>0</v>
      </c>
    </row>
    <row r="2271" spans="1:404" ht="23.25" customHeight="1">
      <c r="A2271" s="97" t="str">
        <f>D2271&amp;E2271</f>
        <v>001T/HOMEGOODS-2166-01729-01-B</v>
      </c>
      <c r="B2271" s="95">
        <v>44408</v>
      </c>
      <c r="C2271" s="97">
        <f t="shared" ca="1" si="716"/>
        <v>-656</v>
      </c>
      <c r="D2271" s="96" t="s">
        <v>1090</v>
      </c>
      <c r="E2271" s="94" t="s">
        <v>1160</v>
      </c>
      <c r="F2271" s="98" t="str">
        <f t="shared" si="717"/>
        <v>B</v>
      </c>
      <c r="G2271" s="110">
        <f ca="1">SUMIF($A:E,$A2271,K:K)</f>
        <v>320</v>
      </c>
      <c r="H2271" s="97" t="s">
        <v>616</v>
      </c>
      <c r="I2271" s="98">
        <v>320</v>
      </c>
      <c r="J2271" s="97">
        <v>320</v>
      </c>
      <c r="K2271" s="143">
        <f t="shared" si="703"/>
        <v>320</v>
      </c>
      <c r="L2271" s="144">
        <f t="shared" si="719"/>
        <v>0</v>
      </c>
      <c r="M2271" s="275">
        <f t="shared" si="718"/>
        <v>320</v>
      </c>
      <c r="N2271" s="98">
        <v>4</v>
      </c>
      <c r="O2271" s="93">
        <f t="shared" si="714"/>
        <v>100</v>
      </c>
      <c r="FZ2271" s="100">
        <v>9</v>
      </c>
      <c r="GA2271" s="100">
        <v>5</v>
      </c>
      <c r="GB2271" s="100">
        <v>10</v>
      </c>
      <c r="GD2271" s="100">
        <v>23</v>
      </c>
      <c r="GE2271" s="100">
        <v>23</v>
      </c>
      <c r="GG2271" s="100">
        <v>16</v>
      </c>
      <c r="GH2271" s="100">
        <v>15</v>
      </c>
      <c r="GI2271" s="100">
        <v>17</v>
      </c>
      <c r="GJ2271" s="100">
        <v>19</v>
      </c>
      <c r="GK2271" s="100">
        <v>23</v>
      </c>
      <c r="GL2271" s="100">
        <v>20</v>
      </c>
      <c r="GN2271" s="100">
        <v>10</v>
      </c>
      <c r="GO2271" s="100">
        <v>41</v>
      </c>
      <c r="GP2271" s="100">
        <v>24</v>
      </c>
      <c r="GQ2271" s="100">
        <v>27</v>
      </c>
      <c r="GR2271" s="100">
        <v>22</v>
      </c>
      <c r="GS2271" s="100">
        <v>16</v>
      </c>
      <c r="ON2271" s="100">
        <f t="shared" si="715"/>
        <v>0</v>
      </c>
    </row>
    <row r="2272" spans="1:404" ht="23.25" customHeight="1">
      <c r="A2272" s="97" t="str">
        <f>D2272&amp;E2273</f>
        <v>008/P0TTERYPATCH-2166-01722-B2-B</v>
      </c>
      <c r="B2272" s="95">
        <v>44715</v>
      </c>
      <c r="C2272" s="97">
        <f t="shared" ca="1" si="716"/>
        <v>-349</v>
      </c>
      <c r="D2272" s="96" t="s">
        <v>1240</v>
      </c>
      <c r="E2272" s="94" t="s">
        <v>1242</v>
      </c>
      <c r="F2272" s="98" t="str">
        <f t="shared" si="717"/>
        <v>B</v>
      </c>
      <c r="G2272" s="110">
        <f ca="1">SUMIF($A:E,$A2272,K:K)</f>
        <v>77</v>
      </c>
      <c r="H2272" s="97" t="s">
        <v>508</v>
      </c>
      <c r="I2272" s="98">
        <v>48</v>
      </c>
      <c r="J2272" s="97">
        <v>48</v>
      </c>
      <c r="K2272" s="143">
        <f t="shared" ref="K2272:K2335" si="720">SUM(P2272:BBC2272)</f>
        <v>77</v>
      </c>
      <c r="L2272" s="144">
        <f t="shared" si="719"/>
        <v>-29</v>
      </c>
      <c r="M2272" s="275">
        <f t="shared" si="718"/>
        <v>192</v>
      </c>
      <c r="N2272" s="98">
        <v>4</v>
      </c>
      <c r="O2272" s="93">
        <f t="shared" si="714"/>
        <v>160.41666666666669</v>
      </c>
      <c r="NI2272" s="100">
        <v>2</v>
      </c>
      <c r="NK2272" s="100">
        <v>5</v>
      </c>
      <c r="NL2272" s="100">
        <v>2</v>
      </c>
      <c r="NM2272" s="100">
        <v>4</v>
      </c>
      <c r="NS2272" s="100">
        <v>2</v>
      </c>
      <c r="NT2272" s="100">
        <v>2</v>
      </c>
      <c r="NU2272" s="100">
        <v>1</v>
      </c>
      <c r="NV2272" s="100">
        <v>2</v>
      </c>
      <c r="NY2272" s="100">
        <v>2</v>
      </c>
      <c r="NZ2272" s="100">
        <v>2</v>
      </c>
      <c r="OA2272" s="100">
        <v>2</v>
      </c>
      <c r="OB2272" s="100">
        <v>2</v>
      </c>
      <c r="OC2272" s="100">
        <v>2</v>
      </c>
      <c r="OD2272" s="100">
        <v>2</v>
      </c>
      <c r="OG2272" s="100">
        <v>3</v>
      </c>
      <c r="OH2272" s="100">
        <v>2</v>
      </c>
      <c r="OI2272" s="100">
        <v>2</v>
      </c>
      <c r="OJ2272" s="100">
        <v>2</v>
      </c>
      <c r="OK2272" s="100">
        <v>2</v>
      </c>
      <c r="OM2272" s="100">
        <v>2</v>
      </c>
      <c r="ON2272" s="100">
        <f t="shared" si="715"/>
        <v>32</v>
      </c>
    </row>
    <row r="2273" spans="1:404" ht="23.25" customHeight="1">
      <c r="A2273" s="97" t="str">
        <f>D2273&amp;E2273</f>
        <v>003/ANNA-VG-21(đ2)66-01722-B2-B</v>
      </c>
      <c r="B2273" s="95">
        <v>44564</v>
      </c>
      <c r="C2273" s="97">
        <f t="shared" ca="1" si="716"/>
        <v>-500</v>
      </c>
      <c r="D2273" s="112" t="s">
        <v>1638</v>
      </c>
      <c r="E2273" s="123" t="s">
        <v>1640</v>
      </c>
      <c r="F2273" s="98" t="str">
        <f t="shared" si="717"/>
        <v>B</v>
      </c>
      <c r="G2273" s="110">
        <f ca="1">SUMIF($A:E,$A2273,K:K)</f>
        <v>216</v>
      </c>
      <c r="H2273" s="112" t="s">
        <v>990</v>
      </c>
      <c r="I2273" s="98">
        <v>216</v>
      </c>
      <c r="J2273" s="115">
        <v>216</v>
      </c>
      <c r="K2273" s="143">
        <f t="shared" si="720"/>
        <v>216</v>
      </c>
      <c r="L2273" s="144">
        <f t="shared" si="719"/>
        <v>0</v>
      </c>
      <c r="M2273" s="275">
        <f t="shared" si="718"/>
        <v>432</v>
      </c>
      <c r="N2273" s="98">
        <v>6</v>
      </c>
      <c r="O2273" s="93">
        <f t="shared" si="714"/>
        <v>100</v>
      </c>
      <c r="MA2273" s="100">
        <v>9</v>
      </c>
      <c r="MB2273" s="100">
        <v>10</v>
      </c>
      <c r="MD2273" s="100">
        <v>28</v>
      </c>
      <c r="ME2273" s="100">
        <v>23</v>
      </c>
      <c r="MF2273" s="100">
        <v>27</v>
      </c>
      <c r="MG2273" s="100">
        <v>39</v>
      </c>
      <c r="MH2273" s="100">
        <v>22</v>
      </c>
      <c r="MK2273" s="100">
        <v>21</v>
      </c>
      <c r="ML2273" s="100">
        <v>19</v>
      </c>
      <c r="MM2273" s="100">
        <v>18</v>
      </c>
      <c r="ON2273" s="100">
        <f t="shared" si="715"/>
        <v>0</v>
      </c>
    </row>
    <row r="2274" spans="1:404" ht="23.25" customHeight="1">
      <c r="A2274" s="97" t="s">
        <v>1370</v>
      </c>
      <c r="B2274" s="95">
        <v>44649</v>
      </c>
      <c r="C2274" s="97">
        <f t="shared" ca="1" si="716"/>
        <v>-415</v>
      </c>
      <c r="D2274" s="112" t="s">
        <v>1372</v>
      </c>
      <c r="E2274" s="123" t="s">
        <v>1373</v>
      </c>
      <c r="F2274" s="98" t="str">
        <f t="shared" si="717"/>
        <v>B</v>
      </c>
      <c r="G2274" s="110">
        <f ca="1">SUMIF($A:E,$A2274,K:K)</f>
        <v>5654</v>
      </c>
      <c r="H2274" s="97" t="s">
        <v>508</v>
      </c>
      <c r="I2274" s="98">
        <v>100</v>
      </c>
      <c r="J2274" s="99">
        <v>100</v>
      </c>
      <c r="K2274" s="143">
        <f t="shared" si="720"/>
        <v>139</v>
      </c>
      <c r="L2274" s="144">
        <f t="shared" si="719"/>
        <v>-39</v>
      </c>
      <c r="M2274" s="275">
        <f t="shared" si="718"/>
        <v>300</v>
      </c>
      <c r="N2274" s="98">
        <v>4</v>
      </c>
      <c r="O2274" s="93">
        <f t="shared" si="714"/>
        <v>139</v>
      </c>
      <c r="NG2274" s="100">
        <v>20</v>
      </c>
      <c r="NI2274" s="100">
        <v>14</v>
      </c>
      <c r="NK2274" s="100">
        <v>7</v>
      </c>
      <c r="NL2274" s="100">
        <v>6</v>
      </c>
      <c r="NM2274" s="100">
        <v>14</v>
      </c>
      <c r="NS2274" s="100">
        <v>6</v>
      </c>
      <c r="NT2274" s="100">
        <v>5</v>
      </c>
      <c r="NU2274" s="100">
        <v>5</v>
      </c>
      <c r="NV2274" s="100">
        <v>10</v>
      </c>
      <c r="NY2274" s="100">
        <v>10</v>
      </c>
      <c r="NZ2274" s="100">
        <v>2</v>
      </c>
      <c r="OB2274" s="100">
        <v>1</v>
      </c>
      <c r="ON2274" s="100">
        <f t="shared" si="715"/>
        <v>39</v>
      </c>
    </row>
    <row r="2275" spans="1:404" ht="23.25" customHeight="1">
      <c r="A2275" s="97" t="str">
        <f t="shared" ref="A2275:A2283" si="721">D2275&amp;E2275</f>
        <v>001/AKS_SR-2166-01720-04-B</v>
      </c>
      <c r="B2275" s="95">
        <v>44394</v>
      </c>
      <c r="C2275" s="97">
        <f t="shared" ca="1" si="716"/>
        <v>-670</v>
      </c>
      <c r="D2275" s="112" t="s">
        <v>1315</v>
      </c>
      <c r="E2275" s="123" t="s">
        <v>1316</v>
      </c>
      <c r="F2275" s="98" t="str">
        <f t="shared" si="717"/>
        <v>B</v>
      </c>
      <c r="G2275" s="110">
        <f ca="1">SUMIF($A:E,$A2275,K:K)</f>
        <v>1</v>
      </c>
      <c r="H2275" s="97" t="s">
        <v>508</v>
      </c>
      <c r="I2275" s="98">
        <v>1</v>
      </c>
      <c r="J2275" s="99">
        <v>1</v>
      </c>
      <c r="K2275" s="143">
        <f t="shared" si="720"/>
        <v>1</v>
      </c>
      <c r="L2275" s="144">
        <f t="shared" si="719"/>
        <v>0</v>
      </c>
      <c r="M2275" s="275">
        <f t="shared" si="718"/>
        <v>1</v>
      </c>
      <c r="N2275" s="98">
        <v>3</v>
      </c>
      <c r="O2275" s="93">
        <f t="shared" si="714"/>
        <v>100</v>
      </c>
      <c r="GE2275" s="100">
        <v>1</v>
      </c>
      <c r="ON2275" s="100">
        <f t="shared" si="715"/>
        <v>0</v>
      </c>
    </row>
    <row r="2276" spans="1:404" ht="23.25" customHeight="1">
      <c r="A2276" s="97" t="str">
        <f t="shared" si="721"/>
        <v>003/ANNA-VG-21(đ2)66-01720-03-B4</v>
      </c>
      <c r="B2276" s="95">
        <v>44564</v>
      </c>
      <c r="C2276" s="97">
        <f t="shared" ca="1" si="716"/>
        <v>-500</v>
      </c>
      <c r="D2276" s="112" t="s">
        <v>1638</v>
      </c>
      <c r="E2276" s="123" t="s">
        <v>1639</v>
      </c>
      <c r="F2276" s="98" t="str">
        <f t="shared" si="717"/>
        <v>B4</v>
      </c>
      <c r="G2276" s="110">
        <f ca="1">SUMIF($A:E,$A2276,K:K)</f>
        <v>144</v>
      </c>
      <c r="H2276" s="112" t="s">
        <v>990</v>
      </c>
      <c r="I2276" s="98">
        <v>144</v>
      </c>
      <c r="J2276" s="115">
        <v>144</v>
      </c>
      <c r="K2276" s="143">
        <f t="shared" si="720"/>
        <v>144</v>
      </c>
      <c r="L2276" s="144">
        <f t="shared" si="719"/>
        <v>0</v>
      </c>
      <c r="M2276" s="275">
        <f t="shared" si="718"/>
        <v>144</v>
      </c>
      <c r="N2276" s="98">
        <v>6</v>
      </c>
      <c r="O2276" s="93">
        <f t="shared" si="714"/>
        <v>100</v>
      </c>
      <c r="MF2276" s="100">
        <v>24</v>
      </c>
      <c r="MG2276" s="100">
        <v>22</v>
      </c>
      <c r="MK2276" s="100">
        <v>23</v>
      </c>
      <c r="ML2276" s="100">
        <v>10</v>
      </c>
      <c r="MM2276" s="100">
        <v>5</v>
      </c>
      <c r="MN2276" s="100">
        <v>15</v>
      </c>
      <c r="MO2276" s="100">
        <v>10</v>
      </c>
      <c r="MQ2276" s="100">
        <v>10</v>
      </c>
      <c r="MR2276" s="100">
        <v>25</v>
      </c>
      <c r="ON2276" s="100">
        <f t="shared" si="715"/>
        <v>0</v>
      </c>
    </row>
    <row r="2277" spans="1:404" ht="23.25" customHeight="1">
      <c r="A2277" s="97" t="str">
        <f t="shared" si="721"/>
        <v>001/ANNA-2166-01718-B3-B1</v>
      </c>
      <c r="B2277" s="95">
        <v>44395</v>
      </c>
      <c r="C2277" s="97">
        <f t="shared" ca="1" si="716"/>
        <v>-669</v>
      </c>
      <c r="D2277" s="159" t="s">
        <v>862</v>
      </c>
      <c r="E2277" s="123" t="s">
        <v>865</v>
      </c>
      <c r="F2277" s="98" t="str">
        <f t="shared" si="717"/>
        <v>B1</v>
      </c>
      <c r="G2277" s="110">
        <f ca="1">SUMIF($A:E,$A2277,K:K)</f>
        <v>60</v>
      </c>
      <c r="H2277" s="97" t="s">
        <v>882</v>
      </c>
      <c r="I2277" s="98">
        <v>60</v>
      </c>
      <c r="J2277" s="115">
        <v>60</v>
      </c>
      <c r="K2277" s="143">
        <f t="shared" si="720"/>
        <v>60</v>
      </c>
      <c r="L2277" s="144">
        <f t="shared" si="719"/>
        <v>0</v>
      </c>
      <c r="M2277" s="275">
        <f t="shared" si="718"/>
        <v>180</v>
      </c>
      <c r="N2277" s="98">
        <v>1</v>
      </c>
      <c r="O2277" s="93">
        <f t="shared" ref="O2277:O2285" si="722">K2277/J2277*100</f>
        <v>100</v>
      </c>
      <c r="DO2277" s="101">
        <v>2</v>
      </c>
      <c r="DP2277" s="101">
        <v>2</v>
      </c>
      <c r="DS2277" s="100">
        <v>4</v>
      </c>
      <c r="DT2277" s="100">
        <v>2</v>
      </c>
      <c r="DU2277" s="100">
        <v>5</v>
      </c>
      <c r="DW2277" s="100">
        <v>3</v>
      </c>
      <c r="EA2277" s="100">
        <v>1</v>
      </c>
      <c r="EC2277" s="100">
        <v>3</v>
      </c>
      <c r="ED2277" s="100">
        <v>1</v>
      </c>
      <c r="EF2277" s="100">
        <v>2</v>
      </c>
      <c r="EG2277" s="100">
        <v>1</v>
      </c>
      <c r="EH2277" s="100">
        <v>1</v>
      </c>
      <c r="EI2277" s="100">
        <v>1</v>
      </c>
      <c r="EJ2277" s="100">
        <v>3</v>
      </c>
      <c r="EN2277" s="100">
        <v>5</v>
      </c>
      <c r="EO2277" s="100">
        <v>1</v>
      </c>
      <c r="EP2277" s="100">
        <v>3</v>
      </c>
      <c r="EQ2277" s="100">
        <v>1</v>
      </c>
      <c r="ER2277" s="100">
        <v>2</v>
      </c>
      <c r="ET2277" s="100">
        <v>2</v>
      </c>
      <c r="EU2277" s="100">
        <v>1</v>
      </c>
      <c r="EV2277" s="100">
        <v>2</v>
      </c>
      <c r="EX2277" s="100">
        <v>3</v>
      </c>
      <c r="EY2277" s="100">
        <v>2</v>
      </c>
      <c r="FA2277" s="100">
        <v>2</v>
      </c>
      <c r="FB2277" s="100">
        <v>1</v>
      </c>
      <c r="FC2277" s="100">
        <v>2</v>
      </c>
      <c r="FE2277" s="100">
        <v>2</v>
      </c>
      <c r="ON2277" s="100">
        <f t="shared" si="715"/>
        <v>0</v>
      </c>
    </row>
    <row r="2278" spans="1:404" ht="23.25" customHeight="1">
      <c r="A2278" s="97" t="str">
        <f t="shared" si="721"/>
        <v>001/ANNA-2166-01718-B2-B1</v>
      </c>
      <c r="B2278" s="95">
        <v>44395</v>
      </c>
      <c r="C2278" s="97">
        <f t="shared" ca="1" si="716"/>
        <v>-669</v>
      </c>
      <c r="D2278" s="159" t="s">
        <v>862</v>
      </c>
      <c r="E2278" s="123" t="s">
        <v>864</v>
      </c>
      <c r="F2278" s="98" t="str">
        <f t="shared" si="717"/>
        <v>B1</v>
      </c>
      <c r="G2278" s="110">
        <f ca="1">SUMIF($A:E,$A2278,K:K)</f>
        <v>72</v>
      </c>
      <c r="H2278" s="97" t="s">
        <v>882</v>
      </c>
      <c r="I2278" s="98">
        <v>72</v>
      </c>
      <c r="J2278" s="115">
        <v>72</v>
      </c>
      <c r="K2278" s="143">
        <f t="shared" si="720"/>
        <v>72</v>
      </c>
      <c r="L2278" s="144">
        <f t="shared" si="719"/>
        <v>0</v>
      </c>
      <c r="M2278" s="275">
        <f t="shared" si="718"/>
        <v>144</v>
      </c>
      <c r="N2278" s="98">
        <v>1</v>
      </c>
      <c r="O2278" s="93">
        <f t="shared" si="722"/>
        <v>100</v>
      </c>
      <c r="DU2278" s="100">
        <v>5</v>
      </c>
      <c r="DW2278" s="100">
        <v>1</v>
      </c>
      <c r="DY2278" s="100">
        <v>2</v>
      </c>
      <c r="DZ2278" s="100">
        <v>1</v>
      </c>
      <c r="ED2278" s="100">
        <v>3</v>
      </c>
      <c r="EF2278" s="100">
        <v>3</v>
      </c>
      <c r="EG2278" s="100">
        <v>1</v>
      </c>
      <c r="EH2278" s="100">
        <v>2</v>
      </c>
      <c r="EI2278" s="100">
        <v>2</v>
      </c>
      <c r="EN2278" s="100">
        <v>3</v>
      </c>
      <c r="EO2278" s="100">
        <v>2</v>
      </c>
      <c r="EP2278" s="100">
        <v>5</v>
      </c>
      <c r="EQ2278" s="100">
        <v>2</v>
      </c>
      <c r="ER2278" s="100">
        <v>3</v>
      </c>
      <c r="ET2278" s="100">
        <v>2</v>
      </c>
      <c r="EU2278" s="100">
        <v>1</v>
      </c>
      <c r="EV2278" s="100">
        <v>2</v>
      </c>
      <c r="EX2278" s="100">
        <v>3</v>
      </c>
      <c r="EY2278" s="100">
        <v>2</v>
      </c>
      <c r="FA2278" s="100">
        <v>1</v>
      </c>
      <c r="FB2278" s="100">
        <v>2</v>
      </c>
      <c r="FC2278" s="100">
        <v>2</v>
      </c>
      <c r="FD2278" s="100">
        <v>2</v>
      </c>
      <c r="FE2278" s="100">
        <v>2</v>
      </c>
      <c r="FH2278" s="100">
        <v>3</v>
      </c>
      <c r="FI2278" s="100">
        <v>3</v>
      </c>
      <c r="FJ2278" s="100">
        <v>3</v>
      </c>
      <c r="FK2278" s="100">
        <v>7</v>
      </c>
      <c r="FP2278" s="100">
        <v>2</v>
      </c>
      <c r="ON2278" s="100">
        <f t="shared" si="715"/>
        <v>0</v>
      </c>
    </row>
    <row r="2279" spans="1:404" ht="23.25" customHeight="1">
      <c r="A2279" s="97" t="str">
        <f t="shared" si="721"/>
        <v xml:space="preserve">	001/NORTHCOAST-VG-2166-01709-S4-B</v>
      </c>
      <c r="B2279" s="95">
        <v>44660</v>
      </c>
      <c r="C2279" s="97">
        <f t="shared" ca="1" si="716"/>
        <v>-404</v>
      </c>
      <c r="D2279" s="112" t="s">
        <v>1880</v>
      </c>
      <c r="E2279" s="123" t="s">
        <v>1881</v>
      </c>
      <c r="F2279" s="98" t="str">
        <f t="shared" si="717"/>
        <v>B</v>
      </c>
      <c r="G2279" s="110">
        <f ca="1">SUMIF($A:E,$A2279,K:K)</f>
        <v>0</v>
      </c>
      <c r="H2279" s="97" t="s">
        <v>927</v>
      </c>
      <c r="I2279" s="98">
        <v>32</v>
      </c>
      <c r="J2279" s="115">
        <v>32</v>
      </c>
      <c r="K2279" s="143">
        <f t="shared" si="720"/>
        <v>0</v>
      </c>
      <c r="L2279" s="144">
        <f t="shared" si="719"/>
        <v>32</v>
      </c>
      <c r="M2279" s="275">
        <f t="shared" si="718"/>
        <v>128</v>
      </c>
      <c r="N2279" s="98">
        <v>6</v>
      </c>
      <c r="O2279" s="93">
        <f t="shared" si="722"/>
        <v>0</v>
      </c>
      <c r="ON2279" s="100">
        <f t="shared" si="715"/>
        <v>0</v>
      </c>
    </row>
    <row r="2280" spans="1:404" ht="23.25" customHeight="1">
      <c r="A2280" s="97" t="str">
        <f t="shared" si="721"/>
        <v>007/YAMATEI-2166-01705-L2-B1</v>
      </c>
      <c r="B2280" s="95">
        <v>44641</v>
      </c>
      <c r="C2280" s="97">
        <f t="shared" ca="1" si="716"/>
        <v>-423</v>
      </c>
      <c r="D2280" s="112" t="s">
        <v>1569</v>
      </c>
      <c r="E2280" s="289" t="s">
        <v>1573</v>
      </c>
      <c r="F2280" s="98" t="str">
        <f t="shared" si="717"/>
        <v>B1</v>
      </c>
      <c r="G2280" s="110">
        <f ca="1">SUMIF($A:E,$A2280,K:K)</f>
        <v>40</v>
      </c>
      <c r="H2280" s="97" t="s">
        <v>927</v>
      </c>
      <c r="I2280" s="98">
        <v>32</v>
      </c>
      <c r="J2280" s="115">
        <v>32</v>
      </c>
      <c r="K2280" s="143">
        <f t="shared" si="720"/>
        <v>40</v>
      </c>
      <c r="L2280" s="144">
        <f t="shared" si="719"/>
        <v>-8</v>
      </c>
      <c r="M2280" s="275">
        <f t="shared" si="718"/>
        <v>64</v>
      </c>
      <c r="N2280" s="98">
        <v>6</v>
      </c>
      <c r="O2280" s="93">
        <f t="shared" si="722"/>
        <v>125</v>
      </c>
      <c r="OK2280" s="100">
        <v>20</v>
      </c>
      <c r="ON2280" s="100">
        <f t="shared" si="715"/>
        <v>20</v>
      </c>
    </row>
    <row r="2281" spans="1:404" ht="23.25" customHeight="1">
      <c r="A2281" s="97" t="str">
        <f t="shared" si="721"/>
        <v>007/YAMATEI-2166-01705-03-B1</v>
      </c>
      <c r="B2281" s="95">
        <v>44641</v>
      </c>
      <c r="C2281" s="97">
        <f t="shared" ca="1" si="716"/>
        <v>-423</v>
      </c>
      <c r="D2281" s="112" t="s">
        <v>1569</v>
      </c>
      <c r="E2281" s="289" t="s">
        <v>1572</v>
      </c>
      <c r="F2281" s="98" t="str">
        <f t="shared" si="717"/>
        <v>B1</v>
      </c>
      <c r="G2281" s="110">
        <f ca="1">SUMIF($A:E,$A2281,K:K)</f>
        <v>144</v>
      </c>
      <c r="H2281" s="97" t="s">
        <v>927</v>
      </c>
      <c r="I2281" s="98">
        <v>72</v>
      </c>
      <c r="J2281" s="115">
        <v>72</v>
      </c>
      <c r="K2281" s="143">
        <f t="shared" si="720"/>
        <v>144</v>
      </c>
      <c r="L2281" s="144">
        <f t="shared" si="719"/>
        <v>-72</v>
      </c>
      <c r="M2281" s="275">
        <f t="shared" si="718"/>
        <v>72</v>
      </c>
      <c r="N2281" s="98">
        <v>6</v>
      </c>
      <c r="O2281" s="93">
        <f>K2281/J2281*100</f>
        <v>200</v>
      </c>
      <c r="NV2281" s="100">
        <v>31</v>
      </c>
      <c r="NY2281" s="100">
        <v>13</v>
      </c>
      <c r="NZ2281" s="100">
        <v>12</v>
      </c>
      <c r="OA2281" s="100">
        <v>10</v>
      </c>
      <c r="OB2281" s="100">
        <v>1</v>
      </c>
      <c r="OH2281" s="100">
        <v>3</v>
      </c>
      <c r="OI2281" s="100">
        <v>2</v>
      </c>
      <c r="ON2281" s="100">
        <f t="shared" si="715"/>
        <v>72</v>
      </c>
    </row>
    <row r="2282" spans="1:404" ht="23.25" customHeight="1">
      <c r="A2282" s="97" t="str">
        <f t="shared" si="721"/>
        <v>007/YAMATEI-2166-01705-02-B1</v>
      </c>
      <c r="B2282" s="95">
        <v>44641</v>
      </c>
      <c r="C2282" s="97">
        <f t="shared" ca="1" si="716"/>
        <v>-423</v>
      </c>
      <c r="D2282" s="112" t="s">
        <v>1569</v>
      </c>
      <c r="E2282" s="289" t="s">
        <v>1571</v>
      </c>
      <c r="F2282" s="98" t="str">
        <f t="shared" si="717"/>
        <v>B1</v>
      </c>
      <c r="G2282" s="110">
        <f ca="1">SUMIF($A:E,$A2282,K:K)</f>
        <v>0</v>
      </c>
      <c r="H2282" s="97" t="s">
        <v>927</v>
      </c>
      <c r="I2282" s="98">
        <v>40</v>
      </c>
      <c r="J2282" s="115">
        <v>40</v>
      </c>
      <c r="K2282" s="143">
        <f t="shared" si="720"/>
        <v>0</v>
      </c>
      <c r="L2282" s="144">
        <f t="shared" si="719"/>
        <v>40</v>
      </c>
      <c r="M2282" s="275">
        <f t="shared" si="718"/>
        <v>40</v>
      </c>
      <c r="N2282" s="98">
        <v>6</v>
      </c>
      <c r="O2282" s="93">
        <f t="shared" si="722"/>
        <v>0</v>
      </c>
      <c r="ON2282" s="100">
        <f t="shared" si="715"/>
        <v>0</v>
      </c>
    </row>
    <row r="2283" spans="1:404" ht="23.25" customHeight="1">
      <c r="A2283" s="97" t="str">
        <f t="shared" si="721"/>
        <v>003/CALUCKY-2166-01703-02-B</v>
      </c>
      <c r="B2283" s="95">
        <v>44398</v>
      </c>
      <c r="C2283" s="97">
        <f t="shared" ca="1" si="716"/>
        <v>-666</v>
      </c>
      <c r="D2283" s="112" t="s">
        <v>1409</v>
      </c>
      <c r="E2283" s="123" t="s">
        <v>1410</v>
      </c>
      <c r="F2283" s="98" t="str">
        <f t="shared" si="717"/>
        <v>B</v>
      </c>
      <c r="G2283" s="110">
        <f ca="1">SUMIF($A:E,$A2283,K:K)</f>
        <v>7</v>
      </c>
      <c r="H2283" s="97" t="s">
        <v>507</v>
      </c>
      <c r="I2283" s="98">
        <v>7</v>
      </c>
      <c r="J2283" s="99">
        <v>7</v>
      </c>
      <c r="K2283" s="143">
        <f t="shared" si="720"/>
        <v>7</v>
      </c>
      <c r="L2283" s="144">
        <f t="shared" si="719"/>
        <v>0</v>
      </c>
      <c r="M2283" s="275">
        <f t="shared" si="718"/>
        <v>7</v>
      </c>
      <c r="N2283" s="98">
        <v>5</v>
      </c>
      <c r="O2283" s="93">
        <f t="shared" si="722"/>
        <v>100</v>
      </c>
      <c r="GI2283" s="100">
        <v>7</v>
      </c>
      <c r="ON2283" s="100">
        <f t="shared" si="715"/>
        <v>0</v>
      </c>
    </row>
    <row r="2284" spans="1:404" ht="23.25" customHeight="1">
      <c r="A2284" s="97" t="str">
        <f>D2284&amp;E2285</f>
        <v>003/HOMESENSE-2166-01702-B3-B</v>
      </c>
      <c r="B2284" s="95" t="s">
        <v>1221</v>
      </c>
      <c r="C2284" s="97">
        <f t="shared" ca="1" si="716"/>
        <v>-512</v>
      </c>
      <c r="D2284" s="96" t="s">
        <v>1220</v>
      </c>
      <c r="E2284" s="94" t="s">
        <v>1222</v>
      </c>
      <c r="F2284" s="98" t="str">
        <f t="shared" si="717"/>
        <v>B</v>
      </c>
      <c r="G2284" s="110">
        <f ca="1">SUMIF($A:E,$A2284,K:K)</f>
        <v>256</v>
      </c>
      <c r="H2284" s="97" t="s">
        <v>508</v>
      </c>
      <c r="I2284" s="98">
        <v>256</v>
      </c>
      <c r="J2284" s="99">
        <v>256</v>
      </c>
      <c r="K2284" s="143">
        <f t="shared" si="720"/>
        <v>256</v>
      </c>
      <c r="L2284" s="144">
        <f t="shared" si="719"/>
        <v>0</v>
      </c>
      <c r="M2284" s="275">
        <f t="shared" si="718"/>
        <v>768</v>
      </c>
      <c r="N2284" s="98">
        <v>3</v>
      </c>
      <c r="O2284" s="93">
        <f t="shared" si="722"/>
        <v>100</v>
      </c>
      <c r="JI2284" s="100">
        <v>6</v>
      </c>
      <c r="JJ2284" s="100">
        <v>9</v>
      </c>
      <c r="JM2284" s="100">
        <v>6</v>
      </c>
      <c r="JN2284" s="100">
        <v>9</v>
      </c>
      <c r="JP2284" s="100">
        <v>11</v>
      </c>
      <c r="JR2284" s="100">
        <v>1</v>
      </c>
      <c r="JW2284" s="100">
        <v>15</v>
      </c>
      <c r="JX2284" s="100">
        <v>5</v>
      </c>
      <c r="JY2284" s="100">
        <v>10</v>
      </c>
      <c r="KA2284" s="100">
        <v>8</v>
      </c>
      <c r="KB2284" s="100">
        <v>4</v>
      </c>
      <c r="KC2284" s="100">
        <v>3</v>
      </c>
      <c r="KD2284" s="100">
        <v>10</v>
      </c>
      <c r="KE2284" s="100">
        <v>7</v>
      </c>
      <c r="KF2284" s="100">
        <v>11</v>
      </c>
      <c r="KH2284" s="100">
        <v>6</v>
      </c>
      <c r="KI2284" s="100">
        <v>5</v>
      </c>
      <c r="KJ2284" s="100">
        <v>7</v>
      </c>
      <c r="KN2284" s="100">
        <v>6</v>
      </c>
      <c r="KP2284" s="100">
        <v>9</v>
      </c>
      <c r="KR2284" s="100">
        <v>7</v>
      </c>
      <c r="KV2284" s="100">
        <v>6</v>
      </c>
      <c r="KX2284" s="100">
        <v>2</v>
      </c>
      <c r="KY2284" s="100">
        <v>4</v>
      </c>
      <c r="KZ2284" s="100">
        <v>3</v>
      </c>
      <c r="LB2284" s="100">
        <v>3</v>
      </c>
      <c r="LC2284" s="100">
        <v>1</v>
      </c>
      <c r="LD2284" s="100">
        <v>6</v>
      </c>
      <c r="LE2284" s="100">
        <v>1</v>
      </c>
      <c r="LF2284" s="100">
        <v>3</v>
      </c>
      <c r="LG2284" s="100">
        <v>6</v>
      </c>
      <c r="LJ2284" s="100">
        <v>5</v>
      </c>
      <c r="LL2284" s="100">
        <v>5</v>
      </c>
      <c r="LM2284" s="100">
        <v>1</v>
      </c>
      <c r="LN2284" s="100">
        <v>6</v>
      </c>
      <c r="LP2284" s="100">
        <v>6</v>
      </c>
      <c r="LQ2284" s="100">
        <v>3</v>
      </c>
      <c r="LR2284" s="100">
        <v>6</v>
      </c>
      <c r="LS2284" s="100">
        <v>6</v>
      </c>
      <c r="LT2284" s="100">
        <v>6</v>
      </c>
      <c r="LU2284" s="100">
        <v>6</v>
      </c>
      <c r="LW2284" s="100">
        <v>3</v>
      </c>
      <c r="LX2284" s="100">
        <v>6</v>
      </c>
      <c r="LY2284" s="100">
        <v>6</v>
      </c>
      <c r="LZ2284" s="100">
        <v>1</v>
      </c>
      <c r="ON2284" s="100">
        <f t="shared" si="715"/>
        <v>0</v>
      </c>
    </row>
    <row r="2285" spans="1:404" ht="23.25" customHeight="1">
      <c r="A2285" s="97" t="str">
        <f>D2285&amp;E2285</f>
        <v>038/VG_SR-21( TJX)66-01702-B3-B</v>
      </c>
      <c r="B2285" s="95">
        <v>44390</v>
      </c>
      <c r="C2285" s="97">
        <f t="shared" ca="1" si="716"/>
        <v>-674</v>
      </c>
      <c r="D2285" s="112" t="s">
        <v>1297</v>
      </c>
      <c r="E2285" s="123" t="s">
        <v>1222</v>
      </c>
      <c r="F2285" s="98" t="str">
        <f t="shared" si="717"/>
        <v>B</v>
      </c>
      <c r="G2285" s="110">
        <f ca="1">SUMIF($A:E,$A2285,K:K)</f>
        <v>2</v>
      </c>
      <c r="H2285" s="97" t="s">
        <v>508</v>
      </c>
      <c r="I2285" s="98">
        <v>2</v>
      </c>
      <c r="J2285" s="99">
        <v>2</v>
      </c>
      <c r="K2285" s="143">
        <f t="shared" si="720"/>
        <v>2</v>
      </c>
      <c r="L2285" s="144">
        <f t="shared" si="719"/>
        <v>0</v>
      </c>
      <c r="M2285" s="275">
        <f t="shared" si="718"/>
        <v>6</v>
      </c>
      <c r="N2285" s="211">
        <v>1</v>
      </c>
      <c r="O2285" s="93">
        <f t="shared" si="722"/>
        <v>100</v>
      </c>
      <c r="GB2285" s="100">
        <v>2</v>
      </c>
      <c r="ON2285" s="100">
        <f t="shared" si="715"/>
        <v>0</v>
      </c>
    </row>
    <row r="2286" spans="1:404" ht="23.25" customHeight="1">
      <c r="A2286" s="97" t="str">
        <f>D2286&amp;E2286</f>
        <v>003/ANNA-VG-21(đ3)66-01700-S4-A</v>
      </c>
      <c r="B2286" s="95">
        <v>44577</v>
      </c>
      <c r="C2286" s="97">
        <f t="shared" ca="1" si="716"/>
        <v>-487</v>
      </c>
      <c r="D2286" s="112" t="s">
        <v>1646</v>
      </c>
      <c r="E2286" s="279" t="s">
        <v>683</v>
      </c>
      <c r="F2286" s="98" t="str">
        <f t="shared" si="717"/>
        <v>A</v>
      </c>
      <c r="G2286" s="110">
        <f ca="1">SUMIF($A:E,$A2286,K:K)</f>
        <v>32</v>
      </c>
      <c r="H2286" s="112" t="s">
        <v>990</v>
      </c>
      <c r="I2286" s="98">
        <v>32</v>
      </c>
      <c r="J2286" s="115">
        <v>32</v>
      </c>
      <c r="K2286" s="143">
        <f t="shared" si="720"/>
        <v>32</v>
      </c>
      <c r="L2286" s="144">
        <f t="shared" si="719"/>
        <v>0</v>
      </c>
      <c r="M2286" s="275">
        <f t="shared" si="718"/>
        <v>128</v>
      </c>
      <c r="N2286" s="98">
        <v>4</v>
      </c>
      <c r="O2286" s="93">
        <f t="shared" ref="O2286:O2302" si="723">K2286/J2286*100</f>
        <v>100</v>
      </c>
      <c r="LU2286" s="100">
        <v>14</v>
      </c>
      <c r="LW2286" s="100">
        <v>6</v>
      </c>
      <c r="LX2286" s="100">
        <v>4</v>
      </c>
      <c r="LY2286" s="100">
        <v>8</v>
      </c>
      <c r="ON2286" s="100">
        <f t="shared" si="715"/>
        <v>0</v>
      </c>
    </row>
    <row r="2287" spans="1:404" ht="23.25" customHeight="1">
      <c r="A2287" s="97" t="e">
        <f>D2287&amp;#REF!</f>
        <v>#REF!</v>
      </c>
      <c r="B2287" s="95">
        <v>44569</v>
      </c>
      <c r="C2287" s="97">
        <f t="shared" ref="C2287:C2308" ca="1" si="724">B2287-TODAY()</f>
        <v>-495</v>
      </c>
      <c r="D2287" s="96" t="s">
        <v>1232</v>
      </c>
      <c r="E2287" s="94" t="s">
        <v>2357</v>
      </c>
      <c r="F2287" s="98" t="str">
        <f t="shared" ref="F2287:F2308" si="725">MID(E2287,13,2)</f>
        <v>B</v>
      </c>
      <c r="G2287" s="110">
        <f ca="1">SUMIF($A:E,$A2287,K:K)</f>
        <v>1754</v>
      </c>
      <c r="H2287" s="97" t="s">
        <v>508</v>
      </c>
      <c r="I2287" s="98">
        <v>48</v>
      </c>
      <c r="J2287" s="97">
        <v>48</v>
      </c>
      <c r="K2287" s="143">
        <f t="shared" si="720"/>
        <v>48</v>
      </c>
      <c r="L2287" s="144">
        <f t="shared" si="719"/>
        <v>0</v>
      </c>
      <c r="M2287" s="275">
        <f t="shared" ref="M2287:M2308" si="726">IF(OR(MID(E2287,10,1)="0",MID(E2287,10,1)="F"),I2287,IF(OR(,MID(E2287,10,1)="S",MID(E2287,10,1)="L",MID(E2287,10,1)="B",MID(E2287,10,1)="X"),MID(E2287,11,1)*I2287,0))</f>
        <v>144</v>
      </c>
      <c r="N2287" s="98">
        <v>4</v>
      </c>
      <c r="O2287" s="93">
        <f t="shared" si="723"/>
        <v>100</v>
      </c>
      <c r="MG2287" s="100">
        <v>5</v>
      </c>
      <c r="MH2287" s="100">
        <v>5</v>
      </c>
      <c r="ML2287" s="100">
        <v>15</v>
      </c>
      <c r="MM2287" s="100">
        <v>10</v>
      </c>
      <c r="MN2287" s="100">
        <v>10</v>
      </c>
      <c r="MO2287" s="100">
        <v>3</v>
      </c>
      <c r="ON2287" s="100">
        <f t="shared" si="715"/>
        <v>0</v>
      </c>
    </row>
    <row r="2288" spans="1:404" ht="23.25" customHeight="1">
      <c r="A2288" s="97" t="str">
        <f t="shared" ref="A2288:A2295" si="727">D2288&amp;E2289</f>
        <v>002/HOMESENSE-2166-01700-B2-B</v>
      </c>
      <c r="B2288" s="95">
        <v>44569</v>
      </c>
      <c r="C2288" s="97">
        <f t="shared" ca="1" si="724"/>
        <v>-495</v>
      </c>
      <c r="D2288" s="96" t="s">
        <v>1224</v>
      </c>
      <c r="E2288" s="94" t="s">
        <v>682</v>
      </c>
      <c r="F2288" s="98" t="str">
        <f t="shared" si="725"/>
        <v>B</v>
      </c>
      <c r="G2288" s="110">
        <f ca="1">SUMIF($A:E,$A2288,K:K)</f>
        <v>216</v>
      </c>
      <c r="H2288" s="97" t="s">
        <v>508</v>
      </c>
      <c r="I2288" s="98">
        <v>216</v>
      </c>
      <c r="J2288" s="97">
        <v>216</v>
      </c>
      <c r="K2288" s="143">
        <f t="shared" si="720"/>
        <v>216</v>
      </c>
      <c r="L2288" s="144">
        <f t="shared" ref="L2288:L2313" si="728">J2288-K2288</f>
        <v>0</v>
      </c>
      <c r="M2288" s="275">
        <f t="shared" si="726"/>
        <v>432</v>
      </c>
      <c r="N2288" s="98">
        <v>4</v>
      </c>
      <c r="O2288" s="93">
        <f t="shared" si="723"/>
        <v>100</v>
      </c>
      <c r="LD2288" s="100">
        <v>18</v>
      </c>
      <c r="LE2288" s="100">
        <v>21</v>
      </c>
      <c r="LF2288" s="100">
        <v>25</v>
      </c>
      <c r="LG2288" s="100">
        <v>16</v>
      </c>
      <c r="LI2288" s="100">
        <v>14</v>
      </c>
      <c r="LK2288" s="100">
        <v>24</v>
      </c>
      <c r="LM2288" s="100">
        <v>14</v>
      </c>
      <c r="LP2288" s="100">
        <v>24</v>
      </c>
      <c r="LQ2288" s="100">
        <v>12</v>
      </c>
      <c r="LR2288" s="100">
        <v>24</v>
      </c>
      <c r="LS2288" s="100">
        <v>21</v>
      </c>
      <c r="LU2288" s="100">
        <v>3</v>
      </c>
      <c r="ON2288" s="100">
        <f t="shared" si="715"/>
        <v>0</v>
      </c>
    </row>
    <row r="2289" spans="1:404" ht="23.25" customHeight="1">
      <c r="A2289" s="97" t="str">
        <f t="shared" si="727"/>
        <v>004/MARSHALLS-2166-01700-B2-B</v>
      </c>
      <c r="B2289" s="95">
        <v>44503</v>
      </c>
      <c r="C2289" s="97">
        <f t="shared" ca="1" si="724"/>
        <v>-561</v>
      </c>
      <c r="D2289" s="96" t="s">
        <v>1247</v>
      </c>
      <c r="E2289" s="94" t="s">
        <v>682</v>
      </c>
      <c r="F2289" s="98" t="str">
        <f t="shared" si="725"/>
        <v>B</v>
      </c>
      <c r="G2289" s="110">
        <f ca="1">SUMIF($A:E,$A2289,K:K)</f>
        <v>234</v>
      </c>
      <c r="H2289" s="97" t="s">
        <v>508</v>
      </c>
      <c r="I2289" s="98">
        <v>234</v>
      </c>
      <c r="J2289" s="97">
        <v>234</v>
      </c>
      <c r="K2289" s="143">
        <f t="shared" si="720"/>
        <v>234</v>
      </c>
      <c r="L2289" s="144">
        <f t="shared" si="728"/>
        <v>0</v>
      </c>
      <c r="M2289" s="275">
        <f t="shared" si="726"/>
        <v>468</v>
      </c>
      <c r="N2289" s="98">
        <v>4</v>
      </c>
      <c r="O2289" s="93">
        <f t="shared" si="723"/>
        <v>100</v>
      </c>
      <c r="IP2289" s="100">
        <v>38</v>
      </c>
      <c r="IS2289" s="100">
        <v>60</v>
      </c>
      <c r="IT2289" s="100">
        <v>19</v>
      </c>
      <c r="IU2289" s="100">
        <v>79</v>
      </c>
      <c r="IV2289" s="100">
        <v>8</v>
      </c>
      <c r="IW2289" s="100">
        <v>30</v>
      </c>
      <c r="ON2289" s="100">
        <f t="shared" si="715"/>
        <v>0</v>
      </c>
    </row>
    <row r="2290" spans="1:404" ht="23.25" customHeight="1">
      <c r="A2290" s="97" t="str">
        <f t="shared" si="727"/>
        <v>004/TJ MAXX-2166-01700-B2-B</v>
      </c>
      <c r="B2290" s="95">
        <v>44503</v>
      </c>
      <c r="C2290" s="97">
        <f t="shared" ca="1" si="724"/>
        <v>-561</v>
      </c>
      <c r="D2290" s="96" t="s">
        <v>1248</v>
      </c>
      <c r="E2290" s="94" t="s">
        <v>682</v>
      </c>
      <c r="F2290" s="98" t="str">
        <f t="shared" si="725"/>
        <v>B</v>
      </c>
      <c r="G2290" s="110">
        <f ca="1">SUMIF($A:E,$A2290,K:K)</f>
        <v>342</v>
      </c>
      <c r="H2290" s="97" t="s">
        <v>508</v>
      </c>
      <c r="I2290" s="98">
        <v>342</v>
      </c>
      <c r="J2290" s="97">
        <v>342</v>
      </c>
      <c r="K2290" s="143">
        <f t="shared" si="720"/>
        <v>342</v>
      </c>
      <c r="L2290" s="144">
        <f t="shared" si="728"/>
        <v>0</v>
      </c>
      <c r="M2290" s="275">
        <f t="shared" si="726"/>
        <v>684</v>
      </c>
      <c r="N2290" s="98">
        <v>4</v>
      </c>
      <c r="O2290" s="93">
        <f t="shared" si="723"/>
        <v>100</v>
      </c>
      <c r="IW2290" s="100">
        <v>13</v>
      </c>
      <c r="IY2290" s="100">
        <v>24</v>
      </c>
      <c r="IZ2290" s="100">
        <v>35</v>
      </c>
      <c r="JA2290" s="100">
        <v>41</v>
      </c>
      <c r="JB2290" s="100">
        <v>40</v>
      </c>
      <c r="JC2290" s="100">
        <v>28</v>
      </c>
      <c r="JD2290" s="100">
        <v>20</v>
      </c>
      <c r="JG2290" s="100">
        <v>30</v>
      </c>
      <c r="JH2290" s="100">
        <v>40</v>
      </c>
      <c r="JI2290" s="100">
        <v>17</v>
      </c>
      <c r="JJ2290" s="100">
        <v>23</v>
      </c>
      <c r="JM2290" s="100">
        <v>20</v>
      </c>
      <c r="JN2290" s="100">
        <v>11</v>
      </c>
      <c r="ON2290" s="100">
        <f t="shared" si="715"/>
        <v>0</v>
      </c>
    </row>
    <row r="2291" spans="1:404" ht="23.25" customHeight="1">
      <c r="A2291" s="97" t="str">
        <f t="shared" si="727"/>
        <v>002/MARSHALLS-2166-01700-B2-B</v>
      </c>
      <c r="B2291" s="95">
        <v>44412</v>
      </c>
      <c r="C2291" s="97">
        <f t="shared" ca="1" si="724"/>
        <v>-652</v>
      </c>
      <c r="D2291" s="96" t="s">
        <v>1249</v>
      </c>
      <c r="E2291" s="94" t="s">
        <v>682</v>
      </c>
      <c r="F2291" s="98" t="str">
        <f t="shared" si="725"/>
        <v>B</v>
      </c>
      <c r="G2291" s="110">
        <f ca="1">SUMIF($A:E,$A2291,K:K)</f>
        <v>180</v>
      </c>
      <c r="H2291" s="97" t="s">
        <v>508</v>
      </c>
      <c r="I2291" s="98">
        <v>180</v>
      </c>
      <c r="J2291" s="99">
        <v>180</v>
      </c>
      <c r="K2291" s="143">
        <f t="shared" si="720"/>
        <v>180</v>
      </c>
      <c r="L2291" s="144">
        <f t="shared" si="728"/>
        <v>0</v>
      </c>
      <c r="M2291" s="275">
        <f t="shared" si="726"/>
        <v>360</v>
      </c>
      <c r="N2291" s="98">
        <v>5</v>
      </c>
      <c r="O2291" s="93">
        <f t="shared" si="723"/>
        <v>100</v>
      </c>
      <c r="GB2291" s="100">
        <v>12</v>
      </c>
      <c r="GC2291" s="100">
        <v>12</v>
      </c>
      <c r="GD2291" s="100">
        <v>11</v>
      </c>
      <c r="GE2291" s="100">
        <v>13</v>
      </c>
      <c r="GG2291" s="100">
        <v>14</v>
      </c>
      <c r="GH2291" s="100">
        <v>10</v>
      </c>
      <c r="GI2291" s="100">
        <v>17</v>
      </c>
      <c r="GJ2291" s="100">
        <v>14</v>
      </c>
      <c r="GK2291" s="100">
        <v>8</v>
      </c>
      <c r="GL2291" s="100">
        <v>16</v>
      </c>
      <c r="GN2291" s="100">
        <v>15</v>
      </c>
      <c r="GO2291" s="100">
        <v>8</v>
      </c>
      <c r="GP2291" s="100">
        <v>19</v>
      </c>
      <c r="GQ2291" s="100">
        <v>11</v>
      </c>
      <c r="ON2291" s="100">
        <f t="shared" si="715"/>
        <v>0</v>
      </c>
    </row>
    <row r="2292" spans="1:404" ht="23.25" customHeight="1">
      <c r="A2292" s="97" t="str">
        <f t="shared" si="727"/>
        <v>002/TJ MAXX-2166-01700-B2-B</v>
      </c>
      <c r="B2292" s="95">
        <v>44420</v>
      </c>
      <c r="C2292" s="97">
        <f t="shared" ca="1" si="724"/>
        <v>-644</v>
      </c>
      <c r="D2292" s="96" t="s">
        <v>1251</v>
      </c>
      <c r="E2292" s="94" t="s">
        <v>682</v>
      </c>
      <c r="F2292" s="98" t="str">
        <f t="shared" si="725"/>
        <v>B</v>
      </c>
      <c r="G2292" s="110">
        <f ca="1">SUMIF($A:E,$A2292,K:K)</f>
        <v>252</v>
      </c>
      <c r="H2292" s="97" t="s">
        <v>508</v>
      </c>
      <c r="I2292" s="98">
        <v>252</v>
      </c>
      <c r="J2292" s="99">
        <v>252</v>
      </c>
      <c r="K2292" s="143">
        <f t="shared" si="720"/>
        <v>252</v>
      </c>
      <c r="L2292" s="144">
        <f t="shared" si="728"/>
        <v>0</v>
      </c>
      <c r="M2292" s="275">
        <f t="shared" si="726"/>
        <v>504</v>
      </c>
      <c r="N2292" s="98">
        <v>5</v>
      </c>
      <c r="O2292" s="93">
        <f t="shared" si="723"/>
        <v>100</v>
      </c>
      <c r="FZ2292" s="100">
        <v>16</v>
      </c>
      <c r="GA2292" s="100">
        <v>11</v>
      </c>
      <c r="GQ2292" s="100">
        <v>1</v>
      </c>
      <c r="GR2292" s="100">
        <v>11</v>
      </c>
      <c r="GS2292" s="100">
        <v>8</v>
      </c>
      <c r="GU2292" s="100">
        <v>18</v>
      </c>
      <c r="GV2292" s="100">
        <v>6</v>
      </c>
      <c r="GW2292" s="100">
        <v>7</v>
      </c>
      <c r="GX2292" s="100">
        <v>9</v>
      </c>
      <c r="GY2292" s="100">
        <v>18</v>
      </c>
      <c r="GZ2292" s="100">
        <v>17</v>
      </c>
      <c r="HB2292" s="100">
        <v>7</v>
      </c>
      <c r="HC2292" s="100">
        <v>17</v>
      </c>
      <c r="HD2292" s="100">
        <v>15</v>
      </c>
      <c r="HE2292" s="100">
        <v>18</v>
      </c>
      <c r="HF2292" s="100">
        <v>20</v>
      </c>
      <c r="HG2292" s="100">
        <v>10</v>
      </c>
      <c r="HJ2292" s="100">
        <v>18</v>
      </c>
      <c r="HK2292" s="100">
        <v>14</v>
      </c>
      <c r="HL2292" s="100">
        <v>11</v>
      </c>
      <c r="ON2292" s="100">
        <f t="shared" si="715"/>
        <v>0</v>
      </c>
    </row>
    <row r="2293" spans="1:404" ht="23.25" customHeight="1">
      <c r="A2293" s="97" t="str">
        <f t="shared" si="727"/>
        <v>003/MARSHALLS-2166-01700-B2-B</v>
      </c>
      <c r="B2293" s="95">
        <v>44472</v>
      </c>
      <c r="C2293" s="97">
        <f t="shared" ca="1" si="724"/>
        <v>-592</v>
      </c>
      <c r="D2293" s="96" t="s">
        <v>1252</v>
      </c>
      <c r="E2293" s="94" t="s">
        <v>682</v>
      </c>
      <c r="F2293" s="98" t="str">
        <f t="shared" si="725"/>
        <v>B</v>
      </c>
      <c r="G2293" s="110">
        <f ca="1">SUMIF($A:E,$A2293,K:K)</f>
        <v>360</v>
      </c>
      <c r="H2293" s="97" t="s">
        <v>508</v>
      </c>
      <c r="I2293" s="98">
        <v>360</v>
      </c>
      <c r="J2293" s="97">
        <v>360</v>
      </c>
      <c r="K2293" s="143">
        <f t="shared" si="720"/>
        <v>360</v>
      </c>
      <c r="L2293" s="144">
        <f t="shared" si="728"/>
        <v>0</v>
      </c>
      <c r="M2293" s="275">
        <f t="shared" si="726"/>
        <v>720</v>
      </c>
      <c r="N2293" s="98">
        <v>4</v>
      </c>
      <c r="O2293" s="93">
        <f t="shared" si="723"/>
        <v>100</v>
      </c>
      <c r="ID2293" s="100">
        <v>18</v>
      </c>
      <c r="IE2293" s="100">
        <v>40</v>
      </c>
      <c r="IF2293" s="100">
        <v>39</v>
      </c>
      <c r="IG2293" s="100">
        <v>39</v>
      </c>
      <c r="IH2293" s="100">
        <v>34</v>
      </c>
      <c r="II2293" s="100">
        <v>46</v>
      </c>
      <c r="IL2293" s="100">
        <v>62</v>
      </c>
      <c r="IM2293" s="100">
        <v>39</v>
      </c>
      <c r="IN2293" s="100">
        <v>24</v>
      </c>
      <c r="IO2293" s="100">
        <v>17</v>
      </c>
      <c r="IP2293" s="100">
        <v>2</v>
      </c>
      <c r="ON2293" s="100">
        <f t="shared" si="715"/>
        <v>0</v>
      </c>
    </row>
    <row r="2294" spans="1:404" ht="23.25" customHeight="1">
      <c r="A2294" s="97" t="str">
        <f t="shared" si="727"/>
        <v>003/TJ MAXX-2166-01700-B2-B</v>
      </c>
      <c r="B2294" s="95">
        <v>44472</v>
      </c>
      <c r="C2294" s="97">
        <f t="shared" ca="1" si="724"/>
        <v>-592</v>
      </c>
      <c r="D2294" s="96" t="s">
        <v>1253</v>
      </c>
      <c r="E2294" s="94" t="s">
        <v>682</v>
      </c>
      <c r="F2294" s="98" t="str">
        <f t="shared" si="725"/>
        <v>B</v>
      </c>
      <c r="G2294" s="110">
        <f ca="1">SUMIF($A:E,$A2294,K:K)</f>
        <v>540</v>
      </c>
      <c r="H2294" s="97" t="s">
        <v>508</v>
      </c>
      <c r="I2294" s="98">
        <v>540</v>
      </c>
      <c r="J2294" s="97">
        <v>540</v>
      </c>
      <c r="K2294" s="143">
        <f t="shared" si="720"/>
        <v>540</v>
      </c>
      <c r="L2294" s="144">
        <f t="shared" si="728"/>
        <v>0</v>
      </c>
      <c r="M2294" s="275">
        <f t="shared" si="726"/>
        <v>1080</v>
      </c>
      <c r="N2294" s="98">
        <v>4</v>
      </c>
      <c r="O2294" s="93">
        <f t="shared" si="723"/>
        <v>100</v>
      </c>
      <c r="GX2294" s="100">
        <v>12</v>
      </c>
      <c r="GY2294" s="100">
        <v>24</v>
      </c>
      <c r="HB2294" s="100">
        <v>23</v>
      </c>
      <c r="HD2294" s="100">
        <v>19</v>
      </c>
      <c r="HF2294" s="100">
        <v>20</v>
      </c>
      <c r="HG2294" s="100">
        <v>18</v>
      </c>
      <c r="HI2294" s="100">
        <v>10</v>
      </c>
      <c r="HJ2294" s="100">
        <v>18</v>
      </c>
      <c r="HK2294" s="100">
        <v>10</v>
      </c>
      <c r="HL2294" s="100">
        <v>25</v>
      </c>
      <c r="HM2294" s="100">
        <v>16</v>
      </c>
      <c r="HN2294" s="100">
        <v>16</v>
      </c>
      <c r="HP2294" s="100">
        <v>33</v>
      </c>
      <c r="HQ2294" s="100">
        <v>17</v>
      </c>
      <c r="HR2294" s="100">
        <v>19</v>
      </c>
      <c r="HS2294" s="100">
        <v>40</v>
      </c>
      <c r="HT2294" s="100">
        <v>39</v>
      </c>
      <c r="HU2294" s="100">
        <v>39</v>
      </c>
      <c r="HW2294" s="100">
        <v>19</v>
      </c>
      <c r="HX2294" s="100">
        <v>21</v>
      </c>
      <c r="HY2294" s="100">
        <v>40</v>
      </c>
      <c r="IB2294" s="100">
        <v>40</v>
      </c>
      <c r="ID2294" s="100">
        <v>22</v>
      </c>
      <c r="ON2294" s="100">
        <f t="shared" si="715"/>
        <v>0</v>
      </c>
    </row>
    <row r="2295" spans="1:404" ht="23.25" customHeight="1">
      <c r="A2295" s="97" t="str">
        <f t="shared" si="727"/>
        <v>005/HOMESENSE-2166-01700-B2-B</v>
      </c>
      <c r="B2295" s="95">
        <v>44572</v>
      </c>
      <c r="C2295" s="97">
        <f t="shared" ca="1" si="724"/>
        <v>-492</v>
      </c>
      <c r="D2295" s="96" t="s">
        <v>1254</v>
      </c>
      <c r="E2295" s="94" t="s">
        <v>682</v>
      </c>
      <c r="F2295" s="98" t="str">
        <f t="shared" si="725"/>
        <v>B</v>
      </c>
      <c r="G2295" s="110">
        <f ca="1">SUMIF($A:E,$A2295,K:K)</f>
        <v>216</v>
      </c>
      <c r="H2295" s="97" t="s">
        <v>508</v>
      </c>
      <c r="I2295" s="98">
        <v>216</v>
      </c>
      <c r="J2295" s="99">
        <v>216</v>
      </c>
      <c r="K2295" s="143">
        <f t="shared" si="720"/>
        <v>216</v>
      </c>
      <c r="L2295" s="144">
        <f t="shared" si="728"/>
        <v>0</v>
      </c>
      <c r="M2295" s="275">
        <f t="shared" si="726"/>
        <v>432</v>
      </c>
      <c r="N2295" s="98">
        <v>4</v>
      </c>
      <c r="O2295" s="93">
        <f t="shared" si="723"/>
        <v>100</v>
      </c>
      <c r="MG2295" s="100">
        <v>6</v>
      </c>
      <c r="MH2295" s="100">
        <v>8</v>
      </c>
      <c r="ML2295" s="100">
        <v>21</v>
      </c>
      <c r="MM2295" s="100">
        <v>13</v>
      </c>
      <c r="MN2295" s="100">
        <v>14</v>
      </c>
      <c r="MO2295" s="100">
        <v>46</v>
      </c>
      <c r="MP2295" s="100">
        <v>2</v>
      </c>
      <c r="MQ2295" s="100">
        <v>42</v>
      </c>
      <c r="MR2295" s="100">
        <v>1</v>
      </c>
      <c r="MS2295" s="100">
        <v>24</v>
      </c>
      <c r="MT2295" s="100">
        <v>12</v>
      </c>
      <c r="MU2295" s="100">
        <v>24</v>
      </c>
      <c r="MW2295" s="100">
        <v>2</v>
      </c>
      <c r="MX2295" s="100">
        <v>1</v>
      </c>
      <c r="ON2295" s="100">
        <f t="shared" si="715"/>
        <v>0</v>
      </c>
    </row>
    <row r="2296" spans="1:404" ht="23.25" customHeight="1">
      <c r="A2296" s="97" t="str">
        <f>D2296&amp;E2296</f>
        <v>038/VG_SR-21( TJX)66-01700-B2-B</v>
      </c>
      <c r="B2296" s="95">
        <v>44390</v>
      </c>
      <c r="C2296" s="97">
        <f t="shared" ca="1" si="724"/>
        <v>-674</v>
      </c>
      <c r="D2296" s="112" t="s">
        <v>1297</v>
      </c>
      <c r="E2296" s="123" t="s">
        <v>682</v>
      </c>
      <c r="F2296" s="98" t="str">
        <f t="shared" si="725"/>
        <v>B</v>
      </c>
      <c r="G2296" s="110">
        <f ca="1">SUMIF($A:E,$A2296,K:K)</f>
        <v>2</v>
      </c>
      <c r="H2296" s="97" t="s">
        <v>508</v>
      </c>
      <c r="I2296" s="98">
        <v>2</v>
      </c>
      <c r="J2296" s="99">
        <v>2</v>
      </c>
      <c r="K2296" s="143">
        <f t="shared" si="720"/>
        <v>2</v>
      </c>
      <c r="L2296" s="144">
        <f t="shared" si="728"/>
        <v>0</v>
      </c>
      <c r="M2296" s="275">
        <f t="shared" si="726"/>
        <v>4</v>
      </c>
      <c r="N2296" s="211">
        <v>1</v>
      </c>
      <c r="O2296" s="93">
        <f t="shared" si="723"/>
        <v>100</v>
      </c>
      <c r="GB2296" s="100">
        <v>2</v>
      </c>
      <c r="ON2296" s="100">
        <f t="shared" si="715"/>
        <v>0</v>
      </c>
    </row>
    <row r="2297" spans="1:404" ht="23.25" customHeight="1">
      <c r="A2297" s="97" t="str">
        <f>D2297&amp;E2297</f>
        <v>001/SIERRA-2166-01700-B2-B</v>
      </c>
      <c r="B2297" s="206">
        <v>44523</v>
      </c>
      <c r="C2297" s="97">
        <f t="shared" ca="1" si="724"/>
        <v>-541</v>
      </c>
      <c r="D2297" s="112" t="s">
        <v>1369</v>
      </c>
      <c r="E2297" s="123" t="s">
        <v>682</v>
      </c>
      <c r="F2297" s="98" t="str">
        <f t="shared" si="725"/>
        <v>B</v>
      </c>
      <c r="G2297" s="110">
        <f ca="1">SUMIF($A:E,$A2297,K:K)</f>
        <v>162</v>
      </c>
      <c r="H2297" s="97" t="s">
        <v>508</v>
      </c>
      <c r="I2297" s="98">
        <v>162</v>
      </c>
      <c r="J2297" s="115">
        <v>162</v>
      </c>
      <c r="K2297" s="143">
        <f t="shared" si="720"/>
        <v>162</v>
      </c>
      <c r="L2297" s="144">
        <f t="shared" si="728"/>
        <v>0</v>
      </c>
      <c r="M2297" s="275">
        <f t="shared" si="726"/>
        <v>324</v>
      </c>
      <c r="N2297" s="98">
        <v>4</v>
      </c>
      <c r="O2297" s="93">
        <f t="shared" si="723"/>
        <v>100</v>
      </c>
      <c r="JO2297" s="100">
        <v>23</v>
      </c>
      <c r="JP2297" s="100">
        <v>18</v>
      </c>
      <c r="JQ2297" s="100">
        <v>11</v>
      </c>
      <c r="JR2297" s="100">
        <v>20</v>
      </c>
      <c r="JT2297" s="100">
        <v>9</v>
      </c>
      <c r="JU2297" s="100">
        <v>11</v>
      </c>
      <c r="JV2297" s="100">
        <v>20</v>
      </c>
      <c r="JX2297" s="100">
        <v>11</v>
      </c>
      <c r="JY2297" s="100">
        <v>10</v>
      </c>
      <c r="KA2297" s="100">
        <v>9</v>
      </c>
      <c r="KB2297" s="100">
        <v>11</v>
      </c>
      <c r="KC2297" s="100">
        <v>8</v>
      </c>
      <c r="KD2297" s="100">
        <v>1</v>
      </c>
      <c r="ON2297" s="100">
        <f t="shared" si="715"/>
        <v>0</v>
      </c>
    </row>
    <row r="2298" spans="1:404" ht="23.25" customHeight="1">
      <c r="A2298" s="97" t="s">
        <v>1370</v>
      </c>
      <c r="B2298" s="95">
        <v>44602</v>
      </c>
      <c r="C2298" s="97">
        <f t="shared" ca="1" si="724"/>
        <v>-462</v>
      </c>
      <c r="D2298" s="112" t="s">
        <v>2200</v>
      </c>
      <c r="E2298" s="123" t="s">
        <v>682</v>
      </c>
      <c r="F2298" s="98" t="str">
        <f t="shared" si="725"/>
        <v>B</v>
      </c>
      <c r="G2298" s="110">
        <f ca="1">SUMIF($A:E,$A2298,K:K)</f>
        <v>5654</v>
      </c>
      <c r="H2298" s="97" t="s">
        <v>508</v>
      </c>
      <c r="I2298" s="98">
        <v>198</v>
      </c>
      <c r="J2298" s="115">
        <v>198</v>
      </c>
      <c r="K2298" s="143">
        <f t="shared" si="720"/>
        <v>220</v>
      </c>
      <c r="L2298" s="144">
        <f t="shared" si="728"/>
        <v>-22</v>
      </c>
      <c r="M2298" s="275">
        <f t="shared" si="726"/>
        <v>396</v>
      </c>
      <c r="N2298" s="98">
        <v>6</v>
      </c>
      <c r="O2298" s="93">
        <f t="shared" si="723"/>
        <v>111.11111111111111</v>
      </c>
      <c r="MZ2298" s="100">
        <v>13</v>
      </c>
      <c r="NA2298" s="100">
        <v>6</v>
      </c>
      <c r="ND2298" s="100">
        <v>8</v>
      </c>
      <c r="NE2298" s="100">
        <v>12</v>
      </c>
      <c r="NF2298" s="100">
        <v>11</v>
      </c>
      <c r="NG2298" s="100">
        <v>11</v>
      </c>
      <c r="NI2298" s="100">
        <v>58</v>
      </c>
      <c r="NK2298" s="100">
        <v>9</v>
      </c>
      <c r="NL2298" s="100">
        <v>36</v>
      </c>
      <c r="NN2298" s="100">
        <v>12</v>
      </c>
      <c r="NS2298" s="100">
        <v>20</v>
      </c>
      <c r="NT2298" s="100">
        <v>1</v>
      </c>
      <c r="NZ2298" s="100">
        <v>1</v>
      </c>
      <c r="ON2298" s="100">
        <f t="shared" si="715"/>
        <v>22</v>
      </c>
    </row>
    <row r="2299" spans="1:404" ht="23.25" customHeight="1">
      <c r="A2299" s="97" t="str">
        <f t="shared" ref="A2299:A2300" si="729">D2299&amp;E2299</f>
        <v>009/KHBS_SR-21(038/VG_SR21(TJX))66-01700-B2-B</v>
      </c>
      <c r="B2299" s="216">
        <v>44426</v>
      </c>
      <c r="C2299" s="97">
        <f t="shared" ca="1" si="724"/>
        <v>-638</v>
      </c>
      <c r="D2299" s="96" t="s">
        <v>1692</v>
      </c>
      <c r="E2299" s="94" t="s">
        <v>682</v>
      </c>
      <c r="F2299" s="98" t="str">
        <f t="shared" si="725"/>
        <v>B</v>
      </c>
      <c r="G2299" s="110">
        <f ca="1">SUMIF($A:E,$A2299,K:K)</f>
        <v>1</v>
      </c>
      <c r="H2299" s="97" t="s">
        <v>1694</v>
      </c>
      <c r="I2299" s="98">
        <v>1</v>
      </c>
      <c r="J2299" s="99">
        <v>1</v>
      </c>
      <c r="K2299" s="143">
        <f t="shared" si="720"/>
        <v>1</v>
      </c>
      <c r="L2299" s="144">
        <f t="shared" si="728"/>
        <v>0</v>
      </c>
      <c r="M2299" s="275">
        <f t="shared" si="726"/>
        <v>2</v>
      </c>
      <c r="N2299" s="98">
        <v>4</v>
      </c>
      <c r="O2299" s="93">
        <f t="shared" si="723"/>
        <v>100</v>
      </c>
      <c r="HK2299" s="100">
        <v>1</v>
      </c>
      <c r="ON2299" s="100">
        <f t="shared" si="715"/>
        <v>0</v>
      </c>
    </row>
    <row r="2300" spans="1:404" ht="23.25" customHeight="1">
      <c r="A2300" s="97" t="str">
        <f t="shared" si="729"/>
        <v>003/ANNA-VG-21(đ2)66-01700-B2-A</v>
      </c>
      <c r="B2300" s="95">
        <v>44564</v>
      </c>
      <c r="C2300" s="97">
        <f t="shared" ca="1" si="724"/>
        <v>-500</v>
      </c>
      <c r="D2300" s="112" t="s">
        <v>1638</v>
      </c>
      <c r="E2300" s="279" t="s">
        <v>681</v>
      </c>
      <c r="F2300" s="98" t="str">
        <f t="shared" si="725"/>
        <v>A</v>
      </c>
      <c r="G2300" s="110">
        <f ca="1">SUMIF($A:E,$A2300,K:K)</f>
        <v>144</v>
      </c>
      <c r="H2300" s="112" t="s">
        <v>990</v>
      </c>
      <c r="I2300" s="98">
        <v>144</v>
      </c>
      <c r="J2300" s="115">
        <v>144</v>
      </c>
      <c r="K2300" s="143">
        <f t="shared" si="720"/>
        <v>144</v>
      </c>
      <c r="L2300" s="144">
        <f t="shared" si="728"/>
        <v>0</v>
      </c>
      <c r="M2300" s="275">
        <f t="shared" si="726"/>
        <v>288</v>
      </c>
      <c r="N2300" s="98">
        <v>4</v>
      </c>
      <c r="O2300" s="93">
        <f t="shared" si="723"/>
        <v>100</v>
      </c>
      <c r="LU2300" s="100">
        <v>14</v>
      </c>
      <c r="LW2300" s="100">
        <v>14</v>
      </c>
      <c r="LX2300" s="100">
        <v>5</v>
      </c>
      <c r="LY2300" s="100">
        <v>14</v>
      </c>
      <c r="LZ2300" s="100">
        <v>26</v>
      </c>
      <c r="MA2300" s="100">
        <v>15</v>
      </c>
      <c r="MB2300" s="100">
        <v>24</v>
      </c>
      <c r="MD2300" s="100">
        <v>23</v>
      </c>
      <c r="ME2300" s="100">
        <v>9</v>
      </c>
      <c r="ON2300" s="100">
        <f t="shared" si="715"/>
        <v>0</v>
      </c>
    </row>
    <row r="2301" spans="1:404" ht="23.25" customHeight="1">
      <c r="A2301" s="97" t="str">
        <f>D2301&amp;F2301</f>
        <v>009/KHBS-21B2</v>
      </c>
      <c r="B2301" s="95">
        <v>44206</v>
      </c>
      <c r="C2301" s="97">
        <f t="shared" ca="1" si="724"/>
        <v>-858</v>
      </c>
      <c r="D2301" s="96" t="s">
        <v>654</v>
      </c>
      <c r="E2301" s="94" t="s">
        <v>642</v>
      </c>
      <c r="F2301" s="98" t="str">
        <f t="shared" si="725"/>
        <v>B2</v>
      </c>
      <c r="G2301" s="110">
        <f ca="1">SUMIF($A:E,$A2301,K:K)</f>
        <v>2</v>
      </c>
      <c r="H2301" s="97" t="s">
        <v>508</v>
      </c>
      <c r="I2301" s="98">
        <v>2</v>
      </c>
      <c r="J2301" s="99">
        <v>2</v>
      </c>
      <c r="K2301" s="143">
        <f t="shared" si="720"/>
        <v>2</v>
      </c>
      <c r="L2301" s="144">
        <f t="shared" si="728"/>
        <v>0</v>
      </c>
      <c r="M2301" s="275">
        <f t="shared" si="726"/>
        <v>2</v>
      </c>
      <c r="N2301" s="98">
        <v>5</v>
      </c>
      <c r="O2301" s="93">
        <f t="shared" si="723"/>
        <v>100</v>
      </c>
      <c r="X2301" s="101">
        <v>2</v>
      </c>
      <c r="ON2301" s="100">
        <f t="shared" si="715"/>
        <v>0</v>
      </c>
    </row>
    <row r="2302" spans="1:404" ht="23.25" customHeight="1">
      <c r="A2302" s="97" t="str">
        <f t="shared" ref="A2302:A2311" si="730">D2302&amp;E2302</f>
        <v>001/ANNA-2166-01500-S3-A</v>
      </c>
      <c r="B2302" s="95">
        <v>44395</v>
      </c>
      <c r="C2302" s="97">
        <f t="shared" ca="1" si="724"/>
        <v>-669</v>
      </c>
      <c r="D2302" s="159" t="s">
        <v>862</v>
      </c>
      <c r="E2302" s="123" t="s">
        <v>863</v>
      </c>
      <c r="F2302" s="98" t="str">
        <f t="shared" si="725"/>
        <v>A</v>
      </c>
      <c r="G2302" s="110">
        <f ca="1">SUMIF($A:E,$A2302,K:K)</f>
        <v>24</v>
      </c>
      <c r="H2302" s="97" t="s">
        <v>882</v>
      </c>
      <c r="I2302" s="98">
        <v>24</v>
      </c>
      <c r="J2302" s="115">
        <v>24</v>
      </c>
      <c r="K2302" s="143">
        <f t="shared" si="720"/>
        <v>24</v>
      </c>
      <c r="L2302" s="144">
        <f t="shared" si="728"/>
        <v>0</v>
      </c>
      <c r="M2302" s="275">
        <f t="shared" si="726"/>
        <v>72</v>
      </c>
      <c r="N2302" s="98">
        <v>2</v>
      </c>
      <c r="O2302" s="93">
        <f t="shared" si="723"/>
        <v>100</v>
      </c>
      <c r="EC2302" s="100">
        <v>1</v>
      </c>
      <c r="EF2302" s="100">
        <v>2</v>
      </c>
      <c r="EG2302" s="100">
        <v>2</v>
      </c>
      <c r="EH2302" s="100">
        <v>2</v>
      </c>
      <c r="EI2302" s="100">
        <v>2</v>
      </c>
      <c r="EJ2302" s="100">
        <v>1</v>
      </c>
      <c r="EK2302" s="100">
        <v>1</v>
      </c>
      <c r="EM2302" s="100">
        <v>3</v>
      </c>
      <c r="EN2302" s="100">
        <v>4</v>
      </c>
      <c r="EO2302" s="100">
        <v>2</v>
      </c>
      <c r="EP2302" s="100">
        <v>1</v>
      </c>
      <c r="EQ2302" s="100">
        <v>1</v>
      </c>
      <c r="ER2302" s="100">
        <v>1</v>
      </c>
      <c r="ET2302" s="100">
        <v>1</v>
      </c>
      <c r="ON2302" s="100">
        <f t="shared" si="715"/>
        <v>0</v>
      </c>
    </row>
    <row r="2303" spans="1:404" ht="23.25" customHeight="1">
      <c r="A2303" s="97" t="str">
        <f t="shared" si="730"/>
        <v>001/ANNA-2166-01500-03-A</v>
      </c>
      <c r="B2303" s="95">
        <v>44395</v>
      </c>
      <c r="C2303" s="97">
        <f t="shared" ca="1" si="724"/>
        <v>-669</v>
      </c>
      <c r="D2303" s="159" t="s">
        <v>862</v>
      </c>
      <c r="E2303" s="123" t="s">
        <v>680</v>
      </c>
      <c r="F2303" s="98" t="str">
        <f t="shared" si="725"/>
        <v>A</v>
      </c>
      <c r="G2303" s="110">
        <f ca="1">SUMIF($A:E,$A2303,K:K)</f>
        <v>88</v>
      </c>
      <c r="H2303" s="97" t="s">
        <v>882</v>
      </c>
      <c r="I2303" s="98">
        <v>88</v>
      </c>
      <c r="J2303" s="115">
        <v>88</v>
      </c>
      <c r="K2303" s="143">
        <f t="shared" si="720"/>
        <v>88</v>
      </c>
      <c r="L2303" s="144">
        <f t="shared" si="728"/>
        <v>0</v>
      </c>
      <c r="M2303" s="275">
        <f t="shared" si="726"/>
        <v>88</v>
      </c>
      <c r="N2303" s="98">
        <v>2</v>
      </c>
      <c r="O2303" s="93">
        <v>5</v>
      </c>
      <c r="CZ2303" s="101">
        <v>3</v>
      </c>
      <c r="DA2303" s="101">
        <v>4</v>
      </c>
      <c r="DB2303" s="101">
        <v>5</v>
      </c>
      <c r="DD2303" s="101">
        <v>4</v>
      </c>
      <c r="DE2303" s="101">
        <v>6</v>
      </c>
      <c r="DF2303" s="101">
        <v>3</v>
      </c>
      <c r="DG2303" s="101">
        <v>3</v>
      </c>
      <c r="DL2303" s="101">
        <v>8</v>
      </c>
      <c r="DM2303" s="101">
        <v>7</v>
      </c>
      <c r="DN2303" s="101">
        <v>9</v>
      </c>
      <c r="DO2303" s="101">
        <v>12</v>
      </c>
      <c r="DP2303" s="101">
        <v>6</v>
      </c>
      <c r="DR2303" s="101">
        <v>4</v>
      </c>
      <c r="DS2303" s="100">
        <v>5</v>
      </c>
      <c r="DU2303" s="100">
        <v>5</v>
      </c>
      <c r="DZ2303" s="100">
        <v>3</v>
      </c>
      <c r="EA2303" s="100">
        <v>1</v>
      </c>
      <c r="ON2303" s="100">
        <f t="shared" si="715"/>
        <v>0</v>
      </c>
    </row>
    <row r="2304" spans="1:404" ht="23.25" customHeight="1">
      <c r="A2304" s="97" t="str">
        <f t="shared" si="730"/>
        <v>158/KHBS-2166-01500-03-A</v>
      </c>
      <c r="B2304" s="95">
        <v>44306</v>
      </c>
      <c r="C2304" s="97">
        <f t="shared" ca="1" si="724"/>
        <v>-758</v>
      </c>
      <c r="D2304" s="96" t="s">
        <v>886</v>
      </c>
      <c r="E2304" s="94" t="s">
        <v>680</v>
      </c>
      <c r="F2304" s="98" t="str">
        <f t="shared" si="725"/>
        <v>A</v>
      </c>
      <c r="G2304" s="110">
        <f ca="1">SUMIF($A:E,$A2304,K:K)</f>
        <v>1</v>
      </c>
      <c r="H2304" s="97" t="s">
        <v>882</v>
      </c>
      <c r="I2304" s="98">
        <v>1</v>
      </c>
      <c r="J2304" s="99">
        <v>1</v>
      </c>
      <c r="K2304" s="143">
        <f t="shared" si="720"/>
        <v>1</v>
      </c>
      <c r="L2304" s="144">
        <f t="shared" si="728"/>
        <v>0</v>
      </c>
      <c r="M2304" s="275">
        <f t="shared" si="726"/>
        <v>1</v>
      </c>
      <c r="N2304" s="98">
        <v>2</v>
      </c>
      <c r="O2304" s="93">
        <f t="shared" ref="O2304:O2363" si="731">K2304/J2304*100</f>
        <v>100</v>
      </c>
      <c r="CX2304" s="101">
        <v>1</v>
      </c>
      <c r="ON2304" s="100">
        <f t="shared" si="715"/>
        <v>0</v>
      </c>
    </row>
    <row r="2305" spans="1:404" ht="23.25" customHeight="1">
      <c r="A2305" s="97" t="str">
        <f t="shared" si="730"/>
        <v>003/ANNA-VG-21(đ7)66-01500-03-A</v>
      </c>
      <c r="B2305" s="95">
        <v>44634</v>
      </c>
      <c r="C2305" s="97">
        <f t="shared" ca="1" si="724"/>
        <v>-430</v>
      </c>
      <c r="D2305" s="112" t="s">
        <v>1671</v>
      </c>
      <c r="E2305" s="279" t="s">
        <v>680</v>
      </c>
      <c r="F2305" s="98" t="str">
        <f t="shared" si="725"/>
        <v>A</v>
      </c>
      <c r="G2305" s="110">
        <f ca="1">SUMIF($A:E,$A2305,K:K)</f>
        <v>169</v>
      </c>
      <c r="H2305" s="112" t="s">
        <v>990</v>
      </c>
      <c r="I2305" s="98">
        <v>160</v>
      </c>
      <c r="J2305" s="115">
        <v>160</v>
      </c>
      <c r="K2305" s="143">
        <f t="shared" si="720"/>
        <v>169</v>
      </c>
      <c r="L2305" s="144">
        <f t="shared" si="728"/>
        <v>-9</v>
      </c>
      <c r="M2305" s="275">
        <f t="shared" si="726"/>
        <v>160</v>
      </c>
      <c r="N2305" s="98">
        <v>4</v>
      </c>
      <c r="O2305" s="93">
        <f t="shared" si="731"/>
        <v>105.62499999999999</v>
      </c>
      <c r="MS2305" s="100">
        <v>10</v>
      </c>
      <c r="MT2305" s="100">
        <v>5</v>
      </c>
      <c r="MU2305" s="100">
        <v>10</v>
      </c>
      <c r="MW2305" s="100">
        <v>10</v>
      </c>
      <c r="MX2305" s="100">
        <v>5</v>
      </c>
      <c r="MZ2305" s="100">
        <v>19</v>
      </c>
      <c r="NA2305" s="100">
        <v>9</v>
      </c>
      <c r="ND2305" s="100">
        <v>10</v>
      </c>
      <c r="NE2305" s="100">
        <v>10</v>
      </c>
      <c r="NF2305" s="100">
        <v>9</v>
      </c>
      <c r="NI2305" s="100">
        <v>19</v>
      </c>
      <c r="NK2305" s="100">
        <v>10</v>
      </c>
      <c r="NL2305" s="100">
        <v>14</v>
      </c>
      <c r="NM2305" s="100">
        <v>11</v>
      </c>
      <c r="NS2305" s="100">
        <v>8</v>
      </c>
      <c r="NT2305" s="100">
        <v>1</v>
      </c>
      <c r="ON2305" s="100">
        <f t="shared" si="715"/>
        <v>9</v>
      </c>
    </row>
    <row r="2306" spans="1:404" ht="23.25" customHeight="1">
      <c r="A2306" s="97" t="str">
        <f t="shared" si="730"/>
        <v>001/ANNA-2166-01500-02-A</v>
      </c>
      <c r="B2306" s="95">
        <v>44395</v>
      </c>
      <c r="C2306" s="97">
        <f t="shared" ca="1" si="724"/>
        <v>-669</v>
      </c>
      <c r="D2306" s="159" t="s">
        <v>862</v>
      </c>
      <c r="E2306" s="123" t="s">
        <v>679</v>
      </c>
      <c r="F2306" s="98" t="str">
        <f t="shared" si="725"/>
        <v>A</v>
      </c>
      <c r="G2306" s="110">
        <f ca="1">SUMIF($A:E,$A2306,K:K)</f>
        <v>54</v>
      </c>
      <c r="H2306" s="97" t="s">
        <v>882</v>
      </c>
      <c r="I2306" s="98">
        <v>54</v>
      </c>
      <c r="J2306" s="115">
        <v>54</v>
      </c>
      <c r="K2306" s="143">
        <f t="shared" si="720"/>
        <v>54</v>
      </c>
      <c r="L2306" s="144">
        <f t="shared" si="728"/>
        <v>0</v>
      </c>
      <c r="M2306" s="275">
        <f t="shared" si="726"/>
        <v>54</v>
      </c>
      <c r="N2306" s="98">
        <v>2</v>
      </c>
      <c r="O2306" s="93">
        <f t="shared" si="731"/>
        <v>100</v>
      </c>
      <c r="CZ2306" s="101">
        <v>2</v>
      </c>
      <c r="DA2306" s="101">
        <v>1</v>
      </c>
      <c r="DB2306" s="101">
        <v>1</v>
      </c>
      <c r="DD2306" s="101">
        <v>1</v>
      </c>
      <c r="DE2306" s="101">
        <v>3</v>
      </c>
      <c r="DF2306" s="101">
        <v>1</v>
      </c>
      <c r="DG2306" s="101">
        <v>2</v>
      </c>
      <c r="DL2306" s="101">
        <v>4</v>
      </c>
      <c r="DM2306" s="101">
        <v>4</v>
      </c>
      <c r="DN2306" s="101">
        <v>2</v>
      </c>
      <c r="DO2306" s="101">
        <v>2</v>
      </c>
      <c r="DP2306" s="101">
        <v>1</v>
      </c>
      <c r="DR2306" s="101">
        <v>2</v>
      </c>
      <c r="DS2306" s="100">
        <v>2</v>
      </c>
      <c r="DU2306" s="100">
        <v>2</v>
      </c>
      <c r="DV2306" s="100">
        <v>5</v>
      </c>
      <c r="DW2306" s="100">
        <v>4</v>
      </c>
      <c r="DY2306" s="100">
        <v>5</v>
      </c>
      <c r="DZ2306" s="100">
        <v>2</v>
      </c>
      <c r="EA2306" s="100">
        <v>2</v>
      </c>
      <c r="EC2306" s="100">
        <v>1</v>
      </c>
      <c r="ED2306" s="100">
        <v>2</v>
      </c>
      <c r="EF2306" s="100">
        <v>2</v>
      </c>
      <c r="EG2306" s="100">
        <v>1</v>
      </c>
      <c r="ON2306" s="100">
        <f t="shared" si="715"/>
        <v>0</v>
      </c>
    </row>
    <row r="2307" spans="1:404" ht="23.25" customHeight="1">
      <c r="A2307" s="97" t="str">
        <f t="shared" si="730"/>
        <v>007/YAMATEI-2166-00605-L2-B1</v>
      </c>
      <c r="B2307" s="95">
        <v>44641</v>
      </c>
      <c r="C2307" s="97">
        <f t="shared" ca="1" si="724"/>
        <v>-423</v>
      </c>
      <c r="D2307" s="112" t="s">
        <v>1569</v>
      </c>
      <c r="E2307" s="289" t="s">
        <v>1570</v>
      </c>
      <c r="F2307" s="98" t="str">
        <f t="shared" si="725"/>
        <v>B1</v>
      </c>
      <c r="G2307" s="110">
        <f ca="1">SUMIF($A:E,$A2307,K:K)</f>
        <v>25</v>
      </c>
      <c r="H2307" s="97" t="s">
        <v>927</v>
      </c>
      <c r="I2307" s="98">
        <v>24</v>
      </c>
      <c r="J2307" s="115">
        <v>24</v>
      </c>
      <c r="K2307" s="143">
        <f t="shared" si="720"/>
        <v>25</v>
      </c>
      <c r="L2307" s="144">
        <f t="shared" si="728"/>
        <v>-1</v>
      </c>
      <c r="M2307" s="275">
        <f t="shared" si="726"/>
        <v>48</v>
      </c>
      <c r="N2307" s="98">
        <v>6</v>
      </c>
      <c r="O2307" s="93">
        <f t="shared" si="731"/>
        <v>104.16666666666667</v>
      </c>
      <c r="ND2307" s="100">
        <v>8</v>
      </c>
      <c r="NF2307" s="100">
        <v>4</v>
      </c>
      <c r="NG2307" s="100">
        <v>2</v>
      </c>
      <c r="NI2307" s="100">
        <v>3</v>
      </c>
      <c r="NK2307" s="100">
        <v>2</v>
      </c>
      <c r="NL2307" s="100">
        <v>2</v>
      </c>
      <c r="NM2307" s="100">
        <v>2</v>
      </c>
      <c r="OI2307" s="100">
        <v>1</v>
      </c>
      <c r="ON2307" s="100">
        <f t="shared" si="715"/>
        <v>1</v>
      </c>
    </row>
    <row r="2308" spans="1:404" ht="23.25" customHeight="1">
      <c r="A2308" s="97" t="str">
        <f t="shared" si="730"/>
        <v>003/ANNA-VG-21(đ4)66-00600-B2-A</v>
      </c>
      <c r="B2308" s="95">
        <v>44579</v>
      </c>
      <c r="C2308" s="97">
        <f t="shared" ca="1" si="724"/>
        <v>-485</v>
      </c>
      <c r="D2308" s="112" t="s">
        <v>1652</v>
      </c>
      <c r="E2308" s="279" t="s">
        <v>1653</v>
      </c>
      <c r="F2308" s="98" t="str">
        <f t="shared" si="725"/>
        <v>A</v>
      </c>
      <c r="G2308" s="110">
        <f ca="1">SUMIF($A:E,$A2308,K:K)</f>
        <v>45</v>
      </c>
      <c r="H2308" s="112" t="s">
        <v>990</v>
      </c>
      <c r="I2308" s="98">
        <v>45</v>
      </c>
      <c r="J2308" s="115">
        <v>45</v>
      </c>
      <c r="K2308" s="143">
        <f t="shared" si="720"/>
        <v>45</v>
      </c>
      <c r="L2308" s="144">
        <f t="shared" si="728"/>
        <v>0</v>
      </c>
      <c r="M2308" s="275">
        <f t="shared" si="726"/>
        <v>90</v>
      </c>
      <c r="N2308" s="98">
        <v>4</v>
      </c>
      <c r="O2308" s="93">
        <f t="shared" si="731"/>
        <v>100</v>
      </c>
      <c r="MH2308" s="100">
        <v>7</v>
      </c>
      <c r="MK2308" s="100">
        <v>5</v>
      </c>
      <c r="ML2308" s="100">
        <v>7</v>
      </c>
      <c r="MM2308" s="100">
        <v>6</v>
      </c>
      <c r="MN2308" s="100">
        <v>6</v>
      </c>
      <c r="MO2308" s="100">
        <v>6</v>
      </c>
      <c r="MP2308" s="100">
        <v>8</v>
      </c>
      <c r="ON2308" s="100">
        <f t="shared" ref="ON2308:ON2371" si="732">SUM(NS2308:OM2308)</f>
        <v>0</v>
      </c>
    </row>
    <row r="2309" spans="1:404" ht="23.25" customHeight="1">
      <c r="A2309" s="97" t="str">
        <f t="shared" si="730"/>
        <v>002/OBI-2166-00600-03-B</v>
      </c>
      <c r="B2309" s="95">
        <v>44409</v>
      </c>
      <c r="C2309" s="97">
        <f t="shared" ref="C2309:C2335" ca="1" si="733">B2309-TODAY()</f>
        <v>-655</v>
      </c>
      <c r="D2309" s="96" t="s">
        <v>938</v>
      </c>
      <c r="E2309" s="94" t="s">
        <v>940</v>
      </c>
      <c r="F2309" s="98" t="str">
        <f t="shared" ref="F2309:F2338" si="734">MID(E2309,13,2)</f>
        <v>B</v>
      </c>
      <c r="G2309" s="110">
        <f ca="1">SUMIF($A:E,$A2309,K:K)</f>
        <v>268</v>
      </c>
      <c r="H2309" s="97" t="s">
        <v>508</v>
      </c>
      <c r="I2309" s="98">
        <v>134</v>
      </c>
      <c r="J2309" s="97">
        <v>134</v>
      </c>
      <c r="K2309" s="143">
        <f t="shared" si="720"/>
        <v>134</v>
      </c>
      <c r="L2309" s="144">
        <f t="shared" si="728"/>
        <v>0</v>
      </c>
      <c r="M2309" s="275">
        <f t="shared" ref="M2309:M2338" si="735">IF(OR(MID(E2309,10,1)="0",MID(E2309,10,1)="F"),I2309,IF(OR(,MID(E2309,10,1)="S",MID(E2309,10,1)="L",MID(E2309,10,1)="B",MID(E2309,10,1)="X"),MID(E2309,11,1)*I2309,0))</f>
        <v>134</v>
      </c>
      <c r="N2309" s="98">
        <v>3</v>
      </c>
      <c r="O2309" s="93">
        <f t="shared" si="731"/>
        <v>100</v>
      </c>
      <c r="DR2309" s="101">
        <v>3</v>
      </c>
      <c r="DS2309" s="100">
        <v>3</v>
      </c>
      <c r="DT2309" s="100">
        <v>3</v>
      </c>
      <c r="DU2309" s="100">
        <v>6</v>
      </c>
      <c r="DV2309" s="100">
        <v>2</v>
      </c>
      <c r="DY2309" s="100">
        <v>3</v>
      </c>
      <c r="DZ2309" s="100">
        <v>1</v>
      </c>
      <c r="EA2309" s="100">
        <v>4</v>
      </c>
      <c r="EC2309" s="100">
        <v>6</v>
      </c>
      <c r="ED2309" s="100">
        <v>3</v>
      </c>
      <c r="EF2309" s="100">
        <v>3</v>
      </c>
      <c r="EG2309" s="100">
        <v>3</v>
      </c>
      <c r="EI2309" s="100">
        <v>4</v>
      </c>
      <c r="EJ2309" s="100">
        <v>6</v>
      </c>
      <c r="EK2309" s="100">
        <v>3</v>
      </c>
      <c r="EL2309" s="100">
        <v>3</v>
      </c>
      <c r="EM2309" s="100">
        <v>3</v>
      </c>
      <c r="EN2309" s="100">
        <v>3</v>
      </c>
      <c r="EO2309" s="100">
        <v>3</v>
      </c>
      <c r="EP2309" s="100">
        <v>1</v>
      </c>
      <c r="EQ2309" s="100">
        <v>8</v>
      </c>
      <c r="ER2309" s="100">
        <v>8</v>
      </c>
      <c r="ET2309" s="100">
        <v>8</v>
      </c>
      <c r="EU2309" s="100">
        <v>7</v>
      </c>
      <c r="EV2309" s="100">
        <v>1</v>
      </c>
      <c r="EW2309" s="100">
        <v>13</v>
      </c>
      <c r="EX2309" s="100">
        <v>11</v>
      </c>
      <c r="EY2309" s="100">
        <v>9</v>
      </c>
      <c r="FB2309" s="100">
        <v>3</v>
      </c>
      <c r="ON2309" s="100">
        <f t="shared" si="732"/>
        <v>0</v>
      </c>
    </row>
    <row r="2310" spans="1:404" ht="23.25" customHeight="1">
      <c r="A2310" s="97" t="str">
        <f t="shared" si="730"/>
        <v>002/OBI-2166-00600-03-B</v>
      </c>
      <c r="B2310" s="95">
        <v>44409</v>
      </c>
      <c r="C2310" s="97">
        <f t="shared" ca="1" si="733"/>
        <v>-655</v>
      </c>
      <c r="D2310" s="96" t="s">
        <v>938</v>
      </c>
      <c r="E2310" s="94" t="s">
        <v>940</v>
      </c>
      <c r="F2310" s="98" t="str">
        <f t="shared" si="734"/>
        <v>B</v>
      </c>
      <c r="G2310" s="110">
        <f ca="1">SUMIF($A:E,$A2310,K:K)</f>
        <v>268</v>
      </c>
      <c r="H2310" s="97" t="s">
        <v>508</v>
      </c>
      <c r="I2310" s="98">
        <v>134</v>
      </c>
      <c r="J2310" s="97">
        <v>134</v>
      </c>
      <c r="K2310" s="143">
        <f t="shared" si="720"/>
        <v>134</v>
      </c>
      <c r="L2310" s="144">
        <f t="shared" si="728"/>
        <v>0</v>
      </c>
      <c r="M2310" s="275">
        <f t="shared" si="735"/>
        <v>134</v>
      </c>
      <c r="N2310" s="98">
        <v>5</v>
      </c>
      <c r="O2310" s="93">
        <f t="shared" si="731"/>
        <v>100</v>
      </c>
      <c r="DO2310" s="101">
        <v>17</v>
      </c>
      <c r="DP2310" s="101">
        <v>8</v>
      </c>
      <c r="DR2310" s="101">
        <v>8</v>
      </c>
      <c r="DS2310" s="100">
        <v>5</v>
      </c>
      <c r="DU2310" s="100">
        <v>6</v>
      </c>
      <c r="DV2310" s="100">
        <v>16</v>
      </c>
      <c r="DW2310" s="100">
        <v>2</v>
      </c>
      <c r="DY2310" s="100">
        <v>5</v>
      </c>
      <c r="DZ2310" s="100">
        <v>13</v>
      </c>
      <c r="EA2310" s="100">
        <v>8</v>
      </c>
      <c r="EC2310" s="100">
        <v>7</v>
      </c>
      <c r="ED2310" s="100">
        <v>5</v>
      </c>
      <c r="EF2310" s="100">
        <v>5</v>
      </c>
      <c r="EG2310" s="100">
        <v>6</v>
      </c>
      <c r="EH2310" s="100">
        <v>14</v>
      </c>
      <c r="EI2310" s="100">
        <v>9</v>
      </c>
      <c r="ON2310" s="100">
        <f t="shared" si="732"/>
        <v>0</v>
      </c>
    </row>
    <row r="2311" spans="1:404" ht="23.25" customHeight="1">
      <c r="A2311" s="97" t="str">
        <f t="shared" si="730"/>
        <v>002T/OBI-2166-00600-03-B</v>
      </c>
      <c r="B2311" s="95">
        <v>44416</v>
      </c>
      <c r="C2311" s="97">
        <f t="shared" ca="1" si="733"/>
        <v>-648</v>
      </c>
      <c r="D2311" s="112" t="s">
        <v>1047</v>
      </c>
      <c r="E2311" s="123" t="s">
        <v>940</v>
      </c>
      <c r="F2311" s="98" t="str">
        <f t="shared" si="734"/>
        <v>B</v>
      </c>
      <c r="G2311" s="110">
        <f ca="1">SUMIF($A:E,$A2311,K:K)</f>
        <v>152</v>
      </c>
      <c r="H2311" s="97" t="s">
        <v>616</v>
      </c>
      <c r="I2311" s="98">
        <v>152</v>
      </c>
      <c r="J2311" s="115">
        <v>152</v>
      </c>
      <c r="K2311" s="143">
        <f t="shared" si="720"/>
        <v>152</v>
      </c>
      <c r="L2311" s="144">
        <f t="shared" si="728"/>
        <v>0</v>
      </c>
      <c r="M2311" s="275">
        <f t="shared" si="735"/>
        <v>152</v>
      </c>
      <c r="N2311" s="98">
        <v>3</v>
      </c>
      <c r="O2311" s="93">
        <f t="shared" si="731"/>
        <v>100</v>
      </c>
      <c r="FB2311" s="100">
        <v>11</v>
      </c>
      <c r="FC2311" s="100">
        <v>8</v>
      </c>
      <c r="FD2311" s="100">
        <v>9</v>
      </c>
      <c r="FE2311" s="100">
        <v>7</v>
      </c>
      <c r="FH2311" s="100">
        <v>16</v>
      </c>
      <c r="FI2311" s="100">
        <v>8</v>
      </c>
      <c r="FJ2311" s="100">
        <v>8</v>
      </c>
      <c r="FK2311" s="100">
        <v>14</v>
      </c>
      <c r="FL2311" s="100">
        <v>8</v>
      </c>
      <c r="FM2311" s="100">
        <v>8</v>
      </c>
      <c r="FO2311" s="100">
        <v>7</v>
      </c>
      <c r="FP2311" s="100">
        <v>11</v>
      </c>
      <c r="FQ2311" s="100">
        <v>6</v>
      </c>
      <c r="FR2311" s="100">
        <v>8</v>
      </c>
      <c r="FS2311" s="100">
        <v>8</v>
      </c>
      <c r="FT2311" s="100">
        <v>2</v>
      </c>
      <c r="FU2311" s="100">
        <v>5</v>
      </c>
      <c r="FZ2311" s="100">
        <v>1</v>
      </c>
      <c r="GA2311" s="100">
        <v>6</v>
      </c>
      <c r="GL2311" s="100">
        <v>1</v>
      </c>
      <c r="ON2311" s="100">
        <f t="shared" si="732"/>
        <v>0</v>
      </c>
    </row>
    <row r="2312" spans="1:404" ht="23.25" customHeight="1">
      <c r="A2312" s="97" t="s">
        <v>1370</v>
      </c>
      <c r="B2312" s="95">
        <v>44476</v>
      </c>
      <c r="C2312" s="97">
        <f t="shared" ca="1" si="733"/>
        <v>-588</v>
      </c>
      <c r="D2312" s="112" t="s">
        <v>1397</v>
      </c>
      <c r="E2312" s="123" t="s">
        <v>940</v>
      </c>
      <c r="F2312" s="98" t="str">
        <f t="shared" si="734"/>
        <v>B</v>
      </c>
      <c r="G2312" s="110">
        <f ca="1">SUMIF($A:E,$A2312,K:K)</f>
        <v>5654</v>
      </c>
      <c r="H2312" s="97" t="s">
        <v>1402</v>
      </c>
      <c r="I2312" s="98">
        <v>40</v>
      </c>
      <c r="J2312" s="115">
        <v>40</v>
      </c>
      <c r="K2312" s="143">
        <f t="shared" si="720"/>
        <v>40</v>
      </c>
      <c r="L2312" s="144">
        <f t="shared" si="728"/>
        <v>0</v>
      </c>
      <c r="M2312" s="275">
        <f t="shared" si="735"/>
        <v>40</v>
      </c>
      <c r="N2312" s="98">
        <v>3</v>
      </c>
      <c r="O2312" s="93">
        <f t="shared" si="731"/>
        <v>100</v>
      </c>
      <c r="IM2312" s="100">
        <v>4</v>
      </c>
      <c r="IP2312" s="100">
        <v>3</v>
      </c>
      <c r="IR2312" s="100">
        <v>3</v>
      </c>
      <c r="IS2312" s="100">
        <v>2</v>
      </c>
      <c r="IW2312" s="100">
        <v>8</v>
      </c>
      <c r="JB2312" s="100">
        <v>1</v>
      </c>
      <c r="JC2312" s="100">
        <v>3</v>
      </c>
      <c r="JD2312" s="100">
        <v>5</v>
      </c>
      <c r="JF2312" s="100">
        <v>3</v>
      </c>
      <c r="JI2312" s="100">
        <v>1</v>
      </c>
      <c r="JM2312" s="100">
        <v>7</v>
      </c>
      <c r="ON2312" s="100">
        <f t="shared" si="732"/>
        <v>0</v>
      </c>
    </row>
    <row r="2313" spans="1:404" ht="23.25" customHeight="1">
      <c r="A2313" s="97" t="str">
        <f>D2313&amp;E2313</f>
        <v>002/OBI-2166-00600-02-B</v>
      </c>
      <c r="B2313" s="95">
        <v>44409</v>
      </c>
      <c r="C2313" s="97">
        <f t="shared" ca="1" si="733"/>
        <v>-655</v>
      </c>
      <c r="D2313" s="96" t="s">
        <v>938</v>
      </c>
      <c r="E2313" s="94" t="s">
        <v>939</v>
      </c>
      <c r="F2313" s="98" t="str">
        <f t="shared" si="734"/>
        <v>B</v>
      </c>
      <c r="G2313" s="110">
        <f ca="1">SUMIF($A:E,$A2313,K:K)</f>
        <v>268</v>
      </c>
      <c r="H2313" s="97" t="s">
        <v>508</v>
      </c>
      <c r="I2313" s="98">
        <v>134</v>
      </c>
      <c r="J2313" s="97">
        <v>134</v>
      </c>
      <c r="K2313" s="143">
        <f t="shared" si="720"/>
        <v>134</v>
      </c>
      <c r="L2313" s="144">
        <f t="shared" si="728"/>
        <v>0</v>
      </c>
      <c r="M2313" s="275">
        <f t="shared" si="735"/>
        <v>134</v>
      </c>
      <c r="N2313" s="98">
        <v>3</v>
      </c>
      <c r="O2313" s="93">
        <f t="shared" si="731"/>
        <v>100</v>
      </c>
      <c r="DR2313" s="101">
        <v>3</v>
      </c>
      <c r="DS2313" s="100">
        <v>3</v>
      </c>
      <c r="DT2313" s="100">
        <v>3</v>
      </c>
      <c r="DU2313" s="100">
        <v>6</v>
      </c>
      <c r="DV2313" s="100">
        <v>2</v>
      </c>
      <c r="DY2313" s="100">
        <v>3</v>
      </c>
      <c r="DZ2313" s="100">
        <v>1</v>
      </c>
      <c r="EA2313" s="100">
        <v>4</v>
      </c>
      <c r="EC2313" s="100">
        <v>6</v>
      </c>
      <c r="ED2313" s="100">
        <v>3</v>
      </c>
      <c r="EF2313" s="100">
        <v>3</v>
      </c>
      <c r="EG2313" s="100">
        <v>3</v>
      </c>
      <c r="EI2313" s="100">
        <v>4</v>
      </c>
      <c r="EJ2313" s="100">
        <v>6</v>
      </c>
      <c r="EK2313" s="100">
        <v>3</v>
      </c>
      <c r="EL2313" s="100">
        <v>3</v>
      </c>
      <c r="EM2313" s="100">
        <v>3</v>
      </c>
      <c r="EN2313" s="100">
        <v>3</v>
      </c>
      <c r="EO2313" s="100">
        <v>3</v>
      </c>
      <c r="EP2313" s="100">
        <v>1</v>
      </c>
      <c r="EQ2313" s="100">
        <v>8</v>
      </c>
      <c r="ER2313" s="100">
        <v>8</v>
      </c>
      <c r="ET2313" s="100">
        <v>8</v>
      </c>
      <c r="EU2313" s="100">
        <v>7</v>
      </c>
      <c r="EV2313" s="100">
        <v>1</v>
      </c>
      <c r="EW2313" s="100">
        <v>13</v>
      </c>
      <c r="EX2313" s="100">
        <v>11</v>
      </c>
      <c r="EY2313" s="100">
        <v>9</v>
      </c>
      <c r="FB2313" s="100">
        <v>3</v>
      </c>
      <c r="ON2313" s="100">
        <f t="shared" si="732"/>
        <v>0</v>
      </c>
    </row>
    <row r="2314" spans="1:404" ht="23.25" customHeight="1">
      <c r="A2314" s="97" t="str">
        <f>D2314&amp;E2314</f>
        <v>002/OBI-2166-00600-02-B</v>
      </c>
      <c r="B2314" s="95">
        <v>44409</v>
      </c>
      <c r="C2314" s="97">
        <f t="shared" ca="1" si="733"/>
        <v>-655</v>
      </c>
      <c r="D2314" s="96" t="s">
        <v>938</v>
      </c>
      <c r="E2314" s="94" t="s">
        <v>939</v>
      </c>
      <c r="F2314" s="98" t="str">
        <f t="shared" si="734"/>
        <v>B</v>
      </c>
      <c r="G2314" s="110">
        <f ca="1">SUMIF($A:E,$A2314,K:K)</f>
        <v>268</v>
      </c>
      <c r="H2314" s="97" t="s">
        <v>508</v>
      </c>
      <c r="I2314" s="98">
        <v>134</v>
      </c>
      <c r="J2314" s="97">
        <v>134</v>
      </c>
      <c r="K2314" s="143">
        <f t="shared" si="720"/>
        <v>134</v>
      </c>
      <c r="L2314" s="144">
        <f t="shared" ref="L2314:L2321" si="736">J2314-K2314</f>
        <v>0</v>
      </c>
      <c r="M2314" s="275">
        <f t="shared" si="735"/>
        <v>134</v>
      </c>
      <c r="N2314" s="98">
        <v>5</v>
      </c>
      <c r="O2314" s="93">
        <f t="shared" si="731"/>
        <v>100</v>
      </c>
      <c r="DO2314" s="101">
        <v>17</v>
      </c>
      <c r="DP2314" s="101">
        <v>8</v>
      </c>
      <c r="DR2314" s="101">
        <v>8</v>
      </c>
      <c r="DS2314" s="100">
        <v>5</v>
      </c>
      <c r="DU2314" s="100">
        <v>6</v>
      </c>
      <c r="DV2314" s="100">
        <v>16</v>
      </c>
      <c r="DW2314" s="100">
        <v>2</v>
      </c>
      <c r="DY2314" s="100">
        <v>5</v>
      </c>
      <c r="DZ2314" s="100">
        <v>13</v>
      </c>
      <c r="EA2314" s="100">
        <v>8</v>
      </c>
      <c r="EC2314" s="100">
        <v>7</v>
      </c>
      <c r="ED2314" s="100">
        <v>5</v>
      </c>
      <c r="EF2314" s="100">
        <v>5</v>
      </c>
      <c r="EG2314" s="100">
        <v>6</v>
      </c>
      <c r="EH2314" s="100">
        <v>14</v>
      </c>
      <c r="EI2314" s="100">
        <v>9</v>
      </c>
      <c r="ON2314" s="100">
        <f t="shared" si="732"/>
        <v>0</v>
      </c>
    </row>
    <row r="2315" spans="1:404" ht="23.25" customHeight="1">
      <c r="A2315" s="97" t="str">
        <f>D2315&amp;E2315</f>
        <v>002T/OBI-2166-00600-02-B</v>
      </c>
      <c r="B2315" s="95">
        <v>44416</v>
      </c>
      <c r="C2315" s="97">
        <f t="shared" ca="1" si="733"/>
        <v>-648</v>
      </c>
      <c r="D2315" s="112" t="s">
        <v>1047</v>
      </c>
      <c r="E2315" s="123" t="s">
        <v>939</v>
      </c>
      <c r="F2315" s="98" t="str">
        <f t="shared" si="734"/>
        <v>B</v>
      </c>
      <c r="G2315" s="110">
        <f ca="1">SUMIF($A:E,$A2315,K:K)</f>
        <v>152</v>
      </c>
      <c r="H2315" s="97" t="s">
        <v>616</v>
      </c>
      <c r="I2315" s="98">
        <v>152</v>
      </c>
      <c r="J2315" s="115">
        <v>152</v>
      </c>
      <c r="K2315" s="143">
        <f t="shared" si="720"/>
        <v>152</v>
      </c>
      <c r="L2315" s="144">
        <f t="shared" si="736"/>
        <v>0</v>
      </c>
      <c r="M2315" s="275">
        <f t="shared" si="735"/>
        <v>152</v>
      </c>
      <c r="N2315" s="98">
        <v>3</v>
      </c>
      <c r="O2315" s="93">
        <f t="shared" si="731"/>
        <v>100</v>
      </c>
      <c r="FB2315" s="100">
        <v>11</v>
      </c>
      <c r="FC2315" s="100">
        <v>8</v>
      </c>
      <c r="FD2315" s="100">
        <v>9</v>
      </c>
      <c r="FE2315" s="100">
        <v>7</v>
      </c>
      <c r="FH2315" s="100">
        <v>16</v>
      </c>
      <c r="FI2315" s="100">
        <v>8</v>
      </c>
      <c r="FJ2315" s="100">
        <v>8</v>
      </c>
      <c r="FK2315" s="100">
        <v>14</v>
      </c>
      <c r="FL2315" s="100">
        <v>8</v>
      </c>
      <c r="FM2315" s="100">
        <v>8</v>
      </c>
      <c r="FO2315" s="100">
        <v>7</v>
      </c>
      <c r="FP2315" s="100">
        <v>11</v>
      </c>
      <c r="FQ2315" s="100">
        <v>6</v>
      </c>
      <c r="FR2315" s="100">
        <v>8</v>
      </c>
      <c r="FS2315" s="100">
        <v>8</v>
      </c>
      <c r="FT2315" s="100">
        <v>2</v>
      </c>
      <c r="FU2315" s="100">
        <v>5</v>
      </c>
      <c r="FZ2315" s="100">
        <v>1</v>
      </c>
      <c r="GA2315" s="100">
        <v>6</v>
      </c>
      <c r="GL2315" s="100">
        <v>1</v>
      </c>
      <c r="ON2315" s="100">
        <f t="shared" si="732"/>
        <v>0</v>
      </c>
    </row>
    <row r="2316" spans="1:404" ht="23.25" customHeight="1">
      <c r="A2316" s="97" t="s">
        <v>1370</v>
      </c>
      <c r="B2316" s="95">
        <v>44476</v>
      </c>
      <c r="C2316" s="97">
        <f t="shared" ca="1" si="733"/>
        <v>-588</v>
      </c>
      <c r="D2316" s="112" t="s">
        <v>1397</v>
      </c>
      <c r="E2316" s="123" t="s">
        <v>939</v>
      </c>
      <c r="F2316" s="98" t="str">
        <f t="shared" si="734"/>
        <v>B</v>
      </c>
      <c r="G2316" s="110">
        <f ca="1">SUMIF($A:E,$A2316,K:K)</f>
        <v>5654</v>
      </c>
      <c r="H2316" s="97" t="s">
        <v>1402</v>
      </c>
      <c r="I2316" s="98">
        <v>40</v>
      </c>
      <c r="J2316" s="115">
        <v>40</v>
      </c>
      <c r="K2316" s="143">
        <f t="shared" si="720"/>
        <v>40</v>
      </c>
      <c r="L2316" s="144">
        <f t="shared" si="736"/>
        <v>0</v>
      </c>
      <c r="M2316" s="275">
        <f t="shared" si="735"/>
        <v>40</v>
      </c>
      <c r="N2316" s="98">
        <v>3</v>
      </c>
      <c r="O2316" s="93">
        <f t="shared" si="731"/>
        <v>100</v>
      </c>
      <c r="IM2316" s="100">
        <v>4</v>
      </c>
      <c r="IP2316" s="100">
        <v>3</v>
      </c>
      <c r="IR2316" s="100">
        <v>3</v>
      </c>
      <c r="IS2316" s="100">
        <v>2</v>
      </c>
      <c r="IW2316" s="100">
        <v>8</v>
      </c>
      <c r="JB2316" s="100">
        <v>1</v>
      </c>
      <c r="JC2316" s="100">
        <v>3</v>
      </c>
      <c r="JD2316" s="100">
        <v>5</v>
      </c>
      <c r="JF2316" s="100">
        <v>3</v>
      </c>
      <c r="JI2316" s="100">
        <v>1</v>
      </c>
      <c r="JM2316" s="100">
        <v>7</v>
      </c>
      <c r="ON2316" s="100">
        <f t="shared" si="732"/>
        <v>0</v>
      </c>
    </row>
    <row r="2317" spans="1:404" ht="23.25" customHeight="1">
      <c r="A2317" s="97" t="str">
        <f t="shared" ref="A2317:A2349" si="737">D2317&amp;E2317</f>
        <v>258/KHBS-21 68-70900-L4-B</v>
      </c>
      <c r="B2317" s="95">
        <v>44454</v>
      </c>
      <c r="C2317" s="97">
        <f t="shared" ca="1" si="733"/>
        <v>-610</v>
      </c>
      <c r="D2317" s="111" t="s">
        <v>1855</v>
      </c>
      <c r="E2317" s="225" t="s">
        <v>1856</v>
      </c>
      <c r="F2317" s="98" t="str">
        <f t="shared" si="734"/>
        <v>-B</v>
      </c>
      <c r="G2317" s="110">
        <f ca="1">SUMIF($A:E,$A2317,K:K)</f>
        <v>1</v>
      </c>
      <c r="H2317" s="97" t="s">
        <v>616</v>
      </c>
      <c r="I2317" s="98">
        <v>1</v>
      </c>
      <c r="J2317" s="99">
        <v>1</v>
      </c>
      <c r="K2317" s="143">
        <f t="shared" si="720"/>
        <v>1</v>
      </c>
      <c r="L2317" s="144">
        <f t="shared" si="736"/>
        <v>0</v>
      </c>
      <c r="M2317" s="275">
        <f t="shared" si="735"/>
        <v>0</v>
      </c>
      <c r="N2317" s="98">
        <v>3</v>
      </c>
      <c r="O2317" s="93">
        <f t="shared" si="731"/>
        <v>100</v>
      </c>
      <c r="IP2317" s="100">
        <v>1</v>
      </c>
      <c r="ON2317" s="100">
        <f t="shared" si="732"/>
        <v>0</v>
      </c>
    </row>
    <row r="2318" spans="1:404" ht="23.25" customHeight="1">
      <c r="A2318" s="97" t="str">
        <f t="shared" si="737"/>
        <v>237/KHBS-21(001/ANNA-21) 68-57900-01-A</v>
      </c>
      <c r="B2318" s="95">
        <v>44421</v>
      </c>
      <c r="C2318" s="97">
        <f t="shared" ca="1" si="733"/>
        <v>-643</v>
      </c>
      <c r="D2318" s="112" t="s">
        <v>1727</v>
      </c>
      <c r="E2318" s="123" t="s">
        <v>1728</v>
      </c>
      <c r="F2318" s="98" t="str">
        <f t="shared" si="734"/>
        <v>-A</v>
      </c>
      <c r="G2318" s="110">
        <f ca="1">SUMIF($A:E,$A2318,K:K)</f>
        <v>1</v>
      </c>
      <c r="H2318" s="97" t="s">
        <v>971</v>
      </c>
      <c r="I2318" s="98">
        <v>1</v>
      </c>
      <c r="J2318" s="99">
        <v>1</v>
      </c>
      <c r="K2318" s="143">
        <f t="shared" si="720"/>
        <v>1</v>
      </c>
      <c r="L2318" s="144">
        <f t="shared" si="736"/>
        <v>0</v>
      </c>
      <c r="M2318" s="275">
        <f t="shared" si="735"/>
        <v>0</v>
      </c>
      <c r="N2318" s="98">
        <v>2</v>
      </c>
      <c r="O2318" s="93">
        <f t="shared" si="731"/>
        <v>100</v>
      </c>
      <c r="HL2318" s="100">
        <v>1</v>
      </c>
      <c r="ON2318" s="100">
        <f t="shared" si="732"/>
        <v>0</v>
      </c>
    </row>
    <row r="2319" spans="1:404" ht="23.25" customHeight="1">
      <c r="A2319" s="97" t="str">
        <f t="shared" si="737"/>
        <v>258/KHBS-21(002/ANNA-21) 68-53700-S1-B</v>
      </c>
      <c r="B2319" s="95">
        <v>44454</v>
      </c>
      <c r="C2319" s="97">
        <f t="shared" ca="1" si="733"/>
        <v>-610</v>
      </c>
      <c r="D2319" s="111" t="s">
        <v>1852</v>
      </c>
      <c r="E2319" s="225" t="s">
        <v>1853</v>
      </c>
      <c r="F2319" s="98" t="str">
        <f t="shared" si="734"/>
        <v>-B</v>
      </c>
      <c r="G2319" s="110">
        <f ca="1">SUMIF($A:E,$A2319,K:K)</f>
        <v>1</v>
      </c>
      <c r="H2319" s="97" t="s">
        <v>1854</v>
      </c>
      <c r="I2319" s="98">
        <v>1</v>
      </c>
      <c r="J2319" s="99">
        <v>1</v>
      </c>
      <c r="K2319" s="143">
        <f t="shared" si="720"/>
        <v>1</v>
      </c>
      <c r="L2319" s="144">
        <f t="shared" si="736"/>
        <v>0</v>
      </c>
      <c r="M2319" s="275">
        <f t="shared" si="735"/>
        <v>0</v>
      </c>
      <c r="N2319" s="98">
        <v>3</v>
      </c>
      <c r="O2319" s="93">
        <f t="shared" si="731"/>
        <v>100</v>
      </c>
      <c r="IP2319" s="100">
        <v>1</v>
      </c>
      <c r="ON2319" s="100">
        <f t="shared" si="732"/>
        <v>0</v>
      </c>
    </row>
    <row r="2320" spans="1:404" ht="23.25" customHeight="1">
      <c r="A2320" s="97" t="str">
        <f t="shared" si="737"/>
        <v>215/KHBS-21 66-75716-02-B</v>
      </c>
      <c r="B2320" s="95">
        <v>44394</v>
      </c>
      <c r="C2320" s="97">
        <f t="shared" ca="1" si="733"/>
        <v>-670</v>
      </c>
      <c r="D2320" s="96" t="s">
        <v>1313</v>
      </c>
      <c r="E2320" s="258" t="s">
        <v>1312</v>
      </c>
      <c r="F2320" s="98" t="str">
        <f t="shared" si="734"/>
        <v>-B</v>
      </c>
      <c r="G2320" s="110">
        <f ca="1">SUMIF($A:E,$A2320,K:K)</f>
        <v>1</v>
      </c>
      <c r="H2320" s="97" t="s">
        <v>1309</v>
      </c>
      <c r="I2320" s="98">
        <v>1</v>
      </c>
      <c r="J2320" s="213">
        <v>1</v>
      </c>
      <c r="K2320" s="143">
        <f t="shared" si="720"/>
        <v>1</v>
      </c>
      <c r="L2320" s="144">
        <f t="shared" si="736"/>
        <v>0</v>
      </c>
      <c r="M2320" s="275">
        <f t="shared" si="735"/>
        <v>0</v>
      </c>
      <c r="N2320" s="98">
        <v>3</v>
      </c>
      <c r="O2320" s="93">
        <f t="shared" si="731"/>
        <v>100</v>
      </c>
      <c r="GE2320" s="100">
        <v>1</v>
      </c>
      <c r="ON2320" s="100">
        <f t="shared" si="732"/>
        <v>0</v>
      </c>
    </row>
    <row r="2321" spans="1:404" ht="23.25" customHeight="1">
      <c r="A2321" s="97" t="str">
        <f t="shared" si="737"/>
        <v>215/KHBS-21 66-01500-01-A</v>
      </c>
      <c r="B2321" s="95">
        <v>44394</v>
      </c>
      <c r="C2321" s="97">
        <f t="shared" ca="1" si="733"/>
        <v>-670</v>
      </c>
      <c r="D2321" s="96" t="s">
        <v>1313</v>
      </c>
      <c r="E2321" s="258" t="s">
        <v>1311</v>
      </c>
      <c r="F2321" s="98" t="str">
        <f t="shared" si="734"/>
        <v>-A</v>
      </c>
      <c r="G2321" s="110">
        <f ca="1">SUMIF($A:E,$A2321,K:K)</f>
        <v>1</v>
      </c>
      <c r="H2321" s="97" t="s">
        <v>1309</v>
      </c>
      <c r="I2321" s="98">
        <v>1</v>
      </c>
      <c r="J2321" s="213">
        <v>1</v>
      </c>
      <c r="K2321" s="143">
        <f t="shared" si="720"/>
        <v>1</v>
      </c>
      <c r="L2321" s="144">
        <f t="shared" si="736"/>
        <v>0</v>
      </c>
      <c r="M2321" s="275">
        <f t="shared" si="735"/>
        <v>0</v>
      </c>
      <c r="N2321" s="98">
        <v>2</v>
      </c>
      <c r="O2321" s="93">
        <f t="shared" si="731"/>
        <v>100</v>
      </c>
      <c r="GC2321" s="100">
        <v>1</v>
      </c>
      <c r="ON2321" s="100">
        <f t="shared" si="732"/>
        <v>0</v>
      </c>
    </row>
    <row r="2322" spans="1:404" ht="23.25" customHeight="1">
      <c r="A2322" s="97" t="str">
        <f t="shared" si="737"/>
        <v>267/KHBS-2168-72800-01-01</v>
      </c>
      <c r="B2322" s="95">
        <v>44466</v>
      </c>
      <c r="C2322" s="97">
        <f t="shared" ca="1" si="733"/>
        <v>-598</v>
      </c>
      <c r="D2322" s="96" t="s">
        <v>1894</v>
      </c>
      <c r="E2322" s="280" t="s">
        <v>479</v>
      </c>
      <c r="F2322" s="98" t="str">
        <f t="shared" si="734"/>
        <v>01</v>
      </c>
      <c r="G2322" s="110">
        <f ca="1">SUMIF($A:E,$A2322,K:K)</f>
        <v>1</v>
      </c>
      <c r="H2322" s="97" t="s">
        <v>1895</v>
      </c>
      <c r="I2322" s="98">
        <v>1</v>
      </c>
      <c r="J2322" s="99">
        <v>1</v>
      </c>
      <c r="K2322" s="144">
        <f t="shared" si="720"/>
        <v>1</v>
      </c>
      <c r="L2322" s="144">
        <f t="shared" ref="L2322:L2326" si="738">J2322-K2322</f>
        <v>0</v>
      </c>
      <c r="M2322" s="275">
        <f t="shared" si="735"/>
        <v>1</v>
      </c>
      <c r="N2322" s="98" t="s">
        <v>1776</v>
      </c>
      <c r="O2322" s="93">
        <f t="shared" si="731"/>
        <v>100</v>
      </c>
      <c r="IY2322" s="100">
        <v>1</v>
      </c>
      <c r="ON2322" s="100">
        <f t="shared" si="732"/>
        <v>0</v>
      </c>
    </row>
    <row r="2323" spans="1:404" ht="23.25" customHeight="1">
      <c r="A2323" s="97" t="str">
        <f t="shared" si="737"/>
        <v>004/EUROMARKET-VG_SR-2166-81220-S1-B4</v>
      </c>
      <c r="B2323" s="95">
        <v>44464</v>
      </c>
      <c r="C2323" s="97">
        <f t="shared" ca="1" si="733"/>
        <v>-600</v>
      </c>
      <c r="D2323" s="247" t="s">
        <v>1896</v>
      </c>
      <c r="E2323" s="123" t="s">
        <v>1897</v>
      </c>
      <c r="F2323" s="98" t="str">
        <f t="shared" si="734"/>
        <v>B4</v>
      </c>
      <c r="G2323" s="110">
        <f ca="1">SUMIF($A:E,$A2323,K:K)</f>
        <v>1</v>
      </c>
      <c r="H2323" s="112" t="s">
        <v>1898</v>
      </c>
      <c r="I2323" s="98">
        <v>1</v>
      </c>
      <c r="J2323" s="115">
        <v>1</v>
      </c>
      <c r="K2323" s="144">
        <f t="shared" si="720"/>
        <v>1</v>
      </c>
      <c r="L2323" s="144">
        <f t="shared" si="738"/>
        <v>0</v>
      </c>
      <c r="M2323" s="275">
        <f t="shared" si="735"/>
        <v>1</v>
      </c>
      <c r="N2323" s="98">
        <v>3</v>
      </c>
      <c r="O2323" s="93">
        <f t="shared" si="731"/>
        <v>100</v>
      </c>
      <c r="JA2323" s="100">
        <v>1</v>
      </c>
      <c r="ON2323" s="100">
        <f t="shared" si="732"/>
        <v>0</v>
      </c>
    </row>
    <row r="2324" spans="1:404" ht="23.25" customHeight="1">
      <c r="A2324" s="97" t="str">
        <f t="shared" si="737"/>
        <v>004/EUROMARKET-VG_SR-2168-79900-01-A</v>
      </c>
      <c r="B2324" s="95">
        <v>44466</v>
      </c>
      <c r="C2324" s="97">
        <f t="shared" ca="1" si="733"/>
        <v>-598</v>
      </c>
      <c r="D2324" s="247" t="s">
        <v>1896</v>
      </c>
      <c r="E2324" s="279" t="s">
        <v>401</v>
      </c>
      <c r="F2324" s="98" t="str">
        <f t="shared" si="734"/>
        <v>A</v>
      </c>
      <c r="G2324" s="110">
        <f ca="1">SUMIF($A:E,$A2324,K:K)</f>
        <v>1</v>
      </c>
      <c r="H2324" s="112" t="s">
        <v>1899</v>
      </c>
      <c r="I2324" s="98">
        <v>1</v>
      </c>
      <c r="J2324" s="115">
        <v>1</v>
      </c>
      <c r="K2324" s="144">
        <f t="shared" si="720"/>
        <v>1</v>
      </c>
      <c r="L2324" s="144">
        <f t="shared" si="738"/>
        <v>0</v>
      </c>
      <c r="M2324" s="275">
        <f t="shared" si="735"/>
        <v>1</v>
      </c>
      <c r="N2324" s="98" t="s">
        <v>1776</v>
      </c>
      <c r="O2324" s="93">
        <f t="shared" si="731"/>
        <v>100</v>
      </c>
      <c r="IY2324" s="100">
        <v>1</v>
      </c>
      <c r="ON2324" s="100">
        <f t="shared" si="732"/>
        <v>0</v>
      </c>
    </row>
    <row r="2325" spans="1:404" ht="23.25" customHeight="1">
      <c r="A2325" s="97" t="str">
        <f t="shared" si="737"/>
        <v>004/EUROMARKET-VG_SR-2168-83600-S1-A</v>
      </c>
      <c r="B2325" s="95">
        <v>44466</v>
      </c>
      <c r="C2325" s="97">
        <f t="shared" ca="1" si="733"/>
        <v>-598</v>
      </c>
      <c r="D2325" s="247" t="s">
        <v>1896</v>
      </c>
      <c r="E2325" s="279" t="s">
        <v>586</v>
      </c>
      <c r="F2325" s="98" t="str">
        <f t="shared" si="734"/>
        <v>A</v>
      </c>
      <c r="G2325" s="110">
        <f ca="1">SUMIF($A:E,$A2325,K:K)</f>
        <v>5</v>
      </c>
      <c r="H2325" s="112" t="s">
        <v>1900</v>
      </c>
      <c r="I2325" s="98">
        <v>5</v>
      </c>
      <c r="J2325" s="115">
        <v>5</v>
      </c>
      <c r="K2325" s="144">
        <f t="shared" si="720"/>
        <v>5</v>
      </c>
      <c r="L2325" s="144">
        <f t="shared" si="738"/>
        <v>0</v>
      </c>
      <c r="M2325" s="275">
        <f t="shared" si="735"/>
        <v>5</v>
      </c>
      <c r="N2325" s="98" t="s">
        <v>1776</v>
      </c>
      <c r="O2325" s="93">
        <f t="shared" si="731"/>
        <v>100</v>
      </c>
      <c r="IY2325" s="100">
        <v>5</v>
      </c>
      <c r="ON2325" s="100">
        <f t="shared" si="732"/>
        <v>0</v>
      </c>
    </row>
    <row r="2326" spans="1:404" ht="23.25" customHeight="1">
      <c r="A2326" s="97" t="str">
        <f t="shared" si="737"/>
        <v>004/EUROMARKET-VG_SR-2168-83800-S1-B</v>
      </c>
      <c r="B2326" s="95">
        <v>44464</v>
      </c>
      <c r="C2326" s="97">
        <f t="shared" ca="1" si="733"/>
        <v>-600</v>
      </c>
      <c r="D2326" s="247" t="s">
        <v>1896</v>
      </c>
      <c r="E2326" s="123" t="s">
        <v>1420</v>
      </c>
      <c r="F2326" s="98" t="str">
        <f t="shared" si="734"/>
        <v>B</v>
      </c>
      <c r="G2326" s="110">
        <f ca="1">SUMIF($A:E,$A2326,K:K)</f>
        <v>1</v>
      </c>
      <c r="H2326" s="112" t="s">
        <v>1900</v>
      </c>
      <c r="I2326" s="98">
        <v>1</v>
      </c>
      <c r="J2326" s="115">
        <v>1</v>
      </c>
      <c r="K2326" s="144">
        <f t="shared" si="720"/>
        <v>1</v>
      </c>
      <c r="L2326" s="144">
        <f t="shared" si="738"/>
        <v>0</v>
      </c>
      <c r="M2326" s="275">
        <f t="shared" si="735"/>
        <v>1</v>
      </c>
      <c r="N2326" s="98">
        <v>3</v>
      </c>
      <c r="O2326" s="93">
        <f t="shared" si="731"/>
        <v>100</v>
      </c>
      <c r="IW2326" s="100">
        <v>1</v>
      </c>
      <c r="ON2326" s="100">
        <f t="shared" si="732"/>
        <v>0</v>
      </c>
    </row>
    <row r="2327" spans="1:404" ht="23.25" customHeight="1">
      <c r="A2327" s="97" t="str">
        <f t="shared" si="737"/>
        <v>058-VG-SR-21(WESTELM)66-87839-01-B</v>
      </c>
      <c r="B2327" s="95">
        <v>44464</v>
      </c>
      <c r="C2327" s="97">
        <f t="shared" ca="1" si="733"/>
        <v>-600</v>
      </c>
      <c r="D2327" s="112" t="s">
        <v>1901</v>
      </c>
      <c r="E2327" s="279" t="s">
        <v>1902</v>
      </c>
      <c r="F2327" s="98" t="str">
        <f t="shared" si="734"/>
        <v>B</v>
      </c>
      <c r="G2327" s="110">
        <f ca="1">SUMIF($A:E,$A2327,K:K)</f>
        <v>5</v>
      </c>
      <c r="H2327" s="112" t="s">
        <v>1906</v>
      </c>
      <c r="I2327" s="98">
        <v>5</v>
      </c>
      <c r="J2327" s="115">
        <v>5</v>
      </c>
      <c r="K2327" s="144">
        <f t="shared" si="720"/>
        <v>5</v>
      </c>
      <c r="L2327" s="144">
        <f t="shared" ref="L2327:L2332" si="739">J2327-K2327</f>
        <v>0</v>
      </c>
      <c r="M2327" s="275">
        <f t="shared" si="735"/>
        <v>5</v>
      </c>
      <c r="N2327" s="98" t="s">
        <v>1776</v>
      </c>
      <c r="O2327" s="93">
        <f t="shared" si="731"/>
        <v>100</v>
      </c>
      <c r="IU2327" s="100">
        <v>3</v>
      </c>
      <c r="IV2327" s="100">
        <v>2</v>
      </c>
      <c r="ON2327" s="100">
        <f t="shared" si="732"/>
        <v>0</v>
      </c>
    </row>
    <row r="2328" spans="1:404" ht="23.25" customHeight="1">
      <c r="A2328" s="97" t="str">
        <f t="shared" si="737"/>
        <v>058-VG-SR-21(WESTELM)66-87839-02-B</v>
      </c>
      <c r="B2328" s="95">
        <v>44464</v>
      </c>
      <c r="C2328" s="97">
        <f t="shared" ca="1" si="733"/>
        <v>-600</v>
      </c>
      <c r="D2328" s="112" t="s">
        <v>1901</v>
      </c>
      <c r="E2328" s="279" t="s">
        <v>1903</v>
      </c>
      <c r="F2328" s="98" t="str">
        <f t="shared" si="734"/>
        <v>B</v>
      </c>
      <c r="G2328" s="110">
        <f ca="1">SUMIF($A:E,$A2328,K:K)</f>
        <v>5</v>
      </c>
      <c r="H2328" s="112" t="s">
        <v>1906</v>
      </c>
      <c r="I2328" s="98">
        <v>5</v>
      </c>
      <c r="J2328" s="115">
        <v>5</v>
      </c>
      <c r="K2328" s="144">
        <f t="shared" si="720"/>
        <v>5</v>
      </c>
      <c r="L2328" s="144">
        <f t="shared" si="739"/>
        <v>0</v>
      </c>
      <c r="M2328" s="275">
        <f t="shared" si="735"/>
        <v>5</v>
      </c>
      <c r="N2328" s="98" t="s">
        <v>1776</v>
      </c>
      <c r="O2328" s="93">
        <f t="shared" si="731"/>
        <v>100</v>
      </c>
      <c r="IU2328" s="100">
        <v>3</v>
      </c>
      <c r="IV2328" s="100">
        <v>2</v>
      </c>
      <c r="ON2328" s="100">
        <f t="shared" si="732"/>
        <v>0</v>
      </c>
    </row>
    <row r="2329" spans="1:404" ht="23.25" customHeight="1">
      <c r="A2329" s="97" t="str">
        <f t="shared" si="737"/>
        <v>058-VG-SR-21(WESTELM)66-87839-05-B</v>
      </c>
      <c r="B2329" s="95">
        <v>44464</v>
      </c>
      <c r="C2329" s="97">
        <f t="shared" ca="1" si="733"/>
        <v>-600</v>
      </c>
      <c r="D2329" s="112" t="s">
        <v>1901</v>
      </c>
      <c r="E2329" s="279" t="s">
        <v>1904</v>
      </c>
      <c r="F2329" s="98" t="str">
        <f t="shared" si="734"/>
        <v>B</v>
      </c>
      <c r="G2329" s="110">
        <f ca="1">SUMIF($A:E,$A2329,K:K)</f>
        <v>5</v>
      </c>
      <c r="H2329" s="112" t="s">
        <v>1906</v>
      </c>
      <c r="I2329" s="98">
        <v>5</v>
      </c>
      <c r="J2329" s="115">
        <v>5</v>
      </c>
      <c r="K2329" s="144">
        <f t="shared" si="720"/>
        <v>5</v>
      </c>
      <c r="L2329" s="144">
        <f t="shared" si="739"/>
        <v>0</v>
      </c>
      <c r="M2329" s="275">
        <f t="shared" si="735"/>
        <v>5</v>
      </c>
      <c r="N2329" s="98" t="s">
        <v>1776</v>
      </c>
      <c r="O2329" s="93">
        <f t="shared" si="731"/>
        <v>100</v>
      </c>
      <c r="IU2329" s="100">
        <v>2</v>
      </c>
      <c r="IV2329" s="100">
        <v>3</v>
      </c>
      <c r="ON2329" s="100">
        <f t="shared" si="732"/>
        <v>0</v>
      </c>
    </row>
    <row r="2330" spans="1:404" ht="23.25" customHeight="1">
      <c r="A2330" s="97" t="str">
        <f t="shared" si="737"/>
        <v>058-VG-SR-21(WESTELM)66-87939-01-B</v>
      </c>
      <c r="B2330" s="95">
        <v>44464</v>
      </c>
      <c r="C2330" s="97">
        <f t="shared" ca="1" si="733"/>
        <v>-600</v>
      </c>
      <c r="D2330" s="112" t="s">
        <v>1901</v>
      </c>
      <c r="E2330" s="279" t="s">
        <v>1905</v>
      </c>
      <c r="F2330" s="98" t="str">
        <f t="shared" si="734"/>
        <v>B</v>
      </c>
      <c r="G2330" s="110">
        <f ca="1">SUMIF($A:E,$A2330,K:K)</f>
        <v>5</v>
      </c>
      <c r="H2330" s="112" t="s">
        <v>1906</v>
      </c>
      <c r="I2330" s="98">
        <v>5</v>
      </c>
      <c r="J2330" s="115">
        <v>5</v>
      </c>
      <c r="K2330" s="144">
        <f t="shared" si="720"/>
        <v>5</v>
      </c>
      <c r="L2330" s="144">
        <f t="shared" si="739"/>
        <v>0</v>
      </c>
      <c r="M2330" s="275">
        <f t="shared" si="735"/>
        <v>5</v>
      </c>
      <c r="N2330" s="98" t="s">
        <v>1776</v>
      </c>
      <c r="O2330" s="93">
        <f t="shared" si="731"/>
        <v>100</v>
      </c>
      <c r="IU2330" s="100">
        <v>2</v>
      </c>
      <c r="IV2330" s="100">
        <v>3</v>
      </c>
      <c r="ON2330" s="100">
        <f t="shared" si="732"/>
        <v>0</v>
      </c>
    </row>
    <row r="2331" spans="1:404" ht="23.25" customHeight="1">
      <c r="A2331" s="97" t="str">
        <f t="shared" si="737"/>
        <v>270/KHBS-2168-79900-01-A</v>
      </c>
      <c r="B2331" s="95">
        <v>44467</v>
      </c>
      <c r="C2331" s="97">
        <f t="shared" ca="1" si="733"/>
        <v>-597</v>
      </c>
      <c r="D2331" s="96" t="s">
        <v>1909</v>
      </c>
      <c r="E2331" s="123" t="s">
        <v>401</v>
      </c>
      <c r="F2331" s="98" t="str">
        <f t="shared" si="734"/>
        <v>A</v>
      </c>
      <c r="G2331" s="110">
        <f ca="1">SUMIF($A:E,$A2331,K:K)</f>
        <v>1</v>
      </c>
      <c r="H2331" s="97" t="s">
        <v>616</v>
      </c>
      <c r="I2331" s="98">
        <v>1</v>
      </c>
      <c r="J2331" s="99">
        <v>1</v>
      </c>
      <c r="K2331" s="143">
        <f t="shared" si="720"/>
        <v>1</v>
      </c>
      <c r="L2331" s="144">
        <f t="shared" si="739"/>
        <v>0</v>
      </c>
      <c r="M2331" s="275">
        <f t="shared" si="735"/>
        <v>1</v>
      </c>
      <c r="N2331" s="98">
        <v>1</v>
      </c>
      <c r="O2331" s="93">
        <f t="shared" si="731"/>
        <v>100</v>
      </c>
      <c r="IZ2331" s="100">
        <v>1</v>
      </c>
      <c r="ON2331" s="100">
        <f t="shared" si="732"/>
        <v>0</v>
      </c>
    </row>
    <row r="2332" spans="1:404" ht="23.25" customHeight="1">
      <c r="A2332" s="97" t="str">
        <f t="shared" si="737"/>
        <v>270/KHBS-2166-70322-03-B</v>
      </c>
      <c r="B2332" s="126">
        <v>44636</v>
      </c>
      <c r="C2332" s="127">
        <f t="shared" ca="1" si="733"/>
        <v>-428</v>
      </c>
      <c r="D2332" s="128" t="s">
        <v>1909</v>
      </c>
      <c r="E2332" s="129" t="s">
        <v>1062</v>
      </c>
      <c r="F2332" s="132" t="str">
        <f t="shared" si="734"/>
        <v>B</v>
      </c>
      <c r="G2332" s="130">
        <f ca="1">SUMIF($A:E,$A2332,K:K)</f>
        <v>1</v>
      </c>
      <c r="H2332" s="127" t="s">
        <v>616</v>
      </c>
      <c r="I2332" s="98">
        <v>1</v>
      </c>
      <c r="J2332" s="131">
        <v>1</v>
      </c>
      <c r="K2332" s="160">
        <f t="shared" si="720"/>
        <v>1</v>
      </c>
      <c r="L2332" s="151">
        <f t="shared" si="739"/>
        <v>0</v>
      </c>
      <c r="M2332" s="275">
        <f t="shared" si="735"/>
        <v>1</v>
      </c>
      <c r="N2332" s="132">
        <v>1</v>
      </c>
      <c r="O2332" s="93">
        <f t="shared" si="731"/>
        <v>100</v>
      </c>
      <c r="IV2332" s="100">
        <v>1</v>
      </c>
      <c r="ON2332" s="100">
        <f t="shared" si="732"/>
        <v>0</v>
      </c>
    </row>
    <row r="2333" spans="1:404" ht="23.25" customHeight="1">
      <c r="A2333" s="97" t="str">
        <f t="shared" si="737"/>
        <v>059-VG-SR-21(WESTEML)66-88700-S1-B</v>
      </c>
      <c r="B2333" s="95">
        <v>44471</v>
      </c>
      <c r="C2333" s="97">
        <f t="shared" ca="1" si="733"/>
        <v>-593</v>
      </c>
      <c r="D2333" s="96" t="s">
        <v>1910</v>
      </c>
      <c r="E2333" s="94" t="s">
        <v>1911</v>
      </c>
      <c r="F2333" s="98" t="str">
        <f t="shared" si="734"/>
        <v>B</v>
      </c>
      <c r="G2333" s="110">
        <f ca="1">SUMIF($A:E,$A2333,K:K)</f>
        <v>5</v>
      </c>
      <c r="H2333" s="97" t="s">
        <v>1912</v>
      </c>
      <c r="I2333" s="98">
        <v>5</v>
      </c>
      <c r="J2333" s="99">
        <v>5</v>
      </c>
      <c r="K2333" s="143">
        <f t="shared" si="720"/>
        <v>5</v>
      </c>
      <c r="L2333" s="144">
        <f t="shared" ref="L2333" si="740">J2333-K2333</f>
        <v>0</v>
      </c>
      <c r="M2333" s="275">
        <f t="shared" si="735"/>
        <v>5</v>
      </c>
      <c r="N2333" s="98">
        <v>1</v>
      </c>
      <c r="O2333" s="93">
        <f t="shared" si="731"/>
        <v>100</v>
      </c>
      <c r="JC2333" s="100">
        <v>5</v>
      </c>
      <c r="ON2333" s="100">
        <f t="shared" si="732"/>
        <v>0</v>
      </c>
    </row>
    <row r="2334" spans="1:404" ht="23.25" customHeight="1">
      <c r="A2334" s="97" t="str">
        <f t="shared" si="737"/>
        <v>057/VG-SR-21(EUROMARKET)66-87400-S1-B</v>
      </c>
      <c r="B2334" s="95">
        <v>44469</v>
      </c>
      <c r="C2334" s="97">
        <f t="shared" ca="1" si="733"/>
        <v>-595</v>
      </c>
      <c r="D2334" s="96" t="s">
        <v>1913</v>
      </c>
      <c r="E2334" s="94" t="s">
        <v>1547</v>
      </c>
      <c r="F2334" s="98" t="str">
        <f t="shared" si="734"/>
        <v>B</v>
      </c>
      <c r="G2334" s="110">
        <f ca="1">SUMIF($A:E,$A2334,K:K)</f>
        <v>1</v>
      </c>
      <c r="H2334" s="97" t="s">
        <v>1914</v>
      </c>
      <c r="I2334" s="98">
        <v>1</v>
      </c>
      <c r="J2334" s="99">
        <v>1</v>
      </c>
      <c r="K2334" s="143">
        <f t="shared" si="720"/>
        <v>1</v>
      </c>
      <c r="L2334" s="144">
        <f t="shared" ref="L2334:L2336" si="741">J2334-K2334</f>
        <v>0</v>
      </c>
      <c r="M2334" s="275">
        <f t="shared" si="735"/>
        <v>1</v>
      </c>
      <c r="N2334" s="98">
        <v>3</v>
      </c>
      <c r="O2334" s="93">
        <f t="shared" si="731"/>
        <v>100</v>
      </c>
      <c r="IW2334" s="100">
        <v>1</v>
      </c>
      <c r="ON2334" s="100">
        <f t="shared" si="732"/>
        <v>0</v>
      </c>
    </row>
    <row r="2335" spans="1:404" ht="23.25" customHeight="1">
      <c r="A2335" s="97" t="str">
        <f t="shared" si="737"/>
        <v>057/VG-SR-21(EUROMARKET)66-87500-S1-B</v>
      </c>
      <c r="B2335" s="95">
        <v>44469</v>
      </c>
      <c r="C2335" s="97">
        <f t="shared" ca="1" si="733"/>
        <v>-595</v>
      </c>
      <c r="D2335" s="96" t="s">
        <v>1913</v>
      </c>
      <c r="E2335" s="280" t="s">
        <v>1548</v>
      </c>
      <c r="F2335" s="98" t="str">
        <f t="shared" si="734"/>
        <v>B</v>
      </c>
      <c r="G2335" s="110">
        <f ca="1">SUMIF($A:E,$A2335,K:K)</f>
        <v>1</v>
      </c>
      <c r="H2335" s="97" t="s">
        <v>1914</v>
      </c>
      <c r="I2335" s="98">
        <v>1</v>
      </c>
      <c r="J2335" s="99">
        <v>1</v>
      </c>
      <c r="K2335" s="143">
        <f t="shared" si="720"/>
        <v>1</v>
      </c>
      <c r="L2335" s="144">
        <f t="shared" si="741"/>
        <v>0</v>
      </c>
      <c r="M2335" s="275">
        <f t="shared" si="735"/>
        <v>1</v>
      </c>
      <c r="N2335" s="98" t="s">
        <v>1776</v>
      </c>
      <c r="O2335" s="93">
        <f t="shared" si="731"/>
        <v>100</v>
      </c>
      <c r="IW2335" s="100">
        <v>1</v>
      </c>
      <c r="ON2335" s="100">
        <f t="shared" si="732"/>
        <v>0</v>
      </c>
    </row>
    <row r="2336" spans="1:404" ht="23.25" customHeight="1">
      <c r="A2336" s="97" t="str">
        <f t="shared" si="737"/>
        <v>057/VG-SR-21(EUROMARKET)66-87600-S1-B</v>
      </c>
      <c r="B2336" s="95">
        <v>44469</v>
      </c>
      <c r="C2336" s="97">
        <v>54</v>
      </c>
      <c r="D2336" s="96" t="s">
        <v>1913</v>
      </c>
      <c r="E2336" s="94" t="s">
        <v>1549</v>
      </c>
      <c r="F2336" s="98" t="str">
        <f t="shared" si="734"/>
        <v>B</v>
      </c>
      <c r="G2336" s="110">
        <f ca="1">SUMIF($A:E,$A2336,K:K)</f>
        <v>1</v>
      </c>
      <c r="H2336" s="97" t="s">
        <v>1914</v>
      </c>
      <c r="I2336" s="98">
        <v>1</v>
      </c>
      <c r="J2336" s="99">
        <v>1</v>
      </c>
      <c r="K2336" s="143">
        <f t="shared" ref="K2336:K2399" si="742">SUM(P2336:BBC2336)</f>
        <v>1</v>
      </c>
      <c r="L2336" s="144">
        <f t="shared" si="741"/>
        <v>0</v>
      </c>
      <c r="M2336" s="275">
        <f t="shared" si="735"/>
        <v>1</v>
      </c>
      <c r="N2336" s="98">
        <v>1</v>
      </c>
      <c r="O2336" s="93">
        <f t="shared" si="731"/>
        <v>100</v>
      </c>
      <c r="IW2336" s="100">
        <v>1</v>
      </c>
      <c r="ON2336" s="100">
        <f t="shared" si="732"/>
        <v>0</v>
      </c>
    </row>
    <row r="2337" spans="1:404" ht="23.25" customHeight="1">
      <c r="A2337" s="97" t="str">
        <f t="shared" si="737"/>
        <v>005/EUROMARKET-VG_SR-2166-87400-S1-B</v>
      </c>
      <c r="B2337" s="95">
        <v>44469</v>
      </c>
      <c r="C2337" s="97">
        <f t="shared" ref="C2337:C2368" ca="1" si="743">B2337-TODAY()</f>
        <v>-595</v>
      </c>
      <c r="D2337" s="96" t="s">
        <v>1915</v>
      </c>
      <c r="E2337" s="94" t="s">
        <v>1547</v>
      </c>
      <c r="F2337" s="98" t="str">
        <f t="shared" si="734"/>
        <v>B</v>
      </c>
      <c r="G2337" s="110">
        <f ca="1">SUMIF($A:E,$A2337,K:K)</f>
        <v>5</v>
      </c>
      <c r="H2337" s="97" t="s">
        <v>1916</v>
      </c>
      <c r="I2337" s="98">
        <v>1</v>
      </c>
      <c r="J2337" s="99">
        <v>5</v>
      </c>
      <c r="K2337" s="143">
        <f t="shared" si="742"/>
        <v>5</v>
      </c>
      <c r="L2337" s="144">
        <f t="shared" ref="L2337:L2339" si="744">J2337-K2337</f>
        <v>0</v>
      </c>
      <c r="M2337" s="275">
        <f t="shared" si="735"/>
        <v>1</v>
      </c>
      <c r="N2337" s="98">
        <v>3</v>
      </c>
      <c r="O2337" s="93">
        <f t="shared" si="731"/>
        <v>100</v>
      </c>
      <c r="IW2337" s="100">
        <v>5</v>
      </c>
      <c r="ON2337" s="100">
        <f t="shared" si="732"/>
        <v>0</v>
      </c>
    </row>
    <row r="2338" spans="1:404" ht="23.25" customHeight="1">
      <c r="A2338" s="97" t="str">
        <f t="shared" si="737"/>
        <v>005/EUROMARKET-VG_SR-2166-87500-S1-B</v>
      </c>
      <c r="B2338" s="95">
        <v>44469</v>
      </c>
      <c r="C2338" s="97">
        <f t="shared" ca="1" si="743"/>
        <v>-595</v>
      </c>
      <c r="D2338" s="96" t="s">
        <v>1915</v>
      </c>
      <c r="E2338" s="280" t="s">
        <v>1548</v>
      </c>
      <c r="F2338" s="98" t="str">
        <f t="shared" si="734"/>
        <v>B</v>
      </c>
      <c r="G2338" s="110">
        <f ca="1">SUMIF($A:E,$A2338,K:K)</f>
        <v>4</v>
      </c>
      <c r="H2338" s="97" t="s">
        <v>1916</v>
      </c>
      <c r="I2338" s="98">
        <v>4</v>
      </c>
      <c r="J2338" s="99">
        <v>4</v>
      </c>
      <c r="K2338" s="143">
        <f t="shared" si="742"/>
        <v>4</v>
      </c>
      <c r="L2338" s="144">
        <f t="shared" si="744"/>
        <v>0</v>
      </c>
      <c r="M2338" s="275">
        <f t="shared" si="735"/>
        <v>4</v>
      </c>
      <c r="N2338" s="98" t="s">
        <v>1776</v>
      </c>
      <c r="O2338" s="93">
        <f t="shared" si="731"/>
        <v>100</v>
      </c>
      <c r="IW2338" s="100">
        <v>4</v>
      </c>
      <c r="ON2338" s="100">
        <f t="shared" si="732"/>
        <v>0</v>
      </c>
    </row>
    <row r="2339" spans="1:404" ht="23.25" customHeight="1">
      <c r="A2339" s="97" t="str">
        <f t="shared" si="737"/>
        <v>005/EUROMARKET-VG_SR-2166-87600-S1-B</v>
      </c>
      <c r="B2339" s="95">
        <v>44469</v>
      </c>
      <c r="C2339" s="97">
        <f t="shared" ca="1" si="743"/>
        <v>-595</v>
      </c>
      <c r="D2339" s="96" t="s">
        <v>1915</v>
      </c>
      <c r="E2339" s="94" t="s">
        <v>1549</v>
      </c>
      <c r="F2339" s="98" t="str">
        <f t="shared" ref="F2339:F2360" si="745">MID(E2339,13,2)</f>
        <v>B</v>
      </c>
      <c r="G2339" s="110">
        <f ca="1">SUMIF($A:E,$A2339,K:K)</f>
        <v>5</v>
      </c>
      <c r="H2339" s="97" t="s">
        <v>1916</v>
      </c>
      <c r="I2339" s="98">
        <v>5</v>
      </c>
      <c r="J2339" s="99">
        <v>5</v>
      </c>
      <c r="K2339" s="143">
        <f t="shared" si="742"/>
        <v>5</v>
      </c>
      <c r="L2339" s="144">
        <f t="shared" si="744"/>
        <v>0</v>
      </c>
      <c r="M2339" s="275">
        <f t="shared" ref="M2339:M2349" si="746">IF(OR(MID(E2339,10,1)="0",MID(E2339,10,1)="F"),I2339,IF(OR(,MID(E2339,10,1)="S",MID(E2339,10,1)="L",MID(E2339,10,1)="B",MID(E2339,10,1)="X"),MID(E2339,11,1)*I2339,0))</f>
        <v>5</v>
      </c>
      <c r="N2339" s="98">
        <v>1</v>
      </c>
      <c r="O2339" s="93">
        <f t="shared" si="731"/>
        <v>100</v>
      </c>
      <c r="IW2339" s="100">
        <v>2</v>
      </c>
      <c r="IY2339" s="100">
        <v>3</v>
      </c>
      <c r="ON2339" s="100">
        <f t="shared" si="732"/>
        <v>0</v>
      </c>
    </row>
    <row r="2340" spans="1:404" ht="23.25" customHeight="1">
      <c r="A2340" s="97" t="str">
        <f t="shared" si="737"/>
        <v>268/KHBS-2166-02600-02-B</v>
      </c>
      <c r="B2340" s="95">
        <v>44467</v>
      </c>
      <c r="C2340" s="97">
        <f t="shared" ca="1" si="743"/>
        <v>-597</v>
      </c>
      <c r="D2340" s="96" t="s">
        <v>1917</v>
      </c>
      <c r="E2340" s="94" t="s">
        <v>627</v>
      </c>
      <c r="F2340" s="98" t="str">
        <f t="shared" si="745"/>
        <v>B</v>
      </c>
      <c r="G2340" s="110">
        <f ca="1">SUMIF($A:E,$A2340,K:K)</f>
        <v>1</v>
      </c>
      <c r="H2340" s="97" t="s">
        <v>1593</v>
      </c>
      <c r="I2340" s="98">
        <v>1</v>
      </c>
      <c r="J2340" s="99">
        <v>1</v>
      </c>
      <c r="K2340" s="143">
        <f t="shared" si="742"/>
        <v>1</v>
      </c>
      <c r="L2340" s="144">
        <f t="shared" ref="L2340:L2343" si="747">J2340-K2340</f>
        <v>0</v>
      </c>
      <c r="M2340" s="275">
        <f t="shared" si="746"/>
        <v>1</v>
      </c>
      <c r="N2340" s="98">
        <v>3</v>
      </c>
      <c r="O2340" s="93">
        <f t="shared" si="731"/>
        <v>100</v>
      </c>
      <c r="JA2340" s="100">
        <v>1</v>
      </c>
      <c r="ON2340" s="100">
        <f t="shared" si="732"/>
        <v>0</v>
      </c>
    </row>
    <row r="2341" spans="1:404" ht="23.25" customHeight="1">
      <c r="A2341" s="97" t="str">
        <f t="shared" si="737"/>
        <v>268/KHBS-2166-02600-03-B</v>
      </c>
      <c r="B2341" s="95">
        <v>44467</v>
      </c>
      <c r="C2341" s="97">
        <f t="shared" ca="1" si="743"/>
        <v>-597</v>
      </c>
      <c r="D2341" s="96" t="s">
        <v>1917</v>
      </c>
      <c r="E2341" s="94" t="s">
        <v>941</v>
      </c>
      <c r="F2341" s="98" t="str">
        <f t="shared" si="745"/>
        <v>B</v>
      </c>
      <c r="G2341" s="110">
        <f ca="1">SUMIF($A:E,$A2341,K:K)</f>
        <v>1</v>
      </c>
      <c r="H2341" s="97" t="s">
        <v>1593</v>
      </c>
      <c r="I2341" s="98">
        <v>1</v>
      </c>
      <c r="J2341" s="99">
        <v>1</v>
      </c>
      <c r="K2341" s="143">
        <f t="shared" si="742"/>
        <v>1</v>
      </c>
      <c r="L2341" s="144">
        <f t="shared" si="747"/>
        <v>0</v>
      </c>
      <c r="M2341" s="275">
        <f t="shared" si="746"/>
        <v>1</v>
      </c>
      <c r="N2341" s="98">
        <v>3</v>
      </c>
      <c r="O2341" s="93">
        <f t="shared" si="731"/>
        <v>100</v>
      </c>
      <c r="JB2341" s="100">
        <v>1</v>
      </c>
      <c r="ON2341" s="100">
        <f t="shared" si="732"/>
        <v>0</v>
      </c>
    </row>
    <row r="2342" spans="1:404" ht="23.25" customHeight="1">
      <c r="A2342" s="97" t="str">
        <f t="shared" si="737"/>
        <v>268/KHBS-2168-79900-01-B</v>
      </c>
      <c r="B2342" s="95">
        <v>44467</v>
      </c>
      <c r="C2342" s="97">
        <f t="shared" ca="1" si="743"/>
        <v>-597</v>
      </c>
      <c r="D2342" s="96" t="s">
        <v>1917</v>
      </c>
      <c r="E2342" s="94" t="s">
        <v>1542</v>
      </c>
      <c r="F2342" s="98" t="str">
        <f t="shared" si="745"/>
        <v>B</v>
      </c>
      <c r="G2342" s="110">
        <f ca="1">SUMIF($A:E,$A2342,K:K)</f>
        <v>1</v>
      </c>
      <c r="H2342" s="97" t="s">
        <v>1593</v>
      </c>
      <c r="I2342" s="98">
        <v>1</v>
      </c>
      <c r="J2342" s="99">
        <v>1</v>
      </c>
      <c r="K2342" s="143">
        <f t="shared" si="742"/>
        <v>1</v>
      </c>
      <c r="L2342" s="144">
        <f t="shared" si="747"/>
        <v>0</v>
      </c>
      <c r="M2342" s="275">
        <f t="shared" si="746"/>
        <v>1</v>
      </c>
      <c r="N2342" s="98">
        <v>3</v>
      </c>
      <c r="O2342" s="93">
        <f t="shared" si="731"/>
        <v>100</v>
      </c>
      <c r="IZ2342" s="100">
        <v>1</v>
      </c>
      <c r="ON2342" s="100">
        <f t="shared" si="732"/>
        <v>0</v>
      </c>
    </row>
    <row r="2343" spans="1:404" ht="23.25" customHeight="1">
      <c r="A2343" s="97" t="str">
        <f t="shared" si="737"/>
        <v>268/KHBS-2168-70900-X4-B</v>
      </c>
      <c r="B2343" s="95">
        <v>44467</v>
      </c>
      <c r="C2343" s="97">
        <f t="shared" ca="1" si="743"/>
        <v>-597</v>
      </c>
      <c r="D2343" s="96" t="s">
        <v>1917</v>
      </c>
      <c r="E2343" s="94" t="s">
        <v>22</v>
      </c>
      <c r="F2343" s="98" t="str">
        <f t="shared" si="745"/>
        <v>B</v>
      </c>
      <c r="G2343" s="110">
        <f ca="1">SUMIF($A:E,$A2343,K:K)</f>
        <v>1</v>
      </c>
      <c r="H2343" s="97" t="s">
        <v>1593</v>
      </c>
      <c r="I2343" s="98">
        <v>1</v>
      </c>
      <c r="J2343" s="99">
        <v>1</v>
      </c>
      <c r="K2343" s="143">
        <f t="shared" si="742"/>
        <v>1</v>
      </c>
      <c r="L2343" s="144">
        <f t="shared" si="747"/>
        <v>0</v>
      </c>
      <c r="M2343" s="275">
        <f t="shared" si="746"/>
        <v>4</v>
      </c>
      <c r="N2343" s="98">
        <v>3</v>
      </c>
      <c r="O2343" s="93">
        <f t="shared" si="731"/>
        <v>100</v>
      </c>
      <c r="JB2343" s="100">
        <v>1</v>
      </c>
      <c r="ON2343" s="100">
        <f t="shared" si="732"/>
        <v>0</v>
      </c>
    </row>
    <row r="2344" spans="1:404" ht="23.25" customHeight="1">
      <c r="A2344" s="97" t="str">
        <f t="shared" si="737"/>
        <v>040T/WESTELM-2166-70300-02-B</v>
      </c>
      <c r="B2344" s="95">
        <v>44525</v>
      </c>
      <c r="C2344" s="97">
        <f t="shared" ca="1" si="743"/>
        <v>-539</v>
      </c>
      <c r="D2344" s="112" t="s">
        <v>1919</v>
      </c>
      <c r="E2344" s="123" t="s">
        <v>47</v>
      </c>
      <c r="F2344" s="98" t="str">
        <f t="shared" si="745"/>
        <v>B</v>
      </c>
      <c r="G2344" s="110">
        <f ca="1">SUMIF($A:E,$A2344,K:K)</f>
        <v>36</v>
      </c>
      <c r="H2344" s="97" t="s">
        <v>1593</v>
      </c>
      <c r="I2344" s="98">
        <v>36</v>
      </c>
      <c r="J2344" s="115">
        <v>36</v>
      </c>
      <c r="K2344" s="143">
        <f t="shared" si="742"/>
        <v>36</v>
      </c>
      <c r="L2344" s="144">
        <f t="shared" ref="L2344:L2362" si="748">J2344-K2344</f>
        <v>0</v>
      </c>
      <c r="M2344" s="275">
        <f t="shared" si="746"/>
        <v>36</v>
      </c>
      <c r="N2344" s="98">
        <v>3</v>
      </c>
      <c r="O2344" s="93">
        <f t="shared" si="731"/>
        <v>100</v>
      </c>
      <c r="KP2344" s="100">
        <v>13</v>
      </c>
      <c r="KQ2344" s="100">
        <v>6</v>
      </c>
      <c r="KR2344" s="100">
        <v>3</v>
      </c>
      <c r="KU2344" s="100">
        <v>6</v>
      </c>
      <c r="KV2344" s="100">
        <v>7</v>
      </c>
      <c r="KX2344" s="100">
        <v>1</v>
      </c>
      <c r="ON2344" s="100">
        <f t="shared" si="732"/>
        <v>0</v>
      </c>
    </row>
    <row r="2345" spans="1:404" ht="23.25" customHeight="1">
      <c r="A2345" s="97" t="str">
        <f t="shared" si="737"/>
        <v>040T/WESTELM-2166-70300-03-B</v>
      </c>
      <c r="B2345" s="95">
        <v>44525</v>
      </c>
      <c r="C2345" s="97">
        <f t="shared" ca="1" si="743"/>
        <v>-539</v>
      </c>
      <c r="D2345" s="112" t="s">
        <v>1919</v>
      </c>
      <c r="E2345" s="123" t="s">
        <v>25</v>
      </c>
      <c r="F2345" s="98" t="str">
        <f t="shared" si="745"/>
        <v>B</v>
      </c>
      <c r="G2345" s="110">
        <f ca="1">SUMIF($A:E,$A2345,K:K)</f>
        <v>20</v>
      </c>
      <c r="H2345" s="97" t="s">
        <v>1593</v>
      </c>
      <c r="I2345" s="98">
        <v>20</v>
      </c>
      <c r="J2345" s="115">
        <v>20</v>
      </c>
      <c r="K2345" s="143">
        <f t="shared" si="742"/>
        <v>20</v>
      </c>
      <c r="L2345" s="144">
        <f t="shared" si="748"/>
        <v>0</v>
      </c>
      <c r="M2345" s="275">
        <f t="shared" si="746"/>
        <v>20</v>
      </c>
      <c r="N2345" s="98">
        <v>3</v>
      </c>
      <c r="O2345" s="93">
        <f t="shared" si="731"/>
        <v>100</v>
      </c>
      <c r="KU2345" s="100">
        <v>20</v>
      </c>
      <c r="ON2345" s="100">
        <f t="shared" si="732"/>
        <v>0</v>
      </c>
    </row>
    <row r="2346" spans="1:404" ht="23.25" customHeight="1">
      <c r="A2346" s="97" t="str">
        <f t="shared" si="737"/>
        <v>040T/WESTELM-2166-80036-03-B</v>
      </c>
      <c r="B2346" s="95">
        <v>44525</v>
      </c>
      <c r="C2346" s="97">
        <f t="shared" ca="1" si="743"/>
        <v>-539</v>
      </c>
      <c r="D2346" s="112" t="s">
        <v>1919</v>
      </c>
      <c r="E2346" s="123" t="s">
        <v>638</v>
      </c>
      <c r="F2346" s="98" t="str">
        <f t="shared" si="745"/>
        <v>B</v>
      </c>
      <c r="G2346" s="110">
        <f ca="1">SUMIF($A:E,$A2346,K:K)</f>
        <v>27</v>
      </c>
      <c r="H2346" s="97" t="s">
        <v>1593</v>
      </c>
      <c r="I2346" s="98">
        <v>27</v>
      </c>
      <c r="J2346" s="115">
        <v>27</v>
      </c>
      <c r="K2346" s="143">
        <f t="shared" si="742"/>
        <v>27</v>
      </c>
      <c r="L2346" s="144">
        <f t="shared" si="748"/>
        <v>0</v>
      </c>
      <c r="M2346" s="275">
        <f t="shared" si="746"/>
        <v>27</v>
      </c>
      <c r="N2346" s="98">
        <v>1</v>
      </c>
      <c r="O2346" s="93">
        <f t="shared" si="731"/>
        <v>100</v>
      </c>
      <c r="JB2346" s="100">
        <v>3</v>
      </c>
      <c r="JC2346" s="100">
        <v>3</v>
      </c>
      <c r="JF2346" s="100">
        <v>5</v>
      </c>
      <c r="JG2346" s="100">
        <v>5</v>
      </c>
      <c r="JH2346" s="100">
        <v>5</v>
      </c>
      <c r="JI2346" s="100">
        <v>3</v>
      </c>
      <c r="JK2346" s="100">
        <v>3</v>
      </c>
      <c r="ON2346" s="100">
        <f t="shared" si="732"/>
        <v>0</v>
      </c>
    </row>
    <row r="2347" spans="1:404" ht="23.25" customHeight="1">
      <c r="A2347" s="97" t="str">
        <f t="shared" si="737"/>
        <v>041T/WESTELM-2166-70300-01-B</v>
      </c>
      <c r="B2347" s="95">
        <v>44548</v>
      </c>
      <c r="C2347" s="97">
        <f t="shared" ca="1" si="743"/>
        <v>-516</v>
      </c>
      <c r="D2347" s="112" t="s">
        <v>1920</v>
      </c>
      <c r="E2347" s="123" t="s">
        <v>531</v>
      </c>
      <c r="F2347" s="98" t="str">
        <f t="shared" si="745"/>
        <v>B</v>
      </c>
      <c r="G2347" s="110">
        <f ca="1">SUMIF($A:E,$A2347,K:K)</f>
        <v>50</v>
      </c>
      <c r="H2347" s="97" t="s">
        <v>1593</v>
      </c>
      <c r="I2347" s="98">
        <v>50</v>
      </c>
      <c r="J2347" s="115">
        <v>50</v>
      </c>
      <c r="K2347" s="143">
        <f t="shared" si="742"/>
        <v>50</v>
      </c>
      <c r="L2347" s="144">
        <f t="shared" si="748"/>
        <v>0</v>
      </c>
      <c r="M2347" s="275">
        <f t="shared" si="746"/>
        <v>50</v>
      </c>
      <c r="N2347" s="98">
        <v>3</v>
      </c>
      <c r="O2347" s="93">
        <f t="shared" si="731"/>
        <v>100</v>
      </c>
      <c r="KE2347" s="100">
        <v>5</v>
      </c>
      <c r="KI2347" s="100">
        <v>4</v>
      </c>
      <c r="KJ2347" s="100">
        <v>1</v>
      </c>
      <c r="KN2347" s="100">
        <v>3</v>
      </c>
      <c r="KO2347" s="100">
        <v>5</v>
      </c>
      <c r="KP2347" s="100">
        <v>2</v>
      </c>
      <c r="KQ2347" s="100">
        <v>4</v>
      </c>
      <c r="KS2347" s="100">
        <v>3</v>
      </c>
      <c r="KU2347" s="100">
        <v>6</v>
      </c>
      <c r="KV2347" s="100">
        <v>6</v>
      </c>
      <c r="KX2347" s="100">
        <v>6</v>
      </c>
      <c r="LF2347" s="100">
        <v>1</v>
      </c>
      <c r="LG2347" s="100">
        <v>4</v>
      </c>
      <c r="ON2347" s="100">
        <f t="shared" si="732"/>
        <v>0</v>
      </c>
    </row>
    <row r="2348" spans="1:404" ht="23.25" customHeight="1">
      <c r="A2348" s="97" t="str">
        <f t="shared" si="737"/>
        <v>041T/WESTELM-2166-70300-02-B</v>
      </c>
      <c r="B2348" s="95">
        <v>44548</v>
      </c>
      <c r="C2348" s="97">
        <f t="shared" ca="1" si="743"/>
        <v>-516</v>
      </c>
      <c r="D2348" s="112" t="s">
        <v>1920</v>
      </c>
      <c r="E2348" s="123" t="s">
        <v>47</v>
      </c>
      <c r="F2348" s="98" t="str">
        <f t="shared" si="745"/>
        <v>B</v>
      </c>
      <c r="G2348" s="110">
        <f ca="1">SUMIF($A:E,$A2348,K:K)</f>
        <v>40</v>
      </c>
      <c r="H2348" s="97" t="s">
        <v>1593</v>
      </c>
      <c r="I2348" s="98">
        <v>40</v>
      </c>
      <c r="J2348" s="115">
        <v>40</v>
      </c>
      <c r="K2348" s="143">
        <f t="shared" si="742"/>
        <v>40</v>
      </c>
      <c r="L2348" s="144">
        <f t="shared" si="748"/>
        <v>0</v>
      </c>
      <c r="M2348" s="275">
        <f t="shared" si="746"/>
        <v>40</v>
      </c>
      <c r="N2348" s="98">
        <v>3</v>
      </c>
      <c r="O2348" s="93">
        <f t="shared" si="731"/>
        <v>100</v>
      </c>
      <c r="KX2348" s="100">
        <v>8</v>
      </c>
      <c r="KY2348" s="100">
        <v>11</v>
      </c>
      <c r="KZ2348" s="100">
        <v>6</v>
      </c>
      <c r="LC2348" s="100">
        <v>11</v>
      </c>
      <c r="LE2348" s="100">
        <v>4</v>
      </c>
      <c r="ON2348" s="100">
        <f t="shared" si="732"/>
        <v>0</v>
      </c>
    </row>
    <row r="2349" spans="1:404" ht="23.25" customHeight="1">
      <c r="A2349" s="97" t="str">
        <f t="shared" si="737"/>
        <v>042T/WESTELM-2166-70300-01-B</v>
      </c>
      <c r="B2349" s="95">
        <v>44552</v>
      </c>
      <c r="C2349" s="97">
        <f t="shared" ca="1" si="743"/>
        <v>-512</v>
      </c>
      <c r="D2349" s="112" t="s">
        <v>1921</v>
      </c>
      <c r="E2349" s="123" t="s">
        <v>531</v>
      </c>
      <c r="F2349" s="98" t="str">
        <f t="shared" si="745"/>
        <v>B</v>
      </c>
      <c r="G2349" s="110">
        <f ca="1">SUMIF($A:E,$A2349,K:K)</f>
        <v>91</v>
      </c>
      <c r="H2349" s="97" t="s">
        <v>1593</v>
      </c>
      <c r="I2349" s="98">
        <v>91</v>
      </c>
      <c r="J2349" s="115">
        <v>91</v>
      </c>
      <c r="K2349" s="143">
        <f t="shared" si="742"/>
        <v>91</v>
      </c>
      <c r="L2349" s="144">
        <f t="shared" si="748"/>
        <v>0</v>
      </c>
      <c r="M2349" s="275">
        <f t="shared" si="746"/>
        <v>91</v>
      </c>
      <c r="N2349" s="98">
        <v>2</v>
      </c>
      <c r="O2349" s="93">
        <f t="shared" si="731"/>
        <v>100</v>
      </c>
      <c r="LF2349" s="100">
        <v>7</v>
      </c>
      <c r="LG2349" s="100">
        <v>5</v>
      </c>
      <c r="LJ2349" s="100">
        <v>2</v>
      </c>
      <c r="LK2349" s="100">
        <v>9</v>
      </c>
      <c r="LL2349" s="100">
        <v>9</v>
      </c>
      <c r="LR2349" s="100">
        <v>16</v>
      </c>
      <c r="LS2349" s="100">
        <v>11</v>
      </c>
      <c r="LT2349" s="100">
        <v>5</v>
      </c>
      <c r="LU2349" s="100">
        <v>6</v>
      </c>
      <c r="LW2349" s="100">
        <v>9</v>
      </c>
      <c r="LY2349" s="100">
        <v>5</v>
      </c>
      <c r="LZ2349" s="100">
        <v>3</v>
      </c>
      <c r="MG2349" s="100">
        <v>4</v>
      </c>
      <c r="ON2349" s="100">
        <f t="shared" si="732"/>
        <v>0</v>
      </c>
    </row>
    <row r="2350" spans="1:404" ht="23.25" customHeight="1">
      <c r="A2350" s="97" t="s">
        <v>2207</v>
      </c>
      <c r="B2350" s="95">
        <v>44552</v>
      </c>
      <c r="C2350" s="97">
        <f t="shared" ca="1" si="743"/>
        <v>-512</v>
      </c>
      <c r="D2350" s="112" t="s">
        <v>1921</v>
      </c>
      <c r="E2350" s="123" t="s">
        <v>25</v>
      </c>
      <c r="F2350" s="132" t="str">
        <f t="shared" si="745"/>
        <v>B</v>
      </c>
      <c r="G2350" s="110">
        <f ca="1">SUMIF($A:E,$A2350,K:K)</f>
        <v>835</v>
      </c>
      <c r="H2350" s="97" t="s">
        <v>1593</v>
      </c>
      <c r="I2350" s="98">
        <v>250</v>
      </c>
      <c r="J2350" s="115">
        <v>250</v>
      </c>
      <c r="K2350" s="143">
        <f t="shared" si="742"/>
        <v>250</v>
      </c>
      <c r="L2350" s="144">
        <f t="shared" si="748"/>
        <v>0</v>
      </c>
      <c r="M2350" s="98"/>
      <c r="N2350" s="98">
        <v>3</v>
      </c>
      <c r="O2350" s="93">
        <f t="shared" si="731"/>
        <v>100</v>
      </c>
      <c r="LQ2350" s="100">
        <v>1</v>
      </c>
      <c r="LR2350" s="100">
        <v>35</v>
      </c>
      <c r="LS2350" s="100">
        <v>21</v>
      </c>
      <c r="LT2350" s="100">
        <v>19</v>
      </c>
      <c r="LU2350" s="100">
        <v>22</v>
      </c>
      <c r="LW2350" s="100">
        <v>2</v>
      </c>
      <c r="LX2350" s="100">
        <v>29</v>
      </c>
      <c r="LY2350" s="100">
        <v>1</v>
      </c>
      <c r="LZ2350" s="100">
        <v>32</v>
      </c>
      <c r="MA2350" s="100">
        <v>26</v>
      </c>
      <c r="MB2350" s="100">
        <v>2</v>
      </c>
      <c r="MD2350" s="100">
        <v>18</v>
      </c>
      <c r="ME2350" s="100">
        <v>27</v>
      </c>
      <c r="MF2350" s="100">
        <v>2</v>
      </c>
      <c r="MG2350" s="100">
        <v>10</v>
      </c>
      <c r="MH2350" s="100">
        <v>3</v>
      </c>
      <c r="ON2350" s="100">
        <f t="shared" si="732"/>
        <v>0</v>
      </c>
    </row>
    <row r="2351" spans="1:404" ht="23.25" customHeight="1">
      <c r="A2351" s="97" t="s">
        <v>2207</v>
      </c>
      <c r="B2351" s="95">
        <v>44552</v>
      </c>
      <c r="C2351" s="97">
        <f t="shared" ca="1" si="743"/>
        <v>-512</v>
      </c>
      <c r="D2351" s="112" t="s">
        <v>1921</v>
      </c>
      <c r="E2351" s="123" t="s">
        <v>25</v>
      </c>
      <c r="F2351" s="132" t="str">
        <f t="shared" si="745"/>
        <v>B</v>
      </c>
      <c r="G2351" s="130">
        <f ca="1">SUMIF($A:E,$A2351,K:K)</f>
        <v>835</v>
      </c>
      <c r="H2351" s="97" t="s">
        <v>1593</v>
      </c>
      <c r="I2351" s="98">
        <v>150</v>
      </c>
      <c r="J2351" s="115">
        <v>150</v>
      </c>
      <c r="K2351" s="143">
        <f t="shared" si="742"/>
        <v>150</v>
      </c>
      <c r="L2351" s="144">
        <f t="shared" ref="L2351" si="749">J2351-K2351</f>
        <v>0</v>
      </c>
      <c r="M2351" s="98"/>
      <c r="N2351" s="98">
        <v>1</v>
      </c>
      <c r="O2351" s="93">
        <f t="shared" si="731"/>
        <v>100</v>
      </c>
      <c r="LT2351" s="100">
        <v>6</v>
      </c>
      <c r="LX2351" s="100">
        <v>34</v>
      </c>
      <c r="LZ2351" s="100">
        <v>20</v>
      </c>
      <c r="MA2351" s="100">
        <v>16</v>
      </c>
      <c r="MB2351" s="100">
        <v>4</v>
      </c>
      <c r="MD2351" s="100">
        <v>7</v>
      </c>
      <c r="ME2351" s="100">
        <v>21</v>
      </c>
      <c r="MF2351" s="100">
        <v>9</v>
      </c>
      <c r="MG2351" s="100">
        <v>23</v>
      </c>
      <c r="MH2351" s="100">
        <v>10</v>
      </c>
      <c r="ON2351" s="100">
        <f t="shared" si="732"/>
        <v>0</v>
      </c>
    </row>
    <row r="2352" spans="1:404" ht="23.25" customHeight="1">
      <c r="A2352" s="97" t="str">
        <f t="shared" ref="A2352:A2360" si="750">D2352&amp;E2352</f>
        <v>042T/WESTELM-2166-70300-03-B</v>
      </c>
      <c r="B2352" s="95">
        <v>44552</v>
      </c>
      <c r="C2352" s="97">
        <f t="shared" ca="1" si="743"/>
        <v>-512</v>
      </c>
      <c r="D2352" s="112" t="s">
        <v>1921</v>
      </c>
      <c r="E2352" s="123" t="s">
        <v>25</v>
      </c>
      <c r="F2352" s="98" t="str">
        <f t="shared" si="745"/>
        <v>B</v>
      </c>
      <c r="G2352" s="110">
        <f ca="1">SUMIF($A:E,$A2352,K:K)</f>
        <v>835</v>
      </c>
      <c r="H2352" s="97" t="s">
        <v>1593</v>
      </c>
      <c r="I2352" s="98">
        <v>435</v>
      </c>
      <c r="J2352" s="115">
        <f>835-250-150</f>
        <v>435</v>
      </c>
      <c r="K2352" s="143">
        <f t="shared" si="742"/>
        <v>435</v>
      </c>
      <c r="L2352" s="144">
        <f t="shared" si="748"/>
        <v>0</v>
      </c>
      <c r="M2352" s="275">
        <f t="shared" ref="M2352:M2360" si="751">IF(OR(MID(E2352,10,1)="0",MID(E2352,10,1)="F"),I2352,IF(OR(,MID(E2352,10,1)="S",MID(E2352,10,1)="L",MID(E2352,10,1)="B",MID(E2352,10,1)="X"),MID(E2352,11,1)*I2352,0))</f>
        <v>435</v>
      </c>
      <c r="N2352" s="98">
        <v>4</v>
      </c>
      <c r="O2352" s="93">
        <f t="shared" si="731"/>
        <v>100</v>
      </c>
      <c r="LW2352" s="100">
        <v>20</v>
      </c>
      <c r="LX2352" s="100">
        <v>74</v>
      </c>
      <c r="LY2352" s="100">
        <v>8</v>
      </c>
      <c r="LZ2352" s="100">
        <v>48</v>
      </c>
      <c r="MA2352" s="100">
        <v>48</v>
      </c>
      <c r="MB2352" s="100">
        <v>51</v>
      </c>
      <c r="MD2352" s="100">
        <v>49</v>
      </c>
      <c r="ME2352" s="100">
        <v>27</v>
      </c>
      <c r="MF2352" s="100">
        <v>47</v>
      </c>
      <c r="MH2352" s="100">
        <v>63</v>
      </c>
      <c r="ON2352" s="100">
        <f t="shared" si="732"/>
        <v>0</v>
      </c>
    </row>
    <row r="2353" spans="1:404" ht="23.25" customHeight="1">
      <c r="A2353" s="97" t="str">
        <f t="shared" si="750"/>
        <v>042T/WESTELM-2166-80036-03-B</v>
      </c>
      <c r="B2353" s="95">
        <v>44552</v>
      </c>
      <c r="C2353" s="97">
        <f t="shared" ca="1" si="743"/>
        <v>-512</v>
      </c>
      <c r="D2353" s="112" t="s">
        <v>1921</v>
      </c>
      <c r="E2353" s="123" t="s">
        <v>638</v>
      </c>
      <c r="F2353" s="98" t="str">
        <f t="shared" si="745"/>
        <v>B</v>
      </c>
      <c r="G2353" s="110">
        <f ca="1">SUMIF($A:E,$A2353,K:K)</f>
        <v>119</v>
      </c>
      <c r="H2353" s="97" t="s">
        <v>1593</v>
      </c>
      <c r="I2353" s="98">
        <v>119</v>
      </c>
      <c r="J2353" s="115">
        <v>119</v>
      </c>
      <c r="K2353" s="143">
        <f t="shared" si="742"/>
        <v>119</v>
      </c>
      <c r="L2353" s="144">
        <f t="shared" si="748"/>
        <v>0</v>
      </c>
      <c r="M2353" s="275">
        <f t="shared" si="751"/>
        <v>119</v>
      </c>
      <c r="N2353" s="98">
        <v>1</v>
      </c>
      <c r="O2353" s="93">
        <f t="shared" si="731"/>
        <v>100</v>
      </c>
      <c r="JK2353" s="100">
        <v>3</v>
      </c>
      <c r="JM2353" s="100">
        <v>4</v>
      </c>
      <c r="JN2353" s="100">
        <v>5</v>
      </c>
      <c r="JO2353" s="100">
        <v>3</v>
      </c>
      <c r="JP2353" s="100">
        <v>1</v>
      </c>
      <c r="JQ2353" s="100">
        <v>8</v>
      </c>
      <c r="JU2353" s="100">
        <v>5</v>
      </c>
      <c r="JV2353" s="100">
        <v>3</v>
      </c>
      <c r="JX2353" s="100">
        <v>8</v>
      </c>
      <c r="JY2353" s="100">
        <v>4</v>
      </c>
      <c r="KA2353" s="100">
        <v>4</v>
      </c>
      <c r="KB2353" s="100">
        <v>4</v>
      </c>
      <c r="KC2353" s="100">
        <v>4</v>
      </c>
      <c r="KD2353" s="100">
        <v>4</v>
      </c>
      <c r="KE2353" s="100">
        <v>3</v>
      </c>
      <c r="KF2353" s="100">
        <v>3</v>
      </c>
      <c r="KG2353" s="100">
        <v>6</v>
      </c>
      <c r="KI2353" s="100">
        <v>3</v>
      </c>
      <c r="KJ2353" s="100">
        <v>6</v>
      </c>
      <c r="KN2353" s="100">
        <v>2</v>
      </c>
      <c r="KO2353" s="100">
        <v>4</v>
      </c>
      <c r="KU2353" s="100">
        <v>9</v>
      </c>
      <c r="KV2353" s="100">
        <v>5</v>
      </c>
      <c r="KW2353" s="100">
        <v>5</v>
      </c>
      <c r="KX2353" s="100">
        <v>4</v>
      </c>
      <c r="KZ2353" s="100">
        <v>8</v>
      </c>
      <c r="LK2353" s="100">
        <v>1</v>
      </c>
      <c r="ON2353" s="100">
        <f t="shared" si="732"/>
        <v>0</v>
      </c>
    </row>
    <row r="2354" spans="1:404" ht="23.25" customHeight="1">
      <c r="A2354" s="97" t="str">
        <f t="shared" si="750"/>
        <v>042T/WESTELM-2166-80136-02-B</v>
      </c>
      <c r="B2354" s="95">
        <v>44552</v>
      </c>
      <c r="C2354" s="97">
        <f t="shared" ca="1" si="743"/>
        <v>-512</v>
      </c>
      <c r="D2354" s="112" t="s">
        <v>1921</v>
      </c>
      <c r="E2354" s="123" t="s">
        <v>639</v>
      </c>
      <c r="F2354" s="98" t="str">
        <f t="shared" si="745"/>
        <v>B</v>
      </c>
      <c r="G2354" s="110">
        <f ca="1">SUMIF($A:E,$A2354,K:K)</f>
        <v>297</v>
      </c>
      <c r="H2354" s="97" t="s">
        <v>1593</v>
      </c>
      <c r="I2354" s="98">
        <v>297</v>
      </c>
      <c r="J2354" s="115">
        <v>297</v>
      </c>
      <c r="K2354" s="143">
        <f t="shared" si="742"/>
        <v>297</v>
      </c>
      <c r="L2354" s="144">
        <f t="shared" si="748"/>
        <v>0</v>
      </c>
      <c r="M2354" s="275">
        <f t="shared" si="751"/>
        <v>297</v>
      </c>
      <c r="N2354" s="98">
        <v>1</v>
      </c>
      <c r="O2354" s="93">
        <f t="shared" si="731"/>
        <v>100</v>
      </c>
      <c r="JH2354" s="100">
        <v>2</v>
      </c>
      <c r="JI2354" s="100">
        <v>4</v>
      </c>
      <c r="JK2354" s="100">
        <v>10</v>
      </c>
      <c r="JM2354" s="100">
        <v>8</v>
      </c>
      <c r="JN2354" s="100">
        <v>7</v>
      </c>
      <c r="JO2354" s="100">
        <v>3</v>
      </c>
      <c r="JQ2354" s="100">
        <v>8</v>
      </c>
      <c r="JT2354" s="100">
        <v>1</v>
      </c>
      <c r="JU2354" s="100">
        <v>4</v>
      </c>
      <c r="JV2354" s="100">
        <v>4</v>
      </c>
      <c r="JX2354" s="100">
        <v>10</v>
      </c>
      <c r="JY2354" s="100">
        <v>5</v>
      </c>
      <c r="KA2354" s="100">
        <v>5</v>
      </c>
      <c r="KB2354" s="100">
        <v>5</v>
      </c>
      <c r="KC2354" s="100">
        <v>6</v>
      </c>
      <c r="KD2354" s="100">
        <v>5</v>
      </c>
      <c r="KE2354" s="100">
        <v>5</v>
      </c>
      <c r="KF2354" s="100">
        <v>5</v>
      </c>
      <c r="KG2354" s="100">
        <v>5</v>
      </c>
      <c r="KI2354" s="100">
        <v>4</v>
      </c>
      <c r="KJ2354" s="100">
        <v>10</v>
      </c>
      <c r="KO2354" s="100">
        <v>5</v>
      </c>
      <c r="KQ2354" s="100">
        <v>1</v>
      </c>
      <c r="KU2354" s="100">
        <v>8</v>
      </c>
      <c r="KV2354" s="100">
        <v>7</v>
      </c>
      <c r="KW2354" s="100">
        <v>5</v>
      </c>
      <c r="KX2354" s="100">
        <v>6</v>
      </c>
      <c r="KY2354" s="100">
        <v>5</v>
      </c>
      <c r="KZ2354" s="100">
        <v>6</v>
      </c>
      <c r="LB2354" s="100">
        <v>9</v>
      </c>
      <c r="LD2354" s="100">
        <v>5</v>
      </c>
      <c r="LE2354" s="100">
        <v>12</v>
      </c>
      <c r="LF2354" s="100">
        <v>4</v>
      </c>
      <c r="LG2354" s="100">
        <v>5</v>
      </c>
      <c r="LI2354" s="100">
        <v>4</v>
      </c>
      <c r="LJ2354" s="100">
        <v>5</v>
      </c>
      <c r="LK2354" s="100">
        <v>5</v>
      </c>
      <c r="LM2354" s="100">
        <v>8</v>
      </c>
      <c r="LP2354" s="100">
        <v>10</v>
      </c>
      <c r="LQ2354" s="100">
        <v>5</v>
      </c>
      <c r="LR2354" s="100">
        <v>10</v>
      </c>
      <c r="LS2354" s="100">
        <v>4</v>
      </c>
      <c r="LT2354" s="100">
        <v>6</v>
      </c>
      <c r="LW2354" s="100">
        <v>5</v>
      </c>
      <c r="LX2354" s="100">
        <v>20</v>
      </c>
      <c r="LZ2354" s="100">
        <v>8</v>
      </c>
      <c r="MA2354" s="100">
        <v>5</v>
      </c>
      <c r="MB2354" s="100">
        <v>8</v>
      </c>
      <c r="ON2354" s="100">
        <f t="shared" si="732"/>
        <v>0</v>
      </c>
    </row>
    <row r="2355" spans="1:404" ht="23.25" customHeight="1">
      <c r="A2355" s="97" t="str">
        <f t="shared" si="750"/>
        <v>042T/WESTELM-2166-83200-01-B</v>
      </c>
      <c r="B2355" s="95">
        <v>44552</v>
      </c>
      <c r="C2355" s="97">
        <f t="shared" ca="1" si="743"/>
        <v>-512</v>
      </c>
      <c r="D2355" s="112" t="s">
        <v>1921</v>
      </c>
      <c r="E2355" s="123" t="s">
        <v>901</v>
      </c>
      <c r="F2355" s="98" t="str">
        <f t="shared" si="745"/>
        <v>B</v>
      </c>
      <c r="G2355" s="110">
        <f ca="1">SUMIF($A:E,$A2355,K:K)</f>
        <v>27</v>
      </c>
      <c r="H2355" s="97" t="s">
        <v>1593</v>
      </c>
      <c r="I2355" s="98">
        <v>27</v>
      </c>
      <c r="J2355" s="115">
        <v>27</v>
      </c>
      <c r="K2355" s="143">
        <f t="shared" si="742"/>
        <v>27</v>
      </c>
      <c r="L2355" s="144">
        <f t="shared" si="748"/>
        <v>0</v>
      </c>
      <c r="M2355" s="275">
        <f t="shared" si="751"/>
        <v>27</v>
      </c>
      <c r="N2355" s="98">
        <v>3</v>
      </c>
      <c r="O2355" s="93">
        <f t="shared" si="731"/>
        <v>100</v>
      </c>
      <c r="LF2355" s="100">
        <v>4</v>
      </c>
      <c r="LL2355" s="100">
        <v>2</v>
      </c>
      <c r="LM2355" s="100">
        <v>17</v>
      </c>
      <c r="LN2355" s="100">
        <v>4</v>
      </c>
      <c r="ON2355" s="100">
        <f t="shared" si="732"/>
        <v>0</v>
      </c>
    </row>
    <row r="2356" spans="1:404" ht="23.25" customHeight="1">
      <c r="A2356" s="97" t="str">
        <f t="shared" si="750"/>
        <v>042T/WESTELM-2166-83200-02-B</v>
      </c>
      <c r="B2356" s="95">
        <v>44552</v>
      </c>
      <c r="C2356" s="97">
        <f t="shared" ca="1" si="743"/>
        <v>-512</v>
      </c>
      <c r="D2356" s="112" t="s">
        <v>1921</v>
      </c>
      <c r="E2356" s="123" t="s">
        <v>850</v>
      </c>
      <c r="F2356" s="98" t="str">
        <f t="shared" si="745"/>
        <v>B</v>
      </c>
      <c r="G2356" s="110">
        <f ca="1">SUMIF($A:E,$A2356,K:K)</f>
        <v>54</v>
      </c>
      <c r="H2356" s="97" t="s">
        <v>1593</v>
      </c>
      <c r="I2356" s="98">
        <v>54</v>
      </c>
      <c r="J2356" s="115">
        <v>54</v>
      </c>
      <c r="K2356" s="143">
        <f t="shared" si="742"/>
        <v>54</v>
      </c>
      <c r="L2356" s="144">
        <f t="shared" si="748"/>
        <v>0</v>
      </c>
      <c r="M2356" s="275">
        <f t="shared" si="751"/>
        <v>54</v>
      </c>
      <c r="N2356" s="98">
        <v>3</v>
      </c>
      <c r="O2356" s="93">
        <f t="shared" si="731"/>
        <v>100</v>
      </c>
      <c r="LZ2356" s="100">
        <v>5</v>
      </c>
      <c r="MA2356" s="100">
        <v>28</v>
      </c>
      <c r="MD2356" s="100">
        <v>14</v>
      </c>
      <c r="ME2356" s="100">
        <v>7</v>
      </c>
      <c r="ON2356" s="100">
        <f t="shared" si="732"/>
        <v>0</v>
      </c>
    </row>
    <row r="2357" spans="1:404" ht="23.25" customHeight="1">
      <c r="A2357" s="97" t="str">
        <f t="shared" si="750"/>
        <v>043T/WESTELM-2166-70300-02-B</v>
      </c>
      <c r="B2357" s="95">
        <v>44569</v>
      </c>
      <c r="C2357" s="97">
        <f t="shared" ca="1" si="743"/>
        <v>-495</v>
      </c>
      <c r="D2357" s="112" t="s">
        <v>1922</v>
      </c>
      <c r="E2357" s="123" t="s">
        <v>47</v>
      </c>
      <c r="F2357" s="98" t="str">
        <f t="shared" si="745"/>
        <v>B</v>
      </c>
      <c r="G2357" s="110">
        <f ca="1">SUMIF($A:E,$A2357,K:K)</f>
        <v>251</v>
      </c>
      <c r="H2357" s="97" t="s">
        <v>1593</v>
      </c>
      <c r="I2357" s="98">
        <v>251</v>
      </c>
      <c r="J2357" s="115">
        <v>251</v>
      </c>
      <c r="K2357" s="143">
        <f t="shared" si="742"/>
        <v>251</v>
      </c>
      <c r="L2357" s="144">
        <f t="shared" si="748"/>
        <v>0</v>
      </c>
      <c r="M2357" s="275">
        <f t="shared" si="751"/>
        <v>251</v>
      </c>
      <c r="N2357" s="98">
        <v>3</v>
      </c>
      <c r="O2357" s="93">
        <f t="shared" si="731"/>
        <v>100</v>
      </c>
      <c r="LP2357" s="100">
        <v>6</v>
      </c>
      <c r="LQ2357" s="100">
        <v>14</v>
      </c>
      <c r="LS2357" s="100">
        <v>28</v>
      </c>
      <c r="LT2357" s="100">
        <v>18</v>
      </c>
      <c r="LX2357" s="100">
        <v>6</v>
      </c>
      <c r="LY2357" s="100">
        <v>23</v>
      </c>
      <c r="LZ2357" s="100">
        <v>12</v>
      </c>
      <c r="MA2357" s="100">
        <v>12</v>
      </c>
      <c r="MB2357" s="100">
        <v>12</v>
      </c>
      <c r="MD2357" s="100">
        <v>18</v>
      </c>
      <c r="ME2357" s="100">
        <v>10</v>
      </c>
      <c r="MF2357" s="100">
        <v>2</v>
      </c>
      <c r="MG2357" s="100">
        <v>12</v>
      </c>
      <c r="MH2357" s="100">
        <v>6</v>
      </c>
      <c r="MK2357" s="100">
        <v>12</v>
      </c>
      <c r="ML2357" s="100">
        <v>12</v>
      </c>
      <c r="MM2357" s="100">
        <v>24</v>
      </c>
      <c r="MO2357" s="100">
        <v>17</v>
      </c>
      <c r="MP2357" s="100">
        <v>1</v>
      </c>
      <c r="MQ2357" s="100">
        <v>2</v>
      </c>
      <c r="MS2357" s="100">
        <v>4</v>
      </c>
      <c r="ON2357" s="100">
        <f t="shared" si="732"/>
        <v>0</v>
      </c>
    </row>
    <row r="2358" spans="1:404" ht="23.25" customHeight="1">
      <c r="A2358" s="97" t="str">
        <f t="shared" si="750"/>
        <v>043T/WESTELM-2166-70300-03-B</v>
      </c>
      <c r="B2358" s="95">
        <v>44569</v>
      </c>
      <c r="C2358" s="97">
        <f t="shared" ca="1" si="743"/>
        <v>-495</v>
      </c>
      <c r="D2358" s="112" t="s">
        <v>1922</v>
      </c>
      <c r="E2358" s="123" t="s">
        <v>25</v>
      </c>
      <c r="F2358" s="98" t="str">
        <f t="shared" si="745"/>
        <v>B</v>
      </c>
      <c r="G2358" s="110">
        <f ca="1">SUMIF($A:E,$A2358,K:K)</f>
        <v>444</v>
      </c>
      <c r="H2358" s="97" t="s">
        <v>1593</v>
      </c>
      <c r="I2358" s="98">
        <v>444</v>
      </c>
      <c r="J2358" s="115">
        <v>444</v>
      </c>
      <c r="K2358" s="143">
        <f t="shared" si="742"/>
        <v>444</v>
      </c>
      <c r="L2358" s="144">
        <f t="shared" si="748"/>
        <v>0</v>
      </c>
      <c r="M2358" s="275">
        <f t="shared" si="751"/>
        <v>444</v>
      </c>
      <c r="N2358" s="98">
        <v>4</v>
      </c>
      <c r="O2358" s="93">
        <f t="shared" si="731"/>
        <v>100</v>
      </c>
      <c r="MK2358" s="100">
        <v>1</v>
      </c>
      <c r="ML2358" s="100">
        <v>21</v>
      </c>
      <c r="MM2358" s="100">
        <v>25</v>
      </c>
      <c r="MO2358" s="100">
        <f>74+99</f>
        <v>173</v>
      </c>
      <c r="MP2358" s="100">
        <v>5</v>
      </c>
      <c r="MQ2358" s="100">
        <v>43</v>
      </c>
      <c r="MR2358" s="100">
        <v>44</v>
      </c>
      <c r="MS2358" s="100">
        <v>39</v>
      </c>
      <c r="MT2358" s="100">
        <v>27</v>
      </c>
      <c r="MU2358" s="100">
        <v>44</v>
      </c>
      <c r="MW2358" s="100">
        <v>22</v>
      </c>
      <c r="ON2358" s="100">
        <f t="shared" si="732"/>
        <v>0</v>
      </c>
    </row>
    <row r="2359" spans="1:404" ht="23.25" customHeight="1">
      <c r="A2359" s="97" t="str">
        <f t="shared" si="750"/>
        <v>043T/WESTELM-2166-80136-02-B</v>
      </c>
      <c r="B2359" s="95">
        <v>44569</v>
      </c>
      <c r="C2359" s="97">
        <f t="shared" ca="1" si="743"/>
        <v>-495</v>
      </c>
      <c r="D2359" s="112" t="s">
        <v>1922</v>
      </c>
      <c r="E2359" s="123" t="s">
        <v>639</v>
      </c>
      <c r="F2359" s="98" t="str">
        <f t="shared" si="745"/>
        <v>B</v>
      </c>
      <c r="G2359" s="110">
        <f ca="1">SUMIF($A:E,$A2359,K:K)</f>
        <v>40</v>
      </c>
      <c r="H2359" s="97" t="s">
        <v>1593</v>
      </c>
      <c r="I2359" s="98">
        <v>40</v>
      </c>
      <c r="J2359" s="115">
        <v>40</v>
      </c>
      <c r="K2359" s="143">
        <f t="shared" si="742"/>
        <v>40</v>
      </c>
      <c r="L2359" s="144">
        <f t="shared" si="748"/>
        <v>0</v>
      </c>
      <c r="M2359" s="275">
        <f t="shared" si="751"/>
        <v>40</v>
      </c>
      <c r="N2359" s="98">
        <v>1</v>
      </c>
      <c r="O2359" s="93">
        <f t="shared" si="731"/>
        <v>100</v>
      </c>
      <c r="MB2359" s="100">
        <v>2</v>
      </c>
      <c r="MD2359" s="100">
        <v>9</v>
      </c>
      <c r="ME2359" s="100">
        <v>11</v>
      </c>
      <c r="MF2359" s="100">
        <v>15</v>
      </c>
      <c r="MG2359" s="100">
        <v>3</v>
      </c>
      <c r="ON2359" s="100">
        <f t="shared" si="732"/>
        <v>0</v>
      </c>
    </row>
    <row r="2360" spans="1:404" ht="23.25" customHeight="1">
      <c r="A2360" s="97" t="str">
        <f t="shared" si="750"/>
        <v>043T/WESTELM-2166-83200-02-B</v>
      </c>
      <c r="B2360" s="95">
        <v>44569</v>
      </c>
      <c r="C2360" s="97">
        <f t="shared" ca="1" si="743"/>
        <v>-495</v>
      </c>
      <c r="D2360" s="112" t="s">
        <v>1922</v>
      </c>
      <c r="E2360" s="123" t="s">
        <v>850</v>
      </c>
      <c r="F2360" s="98" t="str">
        <f t="shared" si="745"/>
        <v>B</v>
      </c>
      <c r="G2360" s="110">
        <f ca="1">SUMIF($A:E,$A2360,K:K)</f>
        <v>18</v>
      </c>
      <c r="H2360" s="97" t="s">
        <v>1593</v>
      </c>
      <c r="I2360" s="98">
        <v>18</v>
      </c>
      <c r="J2360" s="115">
        <v>18</v>
      </c>
      <c r="K2360" s="143">
        <f t="shared" si="742"/>
        <v>18</v>
      </c>
      <c r="L2360" s="144">
        <f t="shared" si="748"/>
        <v>0</v>
      </c>
      <c r="M2360" s="275">
        <f t="shared" si="751"/>
        <v>18</v>
      </c>
      <c r="N2360" s="98">
        <v>3</v>
      </c>
      <c r="O2360" s="93">
        <f t="shared" si="731"/>
        <v>100</v>
      </c>
      <c r="ME2360" s="100">
        <v>9</v>
      </c>
      <c r="MF2360" s="100">
        <v>4</v>
      </c>
      <c r="MR2360" s="100">
        <v>5</v>
      </c>
      <c r="ON2360" s="100">
        <f t="shared" si="732"/>
        <v>0</v>
      </c>
    </row>
    <row r="2361" spans="1:404" ht="23.25" customHeight="1">
      <c r="A2361" s="97" t="s">
        <v>2038</v>
      </c>
      <c r="B2361" s="95">
        <v>44547</v>
      </c>
      <c r="C2361" s="97">
        <f t="shared" ca="1" si="743"/>
        <v>-517</v>
      </c>
      <c r="D2361" s="112" t="s">
        <v>1688</v>
      </c>
      <c r="E2361" s="123" t="s">
        <v>1450</v>
      </c>
      <c r="F2361" s="98" t="s">
        <v>561</v>
      </c>
      <c r="G2361" s="110">
        <v>509</v>
      </c>
      <c r="H2361" s="97" t="s">
        <v>1593</v>
      </c>
      <c r="I2361" s="98">
        <v>30</v>
      </c>
      <c r="J2361" s="249">
        <v>30</v>
      </c>
      <c r="K2361" s="143">
        <f t="shared" si="742"/>
        <v>30</v>
      </c>
      <c r="L2361" s="144">
        <f t="shared" si="748"/>
        <v>0</v>
      </c>
      <c r="M2361" s="98">
        <v>4</v>
      </c>
      <c r="N2361" s="98">
        <v>6</v>
      </c>
      <c r="O2361" s="93">
        <f t="shared" si="731"/>
        <v>100</v>
      </c>
      <c r="JR2361" s="100">
        <v>13</v>
      </c>
      <c r="JT2361" s="100">
        <v>9</v>
      </c>
      <c r="JV2361" s="100">
        <v>3</v>
      </c>
      <c r="KB2361" s="100">
        <v>5</v>
      </c>
      <c r="ON2361" s="100">
        <f t="shared" si="732"/>
        <v>0</v>
      </c>
    </row>
    <row r="2362" spans="1:404" ht="23.25" customHeight="1">
      <c r="A2362" s="97" t="str">
        <f t="shared" ref="A2362:A2393" si="752">D2362&amp;E2362</f>
        <v>031T/WESTELM-2166-70900-04-B</v>
      </c>
      <c r="B2362" s="95">
        <v>44547</v>
      </c>
      <c r="C2362" s="97">
        <f t="shared" ca="1" si="743"/>
        <v>-517</v>
      </c>
      <c r="D2362" s="112" t="s">
        <v>1688</v>
      </c>
      <c r="E2362" s="123" t="s">
        <v>1450</v>
      </c>
      <c r="F2362" s="98" t="str">
        <f t="shared" ref="F2362:F2393" si="753">MID(E2362,13,2)</f>
        <v>B</v>
      </c>
      <c r="G2362" s="110">
        <f ca="1">SUMIF($A:E,$A2362,K:K)</f>
        <v>641</v>
      </c>
      <c r="H2362" s="97" t="s">
        <v>1593</v>
      </c>
      <c r="I2362" s="98">
        <v>611</v>
      </c>
      <c r="J2362" s="249">
        <f>641-J2361</f>
        <v>611</v>
      </c>
      <c r="K2362" s="143">
        <f t="shared" si="742"/>
        <v>611</v>
      </c>
      <c r="L2362" s="144">
        <f t="shared" si="748"/>
        <v>0</v>
      </c>
      <c r="M2362" s="275">
        <f t="shared" ref="M2362:M2373" si="754">IF(OR(MID(E2362,10,1)="0",MID(E2362,10,1)="F"),I2362,IF(OR(,MID(E2362,10,1)="S",MID(E2362,10,1)="L",MID(E2362,10,1)="B",MID(E2362,10,1)="X"),MID(E2362,11,1)*I2362,0))</f>
        <v>611</v>
      </c>
      <c r="N2362" s="98">
        <v>4</v>
      </c>
      <c r="O2362" s="93">
        <f t="shared" si="731"/>
        <v>100</v>
      </c>
      <c r="JA2362" s="100">
        <v>39</v>
      </c>
      <c r="JB2362" s="100">
        <v>37</v>
      </c>
      <c r="JC2362" s="100">
        <v>40</v>
      </c>
      <c r="JD2362" s="100">
        <v>52</v>
      </c>
      <c r="JF2362" s="100">
        <v>39</v>
      </c>
      <c r="JG2362" s="100">
        <v>26</v>
      </c>
      <c r="JH2362" s="100">
        <v>54</v>
      </c>
      <c r="JI2362" s="100">
        <v>54</v>
      </c>
      <c r="JJ2362" s="100">
        <v>16</v>
      </c>
      <c r="JK2362" s="100">
        <v>19</v>
      </c>
      <c r="JM2362" s="100">
        <v>32</v>
      </c>
      <c r="JN2362" s="100">
        <v>29</v>
      </c>
      <c r="JO2362" s="100">
        <v>40</v>
      </c>
      <c r="JP2362" s="100">
        <v>32</v>
      </c>
      <c r="JQ2362" s="100">
        <v>23</v>
      </c>
      <c r="JR2362" s="100">
        <v>19</v>
      </c>
      <c r="JU2362" s="100">
        <f>21+15</f>
        <v>36</v>
      </c>
      <c r="JV2362" s="100">
        <v>6</v>
      </c>
      <c r="JW2362" s="100">
        <v>11</v>
      </c>
      <c r="JX2362" s="100">
        <v>3</v>
      </c>
      <c r="JY2362" s="100">
        <v>4</v>
      </c>
      <c r="ON2362" s="100">
        <f t="shared" si="732"/>
        <v>0</v>
      </c>
    </row>
    <row r="2363" spans="1:404" ht="23.25" customHeight="1">
      <c r="A2363" s="97" t="str">
        <f t="shared" si="752"/>
        <v>031T/WESTELM-2166-86540-01-B</v>
      </c>
      <c r="B2363" s="95">
        <v>44548</v>
      </c>
      <c r="C2363" s="97">
        <f t="shared" ca="1" si="743"/>
        <v>-516</v>
      </c>
      <c r="D2363" s="112" t="s">
        <v>1688</v>
      </c>
      <c r="E2363" s="123" t="s">
        <v>1383</v>
      </c>
      <c r="F2363" s="98" t="str">
        <f t="shared" si="753"/>
        <v>B</v>
      </c>
      <c r="G2363" s="110">
        <f ca="1">SUMIF($A:E,$A2363,K:K)</f>
        <v>219</v>
      </c>
      <c r="H2363" s="97" t="s">
        <v>1593</v>
      </c>
      <c r="I2363" s="98">
        <v>219</v>
      </c>
      <c r="J2363" s="249">
        <v>219</v>
      </c>
      <c r="K2363" s="143">
        <f t="shared" si="742"/>
        <v>219</v>
      </c>
      <c r="L2363" s="144">
        <f t="shared" ref="L2363:L2368" si="755">J2363-K2363</f>
        <v>0</v>
      </c>
      <c r="M2363" s="275">
        <f t="shared" si="754"/>
        <v>219</v>
      </c>
      <c r="N2363" s="98">
        <v>3</v>
      </c>
      <c r="O2363" s="93">
        <f t="shared" si="731"/>
        <v>100</v>
      </c>
      <c r="JT2363" s="100">
        <v>7</v>
      </c>
      <c r="JU2363" s="100">
        <v>2</v>
      </c>
      <c r="LI2363" s="100">
        <v>2</v>
      </c>
      <c r="LJ2363" s="100">
        <v>14</v>
      </c>
      <c r="LP2363" s="100">
        <v>21</v>
      </c>
      <c r="LQ2363" s="100">
        <v>16</v>
      </c>
      <c r="LR2363" s="100">
        <v>1</v>
      </c>
      <c r="LS2363" s="100">
        <v>14</v>
      </c>
      <c r="LT2363" s="100">
        <v>15</v>
      </c>
      <c r="LU2363" s="100">
        <v>14</v>
      </c>
      <c r="LW2363" s="100">
        <v>11</v>
      </c>
      <c r="LX2363" s="100">
        <v>10</v>
      </c>
      <c r="LY2363" s="100">
        <v>13</v>
      </c>
      <c r="LZ2363" s="100">
        <v>15</v>
      </c>
      <c r="MA2363" s="100">
        <v>14</v>
      </c>
      <c r="MB2363" s="100">
        <v>14</v>
      </c>
      <c r="MD2363" s="100">
        <v>21</v>
      </c>
      <c r="ME2363" s="100">
        <v>1</v>
      </c>
      <c r="ML2363" s="100">
        <v>14</v>
      </c>
      <c r="ON2363" s="100">
        <f t="shared" si="732"/>
        <v>0</v>
      </c>
    </row>
    <row r="2364" spans="1:404" ht="23.25" customHeight="1">
      <c r="A2364" s="97" t="str">
        <f t="shared" si="752"/>
        <v>031T/WESTELM-2166-86640-02-B</v>
      </c>
      <c r="B2364" s="95">
        <v>44547</v>
      </c>
      <c r="C2364" s="97">
        <f t="shared" ca="1" si="743"/>
        <v>-517</v>
      </c>
      <c r="D2364" s="112" t="s">
        <v>1688</v>
      </c>
      <c r="E2364" s="123" t="s">
        <v>1384</v>
      </c>
      <c r="F2364" s="98" t="str">
        <f t="shared" si="753"/>
        <v>B</v>
      </c>
      <c r="G2364" s="110">
        <f ca="1">SUMIF($A:E,$A2364,K:K)</f>
        <v>226</v>
      </c>
      <c r="H2364" s="97" t="s">
        <v>1593</v>
      </c>
      <c r="I2364" s="98">
        <v>226</v>
      </c>
      <c r="J2364" s="249">
        <v>226</v>
      </c>
      <c r="K2364" s="143">
        <f t="shared" si="742"/>
        <v>226</v>
      </c>
      <c r="L2364" s="144">
        <f t="shared" si="755"/>
        <v>0</v>
      </c>
      <c r="M2364" s="275">
        <f t="shared" si="754"/>
        <v>226</v>
      </c>
      <c r="N2364" s="98">
        <v>3</v>
      </c>
      <c r="O2364" s="93">
        <f t="shared" ref="O2364:O2371" si="756">K2364/J2364*100</f>
        <v>100</v>
      </c>
      <c r="JU2364" s="100">
        <v>6</v>
      </c>
      <c r="LI2364" s="100">
        <v>2</v>
      </c>
      <c r="LJ2364" s="100">
        <v>7</v>
      </c>
      <c r="LK2364" s="100">
        <v>15</v>
      </c>
      <c r="LL2364" s="100">
        <v>15</v>
      </c>
      <c r="LN2364" s="100">
        <v>27</v>
      </c>
      <c r="LP2364" s="100">
        <v>20</v>
      </c>
      <c r="LQ2364" s="100">
        <v>15</v>
      </c>
      <c r="LR2364" s="100">
        <v>12</v>
      </c>
      <c r="LS2364" s="100">
        <v>17</v>
      </c>
      <c r="LU2364" s="100">
        <v>28</v>
      </c>
      <c r="LX2364" s="100">
        <v>7</v>
      </c>
      <c r="LY2364" s="100">
        <v>14</v>
      </c>
      <c r="LZ2364" s="100">
        <v>14</v>
      </c>
      <c r="MA2364" s="100">
        <v>12</v>
      </c>
      <c r="ML2364" s="100">
        <v>15</v>
      </c>
      <c r="ON2364" s="100">
        <f t="shared" si="732"/>
        <v>0</v>
      </c>
    </row>
    <row r="2365" spans="1:404" ht="23.25" customHeight="1">
      <c r="A2365" s="97" t="str">
        <f t="shared" si="752"/>
        <v>031T/WESTELM-2166-86740-01-B</v>
      </c>
      <c r="B2365" s="95">
        <v>44553</v>
      </c>
      <c r="C2365" s="97">
        <f t="shared" ca="1" si="743"/>
        <v>-511</v>
      </c>
      <c r="D2365" s="112" t="s">
        <v>1688</v>
      </c>
      <c r="E2365" s="279" t="s">
        <v>1385</v>
      </c>
      <c r="F2365" s="98" t="str">
        <f t="shared" si="753"/>
        <v>B</v>
      </c>
      <c r="G2365" s="110">
        <f ca="1">SUMIF($A:E,$A2365,K:K)</f>
        <v>187</v>
      </c>
      <c r="H2365" s="97" t="s">
        <v>1593</v>
      </c>
      <c r="I2365" s="98">
        <v>187</v>
      </c>
      <c r="J2365" s="249">
        <v>187</v>
      </c>
      <c r="K2365" s="143">
        <f t="shared" si="742"/>
        <v>187</v>
      </c>
      <c r="L2365" s="144">
        <f t="shared" si="755"/>
        <v>0</v>
      </c>
      <c r="M2365" s="275">
        <f t="shared" si="754"/>
        <v>187</v>
      </c>
      <c r="N2365" s="211" t="s">
        <v>1768</v>
      </c>
      <c r="O2365" s="93">
        <f t="shared" si="756"/>
        <v>100</v>
      </c>
      <c r="LE2365" s="100">
        <v>3</v>
      </c>
      <c r="LF2365" s="100">
        <v>10</v>
      </c>
      <c r="LI2365" s="100">
        <v>19</v>
      </c>
      <c r="LJ2365" s="100">
        <v>5</v>
      </c>
      <c r="LK2365" s="100">
        <v>10</v>
      </c>
      <c r="LL2365" s="100">
        <v>11</v>
      </c>
      <c r="LM2365" s="100">
        <v>3</v>
      </c>
      <c r="LN2365" s="100">
        <v>9</v>
      </c>
      <c r="LP2365" s="100">
        <v>10</v>
      </c>
      <c r="LQ2365" s="100">
        <v>5</v>
      </c>
      <c r="LR2365" s="100">
        <v>9</v>
      </c>
      <c r="LS2365" s="100">
        <v>9</v>
      </c>
      <c r="LT2365" s="100">
        <v>8</v>
      </c>
      <c r="LU2365" s="100">
        <v>11</v>
      </c>
      <c r="LW2365" s="100">
        <v>10</v>
      </c>
      <c r="LX2365" s="100">
        <v>8</v>
      </c>
      <c r="LY2365" s="100">
        <v>10</v>
      </c>
      <c r="LZ2365" s="100">
        <v>10</v>
      </c>
      <c r="MA2365" s="100">
        <v>10</v>
      </c>
      <c r="MB2365" s="100">
        <v>10</v>
      </c>
      <c r="ME2365" s="100">
        <v>7</v>
      </c>
      <c r="ON2365" s="100">
        <f t="shared" si="732"/>
        <v>0</v>
      </c>
    </row>
    <row r="2366" spans="1:404" ht="23.25" customHeight="1">
      <c r="A2366" s="97" t="str">
        <f t="shared" si="752"/>
        <v>031T/WESTELM-2166-86800-S1-B</v>
      </c>
      <c r="B2366" s="95">
        <v>44547</v>
      </c>
      <c r="C2366" s="97">
        <f t="shared" ca="1" si="743"/>
        <v>-517</v>
      </c>
      <c r="D2366" s="112" t="s">
        <v>1688</v>
      </c>
      <c r="E2366" s="123" t="s">
        <v>1386</v>
      </c>
      <c r="F2366" s="98" t="str">
        <f t="shared" si="753"/>
        <v>B</v>
      </c>
      <c r="G2366" s="110">
        <f ca="1">SUMIF($A:E,$A2366,K:K)</f>
        <v>120</v>
      </c>
      <c r="H2366" s="97" t="s">
        <v>1593</v>
      </c>
      <c r="I2366" s="98">
        <v>120</v>
      </c>
      <c r="J2366" s="249">
        <v>120</v>
      </c>
      <c r="K2366" s="143">
        <f t="shared" si="742"/>
        <v>120</v>
      </c>
      <c r="L2366" s="144">
        <f t="shared" si="755"/>
        <v>0</v>
      </c>
      <c r="M2366" s="275">
        <f t="shared" si="754"/>
        <v>120</v>
      </c>
      <c r="N2366" s="98">
        <v>1</v>
      </c>
      <c r="O2366" s="93">
        <f t="shared" si="756"/>
        <v>100</v>
      </c>
      <c r="KO2366" s="100">
        <v>2</v>
      </c>
      <c r="KP2366" s="100">
        <v>2</v>
      </c>
      <c r="KS2366" s="100">
        <v>3</v>
      </c>
      <c r="KU2366" s="100">
        <v>8</v>
      </c>
      <c r="KV2366" s="100">
        <v>7</v>
      </c>
      <c r="KW2366" s="100">
        <v>12</v>
      </c>
      <c r="KY2366" s="100">
        <v>1</v>
      </c>
      <c r="KZ2366" s="100">
        <v>5</v>
      </c>
      <c r="LC2366" s="100">
        <v>12</v>
      </c>
      <c r="LE2366" s="100">
        <v>10</v>
      </c>
      <c r="LF2366" s="100">
        <v>12</v>
      </c>
      <c r="LG2366" s="100">
        <v>1</v>
      </c>
      <c r="LI2366" s="100">
        <v>12</v>
      </c>
      <c r="LJ2366" s="100">
        <v>5</v>
      </c>
      <c r="LK2366" s="100">
        <v>4</v>
      </c>
      <c r="LM2366" s="100">
        <v>11</v>
      </c>
      <c r="LP2366" s="100">
        <v>10</v>
      </c>
      <c r="LX2366" s="100">
        <v>1</v>
      </c>
      <c r="LZ2366" s="100">
        <v>1</v>
      </c>
      <c r="MA2366" s="100">
        <v>1</v>
      </c>
      <c r="ON2366" s="100">
        <f t="shared" si="732"/>
        <v>0</v>
      </c>
    </row>
    <row r="2367" spans="1:404" ht="23.25" customHeight="1">
      <c r="A2367" s="97" t="str">
        <f t="shared" si="752"/>
        <v>031T/WESTELM-2166-86900-S1-B</v>
      </c>
      <c r="B2367" s="95">
        <v>44547</v>
      </c>
      <c r="C2367" s="97">
        <f t="shared" ca="1" si="743"/>
        <v>-517</v>
      </c>
      <c r="D2367" s="112" t="s">
        <v>1688</v>
      </c>
      <c r="E2367" s="123" t="s">
        <v>1387</v>
      </c>
      <c r="F2367" s="98" t="str">
        <f t="shared" si="753"/>
        <v>B</v>
      </c>
      <c r="G2367" s="110">
        <f ca="1">SUMIF($A:E,$A2367,K:K)</f>
        <v>92</v>
      </c>
      <c r="H2367" s="97" t="s">
        <v>1593</v>
      </c>
      <c r="I2367" s="98">
        <v>92</v>
      </c>
      <c r="J2367" s="249">
        <v>92</v>
      </c>
      <c r="K2367" s="143">
        <f t="shared" si="742"/>
        <v>92</v>
      </c>
      <c r="L2367" s="144">
        <f t="shared" si="755"/>
        <v>0</v>
      </c>
      <c r="M2367" s="275">
        <f t="shared" si="754"/>
        <v>92</v>
      </c>
      <c r="N2367" s="98">
        <v>2</v>
      </c>
      <c r="O2367" s="93">
        <f t="shared" si="756"/>
        <v>100</v>
      </c>
      <c r="KJ2367" s="100">
        <v>1</v>
      </c>
      <c r="KN2367" s="100">
        <v>3</v>
      </c>
      <c r="KP2367" s="100">
        <v>6</v>
      </c>
      <c r="KQ2367" s="100">
        <v>2</v>
      </c>
      <c r="KS2367" s="100">
        <v>3</v>
      </c>
      <c r="KY2367" s="100">
        <v>4</v>
      </c>
      <c r="LB2367" s="100">
        <v>1</v>
      </c>
      <c r="LC2367" s="100">
        <v>5</v>
      </c>
      <c r="LE2367" s="100">
        <v>3</v>
      </c>
      <c r="LF2367" s="100">
        <v>4</v>
      </c>
      <c r="LG2367" s="100">
        <v>4</v>
      </c>
      <c r="LI2367" s="100">
        <v>6</v>
      </c>
      <c r="LK2367" s="100">
        <v>2</v>
      </c>
      <c r="LL2367" s="100">
        <v>4</v>
      </c>
      <c r="LR2367" s="100">
        <v>11</v>
      </c>
      <c r="LS2367" s="100">
        <v>4</v>
      </c>
      <c r="LT2367" s="100">
        <v>4</v>
      </c>
      <c r="LU2367" s="100">
        <v>5</v>
      </c>
      <c r="LW2367" s="100">
        <v>3</v>
      </c>
      <c r="LX2367" s="100">
        <v>1</v>
      </c>
      <c r="LY2367" s="100">
        <v>4</v>
      </c>
      <c r="MA2367" s="100">
        <v>7</v>
      </c>
      <c r="MB2367" s="100">
        <v>1</v>
      </c>
      <c r="MD2367" s="100">
        <v>3</v>
      </c>
      <c r="ME2367" s="100">
        <v>1</v>
      </c>
      <c r="ON2367" s="100">
        <f t="shared" si="732"/>
        <v>0</v>
      </c>
    </row>
    <row r="2368" spans="1:404" ht="23.25" customHeight="1">
      <c r="A2368" s="97" t="str">
        <f t="shared" si="752"/>
        <v>031T/WESTELM-2166-87000-S1-B</v>
      </c>
      <c r="B2368" s="95">
        <v>44548</v>
      </c>
      <c r="C2368" s="97">
        <f t="shared" ca="1" si="743"/>
        <v>-516</v>
      </c>
      <c r="D2368" s="112" t="s">
        <v>1688</v>
      </c>
      <c r="E2368" s="123" t="s">
        <v>1388</v>
      </c>
      <c r="F2368" s="98" t="str">
        <f t="shared" si="753"/>
        <v>B</v>
      </c>
      <c r="G2368" s="110">
        <f ca="1">SUMIF($A:E,$A2368,K:K)</f>
        <v>119</v>
      </c>
      <c r="H2368" s="97" t="s">
        <v>1593</v>
      </c>
      <c r="I2368" s="98">
        <v>119</v>
      </c>
      <c r="J2368" s="249">
        <v>119</v>
      </c>
      <c r="K2368" s="143">
        <f t="shared" si="742"/>
        <v>119</v>
      </c>
      <c r="L2368" s="144">
        <f t="shared" si="755"/>
        <v>0</v>
      </c>
      <c r="M2368" s="275">
        <f t="shared" si="754"/>
        <v>119</v>
      </c>
      <c r="N2368" s="98">
        <v>1</v>
      </c>
      <c r="O2368" s="93">
        <f t="shared" si="756"/>
        <v>100</v>
      </c>
      <c r="LL2368" s="100">
        <v>1</v>
      </c>
      <c r="LM2368" s="100">
        <v>1</v>
      </c>
      <c r="LP2368" s="100">
        <v>9</v>
      </c>
      <c r="LQ2368" s="100">
        <v>20</v>
      </c>
      <c r="LR2368" s="100">
        <v>5</v>
      </c>
      <c r="LS2368" s="100">
        <v>8</v>
      </c>
      <c r="LT2368" s="100">
        <v>11</v>
      </c>
      <c r="LU2368" s="100">
        <v>11</v>
      </c>
      <c r="LW2368" s="100">
        <v>10</v>
      </c>
      <c r="LY2368" s="100">
        <v>13</v>
      </c>
      <c r="LZ2368" s="100">
        <v>11</v>
      </c>
      <c r="MA2368" s="100">
        <v>5</v>
      </c>
      <c r="MB2368" s="100">
        <v>10</v>
      </c>
      <c r="ME2368" s="100">
        <v>4</v>
      </c>
      <c r="ON2368" s="100">
        <f t="shared" si="732"/>
        <v>0</v>
      </c>
    </row>
    <row r="2369" spans="1:404" ht="23.25" customHeight="1">
      <c r="A2369" s="97" t="str">
        <f t="shared" si="752"/>
        <v xml:space="preserve">	039T/WESTELM-2166-70337-01-B4</v>
      </c>
      <c r="B2369" s="95">
        <v>44521</v>
      </c>
      <c r="C2369" s="97">
        <f t="shared" ref="C2369:C2400" ca="1" si="757">B2369-TODAY()</f>
        <v>-543</v>
      </c>
      <c r="D2369" s="112" t="s">
        <v>1928</v>
      </c>
      <c r="E2369" s="123" t="s">
        <v>1081</v>
      </c>
      <c r="F2369" s="98" t="str">
        <f t="shared" si="753"/>
        <v>B4</v>
      </c>
      <c r="G2369" s="110">
        <f ca="1">SUMIF($A:E,$A2369,K:K)</f>
        <v>152</v>
      </c>
      <c r="H2369" s="97" t="s">
        <v>1593</v>
      </c>
      <c r="I2369" s="98">
        <v>152</v>
      </c>
      <c r="J2369" s="115">
        <v>152</v>
      </c>
      <c r="K2369" s="144">
        <f t="shared" si="742"/>
        <v>152</v>
      </c>
      <c r="L2369" s="144">
        <f t="shared" ref="L2369:L2371" si="758">J2369-K2369</f>
        <v>0</v>
      </c>
      <c r="M2369" s="275">
        <f t="shared" si="754"/>
        <v>152</v>
      </c>
      <c r="N2369" s="98">
        <v>1</v>
      </c>
      <c r="O2369" s="93">
        <f t="shared" si="756"/>
        <v>100</v>
      </c>
      <c r="JC2369" s="100">
        <v>3</v>
      </c>
      <c r="JD2369" s="100">
        <v>4</v>
      </c>
      <c r="JF2369" s="100">
        <v>2</v>
      </c>
      <c r="JG2369" s="100">
        <v>2</v>
      </c>
      <c r="JH2369" s="100">
        <v>6</v>
      </c>
      <c r="JI2369" s="100">
        <v>3</v>
      </c>
      <c r="JJ2369" s="100">
        <v>3</v>
      </c>
      <c r="JK2369" s="100">
        <v>3</v>
      </c>
      <c r="JN2369" s="100">
        <v>6</v>
      </c>
      <c r="JQ2369" s="100">
        <v>3</v>
      </c>
      <c r="JR2369" s="100">
        <v>3</v>
      </c>
      <c r="JV2369" s="100">
        <v>3</v>
      </c>
      <c r="JY2369" s="100">
        <v>7</v>
      </c>
      <c r="KA2369" s="100">
        <v>11</v>
      </c>
      <c r="KB2369" s="100">
        <v>6</v>
      </c>
      <c r="KC2369" s="100">
        <v>7</v>
      </c>
      <c r="KD2369" s="100">
        <v>5</v>
      </c>
      <c r="KE2369" s="100">
        <v>9</v>
      </c>
      <c r="KG2369" s="100">
        <v>11</v>
      </c>
      <c r="KH2369" s="100">
        <v>1</v>
      </c>
      <c r="KI2369" s="100">
        <v>12</v>
      </c>
      <c r="KJ2369" s="100">
        <v>6</v>
      </c>
      <c r="KO2369" s="100">
        <v>11</v>
      </c>
      <c r="KQ2369" s="100">
        <v>4</v>
      </c>
      <c r="KR2369" s="100">
        <v>8</v>
      </c>
      <c r="KU2369" s="100">
        <v>7</v>
      </c>
      <c r="KV2369" s="100">
        <v>6</v>
      </c>
      <c r="ON2369" s="100">
        <f t="shared" si="732"/>
        <v>0</v>
      </c>
    </row>
    <row r="2370" spans="1:404" ht="23.25" customHeight="1">
      <c r="A2370" s="97" t="str">
        <f t="shared" si="752"/>
        <v xml:space="preserve">	039T/WESTELM-2166-80136-02-B</v>
      </c>
      <c r="B2370" s="95">
        <v>44521</v>
      </c>
      <c r="C2370" s="97">
        <f t="shared" ca="1" si="757"/>
        <v>-543</v>
      </c>
      <c r="D2370" s="112" t="s">
        <v>1928</v>
      </c>
      <c r="E2370" s="123" t="s">
        <v>639</v>
      </c>
      <c r="F2370" s="98" t="str">
        <f t="shared" si="753"/>
        <v>B</v>
      </c>
      <c r="G2370" s="110">
        <f ca="1">SUMIF($A:E,$A2370,K:K)</f>
        <v>24</v>
      </c>
      <c r="H2370" s="97" t="s">
        <v>1593</v>
      </c>
      <c r="I2370" s="98">
        <v>24</v>
      </c>
      <c r="J2370" s="115">
        <v>24</v>
      </c>
      <c r="K2370" s="144">
        <f t="shared" si="742"/>
        <v>24</v>
      </c>
      <c r="L2370" s="144">
        <f t="shared" si="758"/>
        <v>0</v>
      </c>
      <c r="M2370" s="275">
        <f t="shared" si="754"/>
        <v>24</v>
      </c>
      <c r="N2370" s="98">
        <v>1</v>
      </c>
      <c r="O2370" s="93">
        <f t="shared" si="756"/>
        <v>100</v>
      </c>
      <c r="JC2370" s="100">
        <v>5</v>
      </c>
      <c r="JD2370" s="100">
        <v>1</v>
      </c>
      <c r="JF2370" s="100">
        <v>6</v>
      </c>
      <c r="JG2370" s="100">
        <v>7</v>
      </c>
      <c r="JH2370" s="100">
        <v>5</v>
      </c>
      <c r="ON2370" s="100">
        <f t="shared" si="732"/>
        <v>0</v>
      </c>
    </row>
    <row r="2371" spans="1:404" ht="23.25" customHeight="1">
      <c r="A2371" s="97" t="str">
        <f t="shared" si="752"/>
        <v xml:space="preserve">	039T/WESTELM-2166-83237-02-B4</v>
      </c>
      <c r="B2371" s="95">
        <v>44521</v>
      </c>
      <c r="C2371" s="97">
        <f t="shared" ca="1" si="757"/>
        <v>-543</v>
      </c>
      <c r="D2371" s="112" t="s">
        <v>1928</v>
      </c>
      <c r="E2371" s="123" t="s">
        <v>1082</v>
      </c>
      <c r="F2371" s="98" t="str">
        <f t="shared" si="753"/>
        <v>B4</v>
      </c>
      <c r="G2371" s="110">
        <f ca="1">SUMIF($A:E,$A2371,K:K)</f>
        <v>159</v>
      </c>
      <c r="H2371" s="97" t="s">
        <v>1593</v>
      </c>
      <c r="I2371" s="98">
        <v>159</v>
      </c>
      <c r="J2371" s="115">
        <v>159</v>
      </c>
      <c r="K2371" s="144">
        <f t="shared" si="742"/>
        <v>159</v>
      </c>
      <c r="L2371" s="144">
        <f t="shared" si="758"/>
        <v>0</v>
      </c>
      <c r="M2371" s="275">
        <f t="shared" si="754"/>
        <v>159</v>
      </c>
      <c r="N2371" s="98">
        <v>2</v>
      </c>
      <c r="O2371" s="93">
        <f t="shared" si="756"/>
        <v>100</v>
      </c>
      <c r="KG2371" s="100">
        <v>6</v>
      </c>
      <c r="KI2371" s="100">
        <v>12</v>
      </c>
      <c r="KN2371" s="100">
        <v>6</v>
      </c>
      <c r="KO2371" s="100">
        <v>6</v>
      </c>
      <c r="KP2371" s="100">
        <v>12</v>
      </c>
      <c r="KQ2371" s="100">
        <v>6</v>
      </c>
      <c r="KR2371" s="100">
        <v>6</v>
      </c>
      <c r="KU2371" s="100">
        <v>5</v>
      </c>
      <c r="KV2371" s="100">
        <v>6</v>
      </c>
      <c r="LD2371" s="100">
        <v>3</v>
      </c>
      <c r="LM2371" s="100">
        <v>7</v>
      </c>
      <c r="LT2371" s="100">
        <v>4</v>
      </c>
      <c r="LU2371" s="100">
        <v>20</v>
      </c>
      <c r="LW2371" s="100">
        <v>12</v>
      </c>
      <c r="LX2371" s="100">
        <v>6</v>
      </c>
      <c r="LY2371" s="100">
        <v>12</v>
      </c>
      <c r="LZ2371" s="100">
        <v>13</v>
      </c>
      <c r="MA2371" s="100">
        <v>10</v>
      </c>
      <c r="ML2371" s="100">
        <v>7</v>
      </c>
      <c r="ON2371" s="100">
        <f t="shared" si="732"/>
        <v>0</v>
      </c>
    </row>
    <row r="2372" spans="1:404" ht="23.25" customHeight="1">
      <c r="A2372" s="97" t="str">
        <f t="shared" si="752"/>
        <v>004/ALFRESCO HOME-VG-2166-02700-01-A1(phen)</v>
      </c>
      <c r="B2372" s="95">
        <v>44819</v>
      </c>
      <c r="C2372" s="97">
        <f t="shared" ca="1" si="757"/>
        <v>-245</v>
      </c>
      <c r="D2372" s="112" t="s">
        <v>1929</v>
      </c>
      <c r="E2372" s="279" t="s">
        <v>427</v>
      </c>
      <c r="F2372" s="98" t="str">
        <f t="shared" si="753"/>
        <v>A1</v>
      </c>
      <c r="G2372" s="110">
        <f ca="1">SUMIF($A:E,$A2372,K:K)</f>
        <v>0</v>
      </c>
      <c r="H2372" s="97" t="s">
        <v>1593</v>
      </c>
      <c r="I2372" s="98">
        <v>12</v>
      </c>
      <c r="J2372" s="115">
        <v>12</v>
      </c>
      <c r="K2372" s="144">
        <f t="shared" si="742"/>
        <v>0</v>
      </c>
      <c r="L2372" s="144">
        <f t="shared" ref="L2372:L2383" si="759">J2372-K2372</f>
        <v>12</v>
      </c>
      <c r="M2372" s="275">
        <f t="shared" si="754"/>
        <v>12</v>
      </c>
      <c r="N2372" s="98"/>
      <c r="O2372" s="93">
        <f t="shared" ref="O2372:O2426" si="760">K2372/J2372*100</f>
        <v>0</v>
      </c>
      <c r="ON2372" s="100">
        <f t="shared" ref="ON2372:ON2435" si="761">SUM(NS2372:OM2372)</f>
        <v>0</v>
      </c>
    </row>
    <row r="2373" spans="1:404" ht="23.25" customHeight="1">
      <c r="A2373" s="97" t="str">
        <f t="shared" si="752"/>
        <v>004/ALFRESCO HOME-VG-2166-03000-01-A1(phen)</v>
      </c>
      <c r="B2373" s="95">
        <v>44819</v>
      </c>
      <c r="C2373" s="97">
        <f t="shared" ca="1" si="757"/>
        <v>-245</v>
      </c>
      <c r="D2373" s="112" t="s">
        <v>1929</v>
      </c>
      <c r="E2373" s="279" t="s">
        <v>428</v>
      </c>
      <c r="F2373" s="98" t="str">
        <f t="shared" si="753"/>
        <v>A1</v>
      </c>
      <c r="G2373" s="110">
        <f ca="1">SUMIF($A:E,$A2373,K:K)</f>
        <v>0</v>
      </c>
      <c r="H2373" s="97" t="s">
        <v>1593</v>
      </c>
      <c r="I2373" s="98">
        <v>8</v>
      </c>
      <c r="J2373" s="115">
        <v>8</v>
      </c>
      <c r="K2373" s="144">
        <f t="shared" si="742"/>
        <v>0</v>
      </c>
      <c r="L2373" s="144">
        <f t="shared" si="759"/>
        <v>8</v>
      </c>
      <c r="M2373" s="275">
        <f t="shared" si="754"/>
        <v>8</v>
      </c>
      <c r="N2373" s="98"/>
      <c r="O2373" s="93">
        <f t="shared" si="760"/>
        <v>0</v>
      </c>
      <c r="ON2373" s="100">
        <f t="shared" si="761"/>
        <v>0</v>
      </c>
    </row>
    <row r="2374" spans="1:404" ht="23.25" customHeight="1">
      <c r="A2374" s="97" t="str">
        <f t="shared" si="752"/>
        <v>004/ALFRESCO HOME-VG-2166-03000-02-A1(phen)</v>
      </c>
      <c r="B2374" s="95">
        <v>44819</v>
      </c>
      <c r="C2374" s="97">
        <f t="shared" ca="1" si="757"/>
        <v>-245</v>
      </c>
      <c r="D2374" s="112" t="s">
        <v>1929</v>
      </c>
      <c r="E2374" s="279" t="s">
        <v>429</v>
      </c>
      <c r="F2374" s="98" t="str">
        <f t="shared" si="753"/>
        <v>A1</v>
      </c>
      <c r="G2374" s="110">
        <f ca="1">SUMIF($A:E,$A2374,K:K)</f>
        <v>0</v>
      </c>
      <c r="H2374" s="97" t="s">
        <v>1593</v>
      </c>
      <c r="I2374" s="120">
        <v>8</v>
      </c>
      <c r="J2374" s="115">
        <v>8</v>
      </c>
      <c r="K2374" s="143">
        <f t="shared" si="742"/>
        <v>0</v>
      </c>
      <c r="L2374" s="144">
        <f t="shared" si="759"/>
        <v>8</v>
      </c>
      <c r="M2374" s="275">
        <f>IF(OR(MID(E2374,10,1)="0",MID(E2374,10,1)="F"),MW2597,IF(OR(,MID(E2374,10,1)="S",MID(E2374,10,1)="L",MID(E2374,10,1)="B",MID(E2374,10,1)="X"),MID(E2374,11,1)*MW2597,0))</f>
        <v>0</v>
      </c>
      <c r="N2374" s="98"/>
      <c r="O2374" s="93">
        <f t="shared" si="760"/>
        <v>0</v>
      </c>
      <c r="ON2374" s="100">
        <f t="shared" si="761"/>
        <v>0</v>
      </c>
    </row>
    <row r="2375" spans="1:404" ht="23.25" customHeight="1">
      <c r="A2375" s="97" t="str">
        <f t="shared" si="752"/>
        <v>004/ALFRESCO HOME-VG-2166-02605-L2-B1</v>
      </c>
      <c r="B2375" s="95">
        <v>44819</v>
      </c>
      <c r="C2375" s="97">
        <f t="shared" ca="1" si="757"/>
        <v>-245</v>
      </c>
      <c r="D2375" s="112" t="s">
        <v>1929</v>
      </c>
      <c r="E2375" s="279" t="s">
        <v>1575</v>
      </c>
      <c r="F2375" s="98" t="str">
        <f t="shared" si="753"/>
        <v>B1</v>
      </c>
      <c r="G2375" s="110">
        <f ca="1">SUMIF($A:E,$A2375,K:K)</f>
        <v>0</v>
      </c>
      <c r="H2375" s="97" t="s">
        <v>1593</v>
      </c>
      <c r="I2375" s="98">
        <v>16</v>
      </c>
      <c r="J2375" s="115">
        <v>16</v>
      </c>
      <c r="K2375" s="144">
        <f t="shared" si="742"/>
        <v>0</v>
      </c>
      <c r="L2375" s="144">
        <f t="shared" si="759"/>
        <v>16</v>
      </c>
      <c r="M2375" s="275">
        <f t="shared" ref="M2375:M2406" si="762">IF(OR(MID(E2375,10,1)="0",MID(E2375,10,1)="F"),I2375,IF(OR(,MID(E2375,10,1)="S",MID(E2375,10,1)="L",MID(E2375,10,1)="B",MID(E2375,10,1)="X"),MID(E2375,11,1)*I2375,0))</f>
        <v>32</v>
      </c>
      <c r="N2375" s="98"/>
      <c r="O2375" s="93">
        <f t="shared" si="760"/>
        <v>0</v>
      </c>
      <c r="ON2375" s="100">
        <f t="shared" si="761"/>
        <v>0</v>
      </c>
    </row>
    <row r="2376" spans="1:404" ht="23.25" customHeight="1">
      <c r="A2376" s="97" t="str">
        <f t="shared" si="752"/>
        <v>004/ALFRESCO HOME-VG-2166-02705-01-B1</v>
      </c>
      <c r="B2376" s="95">
        <v>44819</v>
      </c>
      <c r="C2376" s="97">
        <f t="shared" ca="1" si="757"/>
        <v>-245</v>
      </c>
      <c r="D2376" s="112" t="s">
        <v>1929</v>
      </c>
      <c r="E2376" s="279" t="s">
        <v>1930</v>
      </c>
      <c r="F2376" s="98" t="str">
        <f t="shared" si="753"/>
        <v>B1</v>
      </c>
      <c r="G2376" s="110">
        <f ca="1">SUMIF($A:E,$A2376,K:K)</f>
        <v>0</v>
      </c>
      <c r="H2376" s="97" t="s">
        <v>1593</v>
      </c>
      <c r="I2376" s="98">
        <v>12</v>
      </c>
      <c r="J2376" s="115">
        <v>12</v>
      </c>
      <c r="K2376" s="144">
        <f t="shared" si="742"/>
        <v>0</v>
      </c>
      <c r="L2376" s="144">
        <f t="shared" si="759"/>
        <v>12</v>
      </c>
      <c r="M2376" s="275">
        <f t="shared" si="762"/>
        <v>12</v>
      </c>
      <c r="N2376" s="98"/>
      <c r="O2376" s="93">
        <f t="shared" si="760"/>
        <v>0</v>
      </c>
      <c r="ON2376" s="100">
        <f t="shared" si="761"/>
        <v>0</v>
      </c>
    </row>
    <row r="2377" spans="1:404" ht="23.25" customHeight="1">
      <c r="A2377" s="97" t="str">
        <f t="shared" si="752"/>
        <v>004/ALFRESCO HOME-VG-2166-03005-S2-B1</v>
      </c>
      <c r="B2377" s="95">
        <v>44819</v>
      </c>
      <c r="C2377" s="97">
        <f t="shared" ca="1" si="757"/>
        <v>-245</v>
      </c>
      <c r="D2377" s="112" t="s">
        <v>1929</v>
      </c>
      <c r="E2377" s="279" t="s">
        <v>1815</v>
      </c>
      <c r="F2377" s="98" t="str">
        <f t="shared" si="753"/>
        <v>B1</v>
      </c>
      <c r="G2377" s="110">
        <f ca="1">SUMIF($A:E,$A2377,K:K)</f>
        <v>0</v>
      </c>
      <c r="H2377" s="97" t="s">
        <v>1593</v>
      </c>
      <c r="I2377" s="98">
        <v>8</v>
      </c>
      <c r="J2377" s="115">
        <v>8</v>
      </c>
      <c r="K2377" s="144">
        <f t="shared" si="742"/>
        <v>0</v>
      </c>
      <c r="L2377" s="144">
        <f t="shared" si="759"/>
        <v>8</v>
      </c>
      <c r="M2377" s="275">
        <f t="shared" si="762"/>
        <v>16</v>
      </c>
      <c r="N2377" s="98"/>
      <c r="O2377" s="93">
        <f t="shared" si="760"/>
        <v>0</v>
      </c>
      <c r="ON2377" s="100">
        <f t="shared" si="761"/>
        <v>0</v>
      </c>
    </row>
    <row r="2378" spans="1:404" ht="23.25" customHeight="1">
      <c r="A2378" s="97" t="str">
        <f t="shared" si="752"/>
        <v>004/ALFRESCO HOME-VG-2166-34609-S1-B</v>
      </c>
      <c r="B2378" s="95">
        <v>44819</v>
      </c>
      <c r="C2378" s="97">
        <f t="shared" ca="1" si="757"/>
        <v>-245</v>
      </c>
      <c r="D2378" s="112" t="s">
        <v>1929</v>
      </c>
      <c r="E2378" s="123" t="s">
        <v>1376</v>
      </c>
      <c r="F2378" s="98" t="str">
        <f t="shared" si="753"/>
        <v>B</v>
      </c>
      <c r="G2378" s="110">
        <f ca="1">SUMIF($A:E,$A2378,K:K)</f>
        <v>0</v>
      </c>
      <c r="H2378" s="97" t="s">
        <v>1593</v>
      </c>
      <c r="I2378" s="98">
        <v>18</v>
      </c>
      <c r="J2378" s="115">
        <v>18</v>
      </c>
      <c r="K2378" s="144">
        <f t="shared" si="742"/>
        <v>0</v>
      </c>
      <c r="L2378" s="144">
        <f t="shared" si="759"/>
        <v>18</v>
      </c>
      <c r="M2378" s="275">
        <f t="shared" si="762"/>
        <v>18</v>
      </c>
      <c r="N2378" s="98"/>
      <c r="O2378" s="93">
        <f t="shared" si="760"/>
        <v>0</v>
      </c>
      <c r="ON2378" s="100">
        <f t="shared" si="761"/>
        <v>0</v>
      </c>
    </row>
    <row r="2379" spans="1:404" ht="23.25" customHeight="1">
      <c r="A2379" s="97" t="str">
        <f t="shared" si="752"/>
        <v>004/ALFRESCO HOME-VG-2166-65109-L2-B</v>
      </c>
      <c r="B2379" s="95">
        <v>44819</v>
      </c>
      <c r="C2379" s="97">
        <f t="shared" ca="1" si="757"/>
        <v>-245</v>
      </c>
      <c r="D2379" s="112" t="s">
        <v>1929</v>
      </c>
      <c r="E2379" s="123" t="s">
        <v>1931</v>
      </c>
      <c r="F2379" s="98" t="str">
        <f t="shared" si="753"/>
        <v>B</v>
      </c>
      <c r="G2379" s="110">
        <f ca="1">SUMIF($A:E,$A2379,K:K)</f>
        <v>0</v>
      </c>
      <c r="H2379" s="97" t="s">
        <v>1593</v>
      </c>
      <c r="I2379" s="98">
        <v>16</v>
      </c>
      <c r="J2379" s="115">
        <v>16</v>
      </c>
      <c r="K2379" s="144">
        <f t="shared" si="742"/>
        <v>0</v>
      </c>
      <c r="L2379" s="144">
        <f t="shared" si="759"/>
        <v>16</v>
      </c>
      <c r="M2379" s="275">
        <f t="shared" si="762"/>
        <v>32</v>
      </c>
      <c r="N2379" s="98"/>
      <c r="O2379" s="93">
        <f t="shared" si="760"/>
        <v>0</v>
      </c>
      <c r="ON2379" s="100">
        <f t="shared" si="761"/>
        <v>0</v>
      </c>
    </row>
    <row r="2380" spans="1:404" ht="23.25" customHeight="1">
      <c r="A2380" s="97" t="str">
        <f t="shared" si="752"/>
        <v>004/ALFRESCO HOME-VG-2166-75716-01-B</v>
      </c>
      <c r="B2380" s="95">
        <v>44819</v>
      </c>
      <c r="C2380" s="97">
        <f t="shared" ca="1" si="757"/>
        <v>-245</v>
      </c>
      <c r="D2380" s="112" t="s">
        <v>1929</v>
      </c>
      <c r="E2380" s="123" t="s">
        <v>707</v>
      </c>
      <c r="F2380" s="98" t="str">
        <f t="shared" si="753"/>
        <v>B</v>
      </c>
      <c r="G2380" s="110">
        <f ca="1">SUMIF($A:E,$A2380,K:K)</f>
        <v>0</v>
      </c>
      <c r="H2380" s="97" t="s">
        <v>1593</v>
      </c>
      <c r="I2380" s="98">
        <v>16</v>
      </c>
      <c r="J2380" s="115">
        <v>16</v>
      </c>
      <c r="K2380" s="144">
        <f t="shared" si="742"/>
        <v>0</v>
      </c>
      <c r="L2380" s="144">
        <f t="shared" si="759"/>
        <v>16</v>
      </c>
      <c r="M2380" s="275">
        <f t="shared" si="762"/>
        <v>16</v>
      </c>
      <c r="N2380" s="98"/>
      <c r="O2380" s="93">
        <f t="shared" si="760"/>
        <v>0</v>
      </c>
      <c r="ON2380" s="100">
        <f t="shared" si="761"/>
        <v>0</v>
      </c>
    </row>
    <row r="2381" spans="1:404" ht="23.25" customHeight="1">
      <c r="A2381" s="97" t="str">
        <f t="shared" si="752"/>
        <v>004/ALFRESCO HOME-VG-2166-77723-X4-B</v>
      </c>
      <c r="B2381" s="95">
        <v>44819</v>
      </c>
      <c r="C2381" s="97">
        <f t="shared" ca="1" si="757"/>
        <v>-245</v>
      </c>
      <c r="D2381" s="112" t="s">
        <v>1929</v>
      </c>
      <c r="E2381" s="123" t="s">
        <v>1932</v>
      </c>
      <c r="F2381" s="98" t="str">
        <f t="shared" si="753"/>
        <v>B</v>
      </c>
      <c r="G2381" s="110">
        <f ca="1">SUMIF($A:E,$A2381,K:K)</f>
        <v>0</v>
      </c>
      <c r="H2381" s="97" t="s">
        <v>1593</v>
      </c>
      <c r="I2381" s="98">
        <v>16</v>
      </c>
      <c r="J2381" s="115">
        <v>16</v>
      </c>
      <c r="K2381" s="144">
        <f t="shared" si="742"/>
        <v>0</v>
      </c>
      <c r="L2381" s="144">
        <f t="shared" si="759"/>
        <v>16</v>
      </c>
      <c r="M2381" s="275">
        <f t="shared" si="762"/>
        <v>64</v>
      </c>
      <c r="N2381" s="98"/>
      <c r="O2381" s="93">
        <f t="shared" si="760"/>
        <v>0</v>
      </c>
      <c r="ON2381" s="100">
        <f t="shared" si="761"/>
        <v>0</v>
      </c>
    </row>
    <row r="2382" spans="1:404" ht="23.25" customHeight="1">
      <c r="A2382" s="97" t="str">
        <f t="shared" si="752"/>
        <v>004/ALFRESCO HOME-VG-2166-79516-02-B</v>
      </c>
      <c r="B2382" s="95">
        <v>44819</v>
      </c>
      <c r="C2382" s="97">
        <f t="shared" ca="1" si="757"/>
        <v>-245</v>
      </c>
      <c r="D2382" s="112" t="s">
        <v>1929</v>
      </c>
      <c r="E2382" s="123" t="s">
        <v>710</v>
      </c>
      <c r="F2382" s="98" t="str">
        <f t="shared" si="753"/>
        <v>B</v>
      </c>
      <c r="G2382" s="110">
        <f ca="1">SUMIF($A:E,$A2382,K:K)</f>
        <v>0</v>
      </c>
      <c r="H2382" s="97" t="s">
        <v>1593</v>
      </c>
      <c r="I2382" s="98">
        <v>8</v>
      </c>
      <c r="J2382" s="115">
        <v>8</v>
      </c>
      <c r="K2382" s="144">
        <f t="shared" si="742"/>
        <v>0</v>
      </c>
      <c r="L2382" s="144">
        <f t="shared" si="759"/>
        <v>8</v>
      </c>
      <c r="M2382" s="275">
        <f t="shared" si="762"/>
        <v>8</v>
      </c>
      <c r="N2382" s="98"/>
      <c r="O2382" s="93">
        <f t="shared" si="760"/>
        <v>0</v>
      </c>
      <c r="ON2382" s="100">
        <f t="shared" si="761"/>
        <v>0</v>
      </c>
    </row>
    <row r="2383" spans="1:404" ht="23.25" customHeight="1">
      <c r="A2383" s="97" t="str">
        <f t="shared" si="752"/>
        <v>004/ALFRESCO HOME-VG-2168-75916-02-B</v>
      </c>
      <c r="B2383" s="95">
        <v>44819</v>
      </c>
      <c r="C2383" s="97">
        <f t="shared" ca="1" si="757"/>
        <v>-245</v>
      </c>
      <c r="D2383" s="112" t="s">
        <v>1929</v>
      </c>
      <c r="E2383" s="123" t="s">
        <v>1933</v>
      </c>
      <c r="F2383" s="98" t="str">
        <f t="shared" si="753"/>
        <v>B</v>
      </c>
      <c r="G2383" s="110">
        <f ca="1">SUMIF($A:E,$A2383,K:K)</f>
        <v>0</v>
      </c>
      <c r="H2383" s="97" t="s">
        <v>1593</v>
      </c>
      <c r="I2383" s="98">
        <v>16</v>
      </c>
      <c r="J2383" s="115">
        <v>16</v>
      </c>
      <c r="K2383" s="144">
        <f t="shared" si="742"/>
        <v>0</v>
      </c>
      <c r="L2383" s="144">
        <f t="shared" si="759"/>
        <v>16</v>
      </c>
      <c r="M2383" s="275">
        <f t="shared" si="762"/>
        <v>16</v>
      </c>
      <c r="N2383" s="98"/>
      <c r="O2383" s="93">
        <f t="shared" si="760"/>
        <v>0</v>
      </c>
      <c r="ON2383" s="100">
        <f t="shared" si="761"/>
        <v>0</v>
      </c>
    </row>
    <row r="2384" spans="1:404" ht="23.25" customHeight="1">
      <c r="A2384" s="97" t="str">
        <f t="shared" si="752"/>
        <v>003/ALFRESCO HOME-VG-2166-02605-L2-B1</v>
      </c>
      <c r="B2384" s="95">
        <v>44819</v>
      </c>
      <c r="C2384" s="97">
        <f t="shared" ca="1" si="757"/>
        <v>-245</v>
      </c>
      <c r="D2384" s="112" t="s">
        <v>1934</v>
      </c>
      <c r="E2384" s="279" t="s">
        <v>1575</v>
      </c>
      <c r="F2384" s="98" t="str">
        <f t="shared" si="753"/>
        <v>B1</v>
      </c>
      <c r="G2384" s="110">
        <f ca="1">SUMIF($A:E,$A2384,K:K)</f>
        <v>0</v>
      </c>
      <c r="H2384" s="97" t="s">
        <v>1593</v>
      </c>
      <c r="I2384" s="98">
        <v>16</v>
      </c>
      <c r="J2384" s="115">
        <v>16</v>
      </c>
      <c r="K2384" s="144">
        <f t="shared" si="742"/>
        <v>0</v>
      </c>
      <c r="L2384" s="144">
        <f t="shared" ref="L2384:L2408" si="763">J2384-K2384</f>
        <v>16</v>
      </c>
      <c r="M2384" s="275">
        <f t="shared" si="762"/>
        <v>32</v>
      </c>
      <c r="N2384" s="98"/>
      <c r="O2384" s="93">
        <f t="shared" si="760"/>
        <v>0</v>
      </c>
      <c r="ON2384" s="100">
        <f t="shared" si="761"/>
        <v>0</v>
      </c>
    </row>
    <row r="2385" spans="1:404" ht="23.25" customHeight="1">
      <c r="A2385" s="97" t="str">
        <f t="shared" si="752"/>
        <v>003/ALFRESCO HOME-VG-2166-02705-01-B1</v>
      </c>
      <c r="B2385" s="95">
        <v>44819</v>
      </c>
      <c r="C2385" s="97">
        <f t="shared" ca="1" si="757"/>
        <v>-245</v>
      </c>
      <c r="D2385" s="112" t="s">
        <v>1934</v>
      </c>
      <c r="E2385" s="279" t="s">
        <v>1930</v>
      </c>
      <c r="F2385" s="98" t="str">
        <f t="shared" si="753"/>
        <v>B1</v>
      </c>
      <c r="G2385" s="110">
        <f ca="1">SUMIF($A:E,$A2385,K:K)</f>
        <v>0</v>
      </c>
      <c r="H2385" s="97" t="s">
        <v>1593</v>
      </c>
      <c r="I2385" s="98">
        <v>12</v>
      </c>
      <c r="J2385" s="115">
        <v>12</v>
      </c>
      <c r="K2385" s="144">
        <f t="shared" si="742"/>
        <v>0</v>
      </c>
      <c r="L2385" s="144">
        <f t="shared" si="763"/>
        <v>12</v>
      </c>
      <c r="M2385" s="275">
        <f t="shared" si="762"/>
        <v>12</v>
      </c>
      <c r="N2385" s="98"/>
      <c r="O2385" s="93">
        <f t="shared" si="760"/>
        <v>0</v>
      </c>
      <c r="ON2385" s="100">
        <f t="shared" si="761"/>
        <v>0</v>
      </c>
    </row>
    <row r="2386" spans="1:404" ht="23.25" customHeight="1">
      <c r="A2386" s="97" t="str">
        <f t="shared" si="752"/>
        <v>003/ALFRESCO HOME-VG-2166-03005-S2-B1</v>
      </c>
      <c r="B2386" s="95">
        <v>44819</v>
      </c>
      <c r="C2386" s="97">
        <f t="shared" ca="1" si="757"/>
        <v>-245</v>
      </c>
      <c r="D2386" s="112" t="s">
        <v>1934</v>
      </c>
      <c r="E2386" s="279" t="s">
        <v>1815</v>
      </c>
      <c r="F2386" s="98" t="str">
        <f t="shared" si="753"/>
        <v>B1</v>
      </c>
      <c r="G2386" s="110">
        <f ca="1">SUMIF($A:E,$A2386,K:K)</f>
        <v>0</v>
      </c>
      <c r="H2386" s="97" t="s">
        <v>1593</v>
      </c>
      <c r="I2386" s="98">
        <v>8</v>
      </c>
      <c r="J2386" s="115">
        <v>8</v>
      </c>
      <c r="K2386" s="144">
        <f t="shared" si="742"/>
        <v>0</v>
      </c>
      <c r="L2386" s="144">
        <f t="shared" si="763"/>
        <v>8</v>
      </c>
      <c r="M2386" s="275">
        <f t="shared" si="762"/>
        <v>16</v>
      </c>
      <c r="N2386" s="98"/>
      <c r="O2386" s="93">
        <f t="shared" si="760"/>
        <v>0</v>
      </c>
      <c r="ON2386" s="100">
        <f t="shared" si="761"/>
        <v>0</v>
      </c>
    </row>
    <row r="2387" spans="1:404" ht="23.25" customHeight="1">
      <c r="A2387" s="97" t="str">
        <f t="shared" si="752"/>
        <v>003/ALFRESCO HOME-VG-2166-34609-S1-B</v>
      </c>
      <c r="B2387" s="95">
        <v>44819</v>
      </c>
      <c r="C2387" s="97">
        <f t="shared" ca="1" si="757"/>
        <v>-245</v>
      </c>
      <c r="D2387" s="112" t="s">
        <v>1934</v>
      </c>
      <c r="E2387" s="123" t="s">
        <v>1376</v>
      </c>
      <c r="F2387" s="98" t="str">
        <f t="shared" si="753"/>
        <v>B</v>
      </c>
      <c r="G2387" s="110">
        <f ca="1">SUMIF($A:E,$A2387,K:K)</f>
        <v>0</v>
      </c>
      <c r="H2387" s="97" t="s">
        <v>1593</v>
      </c>
      <c r="I2387" s="98">
        <v>18</v>
      </c>
      <c r="J2387" s="115">
        <v>18</v>
      </c>
      <c r="K2387" s="144">
        <f t="shared" si="742"/>
        <v>0</v>
      </c>
      <c r="L2387" s="144">
        <f t="shared" si="763"/>
        <v>18</v>
      </c>
      <c r="M2387" s="275">
        <f t="shared" si="762"/>
        <v>18</v>
      </c>
      <c r="N2387" s="98"/>
      <c r="O2387" s="93">
        <f t="shared" si="760"/>
        <v>0</v>
      </c>
      <c r="ON2387" s="100">
        <f t="shared" si="761"/>
        <v>0</v>
      </c>
    </row>
    <row r="2388" spans="1:404" ht="23.25" customHeight="1">
      <c r="A2388" s="97" t="str">
        <f t="shared" si="752"/>
        <v>003/ALFRESCO HOME-VG-2166-65109-L2-B</v>
      </c>
      <c r="B2388" s="95">
        <v>44819</v>
      </c>
      <c r="C2388" s="97">
        <f t="shared" ca="1" si="757"/>
        <v>-245</v>
      </c>
      <c r="D2388" s="112" t="s">
        <v>1934</v>
      </c>
      <c r="E2388" s="123" t="s">
        <v>1931</v>
      </c>
      <c r="F2388" s="98" t="str">
        <f t="shared" si="753"/>
        <v>B</v>
      </c>
      <c r="G2388" s="110">
        <f ca="1">SUMIF($A:E,$A2388,K:K)</f>
        <v>0</v>
      </c>
      <c r="H2388" s="97" t="s">
        <v>1593</v>
      </c>
      <c r="I2388" s="98">
        <v>16</v>
      </c>
      <c r="J2388" s="115">
        <v>16</v>
      </c>
      <c r="K2388" s="144">
        <f t="shared" si="742"/>
        <v>0</v>
      </c>
      <c r="L2388" s="144">
        <f t="shared" si="763"/>
        <v>16</v>
      </c>
      <c r="M2388" s="275">
        <f t="shared" si="762"/>
        <v>32</v>
      </c>
      <c r="N2388" s="98"/>
      <c r="O2388" s="93">
        <f t="shared" si="760"/>
        <v>0</v>
      </c>
      <c r="ON2388" s="100">
        <f t="shared" si="761"/>
        <v>0</v>
      </c>
    </row>
    <row r="2389" spans="1:404" ht="23.25" customHeight="1">
      <c r="A2389" s="97" t="str">
        <f t="shared" si="752"/>
        <v>003/ALFRESCO HOME-VG-2166-75716-01-B</v>
      </c>
      <c r="B2389" s="95">
        <v>44819</v>
      </c>
      <c r="C2389" s="97">
        <f t="shared" ca="1" si="757"/>
        <v>-245</v>
      </c>
      <c r="D2389" s="112" t="s">
        <v>1934</v>
      </c>
      <c r="E2389" s="123" t="s">
        <v>707</v>
      </c>
      <c r="F2389" s="98" t="str">
        <f t="shared" si="753"/>
        <v>B</v>
      </c>
      <c r="G2389" s="110">
        <f ca="1">SUMIF($A:E,$A2389,K:K)</f>
        <v>0</v>
      </c>
      <c r="H2389" s="97" t="s">
        <v>1593</v>
      </c>
      <c r="I2389" s="98">
        <v>16</v>
      </c>
      <c r="J2389" s="115">
        <v>16</v>
      </c>
      <c r="K2389" s="144">
        <f t="shared" si="742"/>
        <v>0</v>
      </c>
      <c r="L2389" s="144">
        <f t="shared" si="763"/>
        <v>16</v>
      </c>
      <c r="M2389" s="275">
        <f t="shared" si="762"/>
        <v>16</v>
      </c>
      <c r="N2389" s="98"/>
      <c r="O2389" s="93">
        <f t="shared" si="760"/>
        <v>0</v>
      </c>
      <c r="ON2389" s="100">
        <f t="shared" si="761"/>
        <v>0</v>
      </c>
    </row>
    <row r="2390" spans="1:404" ht="23.25" customHeight="1">
      <c r="A2390" s="97" t="str">
        <f t="shared" si="752"/>
        <v>003/ALFRESCO HOME-VG-2166-77723-X4-B</v>
      </c>
      <c r="B2390" s="95">
        <v>44819</v>
      </c>
      <c r="C2390" s="97">
        <f t="shared" ca="1" si="757"/>
        <v>-245</v>
      </c>
      <c r="D2390" s="112" t="s">
        <v>1934</v>
      </c>
      <c r="E2390" s="123" t="s">
        <v>1932</v>
      </c>
      <c r="F2390" s="98" t="str">
        <f t="shared" si="753"/>
        <v>B</v>
      </c>
      <c r="G2390" s="110">
        <f ca="1">SUMIF($A:E,$A2390,K:K)</f>
        <v>0</v>
      </c>
      <c r="H2390" s="97" t="s">
        <v>1593</v>
      </c>
      <c r="I2390" s="98">
        <v>16</v>
      </c>
      <c r="J2390" s="115">
        <v>16</v>
      </c>
      <c r="K2390" s="144">
        <f t="shared" si="742"/>
        <v>0</v>
      </c>
      <c r="L2390" s="144">
        <f t="shared" si="763"/>
        <v>16</v>
      </c>
      <c r="M2390" s="275">
        <f t="shared" si="762"/>
        <v>64</v>
      </c>
      <c r="N2390" s="98"/>
      <c r="O2390" s="93">
        <f t="shared" si="760"/>
        <v>0</v>
      </c>
      <c r="ON2390" s="100">
        <f t="shared" si="761"/>
        <v>0</v>
      </c>
    </row>
    <row r="2391" spans="1:404" ht="23.25" customHeight="1">
      <c r="A2391" s="97" t="str">
        <f t="shared" si="752"/>
        <v>003/ALFRESCO HOME-VG-2166-79516-02-B</v>
      </c>
      <c r="B2391" s="95">
        <v>44819</v>
      </c>
      <c r="C2391" s="97">
        <f t="shared" ca="1" si="757"/>
        <v>-245</v>
      </c>
      <c r="D2391" s="112" t="s">
        <v>1934</v>
      </c>
      <c r="E2391" s="123" t="s">
        <v>710</v>
      </c>
      <c r="F2391" s="98" t="str">
        <f t="shared" si="753"/>
        <v>B</v>
      </c>
      <c r="G2391" s="110">
        <f ca="1">SUMIF($A:E,$A2391,K:K)</f>
        <v>0</v>
      </c>
      <c r="H2391" s="97" t="s">
        <v>1593</v>
      </c>
      <c r="I2391" s="98">
        <v>8</v>
      </c>
      <c r="J2391" s="115">
        <v>8</v>
      </c>
      <c r="K2391" s="144">
        <f t="shared" si="742"/>
        <v>0</v>
      </c>
      <c r="L2391" s="144">
        <f t="shared" si="763"/>
        <v>8</v>
      </c>
      <c r="M2391" s="275">
        <f t="shared" si="762"/>
        <v>8</v>
      </c>
      <c r="N2391" s="98"/>
      <c r="O2391" s="93">
        <f t="shared" si="760"/>
        <v>0</v>
      </c>
      <c r="ON2391" s="100">
        <f t="shared" si="761"/>
        <v>0</v>
      </c>
    </row>
    <row r="2392" spans="1:404" ht="23.25" customHeight="1">
      <c r="A2392" s="97" t="str">
        <f t="shared" si="752"/>
        <v>003/ALFRESCO HOME-VG-2168-75916-02-B</v>
      </c>
      <c r="B2392" s="95">
        <v>44819</v>
      </c>
      <c r="C2392" s="97">
        <f t="shared" ca="1" si="757"/>
        <v>-245</v>
      </c>
      <c r="D2392" s="112" t="s">
        <v>1934</v>
      </c>
      <c r="E2392" s="123" t="s">
        <v>1933</v>
      </c>
      <c r="F2392" s="98" t="str">
        <f t="shared" si="753"/>
        <v>B</v>
      </c>
      <c r="G2392" s="110">
        <f ca="1">SUMIF($A:E,$A2392,K:K)</f>
        <v>0</v>
      </c>
      <c r="H2392" s="97" t="s">
        <v>1593</v>
      </c>
      <c r="I2392" s="98">
        <v>16</v>
      </c>
      <c r="J2392" s="115">
        <v>16</v>
      </c>
      <c r="K2392" s="144">
        <f t="shared" si="742"/>
        <v>0</v>
      </c>
      <c r="L2392" s="144">
        <f t="shared" si="763"/>
        <v>16</v>
      </c>
      <c r="M2392" s="275">
        <f t="shared" si="762"/>
        <v>16</v>
      </c>
      <c r="N2392" s="98"/>
      <c r="O2392" s="93">
        <f t="shared" si="760"/>
        <v>0</v>
      </c>
      <c r="ON2392" s="100">
        <f t="shared" si="761"/>
        <v>0</v>
      </c>
    </row>
    <row r="2393" spans="1:404" ht="23.25" customHeight="1">
      <c r="A2393" s="97" t="str">
        <f t="shared" si="752"/>
        <v>047T/WESTELM-2166-86540-01-B</v>
      </c>
      <c r="B2393" s="95">
        <v>44528</v>
      </c>
      <c r="C2393" s="97">
        <f t="shared" ca="1" si="757"/>
        <v>-536</v>
      </c>
      <c r="D2393" s="112" t="s">
        <v>1936</v>
      </c>
      <c r="E2393" s="123" t="s">
        <v>1383</v>
      </c>
      <c r="F2393" s="98" t="str">
        <f t="shared" si="753"/>
        <v>B</v>
      </c>
      <c r="G2393" s="110">
        <f ca="1">SUMIF($A:E,$A2393,K:K)</f>
        <v>12</v>
      </c>
      <c r="H2393" s="97" t="s">
        <v>1593</v>
      </c>
      <c r="I2393" s="98">
        <v>12</v>
      </c>
      <c r="J2393" s="115">
        <f>12</f>
        <v>12</v>
      </c>
      <c r="K2393" s="143">
        <f t="shared" si="742"/>
        <v>12</v>
      </c>
      <c r="L2393" s="144">
        <f t="shared" si="763"/>
        <v>0</v>
      </c>
      <c r="M2393" s="275">
        <f t="shared" si="762"/>
        <v>12</v>
      </c>
      <c r="N2393" s="98">
        <v>3</v>
      </c>
      <c r="O2393" s="93">
        <f t="shared" si="760"/>
        <v>100</v>
      </c>
      <c r="LK2393" s="100">
        <v>7</v>
      </c>
      <c r="LQ2393" s="100">
        <v>5</v>
      </c>
      <c r="ON2393" s="100">
        <f t="shared" si="761"/>
        <v>0</v>
      </c>
    </row>
    <row r="2394" spans="1:404" ht="23.25" customHeight="1">
      <c r="A2394" s="97" t="str">
        <f t="shared" ref="A2394:A2430" si="764">D2394&amp;E2394</f>
        <v>047T/WESTELM-2166-86640-02-B</v>
      </c>
      <c r="B2394" s="95">
        <v>44528</v>
      </c>
      <c r="C2394" s="97">
        <f t="shared" ca="1" si="757"/>
        <v>-536</v>
      </c>
      <c r="D2394" s="112" t="s">
        <v>1936</v>
      </c>
      <c r="E2394" s="123" t="s">
        <v>1384</v>
      </c>
      <c r="F2394" s="98" t="str">
        <f t="shared" ref="F2394:F2425" si="765">MID(E2394,13,2)</f>
        <v>B</v>
      </c>
      <c r="G2394" s="110">
        <f ca="1">SUMIF($A:E,$A2394,K:K)</f>
        <v>16</v>
      </c>
      <c r="H2394" s="97" t="s">
        <v>1593</v>
      </c>
      <c r="I2394" s="98">
        <v>16</v>
      </c>
      <c r="J2394" s="115">
        <f>16</f>
        <v>16</v>
      </c>
      <c r="K2394" s="143">
        <f t="shared" si="742"/>
        <v>16</v>
      </c>
      <c r="L2394" s="144">
        <f t="shared" si="763"/>
        <v>0</v>
      </c>
      <c r="M2394" s="275">
        <f t="shared" si="762"/>
        <v>16</v>
      </c>
      <c r="N2394" s="98">
        <v>3</v>
      </c>
      <c r="O2394" s="93">
        <f t="shared" si="760"/>
        <v>100</v>
      </c>
      <c r="JY2394" s="100">
        <v>7</v>
      </c>
      <c r="KY2394" s="100">
        <v>9</v>
      </c>
      <c r="ON2394" s="100">
        <f t="shared" si="761"/>
        <v>0</v>
      </c>
    </row>
    <row r="2395" spans="1:404" ht="23.25" customHeight="1">
      <c r="A2395" s="97" t="str">
        <f t="shared" si="764"/>
        <v>047T/WESTELM-2166-86740-01-B</v>
      </c>
      <c r="B2395" s="95">
        <v>44528</v>
      </c>
      <c r="C2395" s="97">
        <f t="shared" ca="1" si="757"/>
        <v>-536</v>
      </c>
      <c r="D2395" s="112" t="s">
        <v>1936</v>
      </c>
      <c r="E2395" s="279" t="s">
        <v>1385</v>
      </c>
      <c r="F2395" s="98" t="str">
        <f t="shared" si="765"/>
        <v>B</v>
      </c>
      <c r="G2395" s="110">
        <f ca="1">SUMIF($A:E,$A2395,K:K)</f>
        <v>8</v>
      </c>
      <c r="H2395" s="97" t="s">
        <v>1593</v>
      </c>
      <c r="I2395" s="98">
        <v>8</v>
      </c>
      <c r="J2395" s="115">
        <v>8</v>
      </c>
      <c r="K2395" s="143">
        <f t="shared" si="742"/>
        <v>8</v>
      </c>
      <c r="L2395" s="144">
        <f t="shared" si="763"/>
        <v>0</v>
      </c>
      <c r="M2395" s="275">
        <f t="shared" si="762"/>
        <v>8</v>
      </c>
      <c r="N2395" s="211" t="s">
        <v>1768</v>
      </c>
      <c r="O2395" s="93">
        <f t="shared" si="760"/>
        <v>100</v>
      </c>
      <c r="LD2395" s="100">
        <v>1</v>
      </c>
      <c r="LE2395" s="100">
        <v>7</v>
      </c>
      <c r="ON2395" s="100">
        <f t="shared" si="761"/>
        <v>0</v>
      </c>
    </row>
    <row r="2396" spans="1:404" ht="23.25" customHeight="1">
      <c r="A2396" s="97" t="str">
        <f t="shared" si="764"/>
        <v>047T/WESTELM-2166-86800-S1-B</v>
      </c>
      <c r="B2396" s="95">
        <v>44528</v>
      </c>
      <c r="C2396" s="97">
        <f t="shared" ca="1" si="757"/>
        <v>-536</v>
      </c>
      <c r="D2396" s="112" t="s">
        <v>1936</v>
      </c>
      <c r="E2396" s="123" t="s">
        <v>1386</v>
      </c>
      <c r="F2396" s="98" t="str">
        <f t="shared" si="765"/>
        <v>B</v>
      </c>
      <c r="G2396" s="110">
        <f ca="1">SUMIF($A:E,$A2396,K:K)</f>
        <v>10</v>
      </c>
      <c r="H2396" s="97" t="s">
        <v>1593</v>
      </c>
      <c r="I2396" s="98">
        <v>10</v>
      </c>
      <c r="J2396" s="115">
        <f>10</f>
        <v>10</v>
      </c>
      <c r="K2396" s="143">
        <f t="shared" si="742"/>
        <v>10</v>
      </c>
      <c r="L2396" s="144">
        <f t="shared" si="763"/>
        <v>0</v>
      </c>
      <c r="M2396" s="275">
        <f t="shared" si="762"/>
        <v>10</v>
      </c>
      <c r="N2396" s="98">
        <v>1</v>
      </c>
      <c r="O2396" s="93">
        <f t="shared" si="760"/>
        <v>100</v>
      </c>
      <c r="KJ2396" s="100">
        <v>8</v>
      </c>
      <c r="KO2396" s="100">
        <v>2</v>
      </c>
      <c r="ON2396" s="100">
        <f t="shared" si="761"/>
        <v>0</v>
      </c>
    </row>
    <row r="2397" spans="1:404" ht="23.25" customHeight="1">
      <c r="A2397" s="127" t="str">
        <f t="shared" si="764"/>
        <v>047T/WESTELM-2166-87000-S1-B</v>
      </c>
      <c r="B2397" s="126">
        <v>44530</v>
      </c>
      <c r="C2397" s="127">
        <f t="shared" ca="1" si="757"/>
        <v>-534</v>
      </c>
      <c r="D2397" s="208" t="s">
        <v>1936</v>
      </c>
      <c r="E2397" s="123" t="s">
        <v>1388</v>
      </c>
      <c r="F2397" s="98" t="str">
        <f t="shared" si="765"/>
        <v>B</v>
      </c>
      <c r="G2397" s="110">
        <f ca="1">SUMIF($A:E,$A2397,K:K)</f>
        <v>12</v>
      </c>
      <c r="H2397" s="97" t="s">
        <v>1593</v>
      </c>
      <c r="I2397" s="98">
        <v>12</v>
      </c>
      <c r="J2397" s="115">
        <v>12</v>
      </c>
      <c r="K2397" s="143">
        <f t="shared" si="742"/>
        <v>12</v>
      </c>
      <c r="L2397" s="144">
        <f t="shared" si="763"/>
        <v>0</v>
      </c>
      <c r="M2397" s="275">
        <f t="shared" si="762"/>
        <v>12</v>
      </c>
      <c r="N2397" s="98">
        <v>1</v>
      </c>
      <c r="O2397" s="93">
        <f t="shared" si="760"/>
        <v>100</v>
      </c>
      <c r="LL2397" s="100">
        <v>12</v>
      </c>
      <c r="ON2397" s="100">
        <f t="shared" si="761"/>
        <v>0</v>
      </c>
    </row>
    <row r="2398" spans="1:404" ht="23.25" customHeight="1">
      <c r="A2398" s="97" t="str">
        <f t="shared" si="764"/>
        <v>047T/WESTELM-2166-87100-S1-B</v>
      </c>
      <c r="B2398" s="95">
        <v>44528</v>
      </c>
      <c r="C2398" s="97">
        <f t="shared" ca="1" si="757"/>
        <v>-536</v>
      </c>
      <c r="D2398" s="112" t="s">
        <v>1936</v>
      </c>
      <c r="E2398" s="123" t="s">
        <v>1389</v>
      </c>
      <c r="F2398" s="98" t="str">
        <f t="shared" si="765"/>
        <v>B</v>
      </c>
      <c r="G2398" s="110">
        <f ca="1">SUMIF($A:E,$A2398,K:K)</f>
        <v>13</v>
      </c>
      <c r="H2398" s="97" t="s">
        <v>1593</v>
      </c>
      <c r="I2398" s="98">
        <v>13</v>
      </c>
      <c r="J2398" s="115">
        <f>13</f>
        <v>13</v>
      </c>
      <c r="K2398" s="143">
        <f t="shared" si="742"/>
        <v>13</v>
      </c>
      <c r="L2398" s="144">
        <f t="shared" si="763"/>
        <v>0</v>
      </c>
      <c r="M2398" s="275">
        <f t="shared" si="762"/>
        <v>13</v>
      </c>
      <c r="N2398" s="98">
        <v>2</v>
      </c>
      <c r="O2398" s="93">
        <f t="shared" si="760"/>
        <v>100</v>
      </c>
      <c r="LF2398" s="100">
        <v>13</v>
      </c>
      <c r="ON2398" s="100">
        <f t="shared" si="761"/>
        <v>0</v>
      </c>
    </row>
    <row r="2399" spans="1:404" ht="23.25" customHeight="1">
      <c r="A2399" s="138" t="str">
        <f t="shared" si="764"/>
        <v>003/WESTELM-VG_SR-2166-87839-01-B</v>
      </c>
      <c r="B2399" s="114">
        <v>44478</v>
      </c>
      <c r="C2399" s="138">
        <f t="shared" ca="1" si="757"/>
        <v>-586</v>
      </c>
      <c r="D2399" s="234" t="s">
        <v>1940</v>
      </c>
      <c r="E2399" s="279" t="s">
        <v>1902</v>
      </c>
      <c r="F2399" s="98" t="str">
        <f t="shared" si="765"/>
        <v>B</v>
      </c>
      <c r="G2399" s="110">
        <f ca="1">SUMIF($A:E,$A2399,K:K)</f>
        <v>2</v>
      </c>
      <c r="H2399" s="112" t="s">
        <v>1941</v>
      </c>
      <c r="I2399" s="98">
        <v>2</v>
      </c>
      <c r="J2399" s="115">
        <v>2</v>
      </c>
      <c r="K2399" s="143">
        <f t="shared" si="742"/>
        <v>2</v>
      </c>
      <c r="L2399" s="144">
        <f t="shared" si="763"/>
        <v>0</v>
      </c>
      <c r="M2399" s="275">
        <f t="shared" si="762"/>
        <v>2</v>
      </c>
      <c r="N2399" s="98" t="s">
        <v>1776</v>
      </c>
      <c r="O2399" s="93">
        <f t="shared" si="760"/>
        <v>100</v>
      </c>
      <c r="JF2399" s="100">
        <v>2</v>
      </c>
      <c r="ON2399" s="100">
        <f t="shared" si="761"/>
        <v>0</v>
      </c>
    </row>
    <row r="2400" spans="1:404" ht="23.25" customHeight="1">
      <c r="A2400" s="97" t="str">
        <f t="shared" si="764"/>
        <v>003/WESTELM-VG_SR-2166-87939-01-B</v>
      </c>
      <c r="B2400" s="95">
        <v>44478</v>
      </c>
      <c r="C2400" s="97">
        <f t="shared" ca="1" si="757"/>
        <v>-586</v>
      </c>
      <c r="D2400" s="112" t="s">
        <v>1940</v>
      </c>
      <c r="E2400" s="279" t="s">
        <v>1905</v>
      </c>
      <c r="F2400" s="98" t="str">
        <f t="shared" si="765"/>
        <v>B</v>
      </c>
      <c r="G2400" s="110">
        <f ca="1">SUMIF($A:E,$A2400,K:K)</f>
        <v>2</v>
      </c>
      <c r="H2400" s="112" t="s">
        <v>1941</v>
      </c>
      <c r="I2400" s="98">
        <v>2</v>
      </c>
      <c r="J2400" s="115">
        <v>2</v>
      </c>
      <c r="K2400" s="143">
        <f t="shared" ref="K2400:K2463" si="766">SUM(P2400:BBC2400)</f>
        <v>2</v>
      </c>
      <c r="L2400" s="144">
        <f t="shared" ref="L2400" si="767">J2400-K2400</f>
        <v>0</v>
      </c>
      <c r="M2400" s="275">
        <f t="shared" si="762"/>
        <v>2</v>
      </c>
      <c r="N2400" s="98" t="s">
        <v>1776</v>
      </c>
      <c r="O2400" s="93">
        <f t="shared" si="760"/>
        <v>100</v>
      </c>
      <c r="JF2400" s="100">
        <v>2</v>
      </c>
      <c r="ON2400" s="100">
        <f t="shared" si="761"/>
        <v>0</v>
      </c>
    </row>
    <row r="2401" spans="1:404" ht="23.25" customHeight="1">
      <c r="A2401" s="97" t="str">
        <f t="shared" si="764"/>
        <v>003/WESTELM-VG_SR-2166-87839-02-B</v>
      </c>
      <c r="B2401" s="95">
        <v>44478</v>
      </c>
      <c r="C2401" s="97">
        <f t="shared" ref="C2401:C2432" ca="1" si="768">B2401-TODAY()</f>
        <v>-586</v>
      </c>
      <c r="D2401" s="112" t="s">
        <v>1940</v>
      </c>
      <c r="E2401" s="279" t="s">
        <v>1903</v>
      </c>
      <c r="F2401" s="98" t="str">
        <f t="shared" si="765"/>
        <v>B</v>
      </c>
      <c r="G2401" s="110">
        <f ca="1">SUMIF($A:E,$A2401,K:K)</f>
        <v>2</v>
      </c>
      <c r="H2401" s="112" t="s">
        <v>1941</v>
      </c>
      <c r="I2401" s="98">
        <v>2</v>
      </c>
      <c r="J2401" s="115">
        <v>2</v>
      </c>
      <c r="K2401" s="143">
        <f t="shared" si="766"/>
        <v>2</v>
      </c>
      <c r="L2401" s="144">
        <f t="shared" si="763"/>
        <v>0</v>
      </c>
      <c r="M2401" s="275">
        <f t="shared" si="762"/>
        <v>2</v>
      </c>
      <c r="N2401" s="98" t="s">
        <v>1776</v>
      </c>
      <c r="O2401" s="93">
        <f t="shared" si="760"/>
        <v>100</v>
      </c>
      <c r="JA2401" s="100">
        <v>1</v>
      </c>
      <c r="JC2401" s="100">
        <v>1</v>
      </c>
      <c r="ON2401" s="100">
        <f t="shared" si="761"/>
        <v>0</v>
      </c>
    </row>
    <row r="2402" spans="1:404" ht="23.25" customHeight="1">
      <c r="A2402" s="97" t="str">
        <f t="shared" si="764"/>
        <v>003/WESTELM-VG_SR-2166-87839-05-B</v>
      </c>
      <c r="B2402" s="95">
        <v>44478</v>
      </c>
      <c r="C2402" s="97">
        <f t="shared" ca="1" si="768"/>
        <v>-586</v>
      </c>
      <c r="D2402" s="112" t="s">
        <v>1940</v>
      </c>
      <c r="E2402" s="279" t="s">
        <v>1904</v>
      </c>
      <c r="F2402" s="98" t="str">
        <f t="shared" si="765"/>
        <v>B</v>
      </c>
      <c r="G2402" s="110">
        <f ca="1">SUMIF($A:E,$A2402,K:K)</f>
        <v>2</v>
      </c>
      <c r="H2402" s="112" t="s">
        <v>1941</v>
      </c>
      <c r="I2402" s="98">
        <v>2</v>
      </c>
      <c r="J2402" s="115">
        <v>2</v>
      </c>
      <c r="K2402" s="143">
        <f t="shared" si="766"/>
        <v>2</v>
      </c>
      <c r="L2402" s="144">
        <f t="shared" si="763"/>
        <v>0</v>
      </c>
      <c r="M2402" s="275">
        <f t="shared" si="762"/>
        <v>2</v>
      </c>
      <c r="N2402" s="98" t="s">
        <v>1776</v>
      </c>
      <c r="O2402" s="93">
        <f t="shared" si="760"/>
        <v>100</v>
      </c>
      <c r="JA2402" s="100">
        <v>1</v>
      </c>
      <c r="JC2402" s="100">
        <v>1</v>
      </c>
      <c r="ON2402" s="100">
        <f t="shared" si="761"/>
        <v>0</v>
      </c>
    </row>
    <row r="2403" spans="1:404" ht="23.25" customHeight="1">
      <c r="A2403" s="97" t="str">
        <f t="shared" si="764"/>
        <v>003/WESTELM-VG_SR-2166-88200-01-B</v>
      </c>
      <c r="B2403" s="95">
        <v>44478</v>
      </c>
      <c r="C2403" s="97">
        <f t="shared" ca="1" si="768"/>
        <v>-586</v>
      </c>
      <c r="D2403" s="112" t="s">
        <v>1940</v>
      </c>
      <c r="E2403" s="123" t="s">
        <v>1923</v>
      </c>
      <c r="F2403" s="98" t="str">
        <f t="shared" si="765"/>
        <v>B</v>
      </c>
      <c r="G2403" s="110">
        <f ca="1">SUMIF($A:E,$A2403,K:K)</f>
        <v>6</v>
      </c>
      <c r="H2403" s="112" t="s">
        <v>1941</v>
      </c>
      <c r="I2403" s="98">
        <v>6</v>
      </c>
      <c r="J2403" s="115">
        <v>6</v>
      </c>
      <c r="K2403" s="143">
        <f t="shared" si="766"/>
        <v>6</v>
      </c>
      <c r="L2403" s="144">
        <f t="shared" si="763"/>
        <v>0</v>
      </c>
      <c r="M2403" s="275">
        <f t="shared" si="762"/>
        <v>6</v>
      </c>
      <c r="N2403" s="98">
        <v>4</v>
      </c>
      <c r="O2403" s="93">
        <f t="shared" si="760"/>
        <v>100</v>
      </c>
      <c r="JF2403" s="100">
        <v>3</v>
      </c>
      <c r="JG2403" s="100">
        <v>1</v>
      </c>
      <c r="JH2403" s="100">
        <v>2</v>
      </c>
      <c r="ON2403" s="100">
        <f t="shared" si="761"/>
        <v>0</v>
      </c>
    </row>
    <row r="2404" spans="1:404" ht="23.25" customHeight="1">
      <c r="A2404" s="97" t="str">
        <f t="shared" si="764"/>
        <v>003/WESTELM-VG_SR-2166-88300-S1-B</v>
      </c>
      <c r="B2404" s="95">
        <v>44478</v>
      </c>
      <c r="C2404" s="97">
        <f t="shared" ca="1" si="768"/>
        <v>-586</v>
      </c>
      <c r="D2404" s="112" t="s">
        <v>1940</v>
      </c>
      <c r="E2404" s="123" t="s">
        <v>1924</v>
      </c>
      <c r="F2404" s="98" t="str">
        <f t="shared" si="765"/>
        <v>B</v>
      </c>
      <c r="G2404" s="110">
        <f ca="1">SUMIF($A:E,$A2404,K:K)</f>
        <v>6</v>
      </c>
      <c r="H2404" s="112" t="s">
        <v>1941</v>
      </c>
      <c r="I2404" s="98">
        <v>6</v>
      </c>
      <c r="J2404" s="115">
        <v>6</v>
      </c>
      <c r="K2404" s="143">
        <f t="shared" si="766"/>
        <v>6</v>
      </c>
      <c r="L2404" s="144">
        <f t="shared" si="763"/>
        <v>0</v>
      </c>
      <c r="M2404" s="275">
        <f t="shared" si="762"/>
        <v>6</v>
      </c>
      <c r="N2404" s="98">
        <v>4</v>
      </c>
      <c r="O2404" s="93">
        <f t="shared" si="760"/>
        <v>100</v>
      </c>
      <c r="JG2404" s="100">
        <v>4</v>
      </c>
      <c r="JH2404" s="100">
        <v>1</v>
      </c>
      <c r="JI2404" s="100">
        <v>1</v>
      </c>
      <c r="ON2404" s="100">
        <f t="shared" si="761"/>
        <v>0</v>
      </c>
    </row>
    <row r="2405" spans="1:404" ht="23.25" customHeight="1">
      <c r="A2405" s="97" t="str">
        <f t="shared" si="764"/>
        <v>003/WESTELM-VG_SR-2166-88400-S1-B</v>
      </c>
      <c r="B2405" s="95">
        <v>44478</v>
      </c>
      <c r="C2405" s="97">
        <f t="shared" ca="1" si="768"/>
        <v>-586</v>
      </c>
      <c r="D2405" s="112" t="s">
        <v>1940</v>
      </c>
      <c r="E2405" s="123" t="s">
        <v>1925</v>
      </c>
      <c r="F2405" s="98" t="str">
        <f t="shared" si="765"/>
        <v>B</v>
      </c>
      <c r="G2405" s="110">
        <f ca="1">SUMIF($A:E,$A2405,K:K)</f>
        <v>6</v>
      </c>
      <c r="H2405" s="112" t="s">
        <v>1941</v>
      </c>
      <c r="I2405" s="98">
        <v>6</v>
      </c>
      <c r="J2405" s="115">
        <v>6</v>
      </c>
      <c r="K2405" s="143">
        <f t="shared" si="766"/>
        <v>6</v>
      </c>
      <c r="L2405" s="144">
        <f t="shared" si="763"/>
        <v>0</v>
      </c>
      <c r="M2405" s="275">
        <f t="shared" si="762"/>
        <v>6</v>
      </c>
      <c r="N2405" s="98">
        <v>4</v>
      </c>
      <c r="O2405" s="93">
        <f t="shared" si="760"/>
        <v>100</v>
      </c>
      <c r="JG2405" s="100">
        <v>5</v>
      </c>
      <c r="JH2405" s="100">
        <v>1</v>
      </c>
      <c r="ON2405" s="100">
        <f t="shared" si="761"/>
        <v>0</v>
      </c>
    </row>
    <row r="2406" spans="1:404" ht="23.25" customHeight="1">
      <c r="A2406" s="97" t="str">
        <f t="shared" si="764"/>
        <v>003/WESTELM-VG_SR-2166-88500-04-B</v>
      </c>
      <c r="B2406" s="95">
        <v>44478</v>
      </c>
      <c r="C2406" s="97">
        <f t="shared" ca="1" si="768"/>
        <v>-586</v>
      </c>
      <c r="D2406" s="112" t="s">
        <v>1940</v>
      </c>
      <c r="E2406" s="123" t="s">
        <v>1926</v>
      </c>
      <c r="F2406" s="98" t="str">
        <f t="shared" si="765"/>
        <v>B</v>
      </c>
      <c r="G2406" s="110">
        <f ca="1">SUMIF($A:E,$A2406,K:K)</f>
        <v>5</v>
      </c>
      <c r="H2406" s="112" t="s">
        <v>1941</v>
      </c>
      <c r="I2406" s="98">
        <v>5</v>
      </c>
      <c r="J2406" s="115">
        <v>5</v>
      </c>
      <c r="K2406" s="143">
        <f t="shared" si="766"/>
        <v>5</v>
      </c>
      <c r="L2406" s="144">
        <f t="shared" si="763"/>
        <v>0</v>
      </c>
      <c r="M2406" s="275">
        <f t="shared" si="762"/>
        <v>5</v>
      </c>
      <c r="N2406" s="98">
        <v>4</v>
      </c>
      <c r="O2406" s="93">
        <f t="shared" si="760"/>
        <v>100</v>
      </c>
      <c r="JF2406" s="100">
        <v>2</v>
      </c>
      <c r="JG2406" s="100">
        <v>3</v>
      </c>
      <c r="ON2406" s="100">
        <f t="shared" si="761"/>
        <v>0</v>
      </c>
    </row>
    <row r="2407" spans="1:404" ht="23.25" customHeight="1">
      <c r="A2407" s="97" t="str">
        <f t="shared" si="764"/>
        <v>003/WESTELM-VG_SR-2166-88600-01-B</v>
      </c>
      <c r="B2407" s="95">
        <v>44478</v>
      </c>
      <c r="C2407" s="97">
        <f t="shared" ca="1" si="768"/>
        <v>-586</v>
      </c>
      <c r="D2407" s="112" t="s">
        <v>1940</v>
      </c>
      <c r="E2407" s="123" t="s">
        <v>1927</v>
      </c>
      <c r="F2407" s="98" t="str">
        <f t="shared" si="765"/>
        <v>B</v>
      </c>
      <c r="G2407" s="110">
        <f ca="1">SUMIF($A:E,$A2407,K:K)</f>
        <v>2</v>
      </c>
      <c r="H2407" s="112" t="s">
        <v>1941</v>
      </c>
      <c r="I2407" s="98">
        <v>2</v>
      </c>
      <c r="J2407" s="115">
        <v>2</v>
      </c>
      <c r="K2407" s="143">
        <f t="shared" si="766"/>
        <v>2</v>
      </c>
      <c r="L2407" s="144">
        <f t="shared" si="763"/>
        <v>0</v>
      </c>
      <c r="M2407" s="275">
        <f t="shared" ref="M2407:M2438" si="769">IF(OR(MID(E2407,10,1)="0",MID(E2407,10,1)="F"),I2407,IF(OR(,MID(E2407,10,1)="S",MID(E2407,10,1)="L",MID(E2407,10,1)="B",MID(E2407,10,1)="X"),MID(E2407,11,1)*I2407,0))</f>
        <v>2</v>
      </c>
      <c r="N2407" s="98">
        <v>4</v>
      </c>
      <c r="O2407" s="93">
        <f t="shared" si="760"/>
        <v>100</v>
      </c>
      <c r="JF2407" s="100">
        <v>2</v>
      </c>
      <c r="ON2407" s="100">
        <f t="shared" si="761"/>
        <v>0</v>
      </c>
    </row>
    <row r="2408" spans="1:404" ht="23.25" customHeight="1">
      <c r="A2408" s="97" t="str">
        <f t="shared" si="764"/>
        <v>003/WESTELM-VG_SR-2166-88700-S1-B</v>
      </c>
      <c r="B2408" s="95">
        <v>44478</v>
      </c>
      <c r="C2408" s="97">
        <f t="shared" ca="1" si="768"/>
        <v>-586</v>
      </c>
      <c r="D2408" s="112" t="s">
        <v>1940</v>
      </c>
      <c r="E2408" s="123" t="s">
        <v>1911</v>
      </c>
      <c r="F2408" s="98" t="str">
        <f t="shared" si="765"/>
        <v>B</v>
      </c>
      <c r="G2408" s="110">
        <f ca="1">SUMIF($A:E,$A2408,K:K)</f>
        <v>3</v>
      </c>
      <c r="H2408" s="112" t="s">
        <v>1942</v>
      </c>
      <c r="I2408" s="98">
        <v>3</v>
      </c>
      <c r="J2408" s="115">
        <v>3</v>
      </c>
      <c r="K2408" s="143">
        <f t="shared" si="766"/>
        <v>3</v>
      </c>
      <c r="L2408" s="144">
        <f t="shared" si="763"/>
        <v>0</v>
      </c>
      <c r="M2408" s="275">
        <f t="shared" si="769"/>
        <v>3</v>
      </c>
      <c r="N2408" s="98">
        <v>1</v>
      </c>
      <c r="O2408" s="93">
        <f t="shared" si="760"/>
        <v>100</v>
      </c>
      <c r="JC2408" s="100">
        <v>3</v>
      </c>
      <c r="ON2408" s="100">
        <f t="shared" si="761"/>
        <v>0</v>
      </c>
    </row>
    <row r="2409" spans="1:404" ht="23.25" customHeight="1">
      <c r="A2409" s="97" t="str">
        <f t="shared" si="764"/>
        <v>060/VG_SR-21( WESTELM)66-87839-01-B</v>
      </c>
      <c r="B2409" s="95">
        <v>44478</v>
      </c>
      <c r="C2409" s="97">
        <f t="shared" ca="1" si="768"/>
        <v>-586</v>
      </c>
      <c r="D2409" s="112" t="s">
        <v>1943</v>
      </c>
      <c r="E2409" s="279" t="s">
        <v>1902</v>
      </c>
      <c r="F2409" s="98" t="str">
        <f t="shared" si="765"/>
        <v>B</v>
      </c>
      <c r="G2409" s="110">
        <f ca="1">SUMIF($A:E,$A2409,K:K)</f>
        <v>1</v>
      </c>
      <c r="H2409" s="112" t="s">
        <v>1944</v>
      </c>
      <c r="I2409" s="98">
        <v>1</v>
      </c>
      <c r="J2409" s="115">
        <v>1</v>
      </c>
      <c r="K2409" s="143">
        <f t="shared" si="766"/>
        <v>1</v>
      </c>
      <c r="L2409" s="144">
        <f t="shared" ref="L2409:L2418" si="770">J2409-K2409</f>
        <v>0</v>
      </c>
      <c r="M2409" s="275">
        <f t="shared" si="769"/>
        <v>1</v>
      </c>
      <c r="N2409" s="98" t="s">
        <v>1776</v>
      </c>
      <c r="O2409" s="93">
        <f t="shared" si="760"/>
        <v>100</v>
      </c>
      <c r="JC2409" s="100">
        <v>1</v>
      </c>
      <c r="ON2409" s="100">
        <f t="shared" si="761"/>
        <v>0</v>
      </c>
    </row>
    <row r="2410" spans="1:404" ht="23.25" customHeight="1">
      <c r="A2410" s="97" t="str">
        <f t="shared" si="764"/>
        <v>060/VG_SR-21( WESTELM)66-87839-02-B</v>
      </c>
      <c r="B2410" s="95">
        <v>44478</v>
      </c>
      <c r="C2410" s="97">
        <f t="shared" ca="1" si="768"/>
        <v>-586</v>
      </c>
      <c r="D2410" s="112" t="s">
        <v>1943</v>
      </c>
      <c r="E2410" s="279" t="s">
        <v>1903</v>
      </c>
      <c r="F2410" s="98" t="str">
        <f t="shared" si="765"/>
        <v>B</v>
      </c>
      <c r="G2410" s="110">
        <f ca="1">SUMIF($A:E,$A2410,K:K)</f>
        <v>1</v>
      </c>
      <c r="H2410" s="112" t="s">
        <v>1944</v>
      </c>
      <c r="I2410" s="98">
        <v>1</v>
      </c>
      <c r="J2410" s="115">
        <v>1</v>
      </c>
      <c r="K2410" s="143">
        <f t="shared" si="766"/>
        <v>1</v>
      </c>
      <c r="L2410" s="144">
        <f t="shared" si="770"/>
        <v>0</v>
      </c>
      <c r="M2410" s="275">
        <f t="shared" si="769"/>
        <v>1</v>
      </c>
      <c r="N2410" s="98" t="s">
        <v>1776</v>
      </c>
      <c r="O2410" s="93">
        <f t="shared" si="760"/>
        <v>100</v>
      </c>
      <c r="JC2410" s="100">
        <v>1</v>
      </c>
      <c r="ON2410" s="100">
        <f t="shared" si="761"/>
        <v>0</v>
      </c>
    </row>
    <row r="2411" spans="1:404" ht="23.25" customHeight="1">
      <c r="A2411" s="97" t="str">
        <f t="shared" si="764"/>
        <v>060/VG_SR-21( WESTELM)66-87839-05-B</v>
      </c>
      <c r="B2411" s="95">
        <v>44478</v>
      </c>
      <c r="C2411" s="97">
        <f t="shared" ca="1" si="768"/>
        <v>-586</v>
      </c>
      <c r="D2411" s="112" t="s">
        <v>1943</v>
      </c>
      <c r="E2411" s="279" t="s">
        <v>1904</v>
      </c>
      <c r="F2411" s="98" t="str">
        <f t="shared" si="765"/>
        <v>B</v>
      </c>
      <c r="G2411" s="110">
        <f ca="1">SUMIF($A:E,$A2411,K:K)</f>
        <v>1</v>
      </c>
      <c r="H2411" s="112" t="s">
        <v>1944</v>
      </c>
      <c r="I2411" s="98">
        <v>1</v>
      </c>
      <c r="J2411" s="115">
        <v>1</v>
      </c>
      <c r="K2411" s="143">
        <f t="shared" si="766"/>
        <v>1</v>
      </c>
      <c r="L2411" s="144">
        <f t="shared" si="770"/>
        <v>0</v>
      </c>
      <c r="M2411" s="275">
        <f t="shared" si="769"/>
        <v>1</v>
      </c>
      <c r="N2411" s="98" t="s">
        <v>1776</v>
      </c>
      <c r="O2411" s="93">
        <f t="shared" si="760"/>
        <v>100</v>
      </c>
      <c r="JC2411" s="100">
        <v>1</v>
      </c>
      <c r="ON2411" s="100">
        <f t="shared" si="761"/>
        <v>0</v>
      </c>
    </row>
    <row r="2412" spans="1:404" ht="23.25" customHeight="1">
      <c r="A2412" s="97" t="str">
        <f t="shared" si="764"/>
        <v>060/VG_SR-21( WESTELM)66-87939-01-B</v>
      </c>
      <c r="B2412" s="95">
        <v>44478</v>
      </c>
      <c r="C2412" s="97">
        <f t="shared" ca="1" si="768"/>
        <v>-586</v>
      </c>
      <c r="D2412" s="112" t="s">
        <v>1943</v>
      </c>
      <c r="E2412" s="279" t="s">
        <v>1905</v>
      </c>
      <c r="F2412" s="98" t="str">
        <f t="shared" si="765"/>
        <v>B</v>
      </c>
      <c r="G2412" s="110">
        <f ca="1">SUMIF($A:E,$A2412,K:K)</f>
        <v>1</v>
      </c>
      <c r="H2412" s="112" t="s">
        <v>1944</v>
      </c>
      <c r="I2412" s="98">
        <v>1</v>
      </c>
      <c r="J2412" s="115">
        <v>1</v>
      </c>
      <c r="K2412" s="143">
        <f t="shared" si="766"/>
        <v>1</v>
      </c>
      <c r="L2412" s="144">
        <f t="shared" si="770"/>
        <v>0</v>
      </c>
      <c r="M2412" s="275">
        <f t="shared" si="769"/>
        <v>1</v>
      </c>
      <c r="N2412" s="98" t="s">
        <v>1776</v>
      </c>
      <c r="O2412" s="93">
        <f t="shared" si="760"/>
        <v>100</v>
      </c>
      <c r="JF2412" s="100">
        <v>1</v>
      </c>
      <c r="ON2412" s="100">
        <f t="shared" si="761"/>
        <v>0</v>
      </c>
    </row>
    <row r="2413" spans="1:404" ht="23.25" customHeight="1">
      <c r="A2413" s="97" t="str">
        <f t="shared" si="764"/>
        <v>060/VG_SR-21( WESTELM)66-88200-01-B</v>
      </c>
      <c r="B2413" s="95">
        <v>44478</v>
      </c>
      <c r="C2413" s="97">
        <f t="shared" ca="1" si="768"/>
        <v>-586</v>
      </c>
      <c r="D2413" s="112" t="s">
        <v>1943</v>
      </c>
      <c r="E2413" s="123" t="s">
        <v>1923</v>
      </c>
      <c r="F2413" s="98" t="str">
        <f t="shared" si="765"/>
        <v>B</v>
      </c>
      <c r="G2413" s="110">
        <f ca="1">SUMIF($A:E,$A2413,K:K)</f>
        <v>2</v>
      </c>
      <c r="H2413" s="112" t="s">
        <v>1944</v>
      </c>
      <c r="I2413" s="98">
        <v>1</v>
      </c>
      <c r="J2413" s="115">
        <v>2</v>
      </c>
      <c r="K2413" s="143">
        <f t="shared" si="766"/>
        <v>2</v>
      </c>
      <c r="L2413" s="144">
        <f t="shared" si="770"/>
        <v>0</v>
      </c>
      <c r="M2413" s="275">
        <f t="shared" si="769"/>
        <v>1</v>
      </c>
      <c r="N2413" s="98">
        <v>4</v>
      </c>
      <c r="O2413" s="93">
        <f t="shared" si="760"/>
        <v>100</v>
      </c>
      <c r="JI2413" s="100">
        <v>1</v>
      </c>
      <c r="JJ2413" s="100">
        <v>1</v>
      </c>
      <c r="ON2413" s="100">
        <f t="shared" si="761"/>
        <v>0</v>
      </c>
    </row>
    <row r="2414" spans="1:404" ht="23.25" customHeight="1">
      <c r="A2414" s="97" t="str">
        <f t="shared" si="764"/>
        <v>060/VG_SR-21( WESTELM)66-88300-S1-B</v>
      </c>
      <c r="B2414" s="95">
        <v>44478</v>
      </c>
      <c r="C2414" s="97">
        <f t="shared" ca="1" si="768"/>
        <v>-586</v>
      </c>
      <c r="D2414" s="112" t="s">
        <v>1943</v>
      </c>
      <c r="E2414" s="123" t="s">
        <v>1924</v>
      </c>
      <c r="F2414" s="98" t="str">
        <f t="shared" si="765"/>
        <v>B</v>
      </c>
      <c r="G2414" s="110"/>
      <c r="H2414" s="112" t="s">
        <v>1944</v>
      </c>
      <c r="I2414" s="98">
        <v>2</v>
      </c>
      <c r="J2414" s="115">
        <v>2</v>
      </c>
      <c r="K2414" s="143">
        <f t="shared" si="766"/>
        <v>2</v>
      </c>
      <c r="L2414" s="144">
        <f t="shared" si="770"/>
        <v>0</v>
      </c>
      <c r="M2414" s="275">
        <f t="shared" si="769"/>
        <v>2</v>
      </c>
      <c r="N2414" s="98">
        <v>4</v>
      </c>
      <c r="O2414" s="93">
        <f t="shared" si="760"/>
        <v>100</v>
      </c>
      <c r="JJ2414" s="100">
        <v>2</v>
      </c>
      <c r="ON2414" s="100">
        <f t="shared" si="761"/>
        <v>0</v>
      </c>
    </row>
    <row r="2415" spans="1:404" ht="23.25" customHeight="1">
      <c r="A2415" s="97" t="str">
        <f t="shared" si="764"/>
        <v>060/VG_SR-21( WESTELM)66-88400-S1-B</v>
      </c>
      <c r="B2415" s="95">
        <v>44478</v>
      </c>
      <c r="C2415" s="97">
        <f t="shared" ca="1" si="768"/>
        <v>-586</v>
      </c>
      <c r="D2415" s="112" t="s">
        <v>1943</v>
      </c>
      <c r="E2415" s="123" t="s">
        <v>1925</v>
      </c>
      <c r="F2415" s="98" t="str">
        <f t="shared" si="765"/>
        <v>B</v>
      </c>
      <c r="G2415" s="110">
        <f ca="1">SUMIF($A:E,$A2415,K:K)</f>
        <v>2</v>
      </c>
      <c r="H2415" s="112" t="s">
        <v>1944</v>
      </c>
      <c r="I2415" s="98">
        <v>2</v>
      </c>
      <c r="J2415" s="115">
        <v>2</v>
      </c>
      <c r="K2415" s="143">
        <f t="shared" si="766"/>
        <v>2</v>
      </c>
      <c r="L2415" s="144">
        <f t="shared" si="770"/>
        <v>0</v>
      </c>
      <c r="M2415" s="275">
        <f t="shared" si="769"/>
        <v>2</v>
      </c>
      <c r="N2415" s="98">
        <v>4</v>
      </c>
      <c r="O2415" s="93">
        <f t="shared" si="760"/>
        <v>100</v>
      </c>
      <c r="JI2415" s="100">
        <v>1</v>
      </c>
      <c r="JJ2415" s="100">
        <v>1</v>
      </c>
      <c r="ON2415" s="100">
        <f t="shared" si="761"/>
        <v>0</v>
      </c>
    </row>
    <row r="2416" spans="1:404" ht="23.25" customHeight="1">
      <c r="A2416" s="97" t="str">
        <f t="shared" si="764"/>
        <v>060/VG_SR-21( WESTELM)66-88500-04-B</v>
      </c>
      <c r="B2416" s="95">
        <v>44478</v>
      </c>
      <c r="C2416" s="97">
        <f t="shared" ca="1" si="768"/>
        <v>-586</v>
      </c>
      <c r="D2416" s="112" t="s">
        <v>1943</v>
      </c>
      <c r="E2416" s="123" t="s">
        <v>1926</v>
      </c>
      <c r="F2416" s="98" t="str">
        <f t="shared" si="765"/>
        <v>B</v>
      </c>
      <c r="G2416" s="110">
        <f ca="1">SUMIF($A:E,$A2416,K:K)</f>
        <v>2</v>
      </c>
      <c r="H2416" s="112" t="s">
        <v>1944</v>
      </c>
      <c r="I2416" s="98">
        <v>2</v>
      </c>
      <c r="J2416" s="115">
        <v>2</v>
      </c>
      <c r="K2416" s="143">
        <f t="shared" si="766"/>
        <v>2</v>
      </c>
      <c r="L2416" s="144">
        <f t="shared" si="770"/>
        <v>0</v>
      </c>
      <c r="M2416" s="275">
        <f t="shared" si="769"/>
        <v>2</v>
      </c>
      <c r="N2416" s="98">
        <v>4</v>
      </c>
      <c r="O2416" s="93">
        <f t="shared" si="760"/>
        <v>100</v>
      </c>
      <c r="JG2416" s="100">
        <v>2</v>
      </c>
      <c r="ON2416" s="100">
        <f t="shared" si="761"/>
        <v>0</v>
      </c>
    </row>
    <row r="2417" spans="1:404" ht="23.25" customHeight="1">
      <c r="A2417" s="97" t="str">
        <f t="shared" si="764"/>
        <v>060/VG_SR-21( WESTELM)66-88600-01-B</v>
      </c>
      <c r="B2417" s="95">
        <v>44478</v>
      </c>
      <c r="C2417" s="97">
        <f t="shared" ca="1" si="768"/>
        <v>-586</v>
      </c>
      <c r="D2417" s="112" t="s">
        <v>1943</v>
      </c>
      <c r="E2417" s="123" t="s">
        <v>1927</v>
      </c>
      <c r="F2417" s="98" t="str">
        <f t="shared" si="765"/>
        <v>B</v>
      </c>
      <c r="G2417" s="110">
        <f ca="1">SUMIF($A:E,$A2417,K:K)</f>
        <v>1</v>
      </c>
      <c r="H2417" s="112" t="s">
        <v>1944</v>
      </c>
      <c r="I2417" s="98">
        <v>1</v>
      </c>
      <c r="J2417" s="115">
        <v>1</v>
      </c>
      <c r="K2417" s="143">
        <f t="shared" si="766"/>
        <v>1</v>
      </c>
      <c r="L2417" s="144">
        <f t="shared" si="770"/>
        <v>0</v>
      </c>
      <c r="M2417" s="275">
        <f t="shared" si="769"/>
        <v>1</v>
      </c>
      <c r="N2417" s="98">
        <v>4</v>
      </c>
      <c r="O2417" s="93">
        <f t="shared" si="760"/>
        <v>100</v>
      </c>
      <c r="JF2417" s="100">
        <v>1</v>
      </c>
      <c r="ON2417" s="100">
        <f t="shared" si="761"/>
        <v>0</v>
      </c>
    </row>
    <row r="2418" spans="1:404" ht="23.25" customHeight="1">
      <c r="A2418" s="97" t="str">
        <f t="shared" si="764"/>
        <v>060/VG_SR-21( WESTELM)66-88700-S1-B</v>
      </c>
      <c r="B2418" s="95">
        <v>44478</v>
      </c>
      <c r="C2418" s="97">
        <f t="shared" ca="1" si="768"/>
        <v>-586</v>
      </c>
      <c r="D2418" s="112" t="s">
        <v>1943</v>
      </c>
      <c r="E2418" s="123" t="s">
        <v>1911</v>
      </c>
      <c r="F2418" s="98" t="str">
        <f t="shared" si="765"/>
        <v>B</v>
      </c>
      <c r="G2418" s="110">
        <f ca="1">SUMIF($A:E,$A2418,K:K)</f>
        <v>1</v>
      </c>
      <c r="H2418" s="112" t="s">
        <v>1945</v>
      </c>
      <c r="I2418" s="98">
        <v>1</v>
      </c>
      <c r="J2418" s="115">
        <v>1</v>
      </c>
      <c r="K2418" s="143">
        <f t="shared" si="766"/>
        <v>1</v>
      </c>
      <c r="L2418" s="144">
        <f t="shared" si="770"/>
        <v>0</v>
      </c>
      <c r="M2418" s="275">
        <f t="shared" si="769"/>
        <v>1</v>
      </c>
      <c r="N2418" s="98">
        <v>1</v>
      </c>
      <c r="O2418" s="93">
        <f t="shared" si="760"/>
        <v>100</v>
      </c>
      <c r="JC2418" s="100">
        <v>1</v>
      </c>
      <c r="ON2418" s="100">
        <f t="shared" si="761"/>
        <v>0</v>
      </c>
    </row>
    <row r="2419" spans="1:404" ht="23.25" customHeight="1">
      <c r="A2419" s="127" t="str">
        <f t="shared" si="764"/>
        <v>272/KHBS-21(194/POTTERYPOT-21)68-72800-02-A</v>
      </c>
      <c r="B2419" s="126">
        <v>44471</v>
      </c>
      <c r="C2419" s="127">
        <f t="shared" ca="1" si="768"/>
        <v>-593</v>
      </c>
      <c r="D2419" s="128" t="s">
        <v>1946</v>
      </c>
      <c r="E2419" s="287" t="s">
        <v>229</v>
      </c>
      <c r="F2419" s="132" t="str">
        <f t="shared" si="765"/>
        <v>A</v>
      </c>
      <c r="G2419" s="130">
        <f ca="1">SUMIF($A:E,$A2419,K:K)</f>
        <v>1</v>
      </c>
      <c r="H2419" s="127" t="s">
        <v>1947</v>
      </c>
      <c r="I2419" s="98">
        <v>1</v>
      </c>
      <c r="J2419" s="131">
        <v>1</v>
      </c>
      <c r="K2419" s="160">
        <f t="shared" si="766"/>
        <v>1</v>
      </c>
      <c r="L2419" s="151">
        <f t="shared" ref="L2419" si="771">J2419-K2419</f>
        <v>0</v>
      </c>
      <c r="M2419" s="275">
        <f t="shared" si="769"/>
        <v>1</v>
      </c>
      <c r="N2419" s="132" t="s">
        <v>1776</v>
      </c>
      <c r="O2419" s="93">
        <f t="shared" si="760"/>
        <v>100</v>
      </c>
      <c r="JD2419" s="100">
        <v>1</v>
      </c>
      <c r="ON2419" s="100">
        <f t="shared" si="761"/>
        <v>0</v>
      </c>
    </row>
    <row r="2420" spans="1:404" ht="23.25" customHeight="1">
      <c r="A2420" s="97" t="str">
        <f t="shared" si="764"/>
        <v>062/VG_SR-21(WESTEML)66-87839-04-B</v>
      </c>
      <c r="B2420" s="95">
        <v>44471</v>
      </c>
      <c r="C2420" s="97">
        <f t="shared" ca="1" si="768"/>
        <v>-593</v>
      </c>
      <c r="D2420" s="96" t="s">
        <v>1948</v>
      </c>
      <c r="E2420" s="280" t="s">
        <v>1803</v>
      </c>
      <c r="F2420" s="98" t="str">
        <f t="shared" si="765"/>
        <v>B</v>
      </c>
      <c r="G2420" s="110">
        <f ca="1">SUMIF($A:E,$A2420,K:K)</f>
        <v>1</v>
      </c>
      <c r="H2420" s="97" t="s">
        <v>1949</v>
      </c>
      <c r="I2420" s="98">
        <v>1</v>
      </c>
      <c r="J2420" s="99">
        <v>1</v>
      </c>
      <c r="K2420" s="143">
        <f t="shared" si="766"/>
        <v>1</v>
      </c>
      <c r="L2420" s="144">
        <f t="shared" ref="L2420:L2421" si="772">J2420-K2420</f>
        <v>0</v>
      </c>
      <c r="M2420" s="275">
        <f t="shared" si="769"/>
        <v>1</v>
      </c>
      <c r="N2420" s="98" t="s">
        <v>1768</v>
      </c>
      <c r="O2420" s="93">
        <f t="shared" si="760"/>
        <v>100</v>
      </c>
      <c r="JA2420" s="100">
        <v>1</v>
      </c>
      <c r="ON2420" s="100">
        <f t="shared" si="761"/>
        <v>0</v>
      </c>
    </row>
    <row r="2421" spans="1:404" ht="23.25" customHeight="1">
      <c r="A2421" s="135" t="str">
        <f t="shared" si="764"/>
        <v>273/KHBS-2168-72800-03-A</v>
      </c>
      <c r="B2421" s="163">
        <v>44472</v>
      </c>
      <c r="C2421" s="135">
        <f t="shared" ca="1" si="768"/>
        <v>-592</v>
      </c>
      <c r="D2421" s="264" t="s">
        <v>1951</v>
      </c>
      <c r="E2421" s="375" t="s">
        <v>230</v>
      </c>
      <c r="F2421" s="136" t="str">
        <f t="shared" si="765"/>
        <v>A</v>
      </c>
      <c r="G2421" s="137">
        <f ca="1">SUMIF($A:E,$A2421,K:K)</f>
        <v>1</v>
      </c>
      <c r="H2421" s="135" t="s">
        <v>1952</v>
      </c>
      <c r="I2421" s="98">
        <v>1</v>
      </c>
      <c r="J2421" s="270">
        <v>1</v>
      </c>
      <c r="K2421" s="230">
        <f t="shared" si="766"/>
        <v>1</v>
      </c>
      <c r="L2421" s="155">
        <f t="shared" si="772"/>
        <v>0</v>
      </c>
      <c r="M2421" s="275">
        <f t="shared" si="769"/>
        <v>1</v>
      </c>
      <c r="N2421" s="136" t="s">
        <v>1768</v>
      </c>
      <c r="O2421" s="93">
        <f t="shared" si="760"/>
        <v>100</v>
      </c>
      <c r="JN2421" s="100">
        <v>1</v>
      </c>
      <c r="ON2421" s="100">
        <f t="shared" si="761"/>
        <v>0</v>
      </c>
    </row>
    <row r="2422" spans="1:404" ht="23.25" customHeight="1">
      <c r="A2422" s="127" t="str">
        <f t="shared" si="764"/>
        <v>061/VG_SR-21(EUROMARKET)66-64700-S1-B</v>
      </c>
      <c r="B2422" s="126">
        <v>44471</v>
      </c>
      <c r="C2422" s="127">
        <f t="shared" ca="1" si="768"/>
        <v>-593</v>
      </c>
      <c r="D2422" s="128" t="s">
        <v>1953</v>
      </c>
      <c r="E2422" s="129" t="s">
        <v>635</v>
      </c>
      <c r="F2422" s="132" t="str">
        <f t="shared" si="765"/>
        <v>B</v>
      </c>
      <c r="G2422" s="130">
        <f ca="1">SUMIF($A:E,$A2422,K:K)</f>
        <v>2</v>
      </c>
      <c r="H2422" s="127" t="s">
        <v>1954</v>
      </c>
      <c r="I2422" s="98">
        <v>2</v>
      </c>
      <c r="J2422" s="131">
        <v>2</v>
      </c>
      <c r="K2422" s="160">
        <f t="shared" si="766"/>
        <v>2</v>
      </c>
      <c r="L2422" s="151">
        <f t="shared" ref="L2422:L2425" si="773">J2422-K2422</f>
        <v>0</v>
      </c>
      <c r="M2422" s="275">
        <f t="shared" si="769"/>
        <v>2</v>
      </c>
      <c r="N2422" s="132">
        <v>1</v>
      </c>
      <c r="O2422" s="93">
        <f t="shared" si="760"/>
        <v>100</v>
      </c>
      <c r="JB2422" s="100">
        <v>2</v>
      </c>
      <c r="ON2422" s="100">
        <f t="shared" si="761"/>
        <v>0</v>
      </c>
    </row>
    <row r="2423" spans="1:404" ht="23.25" customHeight="1">
      <c r="A2423" s="97" t="str">
        <f t="shared" si="764"/>
        <v>272/KHBS-2166-01700-03-B</v>
      </c>
      <c r="B2423" s="95">
        <v>44469</v>
      </c>
      <c r="C2423" s="97">
        <f t="shared" ca="1" si="768"/>
        <v>-595</v>
      </c>
      <c r="D2423" s="96" t="s">
        <v>1956</v>
      </c>
      <c r="E2423" s="94" t="s">
        <v>1537</v>
      </c>
      <c r="F2423" s="98" t="str">
        <f t="shared" si="765"/>
        <v>B</v>
      </c>
      <c r="G2423" s="110">
        <f ca="1">SUMIF($A:E,$A2423,K:K)</f>
        <v>2</v>
      </c>
      <c r="H2423" s="97" t="s">
        <v>508</v>
      </c>
      <c r="I2423" s="98">
        <v>2</v>
      </c>
      <c r="J2423" s="115">
        <v>2</v>
      </c>
      <c r="K2423" s="143">
        <f t="shared" si="766"/>
        <v>2</v>
      </c>
      <c r="L2423" s="144">
        <f t="shared" si="773"/>
        <v>0</v>
      </c>
      <c r="M2423" s="275">
        <f t="shared" si="769"/>
        <v>2</v>
      </c>
      <c r="N2423" s="98">
        <v>4</v>
      </c>
      <c r="O2423" s="93">
        <f t="shared" si="760"/>
        <v>100</v>
      </c>
      <c r="JB2423" s="100">
        <v>2</v>
      </c>
      <c r="ON2423" s="100">
        <f t="shared" si="761"/>
        <v>0</v>
      </c>
    </row>
    <row r="2424" spans="1:404" ht="23.25" customHeight="1">
      <c r="A2424" s="127" t="str">
        <f t="shared" si="764"/>
        <v>272/KHBS-2166-79135-01-B</v>
      </c>
      <c r="B2424" s="126">
        <v>44469</v>
      </c>
      <c r="C2424" s="127">
        <f t="shared" ca="1" si="768"/>
        <v>-595</v>
      </c>
      <c r="D2424" s="128" t="s">
        <v>1956</v>
      </c>
      <c r="E2424" s="129" t="s">
        <v>1957</v>
      </c>
      <c r="F2424" s="132" t="str">
        <f t="shared" si="765"/>
        <v>B</v>
      </c>
      <c r="G2424" s="130">
        <f ca="1">SUMIF($A:E,$A2424,K:K)</f>
        <v>1</v>
      </c>
      <c r="H2424" s="127" t="s">
        <v>508</v>
      </c>
      <c r="I2424" s="98">
        <v>1</v>
      </c>
      <c r="J2424" s="134">
        <v>1</v>
      </c>
      <c r="K2424" s="160">
        <f t="shared" si="766"/>
        <v>1</v>
      </c>
      <c r="L2424" s="151">
        <f t="shared" si="773"/>
        <v>0</v>
      </c>
      <c r="M2424" s="275">
        <f t="shared" si="769"/>
        <v>1</v>
      </c>
      <c r="N2424" s="132">
        <v>4</v>
      </c>
      <c r="O2424" s="93">
        <f t="shared" si="760"/>
        <v>100</v>
      </c>
      <c r="JB2424" s="100">
        <v>1</v>
      </c>
      <c r="ON2424" s="100">
        <f t="shared" si="761"/>
        <v>0</v>
      </c>
    </row>
    <row r="2425" spans="1:404" ht="23.25" customHeight="1">
      <c r="A2425" s="97" t="str">
        <f t="shared" si="764"/>
        <v>272/KHBS-21(007T/OBI-21)66-61337-01-B4</v>
      </c>
      <c r="B2425" s="95">
        <v>44469</v>
      </c>
      <c r="C2425" s="127">
        <f t="shared" ca="1" si="768"/>
        <v>-595</v>
      </c>
      <c r="D2425" s="111" t="s">
        <v>1959</v>
      </c>
      <c r="E2425" s="225" t="s">
        <v>1392</v>
      </c>
      <c r="F2425" s="98" t="str">
        <f t="shared" si="765"/>
        <v>B4</v>
      </c>
      <c r="G2425" s="110">
        <f ca="1">SUMIF($A:E,$A2425,K:K)</f>
        <v>1</v>
      </c>
      <c r="H2425" s="97" t="s">
        <v>1743</v>
      </c>
      <c r="I2425" s="98">
        <v>1</v>
      </c>
      <c r="J2425" s="99">
        <v>1</v>
      </c>
      <c r="K2425" s="143">
        <f t="shared" si="766"/>
        <v>1</v>
      </c>
      <c r="L2425" s="144">
        <f t="shared" si="773"/>
        <v>0</v>
      </c>
      <c r="M2425" s="275">
        <f t="shared" si="769"/>
        <v>1</v>
      </c>
      <c r="N2425" s="98">
        <v>1</v>
      </c>
      <c r="O2425" s="93">
        <f t="shared" si="760"/>
        <v>100</v>
      </c>
      <c r="JC2425" s="100">
        <v>1</v>
      </c>
      <c r="ON2425" s="100">
        <f t="shared" si="761"/>
        <v>0</v>
      </c>
    </row>
    <row r="2426" spans="1:404" ht="23.25" customHeight="1">
      <c r="A2426" s="97" t="str">
        <f t="shared" si="764"/>
        <v>274/KHBS-21( 002/AGRAVIS-21)66-12523-02-B</v>
      </c>
      <c r="B2426" s="95">
        <v>44473</v>
      </c>
      <c r="C2426" s="127">
        <f t="shared" ca="1" si="768"/>
        <v>-591</v>
      </c>
      <c r="D2426" s="112" t="s">
        <v>1960</v>
      </c>
      <c r="E2426" s="123" t="s">
        <v>1961</v>
      </c>
      <c r="F2426" s="98" t="str">
        <f t="shared" ref="F2426:F2457" si="774">MID(E2426,13,2)</f>
        <v>B</v>
      </c>
      <c r="G2426" s="110">
        <f ca="1">SUMIF($A:E,$A2426,K:K)</f>
        <v>1</v>
      </c>
      <c r="H2426" s="97" t="s">
        <v>1743</v>
      </c>
      <c r="I2426" s="98">
        <v>1</v>
      </c>
      <c r="J2426" s="115">
        <v>1</v>
      </c>
      <c r="K2426" s="143">
        <f t="shared" si="766"/>
        <v>1</v>
      </c>
      <c r="L2426" s="144">
        <f t="shared" ref="L2426:L2429" si="775">J2426-K2426</f>
        <v>0</v>
      </c>
      <c r="M2426" s="275">
        <f t="shared" si="769"/>
        <v>1</v>
      </c>
      <c r="N2426" s="98">
        <v>1</v>
      </c>
      <c r="O2426" s="93">
        <f t="shared" si="760"/>
        <v>100</v>
      </c>
      <c r="JD2426" s="100">
        <v>1</v>
      </c>
      <c r="ON2426" s="100">
        <f t="shared" si="761"/>
        <v>0</v>
      </c>
    </row>
    <row r="2427" spans="1:404" ht="23.25" customHeight="1">
      <c r="A2427" s="97" t="str">
        <f t="shared" si="764"/>
        <v>274/KHBS-21(001/HANKKIJA-21)66-77724-04-B</v>
      </c>
      <c r="B2427" s="95">
        <v>44473</v>
      </c>
      <c r="C2427" s="127">
        <f t="shared" ca="1" si="768"/>
        <v>-591</v>
      </c>
      <c r="D2427" s="112" t="s">
        <v>1962</v>
      </c>
      <c r="E2427" s="123" t="s">
        <v>1538</v>
      </c>
      <c r="F2427" s="98" t="str">
        <f t="shared" si="774"/>
        <v>B</v>
      </c>
      <c r="G2427" s="110">
        <f ca="1">SUMIF($A:E,$A2427,K:K)</f>
        <v>1</v>
      </c>
      <c r="H2427" s="97" t="s">
        <v>1743</v>
      </c>
      <c r="I2427" s="98">
        <v>1</v>
      </c>
      <c r="J2427" s="115">
        <v>1</v>
      </c>
      <c r="K2427" s="143">
        <f t="shared" si="766"/>
        <v>1</v>
      </c>
      <c r="L2427" s="144">
        <f t="shared" si="775"/>
        <v>0</v>
      </c>
      <c r="M2427" s="275">
        <f t="shared" si="769"/>
        <v>1</v>
      </c>
      <c r="N2427" s="98">
        <v>1</v>
      </c>
      <c r="O2427" s="93">
        <f t="shared" ref="O2427:O2431" si="776">K2427/J2427*100</f>
        <v>100</v>
      </c>
      <c r="JG2427" s="100">
        <v>1</v>
      </c>
      <c r="ON2427" s="100">
        <f t="shared" si="761"/>
        <v>0</v>
      </c>
    </row>
    <row r="2428" spans="1:404" ht="23.25" customHeight="1">
      <c r="A2428" s="97" t="str">
        <f t="shared" si="764"/>
        <v>274/KHBS-21(004/OBI-21)66-70337-03-B4</v>
      </c>
      <c r="B2428" s="95">
        <v>44473</v>
      </c>
      <c r="C2428" s="127">
        <f t="shared" ca="1" si="768"/>
        <v>-591</v>
      </c>
      <c r="D2428" s="112" t="s">
        <v>1963</v>
      </c>
      <c r="E2428" s="123" t="s">
        <v>1117</v>
      </c>
      <c r="F2428" s="98" t="str">
        <f t="shared" si="774"/>
        <v>B4</v>
      </c>
      <c r="G2428" s="110">
        <f ca="1">SUMIF($A:E,$A2428,K:K)</f>
        <v>2</v>
      </c>
      <c r="H2428" s="97" t="s">
        <v>1743</v>
      </c>
      <c r="I2428" s="98">
        <v>2</v>
      </c>
      <c r="J2428" s="115">
        <v>2</v>
      </c>
      <c r="K2428" s="143">
        <f t="shared" si="766"/>
        <v>2</v>
      </c>
      <c r="L2428" s="144">
        <f t="shared" si="775"/>
        <v>0</v>
      </c>
      <c r="M2428" s="275">
        <f t="shared" si="769"/>
        <v>2</v>
      </c>
      <c r="N2428" s="98">
        <v>1</v>
      </c>
      <c r="O2428" s="93">
        <f t="shared" si="776"/>
        <v>100</v>
      </c>
      <c r="JG2428" s="100">
        <v>2</v>
      </c>
      <c r="ON2428" s="100">
        <f t="shared" si="761"/>
        <v>0</v>
      </c>
    </row>
    <row r="2429" spans="1:404" ht="23.25" customHeight="1">
      <c r="A2429" s="97" t="str">
        <f t="shared" si="764"/>
        <v>274/KHBS-21(004/OBI-21)66-70337-04-B4</v>
      </c>
      <c r="B2429" s="95">
        <v>44473</v>
      </c>
      <c r="C2429" s="127">
        <f t="shared" ca="1" si="768"/>
        <v>-591</v>
      </c>
      <c r="D2429" s="112" t="s">
        <v>1963</v>
      </c>
      <c r="E2429" s="123" t="s">
        <v>1139</v>
      </c>
      <c r="F2429" s="98" t="str">
        <f t="shared" si="774"/>
        <v>B4</v>
      </c>
      <c r="G2429" s="110">
        <f ca="1">SUMIF($A:E,$A2429,K:K)</f>
        <v>1</v>
      </c>
      <c r="H2429" s="97" t="s">
        <v>1743</v>
      </c>
      <c r="I2429" s="98">
        <v>1</v>
      </c>
      <c r="J2429" s="115">
        <v>1</v>
      </c>
      <c r="K2429" s="143">
        <f t="shared" si="766"/>
        <v>1</v>
      </c>
      <c r="L2429" s="144">
        <f t="shared" si="775"/>
        <v>0</v>
      </c>
      <c r="M2429" s="275">
        <f t="shared" si="769"/>
        <v>1</v>
      </c>
      <c r="N2429" s="98">
        <v>1</v>
      </c>
      <c r="O2429" s="93">
        <f t="shared" si="776"/>
        <v>100</v>
      </c>
      <c r="JG2429" s="100">
        <v>1</v>
      </c>
      <c r="ON2429" s="100">
        <f t="shared" si="761"/>
        <v>0</v>
      </c>
    </row>
    <row r="2430" spans="1:404" ht="23.25" customHeight="1">
      <c r="A2430" s="97" t="str">
        <f t="shared" si="764"/>
        <v>274/KHBS-2166-01700-03-b</v>
      </c>
      <c r="B2430" s="95">
        <v>44473</v>
      </c>
      <c r="C2430" s="127">
        <f t="shared" ca="1" si="768"/>
        <v>-591</v>
      </c>
      <c r="D2430" s="112" t="s">
        <v>1964</v>
      </c>
      <c r="E2430" s="123" t="s">
        <v>1892</v>
      </c>
      <c r="F2430" s="98" t="str">
        <f t="shared" si="774"/>
        <v>b</v>
      </c>
      <c r="G2430" s="110">
        <f ca="1">SUMIF($A:E,$A2430,K:K)</f>
        <v>1</v>
      </c>
      <c r="H2430" s="97" t="s">
        <v>1743</v>
      </c>
      <c r="I2430" s="98">
        <v>1</v>
      </c>
      <c r="J2430" s="115">
        <v>1</v>
      </c>
      <c r="K2430" s="143">
        <f t="shared" si="766"/>
        <v>1</v>
      </c>
      <c r="L2430" s="144">
        <f t="shared" ref="L2430:L2432" si="777">J2430-K2430</f>
        <v>0</v>
      </c>
      <c r="M2430" s="275">
        <f t="shared" si="769"/>
        <v>1</v>
      </c>
      <c r="N2430" s="98">
        <v>1</v>
      </c>
      <c r="O2430" s="93">
        <f t="shared" si="776"/>
        <v>100</v>
      </c>
      <c r="JG2430" s="100">
        <v>1</v>
      </c>
      <c r="ON2430" s="100">
        <f t="shared" si="761"/>
        <v>0</v>
      </c>
    </row>
    <row r="2431" spans="1:404" ht="23.25" customHeight="1">
      <c r="A2431" s="97" t="s">
        <v>1370</v>
      </c>
      <c r="B2431" s="95">
        <v>44470</v>
      </c>
      <c r="C2431" s="127">
        <f t="shared" ca="1" si="768"/>
        <v>-594</v>
      </c>
      <c r="D2431" s="96" t="s">
        <v>1965</v>
      </c>
      <c r="E2431" s="94" t="s">
        <v>627</v>
      </c>
      <c r="F2431" s="98" t="str">
        <f t="shared" si="774"/>
        <v>B</v>
      </c>
      <c r="G2431" s="110">
        <f ca="1">SUMIF($A:E,$A2431,K:K)</f>
        <v>5654</v>
      </c>
      <c r="H2431" s="97" t="s">
        <v>1966</v>
      </c>
      <c r="I2431" s="98">
        <v>4</v>
      </c>
      <c r="J2431" s="99">
        <v>4</v>
      </c>
      <c r="K2431" s="143">
        <f t="shared" si="766"/>
        <v>4</v>
      </c>
      <c r="L2431" s="144">
        <f t="shared" si="777"/>
        <v>0</v>
      </c>
      <c r="M2431" s="275">
        <f t="shared" si="769"/>
        <v>4</v>
      </c>
      <c r="N2431" s="98">
        <v>3</v>
      </c>
      <c r="O2431" s="93">
        <f t="shared" si="776"/>
        <v>100</v>
      </c>
      <c r="JC2431" s="100">
        <v>4</v>
      </c>
      <c r="ON2431" s="100">
        <f t="shared" si="761"/>
        <v>0</v>
      </c>
    </row>
    <row r="2432" spans="1:404" ht="23.25" customHeight="1">
      <c r="A2432" s="135" t="str">
        <f t="shared" ref="A2432:A2473" si="778">D2432&amp;E2432</f>
        <v>273/KHBS-21(192/POTTERYPOT-21)68-72800-03-A</v>
      </c>
      <c r="B2432" s="163">
        <v>44478</v>
      </c>
      <c r="C2432" s="135">
        <f t="shared" ca="1" si="768"/>
        <v>-586</v>
      </c>
      <c r="D2432" s="271" t="s">
        <v>1970</v>
      </c>
      <c r="E2432" s="375" t="s">
        <v>230</v>
      </c>
      <c r="F2432" s="133" t="str">
        <f t="shared" si="774"/>
        <v>A</v>
      </c>
      <c r="G2432" s="140">
        <f ca="1">SUMIF($A:E,$A2432,K:K)</f>
        <v>1</v>
      </c>
      <c r="H2432" s="135" t="s">
        <v>601</v>
      </c>
      <c r="I2432" s="98">
        <v>1</v>
      </c>
      <c r="J2432" s="270">
        <v>1</v>
      </c>
      <c r="K2432" s="230">
        <f t="shared" si="766"/>
        <v>1</v>
      </c>
      <c r="L2432" s="155">
        <f t="shared" si="777"/>
        <v>0</v>
      </c>
      <c r="M2432" s="275">
        <f t="shared" si="769"/>
        <v>1</v>
      </c>
      <c r="N2432" s="136" t="s">
        <v>1768</v>
      </c>
      <c r="O2432" s="93">
        <f t="shared" ref="O2432:O2493" si="779">K2432/J2432*100</f>
        <v>100</v>
      </c>
      <c r="JF2432" s="100">
        <v>1</v>
      </c>
      <c r="ON2432" s="100">
        <f t="shared" si="761"/>
        <v>0</v>
      </c>
    </row>
    <row r="2433" spans="1:404" ht="23.25" customHeight="1">
      <c r="A2433" s="97" t="str">
        <f t="shared" si="778"/>
        <v>006/SQUARE-VG-2166-12500-B2-B</v>
      </c>
      <c r="B2433" s="95">
        <v>44662</v>
      </c>
      <c r="C2433" s="97">
        <f t="shared" ref="C2433:C2464" ca="1" si="780">B2433-TODAY()</f>
        <v>-402</v>
      </c>
      <c r="D2433" s="112" t="s">
        <v>1971</v>
      </c>
      <c r="E2433" s="123" t="s">
        <v>1229</v>
      </c>
      <c r="F2433" s="98" t="str">
        <f t="shared" si="774"/>
        <v>B</v>
      </c>
      <c r="G2433" s="110">
        <f ca="1">SUMIF($A:E,$A2433,K:K)</f>
        <v>96</v>
      </c>
      <c r="H2433" s="97" t="s">
        <v>583</v>
      </c>
      <c r="I2433" s="98">
        <v>48</v>
      </c>
      <c r="J2433" s="227">
        <v>48</v>
      </c>
      <c r="K2433" s="160">
        <f t="shared" si="766"/>
        <v>96</v>
      </c>
      <c r="L2433" s="151">
        <f t="shared" ref="L2433:L2442" si="781">J2433-K2433</f>
        <v>-48</v>
      </c>
      <c r="M2433" s="275">
        <f t="shared" si="769"/>
        <v>96</v>
      </c>
      <c r="N2433" s="98">
        <v>2</v>
      </c>
      <c r="O2433" s="93">
        <f t="shared" si="779"/>
        <v>200</v>
      </c>
      <c r="NU2433" s="100">
        <v>4</v>
      </c>
      <c r="NV2433" s="100">
        <v>5</v>
      </c>
      <c r="NY2433" s="100">
        <v>5</v>
      </c>
      <c r="NZ2433" s="100">
        <v>7</v>
      </c>
      <c r="OA2433" s="100">
        <v>7</v>
      </c>
      <c r="OB2433" s="100">
        <v>1</v>
      </c>
      <c r="OD2433" s="100">
        <v>18</v>
      </c>
      <c r="OH2433" s="100">
        <v>1</v>
      </c>
      <c r="ON2433" s="100">
        <f t="shared" si="761"/>
        <v>48</v>
      </c>
    </row>
    <row r="2434" spans="1:404" ht="23.25" customHeight="1">
      <c r="A2434" s="97" t="str">
        <f t="shared" si="778"/>
        <v>006/SQUARE-VG-2166-12500-S3-B</v>
      </c>
      <c r="B2434" s="95">
        <v>44662</v>
      </c>
      <c r="C2434" s="97">
        <f t="shared" ca="1" si="780"/>
        <v>-402</v>
      </c>
      <c r="D2434" s="112" t="s">
        <v>1971</v>
      </c>
      <c r="E2434" s="123" t="s">
        <v>694</v>
      </c>
      <c r="F2434" s="98" t="str">
        <f t="shared" si="774"/>
        <v>B</v>
      </c>
      <c r="G2434" s="110">
        <f ca="1">SUMIF($A:E,$A2434,K:K)</f>
        <v>84</v>
      </c>
      <c r="H2434" s="97" t="s">
        <v>583</v>
      </c>
      <c r="I2434" s="98">
        <v>52</v>
      </c>
      <c r="J2434" s="227">
        <v>52</v>
      </c>
      <c r="K2434" s="160">
        <f t="shared" si="766"/>
        <v>84</v>
      </c>
      <c r="L2434" s="151">
        <f t="shared" si="781"/>
        <v>-32</v>
      </c>
      <c r="M2434" s="275">
        <f t="shared" si="769"/>
        <v>156</v>
      </c>
      <c r="N2434" s="98">
        <v>2</v>
      </c>
      <c r="O2434" s="93">
        <f t="shared" si="779"/>
        <v>161.53846153846155</v>
      </c>
      <c r="OF2434" s="100">
        <v>14</v>
      </c>
      <c r="OH2434" s="100">
        <v>4</v>
      </c>
      <c r="OI2434" s="100">
        <v>4</v>
      </c>
      <c r="OJ2434" s="100">
        <v>4</v>
      </c>
      <c r="OK2434" s="100">
        <v>10</v>
      </c>
      <c r="OM2434" s="100">
        <v>6</v>
      </c>
      <c r="ON2434" s="100">
        <f t="shared" si="761"/>
        <v>42</v>
      </c>
    </row>
    <row r="2435" spans="1:404" ht="23.25" customHeight="1">
      <c r="A2435" s="97" t="str">
        <f t="shared" si="778"/>
        <v>006/SQUARE-VG-2166-33100-S1-B</v>
      </c>
      <c r="B2435" s="95">
        <v>44662</v>
      </c>
      <c r="C2435" s="97">
        <f t="shared" ca="1" si="780"/>
        <v>-402</v>
      </c>
      <c r="D2435" s="112" t="s">
        <v>1971</v>
      </c>
      <c r="E2435" s="123" t="s">
        <v>593</v>
      </c>
      <c r="F2435" s="98" t="str">
        <f t="shared" si="774"/>
        <v>B</v>
      </c>
      <c r="G2435" s="110">
        <f ca="1">SUMIF($A:E,$A2435,K:K)</f>
        <v>0</v>
      </c>
      <c r="H2435" s="97" t="s">
        <v>583</v>
      </c>
      <c r="I2435" s="98">
        <v>110</v>
      </c>
      <c r="J2435" s="115">
        <v>110</v>
      </c>
      <c r="K2435" s="160">
        <f t="shared" si="766"/>
        <v>0</v>
      </c>
      <c r="L2435" s="151">
        <f t="shared" si="781"/>
        <v>110</v>
      </c>
      <c r="M2435" s="275">
        <f t="shared" si="769"/>
        <v>110</v>
      </c>
      <c r="N2435" s="98"/>
      <c r="O2435" s="93">
        <f t="shared" si="779"/>
        <v>0</v>
      </c>
      <c r="ON2435" s="100">
        <f t="shared" si="761"/>
        <v>0</v>
      </c>
    </row>
    <row r="2436" spans="1:404" ht="23.25" customHeight="1">
      <c r="A2436" s="97" t="str">
        <f t="shared" si="778"/>
        <v>006/SQUARE-VG-2166-33200-S1-B</v>
      </c>
      <c r="B2436" s="95">
        <v>44662</v>
      </c>
      <c r="C2436" s="97">
        <f t="shared" ca="1" si="780"/>
        <v>-402</v>
      </c>
      <c r="D2436" s="112" t="s">
        <v>1971</v>
      </c>
      <c r="E2436" s="123" t="s">
        <v>497</v>
      </c>
      <c r="F2436" s="98" t="str">
        <f t="shared" si="774"/>
        <v>B</v>
      </c>
      <c r="G2436" s="110">
        <f ca="1">SUMIF($A:E,$A2436,K:K)</f>
        <v>0</v>
      </c>
      <c r="H2436" s="97" t="s">
        <v>601</v>
      </c>
      <c r="I2436" s="98">
        <v>48</v>
      </c>
      <c r="J2436" s="115">
        <v>48</v>
      </c>
      <c r="K2436" s="160">
        <f t="shared" si="766"/>
        <v>0</v>
      </c>
      <c r="L2436" s="151">
        <f t="shared" si="781"/>
        <v>48</v>
      </c>
      <c r="M2436" s="275">
        <f t="shared" si="769"/>
        <v>48</v>
      </c>
      <c r="N2436" s="98"/>
      <c r="O2436" s="93">
        <f t="shared" si="779"/>
        <v>0</v>
      </c>
      <c r="ON2436" s="100">
        <f t="shared" ref="ON2436:ON2499" si="782">SUM(NS2436:OM2436)</f>
        <v>0</v>
      </c>
    </row>
    <row r="2437" spans="1:404" ht="23.25" customHeight="1">
      <c r="A2437" s="97" t="str">
        <f t="shared" si="778"/>
        <v>006/SQUARE-VG-2166-34600-S1-B</v>
      </c>
      <c r="B2437" s="95">
        <v>44662</v>
      </c>
      <c r="C2437" s="97">
        <f t="shared" ca="1" si="780"/>
        <v>-402</v>
      </c>
      <c r="D2437" s="112" t="s">
        <v>1971</v>
      </c>
      <c r="E2437" s="123" t="s">
        <v>728</v>
      </c>
      <c r="F2437" s="98" t="str">
        <f t="shared" si="774"/>
        <v>B</v>
      </c>
      <c r="G2437" s="110">
        <f ca="1">SUMIF($A:E,$A2437,K:K)</f>
        <v>0</v>
      </c>
      <c r="H2437" s="97" t="s">
        <v>601</v>
      </c>
      <c r="I2437" s="98">
        <v>198</v>
      </c>
      <c r="J2437" s="115">
        <v>198</v>
      </c>
      <c r="K2437" s="160">
        <f t="shared" si="766"/>
        <v>0</v>
      </c>
      <c r="L2437" s="151">
        <f t="shared" si="781"/>
        <v>198</v>
      </c>
      <c r="M2437" s="275">
        <f t="shared" si="769"/>
        <v>198</v>
      </c>
      <c r="N2437" s="98"/>
      <c r="O2437" s="93">
        <f t="shared" si="779"/>
        <v>0</v>
      </c>
      <c r="ON2437" s="100">
        <f t="shared" si="782"/>
        <v>0</v>
      </c>
    </row>
    <row r="2438" spans="1:404" ht="23.25" customHeight="1">
      <c r="A2438" s="127" t="str">
        <f t="shared" si="778"/>
        <v>006/SQUARE-VG-2166-64700-S1-B</v>
      </c>
      <c r="B2438" s="126">
        <v>44662</v>
      </c>
      <c r="C2438" s="97">
        <f t="shared" ca="1" si="780"/>
        <v>-402</v>
      </c>
      <c r="D2438" s="112" t="s">
        <v>1971</v>
      </c>
      <c r="E2438" s="123" t="s">
        <v>635</v>
      </c>
      <c r="F2438" s="132" t="str">
        <f t="shared" si="774"/>
        <v>B</v>
      </c>
      <c r="G2438" s="130">
        <f ca="1">SUMIF($A:E,$A2438,K:K)</f>
        <v>0</v>
      </c>
      <c r="H2438" s="127" t="s">
        <v>601</v>
      </c>
      <c r="I2438" s="98">
        <v>36</v>
      </c>
      <c r="J2438" s="134">
        <v>36</v>
      </c>
      <c r="K2438" s="160">
        <f t="shared" si="766"/>
        <v>0</v>
      </c>
      <c r="L2438" s="151">
        <f t="shared" si="781"/>
        <v>36</v>
      </c>
      <c r="M2438" s="275">
        <f t="shared" si="769"/>
        <v>36</v>
      </c>
      <c r="N2438" s="132">
        <v>3</v>
      </c>
      <c r="O2438" s="93">
        <f t="shared" si="779"/>
        <v>0</v>
      </c>
      <c r="ON2438" s="100">
        <f t="shared" si="782"/>
        <v>0</v>
      </c>
    </row>
    <row r="2439" spans="1:404" ht="23.25" customHeight="1">
      <c r="A2439" s="97" t="str">
        <f t="shared" si="778"/>
        <v>277/KHBS-21(001/MACKOO-21)66-51712-02-B</v>
      </c>
      <c r="B2439" s="95">
        <v>44478</v>
      </c>
      <c r="C2439" s="97">
        <f t="shared" ca="1" si="780"/>
        <v>-586</v>
      </c>
      <c r="D2439" s="112" t="s">
        <v>1972</v>
      </c>
      <c r="E2439" s="123" t="s">
        <v>1973</v>
      </c>
      <c r="F2439" s="98" t="str">
        <f t="shared" si="774"/>
        <v>B</v>
      </c>
      <c r="G2439" s="110">
        <f ca="1">SUMIF($A:E,$A2439,K:K)</f>
        <v>2</v>
      </c>
      <c r="H2439" s="97" t="s">
        <v>1743</v>
      </c>
      <c r="I2439" s="98">
        <v>2</v>
      </c>
      <c r="J2439" s="115">
        <v>2</v>
      </c>
      <c r="K2439" s="143">
        <f t="shared" si="766"/>
        <v>2</v>
      </c>
      <c r="L2439" s="144">
        <f t="shared" si="781"/>
        <v>0</v>
      </c>
      <c r="M2439" s="275">
        <f t="shared" ref="M2439:M2474" si="783">IF(OR(MID(E2439,10,1)="0",MID(E2439,10,1)="F"),I2439,IF(OR(,MID(E2439,10,1)="S",MID(E2439,10,1)="L",MID(E2439,10,1)="B",MID(E2439,10,1)="X"),MID(E2439,11,1)*I2439,0))</f>
        <v>2</v>
      </c>
      <c r="N2439" s="211">
        <v>1</v>
      </c>
      <c r="O2439" s="93">
        <f t="shared" si="779"/>
        <v>100</v>
      </c>
      <c r="JG2439" s="100">
        <v>2</v>
      </c>
      <c r="ON2439" s="100">
        <f t="shared" si="782"/>
        <v>0</v>
      </c>
    </row>
    <row r="2440" spans="1:404" ht="23.25" customHeight="1">
      <c r="A2440" s="97" t="str">
        <f t="shared" si="778"/>
        <v>277/KHBS-21(001/MACKOO-21)66-55412-02-B</v>
      </c>
      <c r="B2440" s="95">
        <v>44478</v>
      </c>
      <c r="C2440" s="97">
        <f t="shared" ca="1" si="780"/>
        <v>-586</v>
      </c>
      <c r="D2440" s="112" t="s">
        <v>1972</v>
      </c>
      <c r="E2440" s="123" t="s">
        <v>1440</v>
      </c>
      <c r="F2440" s="98" t="str">
        <f t="shared" si="774"/>
        <v>B</v>
      </c>
      <c r="G2440" s="110">
        <f ca="1">SUMIF($A:E,$A2440,K:K)</f>
        <v>1</v>
      </c>
      <c r="H2440" s="97" t="s">
        <v>1743</v>
      </c>
      <c r="I2440" s="98">
        <v>1</v>
      </c>
      <c r="J2440" s="115">
        <v>1</v>
      </c>
      <c r="K2440" s="143">
        <f t="shared" si="766"/>
        <v>1</v>
      </c>
      <c r="L2440" s="144">
        <f t="shared" si="781"/>
        <v>0</v>
      </c>
      <c r="M2440" s="275">
        <f t="shared" si="783"/>
        <v>1</v>
      </c>
      <c r="N2440" s="211">
        <v>2</v>
      </c>
      <c r="O2440" s="93">
        <f t="shared" si="779"/>
        <v>100</v>
      </c>
      <c r="JJ2440" s="100">
        <v>1</v>
      </c>
      <c r="ON2440" s="100">
        <f t="shared" si="782"/>
        <v>0</v>
      </c>
    </row>
    <row r="2441" spans="1:404" ht="23.25" customHeight="1">
      <c r="A2441" s="97" t="str">
        <f t="shared" si="778"/>
        <v>277/KHBS-21(004/TJMAXX-21)66-01700-03-B</v>
      </c>
      <c r="B2441" s="95">
        <v>44478</v>
      </c>
      <c r="C2441" s="97">
        <f t="shared" ca="1" si="780"/>
        <v>-586</v>
      </c>
      <c r="D2441" s="112" t="s">
        <v>1974</v>
      </c>
      <c r="E2441" s="123" t="s">
        <v>1537</v>
      </c>
      <c r="F2441" s="98" t="str">
        <f t="shared" si="774"/>
        <v>B</v>
      </c>
      <c r="G2441" s="110">
        <f ca="1">SUMIF($A:E,$A2441,K:K)</f>
        <v>2</v>
      </c>
      <c r="H2441" s="97" t="s">
        <v>1743</v>
      </c>
      <c r="I2441" s="98">
        <v>2</v>
      </c>
      <c r="J2441" s="115">
        <v>2</v>
      </c>
      <c r="K2441" s="143">
        <f t="shared" si="766"/>
        <v>2</v>
      </c>
      <c r="L2441" s="144">
        <f t="shared" si="781"/>
        <v>0</v>
      </c>
      <c r="M2441" s="275">
        <f t="shared" si="783"/>
        <v>2</v>
      </c>
      <c r="N2441" s="211">
        <v>4</v>
      </c>
      <c r="O2441" s="93">
        <f t="shared" si="779"/>
        <v>100</v>
      </c>
      <c r="JI2441" s="100">
        <v>2</v>
      </c>
      <c r="ON2441" s="100">
        <f t="shared" si="782"/>
        <v>0</v>
      </c>
    </row>
    <row r="2442" spans="1:404" ht="23.25" customHeight="1">
      <c r="A2442" s="97" t="str">
        <f t="shared" si="778"/>
        <v>277/KHBS-21(009T/OBI-21)66-55137-01-B4</v>
      </c>
      <c r="B2442" s="95">
        <v>44478</v>
      </c>
      <c r="C2442" s="97">
        <f t="shared" ca="1" si="780"/>
        <v>-586</v>
      </c>
      <c r="D2442" s="112" t="s">
        <v>1975</v>
      </c>
      <c r="E2442" s="123" t="s">
        <v>1094</v>
      </c>
      <c r="F2442" s="98" t="str">
        <f t="shared" si="774"/>
        <v>B4</v>
      </c>
      <c r="G2442" s="110">
        <f ca="1">SUMIF($A:E,$A2442,K:K)</f>
        <v>2</v>
      </c>
      <c r="H2442" s="97" t="s">
        <v>1743</v>
      </c>
      <c r="I2442" s="98">
        <v>2</v>
      </c>
      <c r="J2442" s="115">
        <v>2</v>
      </c>
      <c r="K2442" s="143">
        <f t="shared" si="766"/>
        <v>2</v>
      </c>
      <c r="L2442" s="144">
        <f t="shared" si="781"/>
        <v>0</v>
      </c>
      <c r="M2442" s="275">
        <f t="shared" si="783"/>
        <v>2</v>
      </c>
      <c r="N2442" s="211">
        <v>4</v>
      </c>
      <c r="O2442" s="93">
        <f t="shared" si="779"/>
        <v>100</v>
      </c>
      <c r="JI2442" s="100">
        <v>2</v>
      </c>
      <c r="ON2442" s="100">
        <f t="shared" si="782"/>
        <v>0</v>
      </c>
    </row>
    <row r="2443" spans="1:404" ht="23.25" customHeight="1">
      <c r="A2443" s="97" t="str">
        <f t="shared" si="778"/>
        <v>277/KHBS-2166-02600-03-B</v>
      </c>
      <c r="B2443" s="95">
        <v>44478</v>
      </c>
      <c r="C2443" s="97">
        <f t="shared" ca="1" si="780"/>
        <v>-586</v>
      </c>
      <c r="D2443" s="112" t="s">
        <v>1976</v>
      </c>
      <c r="E2443" s="123" t="s">
        <v>941</v>
      </c>
      <c r="F2443" s="98" t="str">
        <f t="shared" si="774"/>
        <v>B</v>
      </c>
      <c r="G2443" s="110">
        <f ca="1">SUMIF($A:E,$A2443,K:K)</f>
        <v>1</v>
      </c>
      <c r="H2443" s="97" t="s">
        <v>1743</v>
      </c>
      <c r="I2443" s="98">
        <v>1</v>
      </c>
      <c r="J2443" s="115">
        <v>1</v>
      </c>
      <c r="K2443" s="143">
        <f t="shared" si="766"/>
        <v>1</v>
      </c>
      <c r="L2443" s="144">
        <f>J2443-K2443</f>
        <v>0</v>
      </c>
      <c r="M2443" s="275">
        <f t="shared" si="783"/>
        <v>1</v>
      </c>
      <c r="N2443" s="211">
        <v>3</v>
      </c>
      <c r="O2443" s="93">
        <f t="shared" si="779"/>
        <v>100</v>
      </c>
      <c r="JG2443" s="100">
        <v>1</v>
      </c>
      <c r="ON2443" s="100">
        <f t="shared" si="782"/>
        <v>0</v>
      </c>
    </row>
    <row r="2444" spans="1:404" ht="23.25" customHeight="1">
      <c r="A2444" s="127" t="str">
        <f t="shared" si="778"/>
        <v>276/KHBS-2166-77712-02-B</v>
      </c>
      <c r="B2444" s="126">
        <v>44478</v>
      </c>
      <c r="C2444" s="127">
        <f t="shared" ca="1" si="780"/>
        <v>-586</v>
      </c>
      <c r="D2444" s="208" t="s">
        <v>1977</v>
      </c>
      <c r="E2444" s="226" t="s">
        <v>1535</v>
      </c>
      <c r="F2444" s="132" t="str">
        <f t="shared" si="774"/>
        <v>B</v>
      </c>
      <c r="G2444" s="130">
        <f ca="1">SUMIF($A:E,$A2444,K:K)</f>
        <v>1</v>
      </c>
      <c r="H2444" s="127" t="s">
        <v>1743</v>
      </c>
      <c r="I2444" s="98">
        <v>1</v>
      </c>
      <c r="J2444" s="134">
        <v>1</v>
      </c>
      <c r="K2444" s="160">
        <f t="shared" si="766"/>
        <v>1</v>
      </c>
      <c r="L2444" s="151">
        <f t="shared" ref="L2444" si="784">J2444-K2444</f>
        <v>0</v>
      </c>
      <c r="M2444" s="275">
        <f t="shared" si="783"/>
        <v>1</v>
      </c>
      <c r="N2444" s="245">
        <v>3</v>
      </c>
      <c r="O2444" s="93">
        <f t="shared" si="779"/>
        <v>100</v>
      </c>
      <c r="JI2444" s="100">
        <v>1</v>
      </c>
      <c r="ON2444" s="100">
        <f t="shared" si="782"/>
        <v>0</v>
      </c>
    </row>
    <row r="2445" spans="1:404" ht="23.25" customHeight="1">
      <c r="A2445" s="97" t="str">
        <f t="shared" si="778"/>
        <v>004/HOMEGOODS-21(đ1)66-01729-S4-B</v>
      </c>
      <c r="B2445" s="95">
        <v>44551</v>
      </c>
      <c r="C2445" s="97">
        <f t="shared" ca="1" si="780"/>
        <v>-513</v>
      </c>
      <c r="D2445" s="112" t="s">
        <v>1981</v>
      </c>
      <c r="E2445" s="123" t="s">
        <v>1364</v>
      </c>
      <c r="F2445" s="98" t="str">
        <f t="shared" si="774"/>
        <v>B</v>
      </c>
      <c r="G2445" s="110">
        <f ca="1">SUMIF($A:E,$A2445,K:K)</f>
        <v>432</v>
      </c>
      <c r="H2445" s="97" t="s">
        <v>1743</v>
      </c>
      <c r="I2445" s="98">
        <v>432</v>
      </c>
      <c r="J2445" s="115">
        <v>432</v>
      </c>
      <c r="K2445" s="143">
        <f t="shared" si="766"/>
        <v>432</v>
      </c>
      <c r="L2445" s="144">
        <f t="shared" ref="L2445:L2454" si="785">J2445-K2445</f>
        <v>0</v>
      </c>
      <c r="M2445" s="275">
        <f t="shared" si="783"/>
        <v>1728</v>
      </c>
      <c r="N2445" s="98">
        <v>3</v>
      </c>
      <c r="O2445" s="93">
        <f t="shared" si="779"/>
        <v>100</v>
      </c>
      <c r="JI2445" s="100">
        <v>5</v>
      </c>
      <c r="JJ2445" s="100">
        <v>13</v>
      </c>
      <c r="JM2445" s="100">
        <v>6</v>
      </c>
      <c r="JN2445" s="100">
        <v>33</v>
      </c>
      <c r="JO2445" s="100">
        <v>3</v>
      </c>
      <c r="JP2445" s="100">
        <v>34</v>
      </c>
      <c r="JT2445" s="100">
        <v>15</v>
      </c>
      <c r="JU2445" s="100">
        <v>19</v>
      </c>
      <c r="JV2445" s="100">
        <v>23</v>
      </c>
      <c r="JW2445" s="100">
        <v>25</v>
      </c>
      <c r="JX2445" s="100">
        <v>39</v>
      </c>
      <c r="KA2445" s="100">
        <v>19</v>
      </c>
      <c r="KB2445" s="100">
        <v>41</v>
      </c>
      <c r="KD2445" s="100">
        <v>20</v>
      </c>
      <c r="KE2445" s="100">
        <v>20</v>
      </c>
      <c r="KF2445" s="100">
        <v>41</v>
      </c>
      <c r="KH2445" s="100">
        <v>19</v>
      </c>
      <c r="KI2445" s="100">
        <v>20</v>
      </c>
      <c r="KJ2445" s="100">
        <v>20</v>
      </c>
      <c r="KN2445" s="100">
        <v>17</v>
      </c>
      <c r="ON2445" s="100">
        <f t="shared" si="782"/>
        <v>0</v>
      </c>
    </row>
    <row r="2446" spans="1:404" ht="23.25" customHeight="1">
      <c r="A2446" s="135" t="str">
        <f t="shared" si="778"/>
        <v>004/HOMEGOODS-21(đ3)66-01729-S4-B</v>
      </c>
      <c r="B2446" s="95">
        <v>44612</v>
      </c>
      <c r="C2446" s="97">
        <f t="shared" ca="1" si="780"/>
        <v>-452</v>
      </c>
      <c r="D2446" s="112" t="s">
        <v>1982</v>
      </c>
      <c r="E2446" s="123" t="s">
        <v>1364</v>
      </c>
      <c r="F2446" s="136" t="str">
        <f t="shared" si="774"/>
        <v>B</v>
      </c>
      <c r="G2446" s="137">
        <f ca="1">SUMIF($A:E,$A2446,K:K)</f>
        <v>139</v>
      </c>
      <c r="H2446" s="97" t="s">
        <v>1743</v>
      </c>
      <c r="I2446" s="98">
        <v>80</v>
      </c>
      <c r="J2446" s="115">
        <v>80</v>
      </c>
      <c r="K2446" s="143">
        <f t="shared" si="766"/>
        <v>139</v>
      </c>
      <c r="L2446" s="144">
        <f t="shared" si="785"/>
        <v>-59</v>
      </c>
      <c r="M2446" s="275">
        <f t="shared" si="783"/>
        <v>320</v>
      </c>
      <c r="N2446" s="98">
        <v>3</v>
      </c>
      <c r="O2446" s="93">
        <f t="shared" si="779"/>
        <v>173.75</v>
      </c>
      <c r="NM2446" s="100">
        <v>7</v>
      </c>
      <c r="NN2446" s="100">
        <v>14</v>
      </c>
      <c r="NS2446" s="100">
        <v>31</v>
      </c>
      <c r="NT2446" s="100">
        <v>15</v>
      </c>
      <c r="NU2446" s="100">
        <v>12</v>
      </c>
      <c r="NV2446" s="100">
        <v>1</v>
      </c>
      <c r="ON2446" s="100">
        <f t="shared" si="782"/>
        <v>59</v>
      </c>
    </row>
    <row r="2447" spans="1:404" ht="23.25" customHeight="1">
      <c r="A2447" s="127" t="str">
        <f t="shared" si="778"/>
        <v>004/HOMEGOODS-21(đ3)66-55137-S2-B4</v>
      </c>
      <c r="B2447" s="95">
        <v>44612</v>
      </c>
      <c r="C2447" s="97">
        <f t="shared" ca="1" si="780"/>
        <v>-452</v>
      </c>
      <c r="D2447" s="112" t="s">
        <v>1982</v>
      </c>
      <c r="E2447" s="123" t="s">
        <v>1101</v>
      </c>
      <c r="F2447" s="132" t="str">
        <f t="shared" si="774"/>
        <v>B4</v>
      </c>
      <c r="G2447" s="130">
        <f ca="1">SUMIF($A:E,$A2447,K:K)</f>
        <v>1307</v>
      </c>
      <c r="H2447" s="97" t="s">
        <v>1743</v>
      </c>
      <c r="I2447" s="98">
        <v>704</v>
      </c>
      <c r="J2447" s="115">
        <v>704</v>
      </c>
      <c r="K2447" s="143">
        <f t="shared" si="766"/>
        <v>1307</v>
      </c>
      <c r="L2447" s="144">
        <f t="shared" si="785"/>
        <v>-603</v>
      </c>
      <c r="M2447" s="275">
        <f t="shared" si="783"/>
        <v>1408</v>
      </c>
      <c r="N2447" s="98">
        <v>6</v>
      </c>
      <c r="O2447" s="93">
        <f t="shared" si="779"/>
        <v>185.65340909090909</v>
      </c>
      <c r="NK2447" s="100">
        <v>13</v>
      </c>
      <c r="NL2447" s="100">
        <v>30</v>
      </c>
      <c r="NM2447" s="100">
        <v>43</v>
      </c>
      <c r="NN2447" s="100">
        <v>15</v>
      </c>
      <c r="NS2447" s="100">
        <v>84</v>
      </c>
      <c r="NU2447" s="100">
        <v>96</v>
      </c>
      <c r="NV2447" s="100">
        <v>51</v>
      </c>
      <c r="NY2447" s="100">
        <v>123</v>
      </c>
      <c r="NZ2447" s="100">
        <v>57</v>
      </c>
      <c r="OA2447" s="100">
        <v>2</v>
      </c>
      <c r="OB2447" s="100">
        <v>69</v>
      </c>
      <c r="OC2447" s="100">
        <v>66</v>
      </c>
      <c r="OD2447" s="100">
        <v>37</v>
      </c>
      <c r="OF2447" s="100">
        <v>18</v>
      </c>
      <c r="ON2447" s="100">
        <f t="shared" si="782"/>
        <v>603</v>
      </c>
    </row>
    <row r="2448" spans="1:404" ht="23.25" customHeight="1">
      <c r="A2448" s="127" t="str">
        <f t="shared" si="778"/>
        <v>004/HOMEGOODS-21(đ2)66-55137-S2-B4</v>
      </c>
      <c r="B2448" s="95">
        <v>44572</v>
      </c>
      <c r="C2448" s="97">
        <f t="shared" ca="1" si="780"/>
        <v>-492</v>
      </c>
      <c r="D2448" s="112" t="s">
        <v>1983</v>
      </c>
      <c r="E2448" s="123" t="s">
        <v>1101</v>
      </c>
      <c r="F2448" s="132" t="str">
        <f t="shared" si="774"/>
        <v>B4</v>
      </c>
      <c r="G2448" s="130">
        <f ca="1">SUMIF($A:E,$A2448,K:K)</f>
        <v>96</v>
      </c>
      <c r="H2448" s="97" t="s">
        <v>1743</v>
      </c>
      <c r="I2448" s="98">
        <v>96</v>
      </c>
      <c r="J2448" s="115">
        <v>96</v>
      </c>
      <c r="K2448" s="143">
        <f t="shared" si="766"/>
        <v>96</v>
      </c>
      <c r="L2448" s="144">
        <f t="shared" si="785"/>
        <v>0</v>
      </c>
      <c r="M2448" s="275">
        <f t="shared" si="783"/>
        <v>192</v>
      </c>
      <c r="N2448" s="98" t="s">
        <v>1776</v>
      </c>
      <c r="O2448" s="93">
        <f t="shared" si="779"/>
        <v>100</v>
      </c>
      <c r="MU2448" s="100">
        <v>4</v>
      </c>
      <c r="MW2448" s="100">
        <v>27</v>
      </c>
      <c r="MX2448" s="100">
        <v>23</v>
      </c>
      <c r="MY2448" s="100">
        <v>19</v>
      </c>
      <c r="MZ2448" s="100">
        <v>23</v>
      </c>
      <c r="ON2448" s="100">
        <f t="shared" si="782"/>
        <v>0</v>
      </c>
    </row>
    <row r="2449" spans="1:404" ht="23.25" customHeight="1">
      <c r="A2449" s="127" t="str">
        <f t="shared" si="778"/>
        <v>004/HOMEGOODS-21(đ1)66-77710-X1-B</v>
      </c>
      <c r="B2449" s="95">
        <v>44554</v>
      </c>
      <c r="C2449" s="97">
        <f t="shared" ca="1" si="780"/>
        <v>-510</v>
      </c>
      <c r="D2449" s="112" t="s">
        <v>1981</v>
      </c>
      <c r="E2449" s="123" t="s">
        <v>1366</v>
      </c>
      <c r="F2449" s="132" t="str">
        <f t="shared" si="774"/>
        <v>B</v>
      </c>
      <c r="G2449" s="130">
        <f ca="1">SUMIF($A:E,$A2449,K:K)</f>
        <v>576</v>
      </c>
      <c r="H2449" s="97" t="s">
        <v>1743</v>
      </c>
      <c r="I2449" s="98">
        <v>576</v>
      </c>
      <c r="J2449" s="115">
        <v>576</v>
      </c>
      <c r="K2449" s="143">
        <f t="shared" si="766"/>
        <v>576</v>
      </c>
      <c r="L2449" s="144">
        <f t="shared" si="785"/>
        <v>0</v>
      </c>
      <c r="M2449" s="275">
        <f t="shared" si="783"/>
        <v>576</v>
      </c>
      <c r="N2449" s="98">
        <v>6</v>
      </c>
      <c r="O2449" s="93">
        <f t="shared" si="779"/>
        <v>100</v>
      </c>
      <c r="KN2449" s="100">
        <v>9</v>
      </c>
      <c r="KO2449" s="100">
        <v>10</v>
      </c>
      <c r="KP2449" s="100">
        <v>13</v>
      </c>
      <c r="KQ2449" s="100">
        <v>20</v>
      </c>
      <c r="KR2449" s="100">
        <v>6</v>
      </c>
      <c r="KS2449" s="100">
        <v>10</v>
      </c>
      <c r="KU2449" s="100">
        <v>15</v>
      </c>
      <c r="KV2449" s="100">
        <v>12</v>
      </c>
      <c r="KX2449" s="100">
        <v>10</v>
      </c>
      <c r="KY2449" s="100">
        <v>12</v>
      </c>
      <c r="KZ2449" s="100">
        <v>20</v>
      </c>
      <c r="LB2449" s="100">
        <v>11</v>
      </c>
      <c r="LC2449" s="100">
        <v>12</v>
      </c>
      <c r="LD2449" s="100">
        <v>11</v>
      </c>
      <c r="LE2449" s="100">
        <v>9</v>
      </c>
      <c r="LF2449" s="100">
        <v>13</v>
      </c>
      <c r="LG2449" s="100">
        <v>20</v>
      </c>
      <c r="LI2449" s="100">
        <v>12</v>
      </c>
      <c r="LJ2449" s="100">
        <v>11</v>
      </c>
      <c r="LK2449" s="100">
        <v>7</v>
      </c>
      <c r="LM2449" s="100">
        <v>25</v>
      </c>
      <c r="LP2449" s="100">
        <v>11</v>
      </c>
      <c r="LQ2449" s="100">
        <v>11</v>
      </c>
      <c r="LR2449" s="100">
        <v>9</v>
      </c>
      <c r="LS2449" s="100">
        <v>13</v>
      </c>
      <c r="LT2449" s="100">
        <v>9</v>
      </c>
      <c r="LU2449" s="100">
        <v>21</v>
      </c>
      <c r="LW2449" s="100">
        <v>25</v>
      </c>
      <c r="LX2449" s="100">
        <v>12</v>
      </c>
      <c r="LY2449" s="100">
        <v>44</v>
      </c>
      <c r="LZ2449" s="100">
        <v>11</v>
      </c>
      <c r="MA2449" s="100">
        <v>10</v>
      </c>
      <c r="MD2449" s="100">
        <v>32</v>
      </c>
      <c r="ME2449" s="100">
        <v>23</v>
      </c>
      <c r="MF2449" s="100">
        <v>43</v>
      </c>
      <c r="MG2449" s="100">
        <v>34</v>
      </c>
      <c r="ON2449" s="100">
        <f t="shared" si="782"/>
        <v>0</v>
      </c>
    </row>
    <row r="2450" spans="1:404" ht="23.25" customHeight="1">
      <c r="A2450" s="127" t="str">
        <f t="shared" si="778"/>
        <v>004/HOMEGOODS-21(đ3)66-77710-X1-B</v>
      </c>
      <c r="B2450" s="95">
        <v>44599</v>
      </c>
      <c r="C2450" s="97">
        <f t="shared" ca="1" si="780"/>
        <v>-465</v>
      </c>
      <c r="D2450" s="112" t="s">
        <v>1982</v>
      </c>
      <c r="E2450" s="123" t="s">
        <v>1366</v>
      </c>
      <c r="F2450" s="132" t="str">
        <f t="shared" si="774"/>
        <v>B</v>
      </c>
      <c r="G2450" s="130">
        <f ca="1">SUMIF($A:E,$A2450,K:K)</f>
        <v>32</v>
      </c>
      <c r="H2450" s="97" t="s">
        <v>1743</v>
      </c>
      <c r="I2450" s="98">
        <v>32</v>
      </c>
      <c r="J2450" s="115">
        <v>32</v>
      </c>
      <c r="K2450" s="143">
        <f t="shared" si="766"/>
        <v>32</v>
      </c>
      <c r="L2450" s="144">
        <f t="shared" si="785"/>
        <v>0</v>
      </c>
      <c r="M2450" s="275">
        <f t="shared" si="783"/>
        <v>32</v>
      </c>
      <c r="N2450" s="98">
        <v>4</v>
      </c>
      <c r="O2450" s="93">
        <f t="shared" si="779"/>
        <v>100</v>
      </c>
      <c r="MW2450" s="100">
        <v>10</v>
      </c>
      <c r="MX2450" s="100">
        <v>10</v>
      </c>
      <c r="MY2450" s="100">
        <v>12</v>
      </c>
      <c r="ON2450" s="100">
        <f t="shared" si="782"/>
        <v>0</v>
      </c>
    </row>
    <row r="2451" spans="1:404" ht="23.25" customHeight="1">
      <c r="A2451" s="127" t="str">
        <f t="shared" si="778"/>
        <v>004/HOMEGOODS-21(đ3)68-75100-S1-B</v>
      </c>
      <c r="B2451" s="95">
        <v>44604</v>
      </c>
      <c r="C2451" s="97">
        <f t="shared" ca="1" si="780"/>
        <v>-460</v>
      </c>
      <c r="D2451" s="112" t="s">
        <v>1982</v>
      </c>
      <c r="E2451" s="123" t="s">
        <v>318</v>
      </c>
      <c r="F2451" s="98" t="str">
        <f t="shared" si="774"/>
        <v>B</v>
      </c>
      <c r="G2451" s="110">
        <f ca="1">SUMIF($A:E,$A2451,K:K)</f>
        <v>923</v>
      </c>
      <c r="H2451" s="97" t="s">
        <v>1743</v>
      </c>
      <c r="I2451" s="98">
        <v>680</v>
      </c>
      <c r="J2451" s="115">
        <v>680</v>
      </c>
      <c r="K2451" s="143">
        <f t="shared" si="766"/>
        <v>923</v>
      </c>
      <c r="L2451" s="144">
        <f t="shared" si="785"/>
        <v>-243</v>
      </c>
      <c r="M2451" s="275">
        <f t="shared" si="783"/>
        <v>680</v>
      </c>
      <c r="N2451" s="98">
        <v>1</v>
      </c>
      <c r="O2451" s="93">
        <f t="shared" si="779"/>
        <v>135.73529411764707</v>
      </c>
      <c r="MF2451" s="100">
        <v>17</v>
      </c>
      <c r="MG2451" s="100">
        <v>26</v>
      </c>
      <c r="MH2451" s="100">
        <v>8</v>
      </c>
      <c r="MK2451" s="100">
        <v>29</v>
      </c>
      <c r="ML2451" s="100">
        <v>9</v>
      </c>
      <c r="MM2451" s="100">
        <v>29</v>
      </c>
      <c r="MN2451" s="100">
        <v>19</v>
      </c>
      <c r="MP2451" s="100">
        <v>6</v>
      </c>
      <c r="MQ2451" s="100">
        <v>17</v>
      </c>
      <c r="MR2451" s="100">
        <v>21</v>
      </c>
      <c r="MS2451" s="100">
        <v>18</v>
      </c>
      <c r="MT2451" s="100">
        <v>5</v>
      </c>
      <c r="MU2451" s="100">
        <v>19</v>
      </c>
      <c r="MW2451" s="100">
        <v>29</v>
      </c>
      <c r="MX2451" s="100">
        <v>10</v>
      </c>
      <c r="MY2451" s="100">
        <v>9</v>
      </c>
      <c r="MZ2451" s="100">
        <v>20</v>
      </c>
      <c r="NA2451" s="100">
        <v>28</v>
      </c>
      <c r="ND2451" s="100">
        <v>7</v>
      </c>
      <c r="NE2451" s="100">
        <v>18</v>
      </c>
      <c r="NF2451" s="100">
        <v>1</v>
      </c>
      <c r="NG2451" s="100">
        <v>17</v>
      </c>
      <c r="NI2451" s="100">
        <v>19</v>
      </c>
      <c r="NK2451" s="100">
        <v>13</v>
      </c>
      <c r="NL2451" s="100">
        <v>14</v>
      </c>
      <c r="NM2451" s="100">
        <v>17</v>
      </c>
      <c r="NN2451" s="100">
        <v>12</v>
      </c>
      <c r="NS2451" s="100">
        <v>57</v>
      </c>
      <c r="NT2451" s="100">
        <v>42</v>
      </c>
      <c r="NU2451" s="100">
        <v>40</v>
      </c>
      <c r="NV2451" s="100">
        <v>32</v>
      </c>
      <c r="NY2451" s="100">
        <v>43</v>
      </c>
      <c r="NZ2451" s="100">
        <v>29</v>
      </c>
      <c r="ON2451" s="100">
        <f t="shared" si="782"/>
        <v>243</v>
      </c>
    </row>
    <row r="2452" spans="1:404" ht="23.25" customHeight="1">
      <c r="A2452" s="127" t="str">
        <f t="shared" si="778"/>
        <v>004/HOMEGOODS-21(đ2)68-75100-S1-B</v>
      </c>
      <c r="B2452" s="95">
        <v>44572</v>
      </c>
      <c r="C2452" s="97">
        <f t="shared" ca="1" si="780"/>
        <v>-492</v>
      </c>
      <c r="D2452" s="112" t="s">
        <v>1983</v>
      </c>
      <c r="E2452" s="123" t="s">
        <v>318</v>
      </c>
      <c r="F2452" s="132" t="str">
        <f t="shared" si="774"/>
        <v>B</v>
      </c>
      <c r="G2452" s="130">
        <f ca="1">SUMIF($A:E,$A2452,K:K)</f>
        <v>120</v>
      </c>
      <c r="H2452" s="97" t="s">
        <v>1743</v>
      </c>
      <c r="I2452" s="98">
        <v>120</v>
      </c>
      <c r="J2452" s="115">
        <v>120</v>
      </c>
      <c r="K2452" s="143">
        <f t="shared" si="766"/>
        <v>120</v>
      </c>
      <c r="L2452" s="144">
        <f t="shared" si="785"/>
        <v>0</v>
      </c>
      <c r="M2452" s="275">
        <f t="shared" si="783"/>
        <v>120</v>
      </c>
      <c r="N2452" s="98">
        <v>1</v>
      </c>
      <c r="O2452" s="93">
        <f t="shared" si="779"/>
        <v>100</v>
      </c>
      <c r="LX2452" s="100">
        <v>27</v>
      </c>
      <c r="LY2452" s="100">
        <v>1</v>
      </c>
      <c r="MA2452" s="100">
        <v>18</v>
      </c>
      <c r="MD2452" s="100">
        <v>36</v>
      </c>
      <c r="ME2452" s="100">
        <v>31</v>
      </c>
      <c r="MF2452" s="100">
        <v>7</v>
      </c>
      <c r="ON2452" s="100">
        <f t="shared" si="782"/>
        <v>0</v>
      </c>
    </row>
    <row r="2453" spans="1:404" ht="23.25" customHeight="1">
      <c r="A2453" s="97" t="str">
        <f t="shared" si="778"/>
        <v>004/HOMEGOODS-21(đ3)68-75200-S1-B</v>
      </c>
      <c r="B2453" s="95">
        <v>44604</v>
      </c>
      <c r="C2453" s="97">
        <f t="shared" ca="1" si="780"/>
        <v>-460</v>
      </c>
      <c r="D2453" s="112" t="s">
        <v>1982</v>
      </c>
      <c r="E2453" s="123" t="s">
        <v>319</v>
      </c>
      <c r="F2453" s="132" t="str">
        <f t="shared" si="774"/>
        <v>B</v>
      </c>
      <c r="G2453" s="130">
        <f ca="1">SUMIF($A:E,$A2453,K:K)</f>
        <v>921</v>
      </c>
      <c r="H2453" s="97" t="s">
        <v>1743</v>
      </c>
      <c r="I2453" s="98">
        <v>612</v>
      </c>
      <c r="J2453" s="115">
        <v>612</v>
      </c>
      <c r="K2453" s="143">
        <f t="shared" si="766"/>
        <v>921</v>
      </c>
      <c r="L2453" s="144">
        <f t="shared" si="785"/>
        <v>-309</v>
      </c>
      <c r="M2453" s="275">
        <f t="shared" si="783"/>
        <v>612</v>
      </c>
      <c r="N2453" s="98">
        <v>3</v>
      </c>
      <c r="O2453" s="93">
        <f t="shared" si="779"/>
        <v>150.49019607843138</v>
      </c>
      <c r="MU2453" s="100">
        <v>3</v>
      </c>
      <c r="MW2453" s="100">
        <v>20</v>
      </c>
      <c r="MX2453" s="100">
        <v>16</v>
      </c>
      <c r="MZ2453" s="100">
        <v>11</v>
      </c>
      <c r="NA2453" s="100">
        <v>18</v>
      </c>
      <c r="ND2453" s="100">
        <v>36</v>
      </c>
      <c r="NE2453" s="100">
        <v>50</v>
      </c>
      <c r="NF2453" s="100">
        <v>8</v>
      </c>
      <c r="NG2453" s="100">
        <v>23</v>
      </c>
      <c r="NI2453" s="100">
        <v>24</v>
      </c>
      <c r="NK2453" s="100">
        <v>53</v>
      </c>
      <c r="NL2453" s="100">
        <v>14</v>
      </c>
      <c r="NM2453" s="100">
        <v>27</v>
      </c>
      <c r="NS2453" s="100">
        <v>45</v>
      </c>
      <c r="NT2453" s="100">
        <v>29</v>
      </c>
      <c r="NU2453" s="100">
        <v>25</v>
      </c>
      <c r="NV2453" s="100">
        <v>32</v>
      </c>
      <c r="NY2453" s="100">
        <v>37</v>
      </c>
      <c r="NZ2453" s="100">
        <v>30</v>
      </c>
      <c r="OA2453" s="100">
        <v>29</v>
      </c>
      <c r="OB2453" s="100">
        <v>60</v>
      </c>
      <c r="OD2453" s="100">
        <v>22</v>
      </c>
      <c r="ON2453" s="100">
        <f t="shared" si="782"/>
        <v>309</v>
      </c>
    </row>
    <row r="2454" spans="1:404" ht="23.25" customHeight="1">
      <c r="A2454" s="135" t="str">
        <f t="shared" si="778"/>
        <v>004/HOMEGOODS-21(đ2)68-75300-S1-B</v>
      </c>
      <c r="B2454" s="126">
        <v>44572</v>
      </c>
      <c r="C2454" s="97">
        <f t="shared" ca="1" si="780"/>
        <v>-492</v>
      </c>
      <c r="D2454" s="208" t="s">
        <v>1983</v>
      </c>
      <c r="E2454" s="226" t="s">
        <v>529</v>
      </c>
      <c r="F2454" s="132" t="str">
        <f t="shared" si="774"/>
        <v>B</v>
      </c>
      <c r="G2454" s="130">
        <f ca="1">SUMIF($A:E,$A2454,K:K)</f>
        <v>620</v>
      </c>
      <c r="H2454" s="97" t="s">
        <v>1743</v>
      </c>
      <c r="I2454" s="98">
        <v>620</v>
      </c>
      <c r="J2454" s="115">
        <v>620</v>
      </c>
      <c r="K2454" s="143">
        <f t="shared" si="766"/>
        <v>620</v>
      </c>
      <c r="L2454" s="144">
        <f t="shared" si="785"/>
        <v>0</v>
      </c>
      <c r="M2454" s="275">
        <f t="shared" si="783"/>
        <v>620</v>
      </c>
      <c r="N2454" s="98">
        <v>6</v>
      </c>
      <c r="O2454" s="93">
        <f t="shared" si="779"/>
        <v>100</v>
      </c>
      <c r="JG2454" s="100">
        <v>7</v>
      </c>
      <c r="JH2454" s="100">
        <v>30</v>
      </c>
      <c r="JI2454" s="100">
        <v>3</v>
      </c>
      <c r="JJ2454" s="100">
        <v>14</v>
      </c>
      <c r="JN2454" s="100">
        <f>24+22</f>
        <v>46</v>
      </c>
      <c r="JO2454" s="100">
        <v>10</v>
      </c>
      <c r="JP2454" s="100">
        <v>14</v>
      </c>
      <c r="JT2454" s="100">
        <v>17</v>
      </c>
      <c r="JU2454" s="100">
        <v>2</v>
      </c>
      <c r="JW2454" s="100">
        <v>3</v>
      </c>
      <c r="JY2454" s="100">
        <v>20</v>
      </c>
      <c r="KA2454" s="100">
        <v>9</v>
      </c>
      <c r="KB2454" s="100">
        <v>7</v>
      </c>
      <c r="KE2454" s="100">
        <v>6</v>
      </c>
      <c r="KG2454" s="100">
        <v>8</v>
      </c>
      <c r="KH2454" s="100">
        <v>10</v>
      </c>
      <c r="KO2454" s="100">
        <v>9</v>
      </c>
      <c r="KP2454" s="100">
        <v>10</v>
      </c>
      <c r="LC2454" s="100">
        <v>10</v>
      </c>
      <c r="LD2454" s="100">
        <v>5</v>
      </c>
      <c r="LF2454" s="100">
        <v>5</v>
      </c>
      <c r="LG2454" s="100">
        <v>6</v>
      </c>
      <c r="LI2454" s="100">
        <v>1</v>
      </c>
      <c r="LK2454" s="100">
        <v>18</v>
      </c>
      <c r="LQ2454" s="100">
        <v>13</v>
      </c>
      <c r="LT2454" s="100">
        <v>2</v>
      </c>
      <c r="LU2454" s="100">
        <v>50</v>
      </c>
      <c r="LW2454" s="100">
        <v>1</v>
      </c>
      <c r="LX2454" s="100">
        <v>13</v>
      </c>
      <c r="LY2454" s="100">
        <v>5</v>
      </c>
      <c r="LZ2454" s="100">
        <v>12</v>
      </c>
      <c r="MD2454" s="100">
        <v>16</v>
      </c>
      <c r="MF2454" s="100">
        <v>17</v>
      </c>
      <c r="MG2454" s="100">
        <v>35</v>
      </c>
      <c r="MH2454" s="100">
        <v>24</v>
      </c>
      <c r="MK2454" s="100">
        <v>17</v>
      </c>
      <c r="ML2454" s="100">
        <v>33</v>
      </c>
      <c r="MM2454" s="100">
        <v>39</v>
      </c>
      <c r="MN2454" s="100">
        <v>11</v>
      </c>
      <c r="MO2454" s="100">
        <v>10</v>
      </c>
      <c r="MP2454" s="100">
        <v>25</v>
      </c>
      <c r="MQ2454" s="100">
        <v>20</v>
      </c>
      <c r="MR2454" s="100">
        <v>7</v>
      </c>
      <c r="ON2454" s="100">
        <f t="shared" si="782"/>
        <v>0</v>
      </c>
    </row>
    <row r="2455" spans="1:404" ht="23.25" customHeight="1">
      <c r="A2455" s="97" t="str">
        <f t="shared" si="778"/>
        <v>282/KHBS-2168-75200-S1-B</v>
      </c>
      <c r="B2455" s="95">
        <v>44478</v>
      </c>
      <c r="C2455" s="97">
        <f t="shared" ca="1" si="780"/>
        <v>-586</v>
      </c>
      <c r="D2455" s="96" t="s">
        <v>1985</v>
      </c>
      <c r="E2455" s="94" t="s">
        <v>319</v>
      </c>
      <c r="F2455" s="98" t="str">
        <f t="shared" si="774"/>
        <v>B</v>
      </c>
      <c r="G2455" s="110">
        <f ca="1">SUMIF($A:E,$A2455,K:K)</f>
        <v>1</v>
      </c>
      <c r="H2455" s="97" t="s">
        <v>1743</v>
      </c>
      <c r="I2455" s="98">
        <v>1</v>
      </c>
      <c r="J2455" s="115">
        <v>1</v>
      </c>
      <c r="K2455" s="143">
        <f t="shared" si="766"/>
        <v>1</v>
      </c>
      <c r="L2455" s="144">
        <f t="shared" ref="L2455" si="786">J2455-K2455</f>
        <v>0</v>
      </c>
      <c r="M2455" s="275">
        <f t="shared" si="783"/>
        <v>1</v>
      </c>
      <c r="N2455" s="98">
        <v>3</v>
      </c>
      <c r="O2455" s="93">
        <f t="shared" si="779"/>
        <v>100</v>
      </c>
      <c r="JI2455" s="100">
        <v>1</v>
      </c>
      <c r="ON2455" s="100">
        <f t="shared" si="782"/>
        <v>0</v>
      </c>
    </row>
    <row r="2456" spans="1:404" ht="23.25" customHeight="1">
      <c r="A2456" s="138" t="str">
        <f t="shared" si="778"/>
        <v>281/KHBS-21( 003T/PLANTAGEN-21)68-70900-01-01</v>
      </c>
      <c r="B2456" s="95">
        <v>44485</v>
      </c>
      <c r="C2456" s="97">
        <f t="shared" ca="1" si="780"/>
        <v>-579</v>
      </c>
      <c r="D2456" s="112" t="s">
        <v>1987</v>
      </c>
      <c r="E2456" s="123" t="s">
        <v>568</v>
      </c>
      <c r="F2456" s="132" t="str">
        <f t="shared" si="774"/>
        <v>01</v>
      </c>
      <c r="G2456" s="130">
        <f ca="1">SUMIF($A:E,$A2456,K:K)</f>
        <v>17</v>
      </c>
      <c r="H2456" s="97" t="s">
        <v>1988</v>
      </c>
      <c r="I2456" s="98">
        <v>17</v>
      </c>
      <c r="J2456" s="115">
        <v>17</v>
      </c>
      <c r="K2456" s="143">
        <f t="shared" si="766"/>
        <v>17</v>
      </c>
      <c r="L2456" s="144">
        <f t="shared" ref="L2456:L2458" si="787">J2456-K2456</f>
        <v>0</v>
      </c>
      <c r="M2456" s="275">
        <f t="shared" si="783"/>
        <v>17</v>
      </c>
      <c r="N2456" s="98">
        <v>3</v>
      </c>
      <c r="O2456" s="93">
        <f t="shared" si="779"/>
        <v>100</v>
      </c>
      <c r="JM2456" s="100">
        <v>17</v>
      </c>
      <c r="ON2456" s="100">
        <f t="shared" si="782"/>
        <v>0</v>
      </c>
    </row>
    <row r="2457" spans="1:404" ht="23.25" customHeight="1">
      <c r="A2457" s="97" t="str">
        <f t="shared" si="778"/>
        <v>281/KHBS-21( 003T/PLANTAGEN-21)68-70900-02-01</v>
      </c>
      <c r="B2457" s="95">
        <v>44485</v>
      </c>
      <c r="C2457" s="97">
        <f t="shared" ca="1" si="780"/>
        <v>-579</v>
      </c>
      <c r="D2457" s="112" t="s">
        <v>1987</v>
      </c>
      <c r="E2457" s="123" t="s">
        <v>530</v>
      </c>
      <c r="F2457" s="132" t="str">
        <f t="shared" si="774"/>
        <v>01</v>
      </c>
      <c r="G2457" s="130">
        <f ca="1">SUMIF($A:E,$A2457,K:K)</f>
        <v>3</v>
      </c>
      <c r="H2457" s="97" t="s">
        <v>1988</v>
      </c>
      <c r="I2457" s="98">
        <v>3</v>
      </c>
      <c r="J2457" s="115">
        <v>3</v>
      </c>
      <c r="K2457" s="143">
        <f t="shared" si="766"/>
        <v>3</v>
      </c>
      <c r="L2457" s="144">
        <f t="shared" si="787"/>
        <v>0</v>
      </c>
      <c r="M2457" s="275">
        <f t="shared" si="783"/>
        <v>3</v>
      </c>
      <c r="N2457" s="98">
        <v>3</v>
      </c>
      <c r="O2457" s="93">
        <f t="shared" si="779"/>
        <v>100</v>
      </c>
      <c r="JM2457" s="100">
        <v>3</v>
      </c>
      <c r="ON2457" s="100">
        <f t="shared" si="782"/>
        <v>0</v>
      </c>
    </row>
    <row r="2458" spans="1:404" ht="23.25" customHeight="1">
      <c r="A2458" s="127" t="str">
        <f t="shared" si="778"/>
        <v>281/KHBS-21( 003T/PLANTAGEN-21)68-70900-02-B</v>
      </c>
      <c r="B2458" s="126">
        <v>44479</v>
      </c>
      <c r="C2458" s="127">
        <f t="shared" ca="1" si="780"/>
        <v>-585</v>
      </c>
      <c r="D2458" s="208" t="s">
        <v>1987</v>
      </c>
      <c r="E2458" s="226" t="s">
        <v>24</v>
      </c>
      <c r="F2458" s="132" t="str">
        <f t="shared" ref="F2458:F2473" si="788">MID(E2458,13,2)</f>
        <v>B</v>
      </c>
      <c r="G2458" s="130">
        <f ca="1">SUMIF($A:E,$A2458,K:K)</f>
        <v>18</v>
      </c>
      <c r="H2458" s="127" t="s">
        <v>1743</v>
      </c>
      <c r="I2458" s="98">
        <v>18</v>
      </c>
      <c r="J2458" s="134">
        <v>18</v>
      </c>
      <c r="K2458" s="160">
        <f t="shared" si="766"/>
        <v>18</v>
      </c>
      <c r="L2458" s="151">
        <f t="shared" si="787"/>
        <v>0</v>
      </c>
      <c r="M2458" s="275">
        <f t="shared" si="783"/>
        <v>18</v>
      </c>
      <c r="N2458" s="132">
        <v>3</v>
      </c>
      <c r="O2458" s="93">
        <f t="shared" si="779"/>
        <v>100</v>
      </c>
      <c r="JM2458" s="100">
        <v>7</v>
      </c>
      <c r="JN2458" s="100">
        <v>11</v>
      </c>
      <c r="ON2458" s="100">
        <f t="shared" si="782"/>
        <v>0</v>
      </c>
    </row>
    <row r="2459" spans="1:404" ht="23.25" customHeight="1">
      <c r="A2459" s="97" t="str">
        <f t="shared" si="778"/>
        <v>280/KHBS-2166-52237-01-B4</v>
      </c>
      <c r="B2459" s="95">
        <v>44481</v>
      </c>
      <c r="C2459" s="97">
        <f t="shared" ca="1" si="780"/>
        <v>-583</v>
      </c>
      <c r="D2459" s="96" t="s">
        <v>1989</v>
      </c>
      <c r="E2459" s="94" t="s">
        <v>1990</v>
      </c>
      <c r="F2459" s="132" t="str">
        <f t="shared" si="788"/>
        <v>B4</v>
      </c>
      <c r="G2459" s="130">
        <f ca="1">SUMIF($A:E,$A2459,K:K)</f>
        <v>8</v>
      </c>
      <c r="H2459" s="97" t="s">
        <v>1743</v>
      </c>
      <c r="I2459" s="98">
        <v>72</v>
      </c>
      <c r="J2459" s="115">
        <v>8</v>
      </c>
      <c r="K2459" s="143">
        <f t="shared" si="766"/>
        <v>8</v>
      </c>
      <c r="L2459" s="144">
        <f t="shared" ref="L2459:L2462" si="789">J2459-K2459</f>
        <v>0</v>
      </c>
      <c r="M2459" s="275">
        <f t="shared" si="783"/>
        <v>72</v>
      </c>
      <c r="N2459" s="98">
        <v>1</v>
      </c>
      <c r="O2459" s="93">
        <f t="shared" si="779"/>
        <v>100</v>
      </c>
      <c r="JN2459" s="100">
        <v>5</v>
      </c>
      <c r="JO2459" s="100">
        <v>3</v>
      </c>
      <c r="ON2459" s="100">
        <f t="shared" si="782"/>
        <v>0</v>
      </c>
    </row>
    <row r="2460" spans="1:404" ht="23.25" customHeight="1">
      <c r="A2460" s="97" t="str">
        <f t="shared" si="778"/>
        <v>280/KHBS-2168-70337-02-B4</v>
      </c>
      <c r="B2460" s="95">
        <v>44481</v>
      </c>
      <c r="C2460" s="97">
        <f t="shared" ca="1" si="780"/>
        <v>-583</v>
      </c>
      <c r="D2460" s="96" t="s">
        <v>1989</v>
      </c>
      <c r="E2460" s="94" t="s">
        <v>615</v>
      </c>
      <c r="F2460" s="132" t="str">
        <f t="shared" si="788"/>
        <v>B4</v>
      </c>
      <c r="G2460" s="130">
        <f ca="1">SUMIF($A:E,$A2460,K:K)</f>
        <v>2</v>
      </c>
      <c r="H2460" s="97" t="s">
        <v>1743</v>
      </c>
      <c r="I2460" s="98">
        <v>72</v>
      </c>
      <c r="J2460" s="115">
        <v>2</v>
      </c>
      <c r="K2460" s="143">
        <f t="shared" si="766"/>
        <v>2</v>
      </c>
      <c r="L2460" s="144">
        <f t="shared" si="789"/>
        <v>0</v>
      </c>
      <c r="M2460" s="275">
        <f t="shared" si="783"/>
        <v>72</v>
      </c>
      <c r="N2460" s="98">
        <v>1</v>
      </c>
      <c r="O2460" s="93">
        <f t="shared" si="779"/>
        <v>100</v>
      </c>
      <c r="JN2460" s="100">
        <v>2</v>
      </c>
      <c r="ON2460" s="100">
        <f t="shared" si="782"/>
        <v>0</v>
      </c>
    </row>
    <row r="2461" spans="1:404" ht="23.25" customHeight="1">
      <c r="A2461" s="97" t="str">
        <f t="shared" si="778"/>
        <v>280/KHBS-2166-85629-01-B</v>
      </c>
      <c r="B2461" s="95">
        <v>44481</v>
      </c>
      <c r="C2461" s="97">
        <f t="shared" ca="1" si="780"/>
        <v>-583</v>
      </c>
      <c r="D2461" s="96" t="s">
        <v>1989</v>
      </c>
      <c r="E2461" s="94" t="s">
        <v>1986</v>
      </c>
      <c r="F2461" s="98" t="str">
        <f t="shared" si="788"/>
        <v>B</v>
      </c>
      <c r="G2461" s="110">
        <f ca="1">SUMIF($A:E,$A2461,K:K)</f>
        <v>2</v>
      </c>
      <c r="H2461" s="97" t="s">
        <v>1743</v>
      </c>
      <c r="I2461" s="98">
        <v>72</v>
      </c>
      <c r="J2461" s="115">
        <v>2</v>
      </c>
      <c r="K2461" s="143">
        <f t="shared" si="766"/>
        <v>2</v>
      </c>
      <c r="L2461" s="144">
        <f t="shared" si="789"/>
        <v>0</v>
      </c>
      <c r="M2461" s="317">
        <f t="shared" si="783"/>
        <v>72</v>
      </c>
      <c r="N2461" s="98">
        <v>3</v>
      </c>
      <c r="O2461" s="93">
        <f t="shared" si="779"/>
        <v>100</v>
      </c>
      <c r="JN2461" s="100">
        <v>2</v>
      </c>
      <c r="ON2461" s="100">
        <f t="shared" si="782"/>
        <v>0</v>
      </c>
    </row>
    <row r="2462" spans="1:404" ht="23.25" customHeight="1">
      <c r="A2462" s="138" t="str">
        <f t="shared" si="778"/>
        <v>280/KHBS-2166-12523-03-B</v>
      </c>
      <c r="B2462" s="114">
        <v>44481</v>
      </c>
      <c r="C2462" s="138">
        <f t="shared" ca="1" si="780"/>
        <v>-583</v>
      </c>
      <c r="D2462" s="262" t="s">
        <v>1989</v>
      </c>
      <c r="E2462" s="261" t="s">
        <v>643</v>
      </c>
      <c r="F2462" s="136" t="str">
        <f t="shared" si="788"/>
        <v>B</v>
      </c>
      <c r="G2462" s="137">
        <f ca="1">SUMIF($A:E,$A2462,K:K)</f>
        <v>2</v>
      </c>
      <c r="H2462" s="138" t="s">
        <v>1743</v>
      </c>
      <c r="I2462" s="98">
        <v>2</v>
      </c>
      <c r="J2462" s="240">
        <v>2</v>
      </c>
      <c r="K2462" s="166">
        <f t="shared" si="766"/>
        <v>2</v>
      </c>
      <c r="L2462" s="150">
        <f t="shared" si="789"/>
        <v>0</v>
      </c>
      <c r="M2462" s="275">
        <f t="shared" si="783"/>
        <v>2</v>
      </c>
      <c r="N2462" s="133">
        <v>1</v>
      </c>
      <c r="O2462" s="93">
        <f t="shared" si="779"/>
        <v>100</v>
      </c>
      <c r="JM2462" s="100">
        <v>2</v>
      </c>
      <c r="ON2462" s="100">
        <f t="shared" si="782"/>
        <v>0</v>
      </c>
    </row>
    <row r="2463" spans="1:404" ht="23.25" customHeight="1">
      <c r="A2463" s="97" t="str">
        <f t="shared" si="778"/>
        <v>003/HERSTERA-2168-70200-S3-01</v>
      </c>
      <c r="B2463" s="95">
        <v>44595</v>
      </c>
      <c r="C2463" s="97">
        <f t="shared" ca="1" si="780"/>
        <v>-469</v>
      </c>
      <c r="D2463" s="112" t="s">
        <v>1994</v>
      </c>
      <c r="E2463" s="123" t="s">
        <v>235</v>
      </c>
      <c r="F2463" s="98" t="str">
        <f t="shared" si="788"/>
        <v>01</v>
      </c>
      <c r="G2463" s="110">
        <f ca="1">SUMIF($A:E,$A2463,K:K)</f>
        <v>30</v>
      </c>
      <c r="H2463" s="97" t="s">
        <v>1988</v>
      </c>
      <c r="I2463" s="98">
        <v>30</v>
      </c>
      <c r="J2463" s="99">
        <v>30</v>
      </c>
      <c r="K2463" s="143">
        <f t="shared" si="766"/>
        <v>30</v>
      </c>
      <c r="L2463" s="144">
        <f t="shared" ref="L2463:L2475" si="790">J2463-K2463</f>
        <v>0</v>
      </c>
      <c r="M2463" s="275">
        <f t="shared" si="783"/>
        <v>90</v>
      </c>
      <c r="N2463" s="98">
        <v>3</v>
      </c>
      <c r="O2463" s="93">
        <f t="shared" si="779"/>
        <v>100</v>
      </c>
      <c r="MK2463" s="100">
        <v>1</v>
      </c>
      <c r="ML2463" s="100">
        <v>4</v>
      </c>
      <c r="MM2463" s="100">
        <v>3</v>
      </c>
      <c r="MN2463" s="100">
        <v>3</v>
      </c>
      <c r="MO2463" s="100">
        <v>6</v>
      </c>
      <c r="MQ2463" s="100">
        <v>3</v>
      </c>
      <c r="MR2463" s="100">
        <v>3</v>
      </c>
      <c r="MS2463" s="100">
        <v>3</v>
      </c>
      <c r="MT2463" s="100">
        <v>3</v>
      </c>
      <c r="MW2463" s="100">
        <v>1</v>
      </c>
      <c r="ON2463" s="100">
        <f t="shared" si="782"/>
        <v>0</v>
      </c>
    </row>
    <row r="2464" spans="1:404" ht="23.25" customHeight="1">
      <c r="A2464" s="97" t="str">
        <f t="shared" si="778"/>
        <v>003/HERSTERA-2168-72600-S4-01</v>
      </c>
      <c r="B2464" s="95">
        <v>44595</v>
      </c>
      <c r="C2464" s="97">
        <f t="shared" ca="1" si="780"/>
        <v>-469</v>
      </c>
      <c r="D2464" s="112" t="s">
        <v>1994</v>
      </c>
      <c r="E2464" s="279" t="s">
        <v>282</v>
      </c>
      <c r="F2464" s="98" t="str">
        <f t="shared" si="788"/>
        <v>01</v>
      </c>
      <c r="G2464" s="110">
        <f ca="1">SUMIF($A:E,$A2464,K:K)</f>
        <v>30</v>
      </c>
      <c r="H2464" s="97" t="s">
        <v>1988</v>
      </c>
      <c r="I2464" s="98">
        <v>72</v>
      </c>
      <c r="J2464" s="99">
        <v>30</v>
      </c>
      <c r="K2464" s="143">
        <f t="shared" ref="K2464:K2519" si="791">SUM(P2464:BBC2464)</f>
        <v>30</v>
      </c>
      <c r="L2464" s="144">
        <f t="shared" si="790"/>
        <v>0</v>
      </c>
      <c r="M2464" s="275">
        <f t="shared" si="783"/>
        <v>288</v>
      </c>
      <c r="N2464" s="98" t="s">
        <v>1776</v>
      </c>
      <c r="O2464" s="93">
        <f t="shared" si="779"/>
        <v>100</v>
      </c>
      <c r="LN2464" s="100">
        <v>2</v>
      </c>
      <c r="LQ2464" s="100">
        <v>1</v>
      </c>
      <c r="LR2464" s="100">
        <v>2</v>
      </c>
      <c r="LS2464" s="100">
        <v>1</v>
      </c>
      <c r="LT2464" s="100">
        <v>1</v>
      </c>
      <c r="LU2464" s="100">
        <v>1</v>
      </c>
      <c r="LW2464" s="100">
        <v>2</v>
      </c>
      <c r="LX2464" s="100">
        <v>2</v>
      </c>
      <c r="LY2464" s="100">
        <v>2</v>
      </c>
      <c r="LZ2464" s="100">
        <v>2</v>
      </c>
      <c r="MA2464" s="100">
        <v>2</v>
      </c>
      <c r="MB2464" s="100">
        <v>2</v>
      </c>
      <c r="MD2464" s="100">
        <v>1</v>
      </c>
      <c r="ME2464" s="100">
        <v>3</v>
      </c>
      <c r="MF2464" s="100">
        <v>2</v>
      </c>
      <c r="MG2464" s="100">
        <v>2</v>
      </c>
      <c r="MH2464" s="100">
        <v>2</v>
      </c>
      <c r="ON2464" s="100">
        <f t="shared" si="782"/>
        <v>0</v>
      </c>
    </row>
    <row r="2465" spans="1:404" ht="23.25" customHeight="1">
      <c r="A2465" s="97" t="str">
        <f t="shared" si="778"/>
        <v>049T/WESTELM-2166-87839-01-B</v>
      </c>
      <c r="B2465" s="95">
        <v>44547</v>
      </c>
      <c r="C2465" s="97">
        <f t="shared" ref="C2465:C2473" ca="1" si="792">B2465-TODAY()</f>
        <v>-517</v>
      </c>
      <c r="D2465" s="112" t="s">
        <v>1995</v>
      </c>
      <c r="E2465" s="123" t="s">
        <v>1902</v>
      </c>
      <c r="F2465" s="92" t="str">
        <f t="shared" si="788"/>
        <v>B</v>
      </c>
      <c r="G2465" s="109">
        <f ca="1">SUMIF($A:E,$A2465,K:K)</f>
        <v>250</v>
      </c>
      <c r="H2465" s="97" t="s">
        <v>508</v>
      </c>
      <c r="I2465" s="98">
        <v>72</v>
      </c>
      <c r="J2465" s="115">
        <v>250</v>
      </c>
      <c r="K2465" s="143">
        <f t="shared" si="791"/>
        <v>250</v>
      </c>
      <c r="L2465" s="144">
        <f t="shared" si="790"/>
        <v>0</v>
      </c>
      <c r="M2465" s="275">
        <f t="shared" si="783"/>
        <v>72</v>
      </c>
      <c r="N2465" s="211">
        <v>3</v>
      </c>
      <c r="O2465" s="93">
        <f t="shared" si="779"/>
        <v>100</v>
      </c>
      <c r="JQ2465" s="100">
        <v>3</v>
      </c>
      <c r="JT2465" s="100">
        <v>5</v>
      </c>
      <c r="JV2465" s="100">
        <v>5</v>
      </c>
      <c r="JX2465" s="100">
        <v>1</v>
      </c>
      <c r="JY2465" s="100">
        <v>6</v>
      </c>
      <c r="KA2465" s="100">
        <v>4</v>
      </c>
      <c r="KB2465" s="100">
        <v>3</v>
      </c>
      <c r="KD2465" s="100">
        <v>7</v>
      </c>
      <c r="KE2465" s="100">
        <v>1</v>
      </c>
      <c r="KF2465" s="100">
        <v>5</v>
      </c>
      <c r="KG2465" s="100">
        <v>6</v>
      </c>
      <c r="KH2465" s="100">
        <v>4</v>
      </c>
      <c r="KI2465" s="100">
        <v>4</v>
      </c>
      <c r="KQ2465" s="100">
        <v>4</v>
      </c>
      <c r="KR2465" s="100">
        <v>4</v>
      </c>
      <c r="KS2465" s="100">
        <v>2</v>
      </c>
      <c r="KV2465" s="100">
        <v>8</v>
      </c>
      <c r="KW2465" s="100">
        <v>8</v>
      </c>
      <c r="KX2465" s="100">
        <v>3</v>
      </c>
      <c r="KY2465" s="100">
        <v>4</v>
      </c>
      <c r="KZ2465" s="100">
        <v>8</v>
      </c>
      <c r="LB2465" s="100">
        <v>7</v>
      </c>
      <c r="LC2465" s="100">
        <v>4</v>
      </c>
      <c r="LE2465" s="100">
        <v>1</v>
      </c>
      <c r="LF2465" s="100">
        <v>8</v>
      </c>
      <c r="LG2465" s="100">
        <v>8</v>
      </c>
      <c r="LI2465" s="100">
        <v>1</v>
      </c>
      <c r="LJ2465" s="100">
        <v>7</v>
      </c>
      <c r="LK2465" s="100">
        <v>2</v>
      </c>
      <c r="LL2465" s="100">
        <v>8</v>
      </c>
      <c r="LM2465" s="100">
        <v>13</v>
      </c>
      <c r="LN2465" s="100">
        <v>7</v>
      </c>
      <c r="LP2465" s="100">
        <v>9</v>
      </c>
      <c r="LQ2465" s="100">
        <v>12</v>
      </c>
      <c r="LR2465" s="100">
        <v>8</v>
      </c>
      <c r="LS2465" s="100">
        <v>9</v>
      </c>
      <c r="LT2465" s="100">
        <v>8</v>
      </c>
      <c r="LU2465" s="100">
        <v>4</v>
      </c>
      <c r="LW2465" s="100">
        <v>4</v>
      </c>
      <c r="LX2465" s="100">
        <v>12</v>
      </c>
      <c r="LY2465" s="100">
        <v>7</v>
      </c>
      <c r="LZ2465" s="100">
        <v>7</v>
      </c>
      <c r="MA2465" s="100">
        <v>6</v>
      </c>
      <c r="MD2465" s="100">
        <v>3</v>
      </c>
      <c r="ON2465" s="100">
        <f t="shared" si="782"/>
        <v>0</v>
      </c>
    </row>
    <row r="2466" spans="1:404" ht="23.25" customHeight="1">
      <c r="A2466" s="97" t="str">
        <f t="shared" si="778"/>
        <v>049T/WESTELM-2166-87839-02-B</v>
      </c>
      <c r="B2466" s="95">
        <v>44547</v>
      </c>
      <c r="C2466" s="97">
        <f t="shared" ca="1" si="792"/>
        <v>-517</v>
      </c>
      <c r="D2466" s="112" t="s">
        <v>1995</v>
      </c>
      <c r="E2466" s="123" t="s">
        <v>1903</v>
      </c>
      <c r="F2466" s="92" t="str">
        <f t="shared" si="788"/>
        <v>B</v>
      </c>
      <c r="G2466" s="109">
        <f ca="1">SUMIF($A:E,$A2466,K:K)</f>
        <v>250</v>
      </c>
      <c r="H2466" s="97" t="s">
        <v>508</v>
      </c>
      <c r="I2466" s="98">
        <v>72</v>
      </c>
      <c r="J2466" s="115">
        <v>250</v>
      </c>
      <c r="K2466" s="143">
        <f t="shared" si="791"/>
        <v>250</v>
      </c>
      <c r="L2466" s="144">
        <f>J2466-K2466</f>
        <v>0</v>
      </c>
      <c r="M2466" s="275">
        <f t="shared" si="783"/>
        <v>72</v>
      </c>
      <c r="N2466" s="211">
        <v>3</v>
      </c>
      <c r="O2466" s="93">
        <f t="shared" si="779"/>
        <v>100</v>
      </c>
      <c r="JQ2466" s="100">
        <v>3</v>
      </c>
      <c r="JT2466" s="100">
        <v>4</v>
      </c>
      <c r="JV2466" s="100">
        <v>5</v>
      </c>
      <c r="JY2466" s="100">
        <v>6</v>
      </c>
      <c r="KA2466" s="100">
        <v>4</v>
      </c>
      <c r="KB2466" s="100">
        <v>3</v>
      </c>
      <c r="KC2466" s="100">
        <v>3</v>
      </c>
      <c r="KD2466" s="100">
        <v>3</v>
      </c>
      <c r="KE2466" s="100">
        <v>1</v>
      </c>
      <c r="KF2466" s="100">
        <v>8</v>
      </c>
      <c r="KG2466" s="100">
        <v>6</v>
      </c>
      <c r="KH2466" s="100">
        <v>4</v>
      </c>
      <c r="KI2466" s="100">
        <v>4</v>
      </c>
      <c r="KO2466" s="100">
        <v>4</v>
      </c>
      <c r="KQ2466" s="100">
        <v>4</v>
      </c>
      <c r="KR2466" s="100">
        <v>4</v>
      </c>
      <c r="KS2466" s="100">
        <v>4</v>
      </c>
      <c r="KV2466" s="100">
        <v>7</v>
      </c>
      <c r="KW2466" s="100">
        <v>9</v>
      </c>
      <c r="KY2466" s="100">
        <v>4</v>
      </c>
      <c r="KZ2466" s="100">
        <v>8</v>
      </c>
      <c r="LB2466" s="100">
        <v>8</v>
      </c>
      <c r="LC2466" s="100">
        <v>3</v>
      </c>
      <c r="LE2466" s="100">
        <v>1</v>
      </c>
      <c r="LF2466" s="100">
        <v>8</v>
      </c>
      <c r="LG2466" s="100">
        <v>8</v>
      </c>
      <c r="LK2466" s="100">
        <v>6</v>
      </c>
      <c r="LL2466" s="100">
        <v>16</v>
      </c>
      <c r="LM2466" s="100">
        <v>7</v>
      </c>
      <c r="LN2466" s="100">
        <v>7</v>
      </c>
      <c r="LP2466" s="100">
        <v>10</v>
      </c>
      <c r="LQ2466" s="100">
        <v>12</v>
      </c>
      <c r="LR2466" s="100">
        <v>9</v>
      </c>
      <c r="LS2466" s="100">
        <v>7</v>
      </c>
      <c r="LT2466" s="100">
        <v>8</v>
      </c>
      <c r="LU2466" s="100">
        <v>8</v>
      </c>
      <c r="LX2466" s="100">
        <v>12</v>
      </c>
      <c r="LY2466" s="100">
        <v>5</v>
      </c>
      <c r="LZ2466" s="100">
        <v>9</v>
      </c>
      <c r="MA2466" s="100">
        <v>7</v>
      </c>
      <c r="ME2466" s="100">
        <v>1</v>
      </c>
      <c r="ON2466" s="100">
        <f t="shared" si="782"/>
        <v>0</v>
      </c>
    </row>
    <row r="2467" spans="1:404" ht="23.25" customHeight="1">
      <c r="A2467" s="97" t="str">
        <f t="shared" si="778"/>
        <v>049T/WESTELM-2166-87839-05-B</v>
      </c>
      <c r="B2467" s="95">
        <v>44547</v>
      </c>
      <c r="C2467" s="97">
        <f t="shared" ca="1" si="792"/>
        <v>-517</v>
      </c>
      <c r="D2467" s="112" t="s">
        <v>1995</v>
      </c>
      <c r="E2467" s="123" t="s">
        <v>1904</v>
      </c>
      <c r="F2467" s="92" t="str">
        <f t="shared" si="788"/>
        <v>B</v>
      </c>
      <c r="G2467" s="109">
        <f ca="1">SUMIF($A:E,$A2467,K:K)</f>
        <v>283</v>
      </c>
      <c r="H2467" s="97" t="s">
        <v>508</v>
      </c>
      <c r="I2467" s="98">
        <v>72</v>
      </c>
      <c r="J2467" s="115">
        <v>283</v>
      </c>
      <c r="K2467" s="143">
        <f t="shared" si="791"/>
        <v>283</v>
      </c>
      <c r="L2467" s="144">
        <f t="shared" si="790"/>
        <v>0</v>
      </c>
      <c r="M2467" s="275">
        <f t="shared" si="783"/>
        <v>72</v>
      </c>
      <c r="N2467" s="211">
        <v>6</v>
      </c>
      <c r="O2467" s="93">
        <f t="shared" si="779"/>
        <v>100</v>
      </c>
      <c r="JT2467" s="100">
        <v>12</v>
      </c>
      <c r="JU2467" s="100">
        <v>2</v>
      </c>
      <c r="JV2467" s="100">
        <v>2</v>
      </c>
      <c r="JW2467" s="100">
        <v>7</v>
      </c>
      <c r="JY2467" s="176">
        <v>9</v>
      </c>
      <c r="KA2467" s="100">
        <v>6</v>
      </c>
      <c r="KB2467" s="100">
        <v>8</v>
      </c>
      <c r="KC2467" s="100">
        <v>6</v>
      </c>
      <c r="KD2467" s="100">
        <v>4</v>
      </c>
      <c r="KE2467" s="100">
        <v>6</v>
      </c>
      <c r="KF2467" s="100">
        <v>5</v>
      </c>
      <c r="KG2467" s="100">
        <v>4</v>
      </c>
      <c r="KH2467" s="100">
        <v>4</v>
      </c>
      <c r="KI2467" s="100">
        <v>3</v>
      </c>
      <c r="KJ2467" s="100">
        <v>2</v>
      </c>
      <c r="KO2467" s="100">
        <v>4</v>
      </c>
      <c r="KP2467" s="100">
        <v>3</v>
      </c>
      <c r="KQ2467" s="100">
        <v>7</v>
      </c>
      <c r="KS2467" s="100">
        <v>12</v>
      </c>
      <c r="KU2467" s="100">
        <v>3</v>
      </c>
      <c r="KV2467" s="100">
        <v>2</v>
      </c>
      <c r="KX2467" s="100">
        <v>18</v>
      </c>
      <c r="KY2467" s="100">
        <v>11</v>
      </c>
      <c r="KZ2467" s="100">
        <v>12</v>
      </c>
      <c r="LB2467" s="100">
        <v>8</v>
      </c>
      <c r="LC2467" s="100">
        <v>4</v>
      </c>
      <c r="LD2467" s="100">
        <v>4</v>
      </c>
      <c r="LE2467" s="100">
        <v>15</v>
      </c>
      <c r="LF2467" s="100">
        <v>8</v>
      </c>
      <c r="LG2467" s="100">
        <v>8</v>
      </c>
      <c r="LI2467" s="100">
        <v>8</v>
      </c>
      <c r="LJ2467" s="100">
        <v>4</v>
      </c>
      <c r="LK2467" s="100">
        <v>8</v>
      </c>
      <c r="LL2467" s="100">
        <v>8</v>
      </c>
      <c r="LM2467" s="100">
        <v>4</v>
      </c>
      <c r="LN2467" s="100">
        <v>4</v>
      </c>
      <c r="LP2467" s="100">
        <v>5</v>
      </c>
      <c r="LQ2467" s="100">
        <v>4</v>
      </c>
      <c r="LS2467" s="100">
        <v>7</v>
      </c>
      <c r="LU2467" s="100">
        <v>2</v>
      </c>
      <c r="LW2467" s="100">
        <v>10</v>
      </c>
      <c r="LX2467" s="100">
        <v>7</v>
      </c>
      <c r="LY2467" s="100">
        <v>8</v>
      </c>
      <c r="MA2467" s="100">
        <v>3</v>
      </c>
      <c r="MK2467" s="100">
        <v>2</v>
      </c>
      <c r="ON2467" s="100">
        <f t="shared" si="782"/>
        <v>0</v>
      </c>
    </row>
    <row r="2468" spans="1:404" ht="23.25" customHeight="1">
      <c r="A2468" s="97" t="str">
        <f t="shared" si="778"/>
        <v>049T/WESTELM-2166-87939-01-B</v>
      </c>
      <c r="B2468" s="95">
        <v>44547</v>
      </c>
      <c r="C2468" s="97">
        <f t="shared" ca="1" si="792"/>
        <v>-517</v>
      </c>
      <c r="D2468" s="112" t="s">
        <v>1995</v>
      </c>
      <c r="E2468" s="123" t="s">
        <v>1905</v>
      </c>
      <c r="F2468" s="92" t="str">
        <f t="shared" si="788"/>
        <v>B</v>
      </c>
      <c r="G2468" s="109">
        <f ca="1">SUMIF($A:E,$A2468,K:K)</f>
        <v>251</v>
      </c>
      <c r="H2468" s="97" t="s">
        <v>508</v>
      </c>
      <c r="I2468" s="98">
        <v>251</v>
      </c>
      <c r="J2468" s="115">
        <v>251</v>
      </c>
      <c r="K2468" s="143">
        <f t="shared" si="791"/>
        <v>251</v>
      </c>
      <c r="L2468" s="144">
        <f t="shared" si="790"/>
        <v>0</v>
      </c>
      <c r="M2468" s="275">
        <f t="shared" si="783"/>
        <v>251</v>
      </c>
      <c r="N2468" s="211">
        <v>3</v>
      </c>
      <c r="O2468" s="93">
        <f t="shared" si="779"/>
        <v>100</v>
      </c>
      <c r="JQ2468" s="100">
        <v>3</v>
      </c>
      <c r="JR2468" s="100">
        <v>5</v>
      </c>
      <c r="JU2468" s="100">
        <v>5</v>
      </c>
      <c r="JV2468" s="100">
        <v>3</v>
      </c>
      <c r="JX2468" s="100">
        <v>1</v>
      </c>
      <c r="KA2468" s="100">
        <v>14</v>
      </c>
      <c r="KD2468" s="100">
        <v>3</v>
      </c>
      <c r="KE2468" s="100">
        <v>4</v>
      </c>
      <c r="KF2468" s="100">
        <v>5</v>
      </c>
      <c r="KG2468" s="100">
        <v>8</v>
      </c>
      <c r="KH2468" s="100">
        <v>3</v>
      </c>
      <c r="KI2468" s="100">
        <v>4</v>
      </c>
      <c r="KJ2468" s="100">
        <v>9</v>
      </c>
      <c r="KN2468" s="100">
        <v>4</v>
      </c>
      <c r="KO2468" s="100">
        <v>5</v>
      </c>
      <c r="KP2468" s="100">
        <v>1</v>
      </c>
      <c r="KQ2468" s="100">
        <v>4</v>
      </c>
      <c r="KR2468" s="100">
        <v>7</v>
      </c>
      <c r="KS2468" s="100">
        <v>3</v>
      </c>
      <c r="KV2468" s="100">
        <v>8</v>
      </c>
      <c r="KW2468" s="100">
        <v>2</v>
      </c>
      <c r="KX2468" s="100">
        <v>4</v>
      </c>
      <c r="KY2468" s="100">
        <v>4</v>
      </c>
      <c r="KZ2468" s="100">
        <v>4</v>
      </c>
      <c r="LB2468" s="100">
        <v>6</v>
      </c>
      <c r="LC2468" s="100">
        <v>11</v>
      </c>
      <c r="LF2468" s="100">
        <v>8</v>
      </c>
      <c r="LI2468" s="100">
        <v>4</v>
      </c>
      <c r="LK2468" s="100">
        <v>6</v>
      </c>
      <c r="LL2468" s="100">
        <v>4</v>
      </c>
      <c r="LM2468" s="100">
        <v>10</v>
      </c>
      <c r="LN2468" s="100">
        <v>7</v>
      </c>
      <c r="LP2468" s="100">
        <v>10</v>
      </c>
      <c r="LQ2468" s="100">
        <v>4</v>
      </c>
      <c r="LR2468" s="100">
        <v>9</v>
      </c>
      <c r="LS2468" s="100">
        <v>7</v>
      </c>
      <c r="LT2468" s="100">
        <v>7</v>
      </c>
      <c r="LU2468" s="100">
        <v>9</v>
      </c>
      <c r="LW2468" s="100">
        <v>6</v>
      </c>
      <c r="LX2468" s="100">
        <v>5</v>
      </c>
      <c r="LY2468" s="100">
        <v>8</v>
      </c>
      <c r="LZ2468" s="100">
        <v>14</v>
      </c>
      <c r="MA2468" s="100">
        <v>3</v>
      </c>
      <c r="ON2468" s="100">
        <f t="shared" si="782"/>
        <v>0</v>
      </c>
    </row>
    <row r="2469" spans="1:404" ht="23.25" customHeight="1">
      <c r="A2469" s="97" t="str">
        <f t="shared" si="778"/>
        <v>049T/WESTELM-2166-88200-01-B</v>
      </c>
      <c r="B2469" s="95">
        <v>44553</v>
      </c>
      <c r="C2469" s="97">
        <f t="shared" ca="1" si="792"/>
        <v>-511</v>
      </c>
      <c r="D2469" s="112" t="s">
        <v>1995</v>
      </c>
      <c r="E2469" s="123" t="s">
        <v>1923</v>
      </c>
      <c r="F2469" s="92" t="str">
        <f t="shared" si="788"/>
        <v>B</v>
      </c>
      <c r="G2469" s="109">
        <f ca="1">SUMIF($A:E,$A2469,K:K)</f>
        <v>553</v>
      </c>
      <c r="H2469" s="97" t="s">
        <v>508</v>
      </c>
      <c r="I2469" s="98">
        <v>553</v>
      </c>
      <c r="J2469" s="115">
        <v>553</v>
      </c>
      <c r="K2469" s="143">
        <f t="shared" si="791"/>
        <v>553</v>
      </c>
      <c r="L2469" s="144">
        <f t="shared" si="790"/>
        <v>0</v>
      </c>
      <c r="M2469" s="275">
        <f t="shared" si="783"/>
        <v>553</v>
      </c>
      <c r="N2469" s="211">
        <v>3</v>
      </c>
      <c r="O2469" s="93">
        <f t="shared" si="779"/>
        <v>100</v>
      </c>
      <c r="JR2469" s="100">
        <v>5</v>
      </c>
      <c r="JU2469" s="100">
        <v>8</v>
      </c>
      <c r="JW2469" s="100">
        <v>9</v>
      </c>
      <c r="JX2469" s="100">
        <v>4</v>
      </c>
      <c r="JY2469" s="100">
        <v>4</v>
      </c>
      <c r="KA2469" s="100">
        <v>3</v>
      </c>
      <c r="KC2469" s="100">
        <v>6</v>
      </c>
      <c r="KE2469" s="100">
        <v>18</v>
      </c>
      <c r="KF2469" s="100">
        <v>11</v>
      </c>
      <c r="KG2469" s="100">
        <v>14</v>
      </c>
      <c r="KH2469" s="100">
        <v>4</v>
      </c>
      <c r="KI2469" s="100">
        <v>8</v>
      </c>
      <c r="KJ2469" s="100">
        <v>2</v>
      </c>
      <c r="KN2469" s="100">
        <v>19</v>
      </c>
      <c r="KO2469" s="100">
        <v>5</v>
      </c>
      <c r="KP2469" s="100">
        <v>13</v>
      </c>
      <c r="KQ2469" s="100">
        <v>6</v>
      </c>
      <c r="KR2469" s="100">
        <v>8</v>
      </c>
      <c r="KU2469" s="100">
        <v>11</v>
      </c>
      <c r="KV2469" s="100">
        <v>15</v>
      </c>
      <c r="KW2469" s="100">
        <v>14</v>
      </c>
      <c r="KX2469" s="100">
        <v>6</v>
      </c>
      <c r="KY2469" s="100">
        <v>7</v>
      </c>
      <c r="KZ2469" s="100">
        <v>13</v>
      </c>
      <c r="LC2469" s="100">
        <v>12</v>
      </c>
      <c r="LD2469" s="100">
        <v>11</v>
      </c>
      <c r="LE2469" s="100">
        <v>3</v>
      </c>
      <c r="LG2469" s="100">
        <v>16</v>
      </c>
      <c r="LI2469" s="100">
        <v>22</v>
      </c>
      <c r="LJ2469" s="100">
        <v>21</v>
      </c>
      <c r="LL2469" s="100">
        <v>9</v>
      </c>
      <c r="LM2469" s="100">
        <v>9</v>
      </c>
      <c r="LN2469" s="100">
        <v>13</v>
      </c>
      <c r="LP2469" s="100">
        <v>25</v>
      </c>
      <c r="LQ2469" s="100">
        <v>11</v>
      </c>
      <c r="LR2469" s="100">
        <v>21</v>
      </c>
      <c r="LS2469" s="100">
        <v>3</v>
      </c>
      <c r="LT2469" s="100">
        <v>12</v>
      </c>
      <c r="LU2469" s="100">
        <v>12</v>
      </c>
      <c r="LW2469" s="100">
        <v>9</v>
      </c>
      <c r="LX2469" s="100">
        <v>13</v>
      </c>
      <c r="LY2469" s="100">
        <v>12</v>
      </c>
      <c r="LZ2469" s="100">
        <v>10</v>
      </c>
      <c r="MA2469" s="100">
        <v>11</v>
      </c>
      <c r="MB2469" s="100">
        <v>23</v>
      </c>
      <c r="ME2469" s="100">
        <v>22</v>
      </c>
      <c r="MF2469" s="100">
        <v>3</v>
      </c>
      <c r="MG2469" s="100">
        <v>9</v>
      </c>
      <c r="MH2469" s="100">
        <v>18</v>
      </c>
      <c r="ML2469" s="100">
        <v>10</v>
      </c>
      <c r="ON2469" s="100">
        <f t="shared" si="782"/>
        <v>0</v>
      </c>
    </row>
    <row r="2470" spans="1:404" ht="23.25" customHeight="1">
      <c r="A2470" s="97" t="str">
        <f t="shared" si="778"/>
        <v>049T/WESTELM-2166-88300-S1-B</v>
      </c>
      <c r="B2470" s="95">
        <v>44547</v>
      </c>
      <c r="C2470" s="97">
        <f t="shared" ca="1" si="792"/>
        <v>-517</v>
      </c>
      <c r="D2470" s="112" t="s">
        <v>1995</v>
      </c>
      <c r="E2470" s="123" t="s">
        <v>1924</v>
      </c>
      <c r="F2470" s="92" t="str">
        <f t="shared" si="788"/>
        <v>B</v>
      </c>
      <c r="G2470" s="109">
        <f ca="1">SUMIF($A:E,$A2470,K:K)</f>
        <v>738</v>
      </c>
      <c r="H2470" s="97" t="s">
        <v>508</v>
      </c>
      <c r="I2470" s="98">
        <v>738</v>
      </c>
      <c r="J2470" s="115">
        <v>738</v>
      </c>
      <c r="K2470" s="143">
        <f t="shared" si="791"/>
        <v>738</v>
      </c>
      <c r="L2470" s="144">
        <f t="shared" si="790"/>
        <v>0</v>
      </c>
      <c r="M2470" s="275">
        <f t="shared" si="783"/>
        <v>738</v>
      </c>
      <c r="N2470" s="211">
        <v>6</v>
      </c>
      <c r="O2470" s="93">
        <f t="shared" si="779"/>
        <v>100</v>
      </c>
      <c r="JU2470" s="100">
        <v>8</v>
      </c>
      <c r="JV2470" s="100">
        <v>2</v>
      </c>
      <c r="JX2470" s="100">
        <v>15</v>
      </c>
      <c r="JY2470" s="176">
        <v>20</v>
      </c>
      <c r="KA2470" s="100">
        <v>18</v>
      </c>
      <c r="KB2470" s="100">
        <v>24</v>
      </c>
      <c r="KC2470" s="100">
        <v>17</v>
      </c>
      <c r="KD2470" s="100">
        <v>15</v>
      </c>
      <c r="KE2470" s="100">
        <v>10</v>
      </c>
      <c r="KF2470" s="100">
        <v>16</v>
      </c>
      <c r="KG2470" s="100">
        <v>16</v>
      </c>
      <c r="KH2470" s="100">
        <v>5</v>
      </c>
      <c r="KI2470" s="100">
        <v>8</v>
      </c>
      <c r="KJ2470" s="100">
        <v>15</v>
      </c>
      <c r="KN2470" s="100">
        <v>1</v>
      </c>
      <c r="KO2470" s="100">
        <v>23</v>
      </c>
      <c r="KP2470" s="100">
        <v>13</v>
      </c>
      <c r="KQ2470" s="100">
        <v>15</v>
      </c>
      <c r="KR2470" s="100">
        <v>8</v>
      </c>
      <c r="KS2470" s="100">
        <v>16</v>
      </c>
      <c r="KU2470" s="100">
        <v>3</v>
      </c>
      <c r="KV2470" s="100">
        <v>32</v>
      </c>
      <c r="KX2470" s="100">
        <v>7</v>
      </c>
      <c r="KY2470" s="100">
        <v>29</v>
      </c>
      <c r="KZ2470" s="100">
        <v>50</v>
      </c>
      <c r="LB2470" s="100">
        <v>11</v>
      </c>
      <c r="LD2470" s="100">
        <v>39</v>
      </c>
      <c r="LE2470" s="100">
        <v>17</v>
      </c>
      <c r="LF2470" s="100">
        <v>18</v>
      </c>
      <c r="LG2470" s="100">
        <v>18</v>
      </c>
      <c r="LI2470" s="100">
        <v>17</v>
      </c>
      <c r="LJ2470" s="100">
        <v>9</v>
      </c>
      <c r="LK2470" s="100">
        <v>21</v>
      </c>
      <c r="LL2470" s="100">
        <v>16</v>
      </c>
      <c r="LM2470" s="100">
        <v>10</v>
      </c>
      <c r="LN2470" s="100">
        <v>16</v>
      </c>
      <c r="LP2470" s="100">
        <v>21</v>
      </c>
      <c r="LQ2470" s="100">
        <v>6</v>
      </c>
      <c r="LR2470" s="100">
        <v>14</v>
      </c>
      <c r="LS2470" s="100">
        <v>6</v>
      </c>
      <c r="LW2470" s="100">
        <v>45</v>
      </c>
      <c r="LX2470" s="100">
        <v>19</v>
      </c>
      <c r="LY2470" s="100">
        <v>9</v>
      </c>
      <c r="LZ2470" s="100">
        <v>9</v>
      </c>
      <c r="MA2470" s="100">
        <v>14</v>
      </c>
      <c r="MB2470" s="100">
        <v>17</v>
      </c>
      <c r="ON2470" s="100">
        <f t="shared" si="782"/>
        <v>0</v>
      </c>
    </row>
    <row r="2471" spans="1:404" ht="23.25" customHeight="1">
      <c r="A2471" s="97" t="str">
        <f t="shared" si="778"/>
        <v>049T/WESTELM-2166-88400-S1-B</v>
      </c>
      <c r="B2471" s="95">
        <v>44547</v>
      </c>
      <c r="C2471" s="97">
        <f t="shared" ca="1" si="792"/>
        <v>-517</v>
      </c>
      <c r="D2471" s="112" t="s">
        <v>1995</v>
      </c>
      <c r="E2471" s="123" t="s">
        <v>1925</v>
      </c>
      <c r="F2471" s="92" t="str">
        <f t="shared" si="788"/>
        <v>B</v>
      </c>
      <c r="G2471" s="109">
        <f ca="1">SUMIF($A:E,$A2471,K:K)</f>
        <v>861</v>
      </c>
      <c r="H2471" s="97" t="s">
        <v>508</v>
      </c>
      <c r="I2471" s="98">
        <v>861</v>
      </c>
      <c r="J2471" s="115">
        <f>1041-180</f>
        <v>861</v>
      </c>
      <c r="K2471" s="143">
        <f t="shared" si="791"/>
        <v>861</v>
      </c>
      <c r="L2471" s="144">
        <f t="shared" si="790"/>
        <v>0</v>
      </c>
      <c r="M2471" s="275">
        <f t="shared" si="783"/>
        <v>861</v>
      </c>
      <c r="N2471" s="211">
        <v>6</v>
      </c>
      <c r="O2471" s="93">
        <f t="shared" si="779"/>
        <v>100</v>
      </c>
      <c r="JR2471" s="100">
        <v>1</v>
      </c>
      <c r="JT2471" s="100">
        <v>5</v>
      </c>
      <c r="JU2471" s="100">
        <v>1</v>
      </c>
      <c r="JV2471" s="100">
        <v>4</v>
      </c>
      <c r="JW2471" s="100">
        <v>10</v>
      </c>
      <c r="JX2471" s="100">
        <v>11</v>
      </c>
      <c r="JY2471" s="100">
        <v>34</v>
      </c>
      <c r="KA2471" s="100">
        <v>10</v>
      </c>
      <c r="KB2471" s="100">
        <v>12</v>
      </c>
      <c r="KC2471" s="100">
        <v>24</v>
      </c>
      <c r="KD2471" s="100">
        <v>12</v>
      </c>
      <c r="KE2471" s="100">
        <v>32</v>
      </c>
      <c r="KF2471" s="100">
        <v>13</v>
      </c>
      <c r="KG2471" s="100">
        <v>15</v>
      </c>
      <c r="KH2471" s="100">
        <v>6</v>
      </c>
      <c r="KI2471" s="100">
        <v>24</v>
      </c>
      <c r="KJ2471" s="100">
        <v>19</v>
      </c>
      <c r="KN2471" s="100">
        <v>8</v>
      </c>
      <c r="KO2471" s="100">
        <v>22</v>
      </c>
      <c r="KP2471" s="100">
        <v>18</v>
      </c>
      <c r="KQ2471" s="100">
        <v>19</v>
      </c>
      <c r="KR2471" s="100">
        <v>12</v>
      </c>
      <c r="KS2471" s="100">
        <v>8</v>
      </c>
      <c r="KU2471" s="100">
        <v>9</v>
      </c>
      <c r="KV2471" s="100">
        <v>40</v>
      </c>
      <c r="KX2471" s="100">
        <v>28</v>
      </c>
      <c r="KY2471" s="100">
        <v>22</v>
      </c>
      <c r="KZ2471" s="100">
        <v>56</v>
      </c>
      <c r="LB2471" s="100">
        <v>12</v>
      </c>
      <c r="LC2471" s="100">
        <v>10</v>
      </c>
      <c r="LD2471" s="100">
        <v>26</v>
      </c>
      <c r="LE2471" s="100">
        <v>19</v>
      </c>
      <c r="LF2471" s="100">
        <v>25</v>
      </c>
      <c r="LG2471" s="100">
        <v>21</v>
      </c>
      <c r="LI2471" s="100">
        <v>14</v>
      </c>
      <c r="LJ2471" s="100">
        <v>7</v>
      </c>
      <c r="LK2471" s="100">
        <v>19</v>
      </c>
      <c r="LL2471" s="100">
        <v>11</v>
      </c>
      <c r="LM2471" s="100">
        <v>21</v>
      </c>
      <c r="LN2471" s="100">
        <v>5</v>
      </c>
      <c r="LP2471" s="100">
        <v>36</v>
      </c>
      <c r="LQ2471" s="100">
        <v>10</v>
      </c>
      <c r="LR2471" s="100">
        <v>2</v>
      </c>
      <c r="LS2471" s="100">
        <v>20</v>
      </c>
      <c r="LW2471" s="100">
        <v>48</v>
      </c>
      <c r="LX2471" s="100">
        <v>20</v>
      </c>
      <c r="LY2471" s="100">
        <v>10</v>
      </c>
      <c r="LZ2471" s="100">
        <v>10</v>
      </c>
      <c r="MB2471" s="100">
        <v>29</v>
      </c>
      <c r="ME2471" s="100">
        <v>9</v>
      </c>
      <c r="MF2471" s="100">
        <v>1</v>
      </c>
      <c r="MK2471" s="100">
        <v>1</v>
      </c>
      <c r="ON2471" s="100">
        <f t="shared" si="782"/>
        <v>0</v>
      </c>
    </row>
    <row r="2472" spans="1:404" ht="23.25" customHeight="1">
      <c r="A2472" s="97" t="str">
        <f t="shared" si="778"/>
        <v>049T/WESTELM-2166-88500-04-B</v>
      </c>
      <c r="B2472" s="95">
        <v>44547</v>
      </c>
      <c r="C2472" s="97">
        <f t="shared" ca="1" si="792"/>
        <v>-517</v>
      </c>
      <c r="D2472" s="112" t="s">
        <v>1995</v>
      </c>
      <c r="E2472" s="123" t="s">
        <v>1926</v>
      </c>
      <c r="F2472" s="92" t="str">
        <f t="shared" si="788"/>
        <v>B</v>
      </c>
      <c r="G2472" s="109">
        <f ca="1">SUMIF($A:E,$A2472,K:K)</f>
        <v>601</v>
      </c>
      <c r="H2472" s="97" t="s">
        <v>508</v>
      </c>
      <c r="I2472" s="98">
        <v>601</v>
      </c>
      <c r="J2472" s="115">
        <v>601</v>
      </c>
      <c r="K2472" s="143">
        <f t="shared" si="791"/>
        <v>601</v>
      </c>
      <c r="L2472" s="144">
        <f t="shared" si="790"/>
        <v>0</v>
      </c>
      <c r="M2472" s="275">
        <f t="shared" si="783"/>
        <v>601</v>
      </c>
      <c r="N2472" s="211">
        <v>6</v>
      </c>
      <c r="O2472" s="93">
        <f t="shared" si="779"/>
        <v>100</v>
      </c>
      <c r="JR2472" s="100">
        <v>13</v>
      </c>
      <c r="JT2472" s="100">
        <v>13</v>
      </c>
      <c r="JV2472" s="100">
        <v>5</v>
      </c>
      <c r="JW2472" s="100">
        <v>10</v>
      </c>
      <c r="JX2472" s="100">
        <v>14</v>
      </c>
      <c r="JY2472" s="100">
        <v>18</v>
      </c>
      <c r="KA2472" s="100">
        <v>10</v>
      </c>
      <c r="KB2472" s="100">
        <v>12</v>
      </c>
      <c r="KC2472" s="100">
        <v>23</v>
      </c>
      <c r="KD2472" s="100">
        <v>14</v>
      </c>
      <c r="KE2472" s="100">
        <v>14</v>
      </c>
      <c r="KF2472" s="100">
        <v>14</v>
      </c>
      <c r="KG2472" s="100">
        <v>12</v>
      </c>
      <c r="KH2472" s="100">
        <v>7</v>
      </c>
      <c r="KI2472" s="100">
        <v>9</v>
      </c>
      <c r="KJ2472" s="100">
        <v>12</v>
      </c>
      <c r="KO2472" s="100">
        <v>20</v>
      </c>
      <c r="KP2472" s="100">
        <v>13</v>
      </c>
      <c r="KQ2472" s="100">
        <v>9</v>
      </c>
      <c r="KR2472" s="100">
        <v>9</v>
      </c>
      <c r="KS2472" s="100">
        <v>13</v>
      </c>
      <c r="KU2472" s="100">
        <v>5</v>
      </c>
      <c r="KV2472" s="100">
        <v>28</v>
      </c>
      <c r="KX2472" s="100">
        <v>21</v>
      </c>
      <c r="KY2472" s="100">
        <v>15</v>
      </c>
      <c r="KZ2472" s="100">
        <v>38</v>
      </c>
      <c r="LB2472" s="100">
        <v>8</v>
      </c>
      <c r="LC2472" s="100">
        <v>8</v>
      </c>
      <c r="LD2472" s="100">
        <v>21</v>
      </c>
      <c r="LE2472" s="100">
        <v>12</v>
      </c>
      <c r="LF2472" s="100">
        <v>15</v>
      </c>
      <c r="LG2472" s="100">
        <v>16</v>
      </c>
      <c r="LI2472" s="100">
        <v>20</v>
      </c>
      <c r="LJ2472" s="100">
        <v>10</v>
      </c>
      <c r="LK2472" s="100">
        <v>18</v>
      </c>
      <c r="LL2472" s="100">
        <v>14</v>
      </c>
      <c r="LN2472" s="100">
        <v>8</v>
      </c>
      <c r="LP2472" s="100">
        <v>22</v>
      </c>
      <c r="LQ2472" s="100">
        <v>4</v>
      </c>
      <c r="LR2472" s="100">
        <v>6</v>
      </c>
      <c r="LS2472" s="100">
        <v>10</v>
      </c>
      <c r="LW2472" s="100">
        <v>28</v>
      </c>
      <c r="LX2472" s="100">
        <v>10</v>
      </c>
      <c r="ON2472" s="100">
        <f t="shared" si="782"/>
        <v>0</v>
      </c>
    </row>
    <row r="2473" spans="1:404" ht="23.25" customHeight="1">
      <c r="A2473" s="97" t="str">
        <f t="shared" si="778"/>
        <v>049T/WESTELM-2166-88600-01-B</v>
      </c>
      <c r="B2473" s="95">
        <v>44553</v>
      </c>
      <c r="C2473" s="97">
        <f t="shared" ca="1" si="792"/>
        <v>-511</v>
      </c>
      <c r="D2473" s="112" t="s">
        <v>1995</v>
      </c>
      <c r="E2473" s="123" t="s">
        <v>1927</v>
      </c>
      <c r="F2473" s="92" t="str">
        <f t="shared" si="788"/>
        <v>B</v>
      </c>
      <c r="G2473" s="109">
        <f ca="1">SUMIF($A:E,$A2473,K:K)</f>
        <v>258</v>
      </c>
      <c r="H2473" s="97" t="s">
        <v>508</v>
      </c>
      <c r="I2473" s="98">
        <v>258</v>
      </c>
      <c r="J2473" s="115">
        <v>258</v>
      </c>
      <c r="K2473" s="143">
        <f t="shared" si="791"/>
        <v>258</v>
      </c>
      <c r="L2473" s="144">
        <f t="shared" si="790"/>
        <v>0</v>
      </c>
      <c r="M2473" s="275">
        <f t="shared" si="783"/>
        <v>258</v>
      </c>
      <c r="N2473" s="211">
        <v>3</v>
      </c>
      <c r="O2473" s="93">
        <f t="shared" si="779"/>
        <v>100</v>
      </c>
      <c r="JT2473" s="100">
        <v>1</v>
      </c>
      <c r="JU2473" s="100">
        <v>3</v>
      </c>
      <c r="JV2473" s="100">
        <v>2</v>
      </c>
      <c r="JY2473" s="100">
        <v>2</v>
      </c>
      <c r="KA2473" s="100">
        <v>5</v>
      </c>
      <c r="KC2473" s="100">
        <v>7</v>
      </c>
      <c r="KE2473" s="100">
        <v>3</v>
      </c>
      <c r="KF2473" s="100">
        <v>8</v>
      </c>
      <c r="KG2473" s="100">
        <v>2</v>
      </c>
      <c r="KH2473" s="100">
        <v>6</v>
      </c>
      <c r="KI2473" s="100">
        <v>6</v>
      </c>
      <c r="KN2473" s="100">
        <v>8</v>
      </c>
      <c r="KO2473" s="100">
        <v>6</v>
      </c>
      <c r="KP2473" s="100">
        <v>5</v>
      </c>
      <c r="KQ2473" s="100">
        <v>3</v>
      </c>
      <c r="KU2473" s="100">
        <v>15</v>
      </c>
      <c r="KW2473" s="100">
        <v>15</v>
      </c>
      <c r="KX2473" s="100">
        <v>2</v>
      </c>
      <c r="KY2473" s="100">
        <v>6</v>
      </c>
      <c r="KZ2473" s="100">
        <v>9</v>
      </c>
      <c r="LC2473" s="100">
        <v>12</v>
      </c>
      <c r="LD2473" s="100">
        <v>6</v>
      </c>
      <c r="LE2473" s="100">
        <v>5</v>
      </c>
      <c r="LF2473" s="100">
        <v>7</v>
      </c>
      <c r="LI2473" s="100">
        <v>10</v>
      </c>
      <c r="LJ2473" s="100">
        <v>4</v>
      </c>
      <c r="LM2473" s="100">
        <v>23</v>
      </c>
      <c r="LN2473" s="100">
        <v>6</v>
      </c>
      <c r="LP2473" s="100">
        <v>6</v>
      </c>
      <c r="LQ2473" s="100">
        <v>2</v>
      </c>
      <c r="LR2473" s="100">
        <v>6</v>
      </c>
      <c r="LS2473" s="100">
        <v>9</v>
      </c>
      <c r="LT2473" s="100">
        <v>6</v>
      </c>
      <c r="LU2473" s="100">
        <v>6</v>
      </c>
      <c r="LW2473" s="100">
        <v>4</v>
      </c>
      <c r="LX2473" s="100">
        <v>6</v>
      </c>
      <c r="LY2473" s="100">
        <v>6</v>
      </c>
      <c r="LZ2473" s="100">
        <v>6</v>
      </c>
      <c r="MA2473" s="100">
        <v>6</v>
      </c>
      <c r="MB2473" s="100">
        <v>5</v>
      </c>
      <c r="MG2473" s="100">
        <v>3</v>
      </c>
      <c r="ON2473" s="100">
        <f t="shared" si="782"/>
        <v>0</v>
      </c>
    </row>
    <row r="2474" spans="1:404" ht="23.25" customHeight="1">
      <c r="A2474" s="97" t="s">
        <v>2354</v>
      </c>
      <c r="B2474" s="95">
        <v>44594</v>
      </c>
      <c r="C2474" s="97">
        <v>40</v>
      </c>
      <c r="D2474" s="112" t="s">
        <v>2005</v>
      </c>
      <c r="E2474" s="123" t="s">
        <v>627</v>
      </c>
      <c r="F2474" s="92" t="s">
        <v>561</v>
      </c>
      <c r="G2474" s="109">
        <v>0</v>
      </c>
      <c r="H2474" s="97" t="s">
        <v>508</v>
      </c>
      <c r="I2474" s="98">
        <v>184</v>
      </c>
      <c r="J2474" s="115">
        <v>40</v>
      </c>
      <c r="K2474" s="143">
        <f t="shared" si="791"/>
        <v>40</v>
      </c>
      <c r="L2474" s="144">
        <f t="shared" si="790"/>
        <v>0</v>
      </c>
      <c r="M2474" s="275">
        <f t="shared" si="783"/>
        <v>184</v>
      </c>
      <c r="N2474" s="98">
        <v>6</v>
      </c>
      <c r="O2474" s="93">
        <f t="shared" si="779"/>
        <v>100</v>
      </c>
      <c r="MG2474" s="100">
        <v>40</v>
      </c>
      <c r="ON2474" s="100">
        <f t="shared" si="782"/>
        <v>0</v>
      </c>
    </row>
    <row r="2475" spans="1:404" ht="23.25" customHeight="1">
      <c r="A2475" s="97" t="str">
        <f>D2475&amp;E2475</f>
        <v>027T/EUROMARKET-2166-02600-02-B</v>
      </c>
      <c r="B2475" s="95">
        <v>44594</v>
      </c>
      <c r="C2475" s="97">
        <f ca="1">B2475-TODAY()</f>
        <v>-470</v>
      </c>
      <c r="D2475" s="112" t="s">
        <v>2005</v>
      </c>
      <c r="E2475" s="123" t="s">
        <v>627</v>
      </c>
      <c r="F2475" s="92" t="str">
        <f>MID(E2475,13,2)</f>
        <v>B</v>
      </c>
      <c r="G2475" s="109">
        <f ca="1">SUMIF($A:E,$A2475,K:K)</f>
        <v>265</v>
      </c>
      <c r="H2475" s="97" t="s">
        <v>508</v>
      </c>
      <c r="I2475" s="98">
        <v>184</v>
      </c>
      <c r="J2475" s="115">
        <f>184-40</f>
        <v>144</v>
      </c>
      <c r="K2475" s="143">
        <f t="shared" si="791"/>
        <v>225</v>
      </c>
      <c r="L2475" s="144">
        <f t="shared" si="790"/>
        <v>-81</v>
      </c>
      <c r="M2475" s="275">
        <f>IF(OR(MID(E2475,10,1)="0",MID(E2475,10,1)="F"),I2475,IF(OR(,MID(E2475,10,1)="S",MID(E2475,10,1)="L",MID(E2475,10,1)="B",MID(E2475,10,1)="X"),MID(E2475,11,1)*I2475,0))</f>
        <v>184</v>
      </c>
      <c r="N2475" s="98">
        <v>1</v>
      </c>
      <c r="O2475" s="93">
        <f t="shared" si="779"/>
        <v>156.25</v>
      </c>
      <c r="MY2475" s="100">
        <v>10</v>
      </c>
      <c r="MZ2475" s="100">
        <v>5</v>
      </c>
      <c r="ND2475" s="100">
        <v>3</v>
      </c>
      <c r="NE2475" s="100">
        <v>4</v>
      </c>
      <c r="NF2475" s="100">
        <v>9</v>
      </c>
      <c r="NI2475" s="100">
        <v>4</v>
      </c>
      <c r="NL2475" s="100">
        <v>16</v>
      </c>
      <c r="NM2475" s="100">
        <v>7</v>
      </c>
      <c r="NN2475" s="100">
        <v>5</v>
      </c>
      <c r="NS2475" s="100">
        <v>1</v>
      </c>
      <c r="NT2475" s="100">
        <v>13</v>
      </c>
      <c r="NU2475" s="100">
        <v>7</v>
      </c>
      <c r="NY2475" s="100">
        <v>11</v>
      </c>
      <c r="NZ2475" s="100">
        <v>10</v>
      </c>
      <c r="OA2475" s="100">
        <v>11</v>
      </c>
      <c r="OB2475" s="100">
        <v>15</v>
      </c>
      <c r="OC2475" s="100">
        <v>13</v>
      </c>
      <c r="ON2475" s="100">
        <f t="shared" si="782"/>
        <v>81</v>
      </c>
    </row>
    <row r="2476" spans="1:404" ht="23.25" customHeight="1">
      <c r="A2476" s="97" t="str">
        <f>D2476&amp;E2476</f>
        <v>027T/EUROMARKET-2166-02700-01-B</v>
      </c>
      <c r="B2476" s="95">
        <v>44594</v>
      </c>
      <c r="C2476" s="97">
        <f ca="1">B2476-TODAY()</f>
        <v>-470</v>
      </c>
      <c r="D2476" s="112" t="s">
        <v>2005</v>
      </c>
      <c r="E2476" s="123" t="s">
        <v>628</v>
      </c>
      <c r="F2476" s="92" t="str">
        <f>MID(E2476,13,2)</f>
        <v>B</v>
      </c>
      <c r="G2476" s="109">
        <f ca="1">SUMIF($A:E,$A2476,K:K)</f>
        <v>34</v>
      </c>
      <c r="H2476" s="97" t="s">
        <v>508</v>
      </c>
      <c r="I2476" s="98">
        <v>34</v>
      </c>
      <c r="J2476" s="115">
        <v>34</v>
      </c>
      <c r="K2476" s="143">
        <f t="shared" si="791"/>
        <v>34</v>
      </c>
      <c r="L2476" s="144">
        <f t="shared" ref="L2476:L2505" si="793">J2476-K2476</f>
        <v>0</v>
      </c>
      <c r="M2476" s="275">
        <f>IF(OR(MID(E2476,10,1)="0",MID(E2476,10,1)="F"),I2476,IF(OR(,MID(E2476,10,1)="S",MID(E2476,10,1)="L",MID(E2476,10,1)="B",MID(E2476,10,1)="X"),MID(E2476,11,1)*I2476,0))</f>
        <v>34</v>
      </c>
      <c r="N2476" s="98">
        <v>1</v>
      </c>
      <c r="O2476" s="93">
        <f t="shared" si="779"/>
        <v>100</v>
      </c>
      <c r="LJ2476" s="100">
        <v>3</v>
      </c>
      <c r="LK2476" s="100">
        <v>2</v>
      </c>
      <c r="LM2476" s="100">
        <v>1</v>
      </c>
      <c r="LP2476" s="100">
        <v>9</v>
      </c>
      <c r="LQ2476" s="100">
        <v>5</v>
      </c>
      <c r="LR2476" s="100">
        <v>2</v>
      </c>
      <c r="LS2476" s="100">
        <v>2</v>
      </c>
      <c r="LT2476" s="100">
        <v>5</v>
      </c>
      <c r="LX2476" s="100">
        <v>3</v>
      </c>
      <c r="LY2476" s="100">
        <v>2</v>
      </c>
      <c r="ON2476" s="100">
        <f t="shared" si="782"/>
        <v>0</v>
      </c>
    </row>
    <row r="2477" spans="1:404" ht="23.25" customHeight="1">
      <c r="A2477" s="97" t="s">
        <v>2266</v>
      </c>
      <c r="B2477" s="95">
        <v>44594</v>
      </c>
      <c r="C2477" s="97">
        <v>53</v>
      </c>
      <c r="D2477" s="112" t="s">
        <v>2005</v>
      </c>
      <c r="E2477" s="123" t="s">
        <v>629</v>
      </c>
      <c r="F2477" s="92" t="s">
        <v>561</v>
      </c>
      <c r="G2477" s="109">
        <v>0</v>
      </c>
      <c r="H2477" s="97" t="s">
        <v>508</v>
      </c>
      <c r="I2477" s="98">
        <v>124</v>
      </c>
      <c r="J2477" s="115">
        <v>60</v>
      </c>
      <c r="K2477" s="144">
        <f t="shared" si="791"/>
        <v>60</v>
      </c>
      <c r="L2477" s="144">
        <f t="shared" si="793"/>
        <v>0</v>
      </c>
      <c r="M2477" s="275">
        <f>IF(OR(MID(E2477,10,1)="0",MID(E2477,10,1)="F"),I2477,IF(OR(,MID(E2477,10,1)="S",MID(E2477,10,1)="L",MID(E2477,10,1)="B",MID(E2477,10,1)="X"),MID(E2477,11,1)*I2477,0))</f>
        <v>124</v>
      </c>
      <c r="N2477" s="98">
        <v>2</v>
      </c>
      <c r="O2477" s="93">
        <f t="shared" si="779"/>
        <v>100</v>
      </c>
      <c r="LW2477" s="100">
        <v>7</v>
      </c>
      <c r="LX2477" s="100">
        <v>4</v>
      </c>
      <c r="LY2477" s="100">
        <v>8</v>
      </c>
      <c r="MA2477" s="100">
        <v>21</v>
      </c>
      <c r="MB2477" s="100">
        <v>5</v>
      </c>
      <c r="MD2477" s="100">
        <v>7</v>
      </c>
      <c r="ME2477" s="100">
        <v>2</v>
      </c>
      <c r="MG2477" s="100">
        <v>6</v>
      </c>
      <c r="ON2477" s="100">
        <f t="shared" si="782"/>
        <v>0</v>
      </c>
    </row>
    <row r="2478" spans="1:404" ht="23.25" customHeight="1">
      <c r="A2478" s="97" t="str">
        <f t="shared" ref="A2478:A2511" si="794">D2478&amp;E2478</f>
        <v>027T/EUROMARKET-2166-54100-01-B</v>
      </c>
      <c r="B2478" s="95">
        <v>44594</v>
      </c>
      <c r="C2478" s="97">
        <f t="shared" ref="C2478:C2545" ca="1" si="795">B2478-TODAY()</f>
        <v>-470</v>
      </c>
      <c r="D2478" s="112" t="s">
        <v>2005</v>
      </c>
      <c r="E2478" s="123" t="s">
        <v>629</v>
      </c>
      <c r="F2478" s="92" t="str">
        <f t="shared" ref="F2478:F2502" si="796">MID(E2478,13,2)</f>
        <v>B</v>
      </c>
      <c r="G2478" s="109">
        <f ca="1">SUMIF($A:E,$A2478,K:K)</f>
        <v>124</v>
      </c>
      <c r="H2478" s="97" t="s">
        <v>508</v>
      </c>
      <c r="I2478" s="98">
        <v>124</v>
      </c>
      <c r="J2478" s="115">
        <v>64</v>
      </c>
      <c r="K2478" s="143">
        <f t="shared" si="791"/>
        <v>64</v>
      </c>
      <c r="L2478" s="144">
        <f t="shared" si="793"/>
        <v>0</v>
      </c>
      <c r="M2478" s="275">
        <f t="shared" ref="M2478:M2541" si="797">IF(OR(MID(E2478,10,1)="0",MID(E2478,10,1)="F"),I2478,IF(OR(,MID(E2478,10,1)="S",MID(E2478,10,1)="L",MID(E2478,10,1)="B",MID(E2478,10,1)="X"),MID(E2478,11,1)*I2478,0))</f>
        <v>124</v>
      </c>
      <c r="N2478" s="98">
        <v>1</v>
      </c>
      <c r="O2478" s="93">
        <f t="shared" si="779"/>
        <v>100</v>
      </c>
      <c r="LY2478" s="100">
        <v>12</v>
      </c>
      <c r="MA2478" s="100">
        <v>30</v>
      </c>
      <c r="MB2478" s="100">
        <v>6</v>
      </c>
      <c r="MD2478" s="100">
        <v>13</v>
      </c>
      <c r="ME2478" s="100">
        <v>3</v>
      </c>
      <c r="ON2478" s="100">
        <f t="shared" si="782"/>
        <v>0</v>
      </c>
    </row>
    <row r="2479" spans="1:404" ht="23.25" customHeight="1">
      <c r="A2479" s="97" t="str">
        <f t="shared" si="794"/>
        <v>027T/EUROMARKET-2166-64800-S1-B</v>
      </c>
      <c r="B2479" s="95">
        <v>44594</v>
      </c>
      <c r="C2479" s="97">
        <f t="shared" ca="1" si="795"/>
        <v>-470</v>
      </c>
      <c r="D2479" s="112" t="s">
        <v>2005</v>
      </c>
      <c r="E2479" s="226" t="s">
        <v>636</v>
      </c>
      <c r="F2479" s="312" t="str">
        <f t="shared" si="796"/>
        <v>B</v>
      </c>
      <c r="G2479" s="313">
        <f ca="1">SUMIF($A:E,$A2479,K:K)</f>
        <v>60</v>
      </c>
      <c r="H2479" s="127" t="s">
        <v>508</v>
      </c>
      <c r="I2479" s="98">
        <v>60</v>
      </c>
      <c r="J2479" s="115">
        <v>60</v>
      </c>
      <c r="K2479" s="143">
        <f t="shared" si="791"/>
        <v>60</v>
      </c>
      <c r="L2479" s="144">
        <f t="shared" si="793"/>
        <v>0</v>
      </c>
      <c r="M2479" s="275">
        <f t="shared" si="797"/>
        <v>60</v>
      </c>
      <c r="N2479" s="98">
        <v>4</v>
      </c>
      <c r="O2479" s="93">
        <f t="shared" si="779"/>
        <v>100</v>
      </c>
      <c r="MZ2479" s="100">
        <v>11</v>
      </c>
      <c r="NA2479" s="100">
        <v>10</v>
      </c>
      <c r="ND2479" s="100">
        <v>13</v>
      </c>
      <c r="NE2479" s="100">
        <v>12</v>
      </c>
      <c r="NF2479" s="100">
        <v>14</v>
      </c>
      <c r="ON2479" s="100">
        <f t="shared" si="782"/>
        <v>0</v>
      </c>
    </row>
    <row r="2480" spans="1:404" ht="23.25" customHeight="1">
      <c r="A2480" s="97" t="str">
        <f t="shared" si="794"/>
        <v>027T/EUROMARKET-2166-70300-02-B</v>
      </c>
      <c r="B2480" s="95">
        <v>44594</v>
      </c>
      <c r="C2480" s="97">
        <f t="shared" ca="1" si="795"/>
        <v>-470</v>
      </c>
      <c r="D2480" s="383" t="s">
        <v>2005</v>
      </c>
      <c r="E2480" s="257" t="s">
        <v>47</v>
      </c>
      <c r="F2480" s="120" t="str">
        <f t="shared" si="796"/>
        <v>B</v>
      </c>
      <c r="G2480" s="219">
        <f ca="1">SUMIF($A:E,$A2480,K:K)</f>
        <v>170</v>
      </c>
      <c r="H2480" s="101" t="s">
        <v>508</v>
      </c>
      <c r="I2480" s="198">
        <v>170</v>
      </c>
      <c r="J2480" s="115">
        <v>170</v>
      </c>
      <c r="K2480" s="144">
        <f t="shared" si="791"/>
        <v>170</v>
      </c>
      <c r="L2480" s="144">
        <f t="shared" si="793"/>
        <v>0</v>
      </c>
      <c r="M2480" s="275">
        <f t="shared" si="797"/>
        <v>170</v>
      </c>
      <c r="N2480" s="98">
        <v>2</v>
      </c>
      <c r="O2480" s="93">
        <f t="shared" si="779"/>
        <v>100</v>
      </c>
      <c r="LW2480" s="100">
        <v>8</v>
      </c>
      <c r="LX2480" s="100">
        <v>5</v>
      </c>
      <c r="LY2480" s="100">
        <v>14</v>
      </c>
      <c r="LZ2480" s="100">
        <v>13</v>
      </c>
      <c r="MA2480" s="100">
        <v>12</v>
      </c>
      <c r="MB2480" s="100">
        <v>6</v>
      </c>
      <c r="MD2480" s="100">
        <v>4</v>
      </c>
      <c r="ME2480" s="100">
        <v>1</v>
      </c>
      <c r="MF2480" s="100">
        <v>18</v>
      </c>
      <c r="MG2480" s="100">
        <v>11</v>
      </c>
      <c r="MH2480" s="100">
        <v>9</v>
      </c>
      <c r="MK2480" s="100">
        <v>15</v>
      </c>
      <c r="ML2480" s="100">
        <v>19</v>
      </c>
      <c r="MM2480" s="100">
        <v>18</v>
      </c>
      <c r="MN2480" s="100">
        <v>8</v>
      </c>
      <c r="MO2480" s="100">
        <v>4</v>
      </c>
      <c r="MU2480" s="100">
        <v>2</v>
      </c>
      <c r="MY2480" s="100">
        <v>3</v>
      </c>
      <c r="ON2480" s="100">
        <f t="shared" si="782"/>
        <v>0</v>
      </c>
    </row>
    <row r="2481" spans="1:404" ht="23.25" customHeight="1">
      <c r="A2481" s="97" t="s">
        <v>2461</v>
      </c>
      <c r="B2481" s="95">
        <v>44588</v>
      </c>
      <c r="C2481" s="97">
        <v>2</v>
      </c>
      <c r="D2481" s="112" t="s">
        <v>2005</v>
      </c>
      <c r="E2481" s="259" t="s">
        <v>25</v>
      </c>
      <c r="F2481" s="381" t="s">
        <v>561</v>
      </c>
      <c r="G2481" s="382">
        <v>67</v>
      </c>
      <c r="H2481" s="138" t="s">
        <v>508</v>
      </c>
      <c r="I2481" s="98">
        <v>240</v>
      </c>
      <c r="J2481" s="115">
        <v>140</v>
      </c>
      <c r="K2481" s="143">
        <f t="shared" si="791"/>
        <v>175</v>
      </c>
      <c r="L2481" s="144">
        <f t="shared" si="793"/>
        <v>-35</v>
      </c>
      <c r="M2481" s="98">
        <v>3</v>
      </c>
      <c r="N2481" s="98">
        <v>6</v>
      </c>
      <c r="O2481" s="93">
        <f t="shared" si="779"/>
        <v>125</v>
      </c>
      <c r="NL2481" s="100">
        <v>27</v>
      </c>
      <c r="NM2481" s="100">
        <v>54</v>
      </c>
      <c r="NN2481" s="100">
        <v>24</v>
      </c>
      <c r="NS2481" s="100">
        <v>25</v>
      </c>
      <c r="NU2481" s="100">
        <v>10</v>
      </c>
      <c r="ON2481" s="100">
        <f t="shared" si="782"/>
        <v>35</v>
      </c>
    </row>
    <row r="2482" spans="1:404" ht="23.25" customHeight="1">
      <c r="A2482" s="97" t="str">
        <f t="shared" si="794"/>
        <v>027T/EUROMARKET-2166-70300-03-B</v>
      </c>
      <c r="B2482" s="95">
        <v>44588</v>
      </c>
      <c r="C2482" s="97">
        <f t="shared" ca="1" si="795"/>
        <v>-476</v>
      </c>
      <c r="D2482" s="112" t="s">
        <v>2005</v>
      </c>
      <c r="E2482" s="259" t="s">
        <v>25</v>
      </c>
      <c r="F2482" s="381" t="str">
        <f t="shared" si="796"/>
        <v>B</v>
      </c>
      <c r="G2482" s="382">
        <f ca="1">SUMIF($A:E,$A2482,K:K)</f>
        <v>308</v>
      </c>
      <c r="H2482" s="138" t="s">
        <v>508</v>
      </c>
      <c r="I2482" s="98">
        <v>240</v>
      </c>
      <c r="J2482" s="115">
        <v>100</v>
      </c>
      <c r="K2482" s="143">
        <f t="shared" si="791"/>
        <v>133</v>
      </c>
      <c r="L2482" s="144">
        <f t="shared" si="793"/>
        <v>-33</v>
      </c>
      <c r="M2482" s="275">
        <f t="shared" si="797"/>
        <v>240</v>
      </c>
      <c r="N2482" s="98">
        <v>3</v>
      </c>
      <c r="O2482" s="93">
        <f t="shared" si="779"/>
        <v>133</v>
      </c>
      <c r="MM2482" s="100">
        <v>8</v>
      </c>
      <c r="MN2482" s="100">
        <v>1</v>
      </c>
      <c r="MO2482" s="100">
        <v>33</v>
      </c>
      <c r="MP2482" s="100">
        <v>25</v>
      </c>
      <c r="OA2482" s="100">
        <v>33</v>
      </c>
      <c r="ON2482" s="100">
        <f t="shared" si="782"/>
        <v>33</v>
      </c>
    </row>
    <row r="2483" spans="1:404" ht="23.25" customHeight="1">
      <c r="A2483" s="97" t="str">
        <f t="shared" si="794"/>
        <v>027T/EUROMARKET-2168-70900-03-B</v>
      </c>
      <c r="B2483" s="95">
        <v>44594</v>
      </c>
      <c r="C2483" s="97">
        <f t="shared" ca="1" si="795"/>
        <v>-470</v>
      </c>
      <c r="D2483" s="112" t="s">
        <v>2005</v>
      </c>
      <c r="E2483" s="123" t="s">
        <v>27</v>
      </c>
      <c r="F2483" s="92" t="str">
        <f t="shared" si="796"/>
        <v>B</v>
      </c>
      <c r="G2483" s="109">
        <f ca="1">SUMIF($A:E,$A2483,K:K)</f>
        <v>252</v>
      </c>
      <c r="H2483" s="97" t="s">
        <v>508</v>
      </c>
      <c r="I2483" s="98">
        <v>252</v>
      </c>
      <c r="J2483" s="115">
        <v>252</v>
      </c>
      <c r="K2483" s="143">
        <f t="shared" si="791"/>
        <v>252</v>
      </c>
      <c r="L2483" s="144">
        <f t="shared" si="793"/>
        <v>0</v>
      </c>
      <c r="M2483" s="275">
        <f t="shared" si="797"/>
        <v>252</v>
      </c>
      <c r="N2483" s="98">
        <v>6</v>
      </c>
      <c r="O2483" s="93">
        <f t="shared" si="779"/>
        <v>100</v>
      </c>
      <c r="MA2483" s="100">
        <v>20</v>
      </c>
      <c r="MH2483" s="100">
        <v>12</v>
      </c>
      <c r="ML2483" s="100">
        <v>15</v>
      </c>
      <c r="MM2483" s="100">
        <v>15</v>
      </c>
      <c r="MN2483" s="100">
        <v>8</v>
      </c>
      <c r="MO2483" s="100">
        <v>71</v>
      </c>
      <c r="MP2483" s="100">
        <v>8</v>
      </c>
      <c r="MQ2483" s="100">
        <v>29</v>
      </c>
      <c r="MR2483" s="100">
        <v>12</v>
      </c>
      <c r="MS2483" s="100">
        <v>23</v>
      </c>
      <c r="MT2483" s="100">
        <v>39</v>
      </c>
      <c r="ON2483" s="100">
        <f t="shared" si="782"/>
        <v>0</v>
      </c>
    </row>
    <row r="2484" spans="1:404" ht="23.25" customHeight="1">
      <c r="A2484" s="97" t="str">
        <f t="shared" si="794"/>
        <v>027T/EUROMARKET-2168-79900-01-B</v>
      </c>
      <c r="B2484" s="95">
        <v>44594</v>
      </c>
      <c r="C2484" s="97">
        <f t="shared" ca="1" si="795"/>
        <v>-470</v>
      </c>
      <c r="D2484" s="112" t="s">
        <v>2005</v>
      </c>
      <c r="E2484" s="123" t="s">
        <v>1542</v>
      </c>
      <c r="F2484" s="92" t="str">
        <f t="shared" si="796"/>
        <v>B</v>
      </c>
      <c r="G2484" s="109">
        <f ca="1">SUMIF($A:E,$A2484,K:K)</f>
        <v>39</v>
      </c>
      <c r="H2484" s="97" t="s">
        <v>508</v>
      </c>
      <c r="I2484" s="98">
        <v>35</v>
      </c>
      <c r="J2484" s="115">
        <v>35</v>
      </c>
      <c r="K2484" s="143">
        <f t="shared" si="791"/>
        <v>39</v>
      </c>
      <c r="L2484" s="144">
        <f t="shared" si="793"/>
        <v>-4</v>
      </c>
      <c r="M2484" s="275">
        <f t="shared" si="797"/>
        <v>35</v>
      </c>
      <c r="N2484" s="98">
        <v>1</v>
      </c>
      <c r="O2484" s="93">
        <f t="shared" si="779"/>
        <v>111.42857142857143</v>
      </c>
      <c r="MX2484" s="100">
        <v>2</v>
      </c>
      <c r="MY2484" s="100">
        <v>12</v>
      </c>
      <c r="NE2484" s="100">
        <v>12</v>
      </c>
      <c r="NF2484" s="100">
        <v>1</v>
      </c>
      <c r="NG2484" s="100">
        <v>3</v>
      </c>
      <c r="NL2484" s="100">
        <v>1</v>
      </c>
      <c r="NT2484" s="100">
        <v>4</v>
      </c>
      <c r="ON2484" s="100">
        <f t="shared" si="782"/>
        <v>4</v>
      </c>
    </row>
    <row r="2485" spans="1:404" ht="23.25" customHeight="1">
      <c r="A2485" s="97" t="str">
        <f t="shared" si="794"/>
        <v>027T/EUROMARKET-2166-02700-01-A1(phen)</v>
      </c>
      <c r="B2485" s="95">
        <v>44594</v>
      </c>
      <c r="C2485" s="97">
        <f t="shared" ca="1" si="795"/>
        <v>-470</v>
      </c>
      <c r="D2485" s="112" t="s">
        <v>2005</v>
      </c>
      <c r="E2485" s="123" t="s">
        <v>427</v>
      </c>
      <c r="F2485" s="92" t="str">
        <f t="shared" si="796"/>
        <v>A1</v>
      </c>
      <c r="G2485" s="109">
        <f ca="1">SUMIF($A:E,$A2485,K:K)</f>
        <v>34</v>
      </c>
      <c r="H2485" s="97" t="s">
        <v>508</v>
      </c>
      <c r="I2485" s="98">
        <v>34</v>
      </c>
      <c r="J2485" s="115">
        <v>34</v>
      </c>
      <c r="K2485" s="143">
        <f t="shared" si="791"/>
        <v>34</v>
      </c>
      <c r="L2485" s="144">
        <f t="shared" si="793"/>
        <v>0</v>
      </c>
      <c r="M2485" s="275">
        <f t="shared" si="797"/>
        <v>34</v>
      </c>
      <c r="N2485" s="98">
        <v>1</v>
      </c>
      <c r="O2485" s="93">
        <f t="shared" si="779"/>
        <v>100</v>
      </c>
      <c r="LJ2485" s="100">
        <v>3</v>
      </c>
      <c r="LK2485" s="100">
        <v>2</v>
      </c>
      <c r="LM2485" s="100">
        <v>1</v>
      </c>
      <c r="LP2485" s="100">
        <v>9</v>
      </c>
      <c r="LQ2485" s="100">
        <v>5</v>
      </c>
      <c r="LR2485" s="100">
        <v>2</v>
      </c>
      <c r="LS2485" s="100">
        <v>2</v>
      </c>
      <c r="LT2485" s="100">
        <v>5</v>
      </c>
      <c r="LX2485" s="100">
        <v>3</v>
      </c>
      <c r="LY2485" s="100">
        <v>2</v>
      </c>
      <c r="ON2485" s="100">
        <f t="shared" si="782"/>
        <v>0</v>
      </c>
    </row>
    <row r="2486" spans="1:404" ht="23.25" customHeight="1">
      <c r="A2486" s="97" t="str">
        <f t="shared" si="794"/>
        <v>284/KHBS-21(004/OBI-21)66-70337-03-B4</v>
      </c>
      <c r="B2486" s="95">
        <v>44481</v>
      </c>
      <c r="C2486" s="97">
        <f t="shared" ca="1" si="795"/>
        <v>-583</v>
      </c>
      <c r="D2486" s="112" t="s">
        <v>2006</v>
      </c>
      <c r="E2486" s="123" t="s">
        <v>1117</v>
      </c>
      <c r="F2486" s="92" t="str">
        <f t="shared" si="796"/>
        <v>B4</v>
      </c>
      <c r="G2486" s="109">
        <f ca="1">SUMIF($A:E,$A2486,K:K)</f>
        <v>1</v>
      </c>
      <c r="H2486" s="97" t="s">
        <v>508</v>
      </c>
      <c r="I2486" s="98">
        <v>72</v>
      </c>
      <c r="J2486" s="99">
        <v>1</v>
      </c>
      <c r="K2486" s="143">
        <f t="shared" si="791"/>
        <v>1</v>
      </c>
      <c r="L2486" s="144">
        <f t="shared" si="793"/>
        <v>0</v>
      </c>
      <c r="M2486" s="275">
        <f t="shared" si="797"/>
        <v>72</v>
      </c>
      <c r="N2486" s="98">
        <v>1</v>
      </c>
      <c r="O2486" s="93">
        <f t="shared" si="779"/>
        <v>100</v>
      </c>
      <c r="JN2486" s="100">
        <v>1</v>
      </c>
      <c r="ON2486" s="100">
        <f t="shared" si="782"/>
        <v>0</v>
      </c>
    </row>
    <row r="2487" spans="1:404" ht="23.25" customHeight="1">
      <c r="A2487" s="97" t="str">
        <f t="shared" si="794"/>
        <v>029T/EUROMARKET-2166-02600-02-B</v>
      </c>
      <c r="B2487" s="95">
        <v>44655</v>
      </c>
      <c r="C2487" s="97">
        <f t="shared" ca="1" si="795"/>
        <v>-409</v>
      </c>
      <c r="D2487" s="112" t="s">
        <v>2007</v>
      </c>
      <c r="E2487" s="123" t="s">
        <v>627</v>
      </c>
      <c r="F2487" s="92" t="str">
        <f t="shared" si="796"/>
        <v>B</v>
      </c>
      <c r="G2487" s="109">
        <f ca="1">SUMIF($A:E,$A2487,K:K)</f>
        <v>0</v>
      </c>
      <c r="H2487" s="97" t="s">
        <v>508</v>
      </c>
      <c r="I2487" s="98">
        <v>40</v>
      </c>
      <c r="J2487" s="115">
        <v>40</v>
      </c>
      <c r="K2487" s="143">
        <f t="shared" si="791"/>
        <v>0</v>
      </c>
      <c r="L2487" s="144">
        <f t="shared" si="793"/>
        <v>40</v>
      </c>
      <c r="M2487" s="275">
        <f t="shared" si="797"/>
        <v>40</v>
      </c>
      <c r="N2487" s="98"/>
      <c r="O2487" s="93">
        <f t="shared" si="779"/>
        <v>0</v>
      </c>
      <c r="ON2487" s="100">
        <f t="shared" si="782"/>
        <v>0</v>
      </c>
    </row>
    <row r="2488" spans="1:404" ht="23.25" customHeight="1">
      <c r="A2488" s="97" t="str">
        <f t="shared" si="794"/>
        <v>029T/EUROMARKET-2166-02700-01-B</v>
      </c>
      <c r="B2488" s="95">
        <v>44655</v>
      </c>
      <c r="C2488" s="97">
        <f t="shared" ca="1" si="795"/>
        <v>-409</v>
      </c>
      <c r="D2488" s="112" t="s">
        <v>2007</v>
      </c>
      <c r="E2488" s="123" t="s">
        <v>628</v>
      </c>
      <c r="F2488" s="92" t="str">
        <f t="shared" si="796"/>
        <v>B</v>
      </c>
      <c r="G2488" s="109">
        <f ca="1">SUMIF($A:E,$A2488,K:K)</f>
        <v>0</v>
      </c>
      <c r="H2488" s="97" t="s">
        <v>508</v>
      </c>
      <c r="I2488" s="98">
        <v>10</v>
      </c>
      <c r="J2488" s="115">
        <v>10</v>
      </c>
      <c r="K2488" s="143">
        <f t="shared" si="791"/>
        <v>0</v>
      </c>
      <c r="L2488" s="144">
        <f t="shared" si="793"/>
        <v>10</v>
      </c>
      <c r="M2488" s="275">
        <f t="shared" si="797"/>
        <v>10</v>
      </c>
      <c r="N2488" s="98">
        <v>2</v>
      </c>
      <c r="O2488" s="93">
        <f t="shared" si="779"/>
        <v>0</v>
      </c>
      <c r="ON2488" s="100">
        <f t="shared" si="782"/>
        <v>0</v>
      </c>
    </row>
    <row r="2489" spans="1:404" ht="23.25" customHeight="1">
      <c r="A2489" s="97" t="str">
        <f t="shared" si="794"/>
        <v>029T/EUROMARKET-2166-54100-01-B</v>
      </c>
      <c r="B2489" s="95">
        <v>44655</v>
      </c>
      <c r="C2489" s="97">
        <f t="shared" ca="1" si="795"/>
        <v>-409</v>
      </c>
      <c r="D2489" s="112" t="s">
        <v>2007</v>
      </c>
      <c r="E2489" s="123" t="s">
        <v>629</v>
      </c>
      <c r="F2489" s="92" t="str">
        <f t="shared" si="796"/>
        <v>B</v>
      </c>
      <c r="G2489" s="109">
        <f ca="1">SUMIF($A:E,$A2489,K:K)</f>
        <v>52</v>
      </c>
      <c r="H2489" s="97" t="s">
        <v>508</v>
      </c>
      <c r="I2489" s="98">
        <v>30</v>
      </c>
      <c r="J2489" s="115">
        <v>30</v>
      </c>
      <c r="K2489" s="143">
        <f t="shared" si="791"/>
        <v>52</v>
      </c>
      <c r="L2489" s="144">
        <f t="shared" si="793"/>
        <v>-22</v>
      </c>
      <c r="M2489" s="275">
        <f t="shared" si="797"/>
        <v>30</v>
      </c>
      <c r="N2489" s="98">
        <v>4</v>
      </c>
      <c r="O2489" s="93">
        <f t="shared" si="779"/>
        <v>173.33333333333334</v>
      </c>
      <c r="OB2489" s="100">
        <v>3</v>
      </c>
      <c r="OC2489" s="100">
        <v>5</v>
      </c>
      <c r="OD2489" s="100">
        <v>2</v>
      </c>
      <c r="OF2489" s="100">
        <v>4</v>
      </c>
      <c r="OG2489" s="100">
        <v>1</v>
      </c>
      <c r="OH2489" s="100">
        <v>4</v>
      </c>
      <c r="OJ2489" s="100">
        <v>4</v>
      </c>
      <c r="OM2489" s="100">
        <v>3</v>
      </c>
      <c r="ON2489" s="100">
        <f t="shared" si="782"/>
        <v>26</v>
      </c>
    </row>
    <row r="2490" spans="1:404" ht="23.25" customHeight="1">
      <c r="A2490" s="97" t="str">
        <f t="shared" si="794"/>
        <v>029T/EUROMARKET-2166-64700-S1-B</v>
      </c>
      <c r="B2490" s="95">
        <v>44655</v>
      </c>
      <c r="C2490" s="97">
        <f t="shared" ca="1" si="795"/>
        <v>-409</v>
      </c>
      <c r="D2490" s="112" t="s">
        <v>2007</v>
      </c>
      <c r="E2490" s="123" t="s">
        <v>635</v>
      </c>
      <c r="F2490" s="92" t="str">
        <f t="shared" si="796"/>
        <v>B</v>
      </c>
      <c r="G2490" s="109">
        <f ca="1">SUMIF($A:E,$A2490,K:K)</f>
        <v>200</v>
      </c>
      <c r="H2490" s="97" t="s">
        <v>508</v>
      </c>
      <c r="I2490" s="98">
        <v>100</v>
      </c>
      <c r="J2490" s="115">
        <v>100</v>
      </c>
      <c r="K2490" s="143">
        <f t="shared" si="791"/>
        <v>200</v>
      </c>
      <c r="L2490" s="144">
        <f t="shared" si="793"/>
        <v>-100</v>
      </c>
      <c r="M2490" s="275">
        <f t="shared" si="797"/>
        <v>100</v>
      </c>
      <c r="N2490" s="98">
        <v>3</v>
      </c>
      <c r="O2490" s="93">
        <f t="shared" si="779"/>
        <v>200</v>
      </c>
      <c r="OD2490" s="100">
        <v>8</v>
      </c>
      <c r="OF2490" s="100">
        <v>30</v>
      </c>
      <c r="OG2490" s="100">
        <v>8</v>
      </c>
      <c r="OH2490" s="100">
        <v>19</v>
      </c>
      <c r="OI2490" s="100">
        <v>22</v>
      </c>
      <c r="OJ2490" s="100">
        <v>13</v>
      </c>
      <c r="ON2490" s="100">
        <f t="shared" si="782"/>
        <v>100</v>
      </c>
    </row>
    <row r="2491" spans="1:404" ht="23.25" customHeight="1">
      <c r="A2491" s="97" t="s">
        <v>2585</v>
      </c>
      <c r="B2491" s="95">
        <v>44655</v>
      </c>
      <c r="C2491" s="97">
        <v>39</v>
      </c>
      <c r="D2491" s="112" t="s">
        <v>2007</v>
      </c>
      <c r="E2491" s="123" t="s">
        <v>636</v>
      </c>
      <c r="F2491" s="92" t="s">
        <v>561</v>
      </c>
      <c r="G2491" s="109">
        <v>119</v>
      </c>
      <c r="H2491" s="97" t="s">
        <v>508</v>
      </c>
      <c r="I2491" s="98">
        <v>200</v>
      </c>
      <c r="J2491" s="115">
        <v>100</v>
      </c>
      <c r="K2491" s="143">
        <f t="shared" si="791"/>
        <v>80</v>
      </c>
      <c r="L2491" s="144">
        <f t="shared" ref="L2491" si="798">J2491-K2491</f>
        <v>20</v>
      </c>
      <c r="M2491" s="98">
        <v>4</v>
      </c>
      <c r="N2491" s="98">
        <v>2</v>
      </c>
      <c r="O2491" s="93">
        <f t="shared" si="779"/>
        <v>80</v>
      </c>
      <c r="OJ2491" s="100">
        <v>17</v>
      </c>
      <c r="OK2491" s="100">
        <v>12</v>
      </c>
      <c r="OM2491" s="100">
        <v>11</v>
      </c>
      <c r="ON2491" s="100">
        <f t="shared" si="782"/>
        <v>40</v>
      </c>
    </row>
    <row r="2492" spans="1:404" ht="23.25" customHeight="1">
      <c r="A2492" s="97" t="str">
        <f t="shared" si="794"/>
        <v>029T/EUROMARKET-2166-64800-S1-B</v>
      </c>
      <c r="B2492" s="95">
        <v>44655</v>
      </c>
      <c r="C2492" s="97">
        <f t="shared" ca="1" si="795"/>
        <v>-409</v>
      </c>
      <c r="D2492" s="112" t="s">
        <v>2007</v>
      </c>
      <c r="E2492" s="123" t="s">
        <v>636</v>
      </c>
      <c r="F2492" s="92" t="str">
        <f t="shared" ref="F2492" si="799">MID(E2492,13,2)</f>
        <v>B</v>
      </c>
      <c r="G2492" s="109">
        <f ca="1">SUMIF($A:E,$A2492,K:K)</f>
        <v>196</v>
      </c>
      <c r="H2492" s="97" t="s">
        <v>508</v>
      </c>
      <c r="I2492" s="98">
        <v>200</v>
      </c>
      <c r="J2492" s="115">
        <v>100</v>
      </c>
      <c r="K2492" s="143">
        <f t="shared" si="791"/>
        <v>116</v>
      </c>
      <c r="L2492" s="144">
        <f t="shared" si="793"/>
        <v>-16</v>
      </c>
      <c r="M2492" s="275">
        <f t="shared" si="797"/>
        <v>200</v>
      </c>
      <c r="N2492" s="98">
        <v>4</v>
      </c>
      <c r="O2492" s="93">
        <f t="shared" si="779"/>
        <v>115.99999999999999</v>
      </c>
      <c r="NG2492" s="100">
        <v>14</v>
      </c>
      <c r="NI2492" s="100">
        <v>14</v>
      </c>
      <c r="NK2492" s="100">
        <v>14</v>
      </c>
      <c r="NL2492" s="100">
        <v>28</v>
      </c>
      <c r="NM2492" s="100">
        <v>8</v>
      </c>
      <c r="NN2492" s="100">
        <v>6</v>
      </c>
      <c r="NS2492" s="100">
        <v>14</v>
      </c>
      <c r="NT2492" s="100">
        <v>2</v>
      </c>
      <c r="ON2492" s="100">
        <f t="shared" si="782"/>
        <v>16</v>
      </c>
    </row>
    <row r="2493" spans="1:404" ht="23.25" customHeight="1">
      <c r="A2493" s="97" t="str">
        <f t="shared" si="794"/>
        <v>029T/EUROMARKET-2166-70300-02-B</v>
      </c>
      <c r="B2493" s="95">
        <v>44655</v>
      </c>
      <c r="C2493" s="97">
        <f t="shared" ca="1" si="795"/>
        <v>-409</v>
      </c>
      <c r="D2493" s="112" t="s">
        <v>2007</v>
      </c>
      <c r="E2493" s="123" t="s">
        <v>47</v>
      </c>
      <c r="F2493" s="92" t="str">
        <f t="shared" si="796"/>
        <v>B</v>
      </c>
      <c r="G2493" s="109">
        <f ca="1">SUMIF($A:E,$A2493,K:K)</f>
        <v>14</v>
      </c>
      <c r="H2493" s="97" t="s">
        <v>508</v>
      </c>
      <c r="I2493" s="98">
        <v>90</v>
      </c>
      <c r="J2493" s="115">
        <v>90</v>
      </c>
      <c r="K2493" s="143">
        <f t="shared" si="791"/>
        <v>14</v>
      </c>
      <c r="L2493" s="144">
        <f t="shared" ref="L2493" si="800">J2493-K2493</f>
        <v>76</v>
      </c>
      <c r="M2493" s="275">
        <f t="shared" si="797"/>
        <v>90</v>
      </c>
      <c r="N2493" s="98">
        <v>1</v>
      </c>
      <c r="O2493" s="93">
        <f t="shared" si="779"/>
        <v>15.555555555555555</v>
      </c>
      <c r="OM2493" s="100">
        <v>7</v>
      </c>
      <c r="ON2493" s="100">
        <f t="shared" si="782"/>
        <v>7</v>
      </c>
    </row>
    <row r="2494" spans="1:404" ht="23.25" customHeight="1">
      <c r="A2494" s="97" t="str">
        <f t="shared" si="794"/>
        <v>029T/EUROMARKET-2166-70300-03-B</v>
      </c>
      <c r="B2494" s="95">
        <v>44655</v>
      </c>
      <c r="C2494" s="97">
        <f t="shared" ca="1" si="795"/>
        <v>-409</v>
      </c>
      <c r="D2494" s="112" t="s">
        <v>2007</v>
      </c>
      <c r="E2494" s="123" t="s">
        <v>25</v>
      </c>
      <c r="F2494" s="92" t="str">
        <f t="shared" si="796"/>
        <v>B</v>
      </c>
      <c r="G2494" s="109">
        <f ca="1">SUMIF($A:E,$A2494,K:K)</f>
        <v>160</v>
      </c>
      <c r="H2494" s="97" t="s">
        <v>508</v>
      </c>
      <c r="I2494" s="98">
        <v>80</v>
      </c>
      <c r="J2494" s="115">
        <v>80</v>
      </c>
      <c r="K2494" s="143">
        <f t="shared" si="791"/>
        <v>160</v>
      </c>
      <c r="L2494" s="144">
        <f t="shared" si="793"/>
        <v>-80</v>
      </c>
      <c r="M2494" s="275">
        <f t="shared" si="797"/>
        <v>80</v>
      </c>
      <c r="N2494" s="98">
        <v>6</v>
      </c>
      <c r="O2494" s="93">
        <f t="shared" ref="O2494:O2496" si="801">K2494/J2494*100</f>
        <v>200</v>
      </c>
      <c r="NU2494" s="100">
        <f>13+43</f>
        <v>56</v>
      </c>
      <c r="NV2494" s="100">
        <v>3</v>
      </c>
      <c r="NY2494" s="100">
        <v>21</v>
      </c>
      <c r="ON2494" s="100">
        <f t="shared" si="782"/>
        <v>80</v>
      </c>
    </row>
    <row r="2495" spans="1:404" ht="23.25" customHeight="1">
      <c r="A2495" s="97" t="str">
        <f t="shared" si="794"/>
        <v>029T/EUROMARKET-2168-70900-03-B</v>
      </c>
      <c r="B2495" s="95">
        <v>44655</v>
      </c>
      <c r="C2495" s="97">
        <f t="shared" ca="1" si="795"/>
        <v>-409</v>
      </c>
      <c r="D2495" s="112" t="s">
        <v>2007</v>
      </c>
      <c r="E2495" s="123" t="s">
        <v>27</v>
      </c>
      <c r="F2495" s="92" t="str">
        <f t="shared" ref="F2495" si="802">MID(E2495,13,2)</f>
        <v>B</v>
      </c>
      <c r="G2495" s="109">
        <f ca="1">SUMIF($A:E,$A2495,K:K)</f>
        <v>132</v>
      </c>
      <c r="H2495" s="97" t="s">
        <v>508</v>
      </c>
      <c r="I2495" s="98">
        <v>130</v>
      </c>
      <c r="J2495" s="115">
        <v>130</v>
      </c>
      <c r="K2495" s="143">
        <f t="shared" si="791"/>
        <v>132</v>
      </c>
      <c r="L2495" s="144">
        <f t="shared" si="793"/>
        <v>-2</v>
      </c>
      <c r="M2495" s="275">
        <f t="shared" si="797"/>
        <v>130</v>
      </c>
      <c r="N2495" s="98">
        <v>4</v>
      </c>
      <c r="O2495" s="93">
        <f t="shared" si="801"/>
        <v>101.53846153846153</v>
      </c>
      <c r="OA2495" s="100">
        <v>5</v>
      </c>
      <c r="OB2495" s="100">
        <v>9</v>
      </c>
      <c r="OC2495" s="100">
        <v>10</v>
      </c>
      <c r="OD2495" s="100">
        <v>6</v>
      </c>
      <c r="OG2495" s="100">
        <v>12</v>
      </c>
      <c r="OH2495" s="100">
        <v>6</v>
      </c>
      <c r="OI2495" s="100">
        <v>6</v>
      </c>
      <c r="OJ2495" s="100">
        <v>6</v>
      </c>
      <c r="OK2495" s="100">
        <v>6</v>
      </c>
      <c r="ON2495" s="100">
        <f t="shared" si="782"/>
        <v>66</v>
      </c>
    </row>
    <row r="2496" spans="1:404" ht="23.25" customHeight="1">
      <c r="A2496" s="97" t="str">
        <f t="shared" si="794"/>
        <v>029T/EUROMARKET-2168-79900-01-B</v>
      </c>
      <c r="B2496" s="95">
        <v>44655</v>
      </c>
      <c r="C2496" s="97">
        <f t="shared" ca="1" si="795"/>
        <v>-409</v>
      </c>
      <c r="D2496" s="112" t="s">
        <v>2007</v>
      </c>
      <c r="E2496" s="123" t="s">
        <v>1542</v>
      </c>
      <c r="F2496" s="92" t="str">
        <f t="shared" si="796"/>
        <v>B</v>
      </c>
      <c r="G2496" s="109">
        <f ca="1">SUMIF($A:E,$A2496,K:K)</f>
        <v>0</v>
      </c>
      <c r="H2496" s="97" t="s">
        <v>508</v>
      </c>
      <c r="I2496" s="98">
        <v>20</v>
      </c>
      <c r="J2496" s="115">
        <v>20</v>
      </c>
      <c r="K2496" s="143">
        <f t="shared" si="791"/>
        <v>0</v>
      </c>
      <c r="L2496" s="144">
        <f t="shared" si="793"/>
        <v>20</v>
      </c>
      <c r="M2496" s="275">
        <f t="shared" si="797"/>
        <v>20</v>
      </c>
      <c r="N2496" s="98"/>
      <c r="O2496" s="93">
        <f t="shared" si="801"/>
        <v>0</v>
      </c>
      <c r="ON2496" s="100">
        <f t="shared" si="782"/>
        <v>0</v>
      </c>
    </row>
    <row r="2497" spans="1:404" ht="23.25" customHeight="1">
      <c r="A2497" s="97" t="str">
        <f t="shared" si="794"/>
        <v>029T/EUROMARKET-2166-02700-01-A1(phen)</v>
      </c>
      <c r="B2497" s="95">
        <v>44655</v>
      </c>
      <c r="C2497" s="97">
        <f t="shared" ca="1" si="795"/>
        <v>-409</v>
      </c>
      <c r="D2497" s="112" t="s">
        <v>2007</v>
      </c>
      <c r="E2497" s="123" t="s">
        <v>427</v>
      </c>
      <c r="F2497" s="92" t="str">
        <f t="shared" si="796"/>
        <v>A1</v>
      </c>
      <c r="G2497" s="109">
        <f ca="1">SUMIF($A:E,$A2497,K:K)</f>
        <v>0</v>
      </c>
      <c r="H2497" s="97" t="s">
        <v>508</v>
      </c>
      <c r="I2497" s="175">
        <v>10</v>
      </c>
      <c r="J2497" s="115">
        <v>10</v>
      </c>
      <c r="K2497" s="143">
        <f t="shared" si="791"/>
        <v>0</v>
      </c>
      <c r="L2497" s="144">
        <f t="shared" si="793"/>
        <v>10</v>
      </c>
      <c r="M2497" s="275">
        <f t="shared" si="797"/>
        <v>10</v>
      </c>
      <c r="N2497" s="98">
        <v>2</v>
      </c>
      <c r="O2497" s="93">
        <f t="shared" ref="O2497:O2506" si="803">K2497/J2497*100</f>
        <v>0</v>
      </c>
      <c r="ON2497" s="100">
        <f t="shared" si="782"/>
        <v>0</v>
      </c>
    </row>
    <row r="2498" spans="1:404" ht="23.25" customHeight="1">
      <c r="A2498" s="97" t="str">
        <f t="shared" si="794"/>
        <v>028T/EUROMARKET-2166-02600-02-B</v>
      </c>
      <c r="B2498" s="95">
        <v>44618</v>
      </c>
      <c r="C2498" s="97">
        <f t="shared" ca="1" si="795"/>
        <v>-446</v>
      </c>
      <c r="D2498" s="112" t="s">
        <v>2008</v>
      </c>
      <c r="E2498" s="123" t="s">
        <v>627</v>
      </c>
      <c r="F2498" s="92" t="str">
        <f t="shared" si="796"/>
        <v>B</v>
      </c>
      <c r="G2498" s="109">
        <f ca="1">SUMIF($A:E,$A2498,K:K)</f>
        <v>149</v>
      </c>
      <c r="H2498" s="97" t="s">
        <v>508</v>
      </c>
      <c r="I2498" s="175">
        <v>110</v>
      </c>
      <c r="J2498" s="115">
        <v>110</v>
      </c>
      <c r="K2498" s="143">
        <f t="shared" si="791"/>
        <v>149</v>
      </c>
      <c r="L2498" s="144">
        <f t="shared" si="793"/>
        <v>-39</v>
      </c>
      <c r="M2498" s="275">
        <f t="shared" si="797"/>
        <v>110</v>
      </c>
      <c r="N2498" s="98">
        <v>4</v>
      </c>
      <c r="O2498" s="93">
        <f t="shared" si="803"/>
        <v>135.45454545454544</v>
      </c>
      <c r="MW2498" s="100">
        <v>6</v>
      </c>
      <c r="MX2498" s="100">
        <v>3</v>
      </c>
      <c r="MZ2498" s="100">
        <v>12</v>
      </c>
      <c r="ND2498" s="100">
        <v>5</v>
      </c>
      <c r="NE2498" s="100">
        <v>6</v>
      </c>
      <c r="NG2498" s="100">
        <v>9</v>
      </c>
      <c r="NI2498" s="100">
        <v>6</v>
      </c>
      <c r="NK2498" s="100">
        <v>6</v>
      </c>
      <c r="NL2498" s="100">
        <v>6</v>
      </c>
      <c r="NM2498" s="100">
        <v>5</v>
      </c>
      <c r="NN2498" s="100">
        <v>7</v>
      </c>
      <c r="NS2498" s="100">
        <v>8</v>
      </c>
      <c r="NU2498" s="100">
        <v>8</v>
      </c>
      <c r="NV2498" s="100">
        <v>8</v>
      </c>
      <c r="NY2498" s="100">
        <v>8</v>
      </c>
      <c r="NZ2498" s="100">
        <v>7</v>
      </c>
      <c r="ON2498" s="100">
        <f t="shared" si="782"/>
        <v>39</v>
      </c>
    </row>
    <row r="2499" spans="1:404" ht="23.25" customHeight="1">
      <c r="A2499" s="97" t="str">
        <f t="shared" si="794"/>
        <v>028T/EUROMARKET-2166-02700-01-B</v>
      </c>
      <c r="B2499" s="95">
        <v>44618</v>
      </c>
      <c r="C2499" s="97">
        <f t="shared" ca="1" si="795"/>
        <v>-446</v>
      </c>
      <c r="D2499" s="112" t="s">
        <v>2008</v>
      </c>
      <c r="E2499" s="123" t="s">
        <v>628</v>
      </c>
      <c r="F2499" s="92" t="str">
        <f t="shared" si="796"/>
        <v>B</v>
      </c>
      <c r="G2499" s="109">
        <f ca="1">SUMIF($A:E,$A2499,K:K)</f>
        <v>22</v>
      </c>
      <c r="H2499" s="97" t="s">
        <v>508</v>
      </c>
      <c r="I2499" s="175">
        <v>20</v>
      </c>
      <c r="J2499" s="115">
        <v>20</v>
      </c>
      <c r="K2499" s="143">
        <f t="shared" si="791"/>
        <v>22</v>
      </c>
      <c r="L2499" s="144">
        <f t="shared" si="793"/>
        <v>-2</v>
      </c>
      <c r="M2499" s="275">
        <f t="shared" si="797"/>
        <v>20</v>
      </c>
      <c r="N2499" s="98">
        <v>1</v>
      </c>
      <c r="O2499" s="93">
        <f t="shared" si="803"/>
        <v>110.00000000000001</v>
      </c>
      <c r="NI2499" s="100">
        <v>3</v>
      </c>
      <c r="NK2499" s="100">
        <v>4</v>
      </c>
      <c r="NL2499" s="100">
        <v>4</v>
      </c>
      <c r="NM2499" s="100">
        <v>7</v>
      </c>
      <c r="OB2499" s="100">
        <v>2</v>
      </c>
      <c r="ON2499" s="100">
        <f t="shared" si="782"/>
        <v>2</v>
      </c>
    </row>
    <row r="2500" spans="1:404" ht="23.25" customHeight="1">
      <c r="A2500" s="97" t="str">
        <f t="shared" si="794"/>
        <v>028T/EUROMARKET-2166-54100-01-B</v>
      </c>
      <c r="B2500" s="95">
        <v>44618</v>
      </c>
      <c r="C2500" s="97">
        <f t="shared" ca="1" si="795"/>
        <v>-446</v>
      </c>
      <c r="D2500" s="112" t="s">
        <v>2008</v>
      </c>
      <c r="E2500" s="123" t="s">
        <v>629</v>
      </c>
      <c r="F2500" s="92" t="str">
        <f t="shared" si="796"/>
        <v>B</v>
      </c>
      <c r="G2500" s="109">
        <f ca="1">SUMIF($A:E,$A2500,K:K)</f>
        <v>70</v>
      </c>
      <c r="H2500" s="97" t="s">
        <v>508</v>
      </c>
      <c r="I2500" s="175">
        <v>430</v>
      </c>
      <c r="J2500" s="115">
        <v>70</v>
      </c>
      <c r="K2500" s="143">
        <f t="shared" si="791"/>
        <v>70</v>
      </c>
      <c r="L2500" s="144">
        <f t="shared" si="793"/>
        <v>0</v>
      </c>
      <c r="M2500" s="275">
        <f t="shared" si="797"/>
        <v>430</v>
      </c>
      <c r="N2500" s="98">
        <v>1</v>
      </c>
      <c r="O2500" s="93">
        <f t="shared" si="803"/>
        <v>100</v>
      </c>
      <c r="ME2500" s="100">
        <v>8</v>
      </c>
      <c r="MF2500" s="100">
        <v>1</v>
      </c>
      <c r="MG2500" s="100">
        <v>16</v>
      </c>
      <c r="MH2500" s="100">
        <v>18</v>
      </c>
      <c r="MK2500" s="100">
        <v>12</v>
      </c>
      <c r="ML2500" s="100">
        <v>15</v>
      </c>
      <c r="ON2500" s="100">
        <f t="shared" ref="ON2500:ON2563" si="804">SUM(NS2500:OM2500)</f>
        <v>0</v>
      </c>
    </row>
    <row r="2501" spans="1:404" ht="23.25" customHeight="1">
      <c r="A2501" s="97" t="str">
        <f t="shared" si="794"/>
        <v>028T/EUROMARKET-2166-64700-S1-B</v>
      </c>
      <c r="B2501" s="95">
        <v>44618</v>
      </c>
      <c r="C2501" s="97">
        <f t="shared" ca="1" si="795"/>
        <v>-446</v>
      </c>
      <c r="D2501" s="112" t="s">
        <v>2008</v>
      </c>
      <c r="E2501" s="123" t="s">
        <v>635</v>
      </c>
      <c r="F2501" s="92" t="str">
        <f t="shared" si="796"/>
        <v>B</v>
      </c>
      <c r="G2501" s="109">
        <f ca="1">SUMIF($A:E,$A2501,K:K)</f>
        <v>624</v>
      </c>
      <c r="H2501" s="97" t="s">
        <v>508</v>
      </c>
      <c r="I2501" s="175">
        <v>430</v>
      </c>
      <c r="J2501" s="115">
        <v>430</v>
      </c>
      <c r="K2501" s="143">
        <f t="shared" si="791"/>
        <v>624</v>
      </c>
      <c r="L2501" s="144">
        <f t="shared" si="793"/>
        <v>-194</v>
      </c>
      <c r="M2501" s="275">
        <f t="shared" si="797"/>
        <v>430</v>
      </c>
      <c r="N2501" s="98">
        <v>3</v>
      </c>
      <c r="O2501" s="93">
        <f t="shared" si="803"/>
        <v>145.11627906976744</v>
      </c>
      <c r="MW2501" s="100">
        <v>33</v>
      </c>
      <c r="MY2501" s="100">
        <v>6</v>
      </c>
      <c r="MZ2501" s="100">
        <v>2</v>
      </c>
      <c r="ND2501" s="100">
        <v>27</v>
      </c>
      <c r="NE2501" s="100">
        <v>18</v>
      </c>
      <c r="NF2501" s="100">
        <v>16</v>
      </c>
      <c r="NG2501" s="100">
        <v>17</v>
      </c>
      <c r="NI2501" s="100">
        <v>37</v>
      </c>
      <c r="NK2501" s="100">
        <v>23</v>
      </c>
      <c r="NL2501" s="100">
        <v>27</v>
      </c>
      <c r="NM2501" s="100">
        <v>8</v>
      </c>
      <c r="NN2501" s="100">
        <v>22</v>
      </c>
      <c r="NS2501" s="100">
        <v>21</v>
      </c>
      <c r="NT2501" s="100">
        <v>12</v>
      </c>
      <c r="NU2501" s="100">
        <v>14</v>
      </c>
      <c r="NV2501" s="100">
        <v>21</v>
      </c>
      <c r="NY2501" s="100">
        <v>39</v>
      </c>
      <c r="NZ2501" s="100">
        <v>25</v>
      </c>
      <c r="OA2501" s="100">
        <v>6</v>
      </c>
      <c r="OB2501" s="100">
        <v>24</v>
      </c>
      <c r="OC2501" s="100">
        <v>23</v>
      </c>
      <c r="OD2501" s="100">
        <v>9</v>
      </c>
      <c r="ON2501" s="100">
        <f t="shared" si="804"/>
        <v>194</v>
      </c>
    </row>
    <row r="2502" spans="1:404" ht="23.25" customHeight="1">
      <c r="A2502" s="97" t="str">
        <f t="shared" si="794"/>
        <v>028T/EUROMARKET-2166-64800-S1-B</v>
      </c>
      <c r="B2502" s="95">
        <v>44618</v>
      </c>
      <c r="C2502" s="97">
        <f t="shared" ca="1" si="795"/>
        <v>-446</v>
      </c>
      <c r="D2502" s="112" t="s">
        <v>2008</v>
      </c>
      <c r="E2502" s="123" t="s">
        <v>636</v>
      </c>
      <c r="F2502" s="92" t="str">
        <f t="shared" si="796"/>
        <v>B</v>
      </c>
      <c r="G2502" s="109">
        <f ca="1">SUMIF($A:E,$A2502,K:K)</f>
        <v>138</v>
      </c>
      <c r="H2502" s="97" t="s">
        <v>508</v>
      </c>
      <c r="I2502" s="175">
        <v>250</v>
      </c>
      <c r="J2502" s="115">
        <v>250</v>
      </c>
      <c r="K2502" s="143">
        <f t="shared" si="791"/>
        <v>138</v>
      </c>
      <c r="L2502" s="144">
        <f t="shared" si="793"/>
        <v>112</v>
      </c>
      <c r="M2502" s="275">
        <f t="shared" si="797"/>
        <v>250</v>
      </c>
      <c r="N2502" s="98">
        <v>4</v>
      </c>
      <c r="O2502" s="93">
        <f t="shared" si="803"/>
        <v>55.2</v>
      </c>
      <c r="NT2502" s="100">
        <v>5</v>
      </c>
      <c r="NU2502" s="100">
        <v>7</v>
      </c>
      <c r="OG2502" s="100">
        <v>7</v>
      </c>
      <c r="OI2502" s="100">
        <v>14</v>
      </c>
      <c r="OJ2502" s="100">
        <v>11</v>
      </c>
      <c r="OK2502" s="100">
        <v>9</v>
      </c>
      <c r="OM2502" s="100">
        <v>16</v>
      </c>
      <c r="ON2502" s="100">
        <f t="shared" si="804"/>
        <v>69</v>
      </c>
    </row>
    <row r="2503" spans="1:404" ht="23.25" customHeight="1">
      <c r="A2503" s="97" t="str">
        <f t="shared" si="794"/>
        <v>028T/EUROMARKET-2166-70300-02-B</v>
      </c>
      <c r="B2503" s="95">
        <v>44618</v>
      </c>
      <c r="C2503" s="97">
        <f t="shared" ca="1" si="795"/>
        <v>-446</v>
      </c>
      <c r="D2503" s="112" t="s">
        <v>2008</v>
      </c>
      <c r="E2503" s="123" t="s">
        <v>47</v>
      </c>
      <c r="F2503" s="98" t="str">
        <f t="shared" ref="F2503:F2504" si="805">MID(E2503,13,2)</f>
        <v>B</v>
      </c>
      <c r="G2503" s="110">
        <f ca="1">SUMIF($A:E,$A2503,K:K)</f>
        <v>150</v>
      </c>
      <c r="H2503" s="97" t="s">
        <v>508</v>
      </c>
      <c r="I2503" s="175">
        <v>160</v>
      </c>
      <c r="J2503" s="115">
        <v>150</v>
      </c>
      <c r="K2503" s="143">
        <f t="shared" si="791"/>
        <v>150</v>
      </c>
      <c r="L2503" s="144">
        <f t="shared" si="793"/>
        <v>0</v>
      </c>
      <c r="M2503" s="275">
        <f t="shared" si="797"/>
        <v>160</v>
      </c>
      <c r="N2503" s="98">
        <v>1</v>
      </c>
      <c r="O2503" s="93">
        <f t="shared" si="803"/>
        <v>100</v>
      </c>
      <c r="ML2503" s="100">
        <v>33</v>
      </c>
      <c r="MM2503" s="100">
        <v>24</v>
      </c>
      <c r="MN2503" s="100">
        <v>11</v>
      </c>
      <c r="MP2503" s="100">
        <v>11</v>
      </c>
      <c r="MQ2503" s="100">
        <v>11</v>
      </c>
      <c r="MR2503" s="100">
        <v>11</v>
      </c>
      <c r="MS2503" s="100">
        <v>31</v>
      </c>
      <c r="MT2503" s="100">
        <v>2</v>
      </c>
      <c r="MU2503" s="100">
        <v>16</v>
      </c>
      <c r="ON2503" s="100">
        <f t="shared" si="804"/>
        <v>0</v>
      </c>
    </row>
    <row r="2504" spans="1:404" ht="23.25" customHeight="1">
      <c r="A2504" s="97" t="str">
        <f t="shared" si="794"/>
        <v>028T/EUROMARKET-2166-70300-03-B</v>
      </c>
      <c r="B2504" s="95">
        <v>44618</v>
      </c>
      <c r="C2504" s="97">
        <f t="shared" ca="1" si="795"/>
        <v>-446</v>
      </c>
      <c r="D2504" s="112" t="s">
        <v>2008</v>
      </c>
      <c r="E2504" s="123" t="s">
        <v>25</v>
      </c>
      <c r="F2504" s="98" t="str">
        <f t="shared" si="805"/>
        <v>B</v>
      </c>
      <c r="G2504" s="110">
        <f ca="1">SUMIF($A:E,$A2504,K:K)</f>
        <v>160</v>
      </c>
      <c r="H2504" s="97" t="s">
        <v>508</v>
      </c>
      <c r="I2504" s="175">
        <v>230</v>
      </c>
      <c r="J2504" s="115">
        <v>160</v>
      </c>
      <c r="K2504" s="143">
        <f t="shared" si="791"/>
        <v>160</v>
      </c>
      <c r="L2504" s="144">
        <f t="shared" si="793"/>
        <v>0</v>
      </c>
      <c r="M2504" s="275">
        <f t="shared" si="797"/>
        <v>230</v>
      </c>
      <c r="N2504" s="98">
        <v>1</v>
      </c>
      <c r="O2504" s="93">
        <f t="shared" si="803"/>
        <v>100</v>
      </c>
      <c r="MH2504" s="100">
        <v>7</v>
      </c>
      <c r="ML2504" s="100">
        <f>28+5</f>
        <v>33</v>
      </c>
      <c r="MM2504" s="100">
        <v>20</v>
      </c>
      <c r="MN2504" s="100">
        <v>18</v>
      </c>
      <c r="MO2504" s="100">
        <v>9</v>
      </c>
      <c r="MQ2504" s="100">
        <v>2</v>
      </c>
      <c r="MR2504" s="100">
        <v>10</v>
      </c>
      <c r="MS2504" s="100">
        <v>11</v>
      </c>
      <c r="MT2504" s="100">
        <v>10</v>
      </c>
      <c r="MU2504" s="100">
        <v>10</v>
      </c>
      <c r="MW2504" s="100">
        <v>10</v>
      </c>
      <c r="MY2504" s="100">
        <v>2</v>
      </c>
      <c r="MZ2504" s="100">
        <v>10</v>
      </c>
      <c r="NK2504" s="100">
        <v>8</v>
      </c>
      <c r="ON2504" s="100">
        <f t="shared" si="804"/>
        <v>0</v>
      </c>
    </row>
    <row r="2505" spans="1:404" ht="23.25" customHeight="1">
      <c r="A2505" s="97" t="str">
        <f t="shared" si="794"/>
        <v>028T/EUROMARKET-2168-70900-03-B</v>
      </c>
      <c r="B2505" s="95">
        <v>44618</v>
      </c>
      <c r="C2505" s="97">
        <f t="shared" ca="1" si="795"/>
        <v>-446</v>
      </c>
      <c r="D2505" s="112" t="s">
        <v>2008</v>
      </c>
      <c r="E2505" s="123" t="s">
        <v>27</v>
      </c>
      <c r="F2505" s="92" t="str">
        <f t="shared" ref="F2505:F2538" si="806">MID(E2505,13,2)</f>
        <v>B</v>
      </c>
      <c r="G2505" s="109">
        <f ca="1">SUMIF($A:E,$A2505,K:K)</f>
        <v>230</v>
      </c>
      <c r="H2505" s="97" t="s">
        <v>508</v>
      </c>
      <c r="I2505" s="175">
        <v>230</v>
      </c>
      <c r="J2505" s="115">
        <v>230</v>
      </c>
      <c r="K2505" s="143">
        <f t="shared" si="791"/>
        <v>230</v>
      </c>
      <c r="L2505" s="144">
        <f t="shared" si="793"/>
        <v>0</v>
      </c>
      <c r="M2505" s="275">
        <f t="shared" si="797"/>
        <v>230</v>
      </c>
      <c r="N2505" s="98">
        <v>6</v>
      </c>
      <c r="O2505" s="93">
        <f t="shared" si="803"/>
        <v>100</v>
      </c>
      <c r="MU2505" s="100">
        <v>45</v>
      </c>
      <c r="MW2505" s="100">
        <v>19</v>
      </c>
      <c r="MX2505" s="100">
        <v>47</v>
      </c>
      <c r="MY2505" s="100">
        <v>32</v>
      </c>
      <c r="MZ2505" s="100">
        <v>9</v>
      </c>
      <c r="NA2505" s="100">
        <v>20</v>
      </c>
      <c r="ND2505" s="100">
        <v>18</v>
      </c>
      <c r="NE2505" s="100">
        <v>8</v>
      </c>
      <c r="NF2505" s="100">
        <v>25</v>
      </c>
      <c r="NG2505" s="100">
        <v>7</v>
      </c>
      <c r="ON2505" s="100">
        <f t="shared" si="804"/>
        <v>0</v>
      </c>
    </row>
    <row r="2506" spans="1:404" ht="23.25" customHeight="1">
      <c r="A2506" s="97" t="str">
        <f t="shared" si="794"/>
        <v>028T/EUROMARKET-2168-79900-01-B</v>
      </c>
      <c r="B2506" s="95">
        <v>44618</v>
      </c>
      <c r="C2506" s="97">
        <f t="shared" ca="1" si="795"/>
        <v>-446</v>
      </c>
      <c r="D2506" s="112" t="s">
        <v>2008</v>
      </c>
      <c r="E2506" s="123" t="s">
        <v>1542</v>
      </c>
      <c r="F2506" s="92" t="str">
        <f t="shared" si="806"/>
        <v>B</v>
      </c>
      <c r="G2506" s="109">
        <f ca="1">SUMIF($A:E,$A2506,K:K)</f>
        <v>60</v>
      </c>
      <c r="H2506" s="97" t="s">
        <v>508</v>
      </c>
      <c r="I2506" s="175">
        <v>30</v>
      </c>
      <c r="J2506" s="115">
        <v>30</v>
      </c>
      <c r="K2506" s="143">
        <f t="shared" si="791"/>
        <v>60</v>
      </c>
      <c r="L2506" s="144">
        <f t="shared" ref="L2506:L2508" si="807">J2506-K2506</f>
        <v>-30</v>
      </c>
      <c r="M2506" s="275">
        <f t="shared" si="797"/>
        <v>30</v>
      </c>
      <c r="N2506" s="98">
        <v>1</v>
      </c>
      <c r="O2506" s="93">
        <f t="shared" si="803"/>
        <v>200</v>
      </c>
      <c r="NT2506" s="100">
        <v>1</v>
      </c>
      <c r="NV2506" s="100">
        <v>11</v>
      </c>
      <c r="NY2506" s="100">
        <v>2</v>
      </c>
      <c r="NZ2506" s="100">
        <v>4</v>
      </c>
      <c r="OA2506" s="100">
        <v>3</v>
      </c>
      <c r="OB2506" s="100">
        <v>9</v>
      </c>
      <c r="ON2506" s="100">
        <f t="shared" si="804"/>
        <v>30</v>
      </c>
    </row>
    <row r="2507" spans="1:404" ht="23.25" customHeight="1">
      <c r="A2507" s="97" t="str">
        <f t="shared" si="794"/>
        <v>028T/EUROMARKET-2166-02700-01-A1(phen)</v>
      </c>
      <c r="B2507" s="95">
        <v>44618</v>
      </c>
      <c r="C2507" s="97">
        <f t="shared" ca="1" si="795"/>
        <v>-446</v>
      </c>
      <c r="D2507" s="112" t="s">
        <v>2008</v>
      </c>
      <c r="E2507" s="123" t="s">
        <v>427</v>
      </c>
      <c r="F2507" s="92" t="str">
        <f t="shared" si="806"/>
        <v>A1</v>
      </c>
      <c r="G2507" s="109">
        <f ca="1">SUMIF($A:E,$A2507,K:K)</f>
        <v>22</v>
      </c>
      <c r="H2507" s="97" t="s">
        <v>508</v>
      </c>
      <c r="I2507" s="175">
        <v>20</v>
      </c>
      <c r="J2507" s="115">
        <v>20</v>
      </c>
      <c r="K2507" s="143">
        <f t="shared" si="791"/>
        <v>22</v>
      </c>
      <c r="L2507" s="144">
        <f t="shared" si="807"/>
        <v>-2</v>
      </c>
      <c r="M2507" s="275">
        <f t="shared" si="797"/>
        <v>20</v>
      </c>
      <c r="N2507" s="98">
        <v>1</v>
      </c>
      <c r="O2507" s="93">
        <f t="shared" ref="O2507:O2512" si="808">K2507/J2507*100</f>
        <v>110.00000000000001</v>
      </c>
      <c r="NI2507" s="100">
        <v>3</v>
      </c>
      <c r="NK2507" s="100">
        <v>4</v>
      </c>
      <c r="NL2507" s="100">
        <v>4</v>
      </c>
      <c r="NM2507" s="100">
        <v>7</v>
      </c>
      <c r="OB2507" s="100">
        <v>2</v>
      </c>
      <c r="ON2507" s="100">
        <f t="shared" si="804"/>
        <v>2</v>
      </c>
    </row>
    <row r="2508" spans="1:404" ht="23.25" customHeight="1">
      <c r="A2508" s="97" t="str">
        <f t="shared" si="794"/>
        <v>023T/EUROMARKET-2166-70300-02-B</v>
      </c>
      <c r="B2508" s="95">
        <v>44558</v>
      </c>
      <c r="C2508" s="97">
        <f t="shared" ca="1" si="795"/>
        <v>-506</v>
      </c>
      <c r="D2508" s="112" t="s">
        <v>2009</v>
      </c>
      <c r="E2508" s="123" t="s">
        <v>47</v>
      </c>
      <c r="F2508" s="92" t="str">
        <f t="shared" si="806"/>
        <v>B</v>
      </c>
      <c r="G2508" s="109">
        <f ca="1">SUMIF($A:E,$A2508,K:K)</f>
        <v>55</v>
      </c>
      <c r="H2508" s="97" t="s">
        <v>508</v>
      </c>
      <c r="I2508" s="175">
        <v>300</v>
      </c>
      <c r="J2508" s="115">
        <v>55</v>
      </c>
      <c r="K2508" s="143">
        <f t="shared" si="791"/>
        <v>55</v>
      </c>
      <c r="L2508" s="144">
        <f t="shared" si="807"/>
        <v>0</v>
      </c>
      <c r="M2508" s="275">
        <f t="shared" si="797"/>
        <v>300</v>
      </c>
      <c r="N2508" s="98">
        <v>1</v>
      </c>
      <c r="O2508" s="93">
        <f t="shared" si="808"/>
        <v>100</v>
      </c>
      <c r="LE2508" s="100">
        <v>11</v>
      </c>
      <c r="LF2508" s="100">
        <v>37</v>
      </c>
      <c r="LG2508" s="100">
        <v>2</v>
      </c>
      <c r="LI2508" s="100">
        <v>3</v>
      </c>
      <c r="LK2508" s="100">
        <v>1</v>
      </c>
      <c r="LM2508" s="100">
        <v>1</v>
      </c>
      <c r="ON2508" s="100">
        <f t="shared" si="804"/>
        <v>0</v>
      </c>
    </row>
    <row r="2509" spans="1:404" ht="23.25" customHeight="1">
      <c r="A2509" s="97" t="str">
        <f t="shared" si="794"/>
        <v>023T/EUROMARKET-2166-70300-03-B</v>
      </c>
      <c r="B2509" s="95">
        <v>44558</v>
      </c>
      <c r="C2509" s="97">
        <f t="shared" ca="1" si="795"/>
        <v>-506</v>
      </c>
      <c r="D2509" s="112" t="s">
        <v>2009</v>
      </c>
      <c r="E2509" s="123" t="s">
        <v>25</v>
      </c>
      <c r="F2509" s="92" t="str">
        <f t="shared" si="806"/>
        <v>B</v>
      </c>
      <c r="G2509" s="109">
        <f ca="1">SUMIF($A:E,$A2509,K:K)</f>
        <v>63</v>
      </c>
      <c r="H2509" s="97" t="s">
        <v>508</v>
      </c>
      <c r="I2509" s="175">
        <v>30</v>
      </c>
      <c r="J2509" s="115">
        <v>63</v>
      </c>
      <c r="K2509" s="143">
        <f t="shared" si="791"/>
        <v>63</v>
      </c>
      <c r="L2509" s="144">
        <f t="shared" ref="L2509:L2510" si="809">J2509-K2509</f>
        <v>0</v>
      </c>
      <c r="M2509" s="275">
        <f t="shared" si="797"/>
        <v>30</v>
      </c>
      <c r="N2509" s="98">
        <v>4</v>
      </c>
      <c r="O2509" s="93">
        <f t="shared" si="808"/>
        <v>100</v>
      </c>
      <c r="MH2509" s="100">
        <v>8</v>
      </c>
      <c r="MK2509" s="100">
        <v>55</v>
      </c>
      <c r="ON2509" s="100">
        <f t="shared" si="804"/>
        <v>0</v>
      </c>
    </row>
    <row r="2510" spans="1:404" ht="23.25" customHeight="1">
      <c r="A2510" s="97" t="str">
        <f t="shared" si="794"/>
        <v>023T/EUROMARKET-2168-70900-03-B</v>
      </c>
      <c r="B2510" s="95">
        <v>44558</v>
      </c>
      <c r="C2510" s="97">
        <f t="shared" ca="1" si="795"/>
        <v>-506</v>
      </c>
      <c r="D2510" s="112" t="s">
        <v>2009</v>
      </c>
      <c r="E2510" s="123" t="s">
        <v>27</v>
      </c>
      <c r="F2510" s="92" t="str">
        <f t="shared" si="806"/>
        <v>B</v>
      </c>
      <c r="G2510" s="109">
        <f ca="1">SUMIF($A:E,$A2510,K:K)</f>
        <v>82</v>
      </c>
      <c r="H2510" s="97" t="s">
        <v>508</v>
      </c>
      <c r="I2510" s="175">
        <v>24</v>
      </c>
      <c r="J2510" s="115">
        <v>82</v>
      </c>
      <c r="K2510" s="143">
        <f t="shared" si="791"/>
        <v>82</v>
      </c>
      <c r="L2510" s="144">
        <f t="shared" si="809"/>
        <v>0</v>
      </c>
      <c r="M2510" s="275">
        <f t="shared" si="797"/>
        <v>24</v>
      </c>
      <c r="N2510" s="98">
        <v>4</v>
      </c>
      <c r="O2510" s="93">
        <f t="shared" si="808"/>
        <v>100</v>
      </c>
      <c r="MG2510" s="100">
        <v>2</v>
      </c>
      <c r="MM2510" s="100">
        <v>27</v>
      </c>
      <c r="MO2510" s="100">
        <v>43</v>
      </c>
      <c r="MP2510" s="100">
        <v>9</v>
      </c>
      <c r="MQ2510" s="100">
        <v>1</v>
      </c>
      <c r="ON2510" s="100">
        <f t="shared" si="804"/>
        <v>0</v>
      </c>
    </row>
    <row r="2511" spans="1:404" ht="23.25" customHeight="1">
      <c r="A2511" s="97" t="str">
        <f t="shared" si="794"/>
        <v xml:space="preserve">	004/MARVELOUS-VG-2166-20700-B2-B</v>
      </c>
      <c r="B2511" s="95">
        <v>44667</v>
      </c>
      <c r="C2511" s="97">
        <f t="shared" ca="1" si="795"/>
        <v>-397</v>
      </c>
      <c r="D2511" s="112" t="s">
        <v>2010</v>
      </c>
      <c r="E2511" s="123" t="s">
        <v>1013</v>
      </c>
      <c r="F2511" s="92" t="str">
        <f t="shared" si="806"/>
        <v>B</v>
      </c>
      <c r="G2511" s="109">
        <f ca="1">SUMIF($A:E,$A2511,K:K)</f>
        <v>162</v>
      </c>
      <c r="H2511" s="97" t="s">
        <v>2011</v>
      </c>
      <c r="I2511" s="175">
        <v>300</v>
      </c>
      <c r="J2511" s="115">
        <v>300</v>
      </c>
      <c r="K2511" s="143">
        <f t="shared" si="791"/>
        <v>162</v>
      </c>
      <c r="L2511" s="144">
        <f t="shared" ref="L2511" si="810">J2511-K2511</f>
        <v>138</v>
      </c>
      <c r="M2511" s="275">
        <f t="shared" si="797"/>
        <v>600</v>
      </c>
      <c r="N2511" s="98">
        <v>1</v>
      </c>
      <c r="O2511" s="93">
        <f t="shared" si="808"/>
        <v>54</v>
      </c>
      <c r="OD2511" s="100">
        <v>7</v>
      </c>
      <c r="OF2511" s="100">
        <v>3</v>
      </c>
      <c r="OH2511" s="100">
        <v>15</v>
      </c>
      <c r="OI2511" s="100">
        <v>32</v>
      </c>
      <c r="OJ2511" s="100">
        <v>24</v>
      </c>
      <c r="ON2511" s="100">
        <f t="shared" si="804"/>
        <v>81</v>
      </c>
    </row>
    <row r="2512" spans="1:404" ht="23.25" customHeight="1">
      <c r="A2512" s="97" t="str">
        <f t="shared" ref="A2512:A2545" si="811">D2512&amp;E2512</f>
        <v xml:space="preserve">	002/CLARIUS-VG-2166-02724-L2-B</v>
      </c>
      <c r="B2512" s="95">
        <v>44683</v>
      </c>
      <c r="C2512" s="97">
        <f t="shared" ca="1" si="795"/>
        <v>-381</v>
      </c>
      <c r="D2512" s="112" t="s">
        <v>2012</v>
      </c>
      <c r="E2512" s="123" t="s">
        <v>2013</v>
      </c>
      <c r="F2512" s="92" t="str">
        <f t="shared" si="806"/>
        <v>B</v>
      </c>
      <c r="G2512" s="109">
        <f ca="1">SUMIF($A:E,$A2512,K:K)</f>
        <v>0</v>
      </c>
      <c r="H2512" s="112" t="s">
        <v>2026</v>
      </c>
      <c r="I2512" s="175">
        <v>64</v>
      </c>
      <c r="J2512" s="115">
        <v>30</v>
      </c>
      <c r="K2512" s="143">
        <f t="shared" si="791"/>
        <v>0</v>
      </c>
      <c r="L2512" s="144">
        <f t="shared" ref="L2512:L2537" si="812">J2512-K2512</f>
        <v>30</v>
      </c>
      <c r="M2512" s="275">
        <f t="shared" si="797"/>
        <v>128</v>
      </c>
      <c r="N2512" s="98"/>
      <c r="O2512" s="93">
        <f t="shared" si="808"/>
        <v>0</v>
      </c>
      <c r="ON2512" s="100">
        <f t="shared" si="804"/>
        <v>0</v>
      </c>
    </row>
    <row r="2513" spans="1:404" ht="23.25" customHeight="1">
      <c r="A2513" s="97" t="str">
        <f t="shared" si="811"/>
        <v xml:space="preserve">	002/CLARIUS-VG-2166-72100-S1-B2</v>
      </c>
      <c r="B2513" s="95">
        <v>44683</v>
      </c>
      <c r="C2513" s="97">
        <f t="shared" ca="1" si="795"/>
        <v>-381</v>
      </c>
      <c r="D2513" s="112" t="s">
        <v>2012</v>
      </c>
      <c r="E2513" s="279" t="s">
        <v>1484</v>
      </c>
      <c r="F2513" s="92" t="str">
        <f t="shared" si="806"/>
        <v>B2</v>
      </c>
      <c r="G2513" s="109">
        <f ca="1">SUMIF($A:E,$A2513,K:K)</f>
        <v>12</v>
      </c>
      <c r="H2513" s="112" t="s">
        <v>2026</v>
      </c>
      <c r="I2513" s="175">
        <v>24</v>
      </c>
      <c r="J2513" s="115">
        <v>24</v>
      </c>
      <c r="K2513" s="143">
        <f t="shared" si="791"/>
        <v>12</v>
      </c>
      <c r="L2513" s="144">
        <f t="shared" si="812"/>
        <v>12</v>
      </c>
      <c r="M2513" s="275">
        <f t="shared" si="797"/>
        <v>24</v>
      </c>
      <c r="N2513" s="98">
        <v>1</v>
      </c>
      <c r="O2513" s="93">
        <f t="shared" ref="O2513:O2556" si="813">K2513/J2513*100</f>
        <v>50</v>
      </c>
      <c r="OJ2513" s="100">
        <v>4</v>
      </c>
      <c r="OM2513" s="100">
        <v>2</v>
      </c>
      <c r="ON2513" s="100">
        <f t="shared" si="804"/>
        <v>6</v>
      </c>
    </row>
    <row r="2514" spans="1:404" ht="23.25" customHeight="1">
      <c r="A2514" s="97" t="str">
        <f t="shared" si="811"/>
        <v xml:space="preserve">	002/CLARIUS-VG-2166-72124-S1-B</v>
      </c>
      <c r="B2514" s="95">
        <v>44683</v>
      </c>
      <c r="C2514" s="97">
        <f t="shared" ca="1" si="795"/>
        <v>-381</v>
      </c>
      <c r="D2514" s="112" t="s">
        <v>2012</v>
      </c>
      <c r="E2514" s="123" t="s">
        <v>1127</v>
      </c>
      <c r="F2514" s="92" t="str">
        <f t="shared" si="806"/>
        <v>B</v>
      </c>
      <c r="G2514" s="109">
        <f ca="1">SUMIF($A:E,$A2514,K:K)</f>
        <v>6</v>
      </c>
      <c r="H2514" s="112" t="s">
        <v>2026</v>
      </c>
      <c r="I2514" s="175">
        <v>24</v>
      </c>
      <c r="J2514" s="115">
        <v>24</v>
      </c>
      <c r="K2514" s="143">
        <f t="shared" si="791"/>
        <v>6</v>
      </c>
      <c r="L2514" s="144">
        <f t="shared" si="812"/>
        <v>18</v>
      </c>
      <c r="M2514" s="275">
        <f t="shared" si="797"/>
        <v>24</v>
      </c>
      <c r="N2514" s="98">
        <v>1</v>
      </c>
      <c r="O2514" s="93">
        <f t="shared" si="813"/>
        <v>25</v>
      </c>
      <c r="OJ2514" s="100">
        <v>3</v>
      </c>
      <c r="ON2514" s="100">
        <f t="shared" si="804"/>
        <v>3</v>
      </c>
    </row>
    <row r="2515" spans="1:404" ht="23.25" customHeight="1">
      <c r="A2515" s="97" t="str">
        <f t="shared" si="811"/>
        <v xml:space="preserve">	002/CLARIUS-VG-2166-80400-02-B</v>
      </c>
      <c r="B2515" s="95">
        <v>44683</v>
      </c>
      <c r="C2515" s="97">
        <f t="shared" ca="1" si="795"/>
        <v>-381</v>
      </c>
      <c r="D2515" s="112" t="s">
        <v>2012</v>
      </c>
      <c r="E2515" s="123" t="s">
        <v>2014</v>
      </c>
      <c r="F2515" s="92" t="str">
        <f t="shared" si="806"/>
        <v>B</v>
      </c>
      <c r="G2515" s="109">
        <f ca="1">SUMIF($A:E,$A2515,K:K)</f>
        <v>104</v>
      </c>
      <c r="H2515" s="112" t="s">
        <v>2026</v>
      </c>
      <c r="I2515" s="175">
        <v>64</v>
      </c>
      <c r="J2515" s="115">
        <v>64</v>
      </c>
      <c r="K2515" s="143">
        <f t="shared" si="791"/>
        <v>104</v>
      </c>
      <c r="L2515" s="144">
        <f t="shared" si="812"/>
        <v>-40</v>
      </c>
      <c r="M2515" s="275">
        <f t="shared" si="797"/>
        <v>64</v>
      </c>
      <c r="N2515" s="98">
        <v>1</v>
      </c>
      <c r="O2515" s="93">
        <f t="shared" si="813"/>
        <v>162.5</v>
      </c>
      <c r="OD2515" s="100">
        <v>9</v>
      </c>
      <c r="OF2515" s="100">
        <v>8</v>
      </c>
      <c r="OG2515" s="100">
        <v>4</v>
      </c>
      <c r="OI2515" s="100">
        <v>7</v>
      </c>
      <c r="OJ2515" s="100">
        <v>16</v>
      </c>
      <c r="OK2515" s="100">
        <v>8</v>
      </c>
      <c r="ON2515" s="100">
        <f t="shared" si="804"/>
        <v>52</v>
      </c>
    </row>
    <row r="2516" spans="1:404" ht="23.25" customHeight="1">
      <c r="A2516" s="97" t="str">
        <f t="shared" si="811"/>
        <v xml:space="preserve">	002/CLARIUS-VG-2166-80400-S3-B2</v>
      </c>
      <c r="B2516" s="95">
        <v>44683</v>
      </c>
      <c r="C2516" s="97">
        <f t="shared" ca="1" si="795"/>
        <v>-381</v>
      </c>
      <c r="D2516" s="112" t="s">
        <v>2012</v>
      </c>
      <c r="E2516" s="279" t="s">
        <v>1485</v>
      </c>
      <c r="F2516" s="92" t="str">
        <f t="shared" si="806"/>
        <v>B2</v>
      </c>
      <c r="G2516" s="109">
        <f ca="1">SUMIF($A:E,$A2516,K:K)</f>
        <v>48</v>
      </c>
      <c r="H2516" s="112" t="s">
        <v>2026</v>
      </c>
      <c r="I2516" s="175">
        <v>24</v>
      </c>
      <c r="J2516" s="115">
        <v>24</v>
      </c>
      <c r="K2516" s="143">
        <f t="shared" si="791"/>
        <v>48</v>
      </c>
      <c r="L2516" s="144">
        <f t="shared" si="812"/>
        <v>-24</v>
      </c>
      <c r="M2516" s="275">
        <f t="shared" si="797"/>
        <v>72</v>
      </c>
      <c r="N2516" s="98">
        <v>1</v>
      </c>
      <c r="O2516" s="93">
        <f t="shared" si="813"/>
        <v>200</v>
      </c>
      <c r="OB2516" s="100">
        <v>9</v>
      </c>
      <c r="OD2516" s="100">
        <v>6</v>
      </c>
      <c r="OF2516" s="100">
        <v>4</v>
      </c>
      <c r="OG2516" s="100">
        <v>4</v>
      </c>
      <c r="OK2516" s="100">
        <v>1</v>
      </c>
      <c r="ON2516" s="100">
        <f t="shared" si="804"/>
        <v>24</v>
      </c>
    </row>
    <row r="2517" spans="1:404" ht="23.25" customHeight="1">
      <c r="A2517" s="97" t="str">
        <f t="shared" si="811"/>
        <v xml:space="preserve">	002/CLARIUS-VG-2166-82500-B2-B</v>
      </c>
      <c r="B2517" s="95">
        <v>44683</v>
      </c>
      <c r="C2517" s="97">
        <f t="shared" ca="1" si="795"/>
        <v>-381</v>
      </c>
      <c r="D2517" s="112" t="s">
        <v>2012</v>
      </c>
      <c r="E2517" s="123" t="s">
        <v>1132</v>
      </c>
      <c r="F2517" s="92" t="str">
        <f t="shared" si="806"/>
        <v>B</v>
      </c>
      <c r="G2517" s="109">
        <f ca="1">SUMIF($A:E,$A2517,K:K)</f>
        <v>144</v>
      </c>
      <c r="H2517" s="112" t="s">
        <v>2026</v>
      </c>
      <c r="I2517" s="175">
        <v>72</v>
      </c>
      <c r="J2517" s="115">
        <v>72</v>
      </c>
      <c r="K2517" s="143">
        <f t="shared" si="791"/>
        <v>144</v>
      </c>
      <c r="L2517" s="144">
        <f t="shared" si="812"/>
        <v>-72</v>
      </c>
      <c r="M2517" s="275">
        <f t="shared" si="797"/>
        <v>144</v>
      </c>
      <c r="N2517" s="98">
        <v>1</v>
      </c>
      <c r="O2517" s="93">
        <f t="shared" si="813"/>
        <v>200</v>
      </c>
      <c r="OB2517" s="100">
        <v>12</v>
      </c>
      <c r="OC2517" s="100">
        <v>13</v>
      </c>
      <c r="OD2517" s="100">
        <v>8</v>
      </c>
      <c r="OF2517" s="100">
        <v>10</v>
      </c>
      <c r="OG2517" s="100">
        <v>13</v>
      </c>
      <c r="OH2517" s="100">
        <v>7</v>
      </c>
      <c r="OI2517" s="100">
        <v>9</v>
      </c>
      <c r="ON2517" s="100">
        <f t="shared" si="804"/>
        <v>72</v>
      </c>
    </row>
    <row r="2518" spans="1:404" ht="23.25" customHeight="1">
      <c r="A2518" s="97" t="str">
        <f t="shared" si="811"/>
        <v xml:space="preserve">	002/CLARIUS-VG-2166-82524-L2-B</v>
      </c>
      <c r="B2518" s="95">
        <v>44683</v>
      </c>
      <c r="C2518" s="97">
        <f t="shared" ca="1" si="795"/>
        <v>-381</v>
      </c>
      <c r="D2518" s="112" t="s">
        <v>2012</v>
      </c>
      <c r="E2518" s="123" t="s">
        <v>2015</v>
      </c>
      <c r="F2518" s="92" t="str">
        <f t="shared" si="806"/>
        <v>B</v>
      </c>
      <c r="G2518" s="109">
        <f ca="1">SUMIF($A:E,$A2518,K:K)</f>
        <v>20</v>
      </c>
      <c r="H2518" s="112" t="s">
        <v>2026</v>
      </c>
      <c r="I2518" s="175">
        <v>24</v>
      </c>
      <c r="J2518" s="115">
        <v>24</v>
      </c>
      <c r="K2518" s="143">
        <f t="shared" si="791"/>
        <v>20</v>
      </c>
      <c r="L2518" s="144">
        <f t="shared" si="812"/>
        <v>4</v>
      </c>
      <c r="M2518" s="275">
        <f t="shared" si="797"/>
        <v>48</v>
      </c>
      <c r="N2518" s="98">
        <v>2</v>
      </c>
      <c r="O2518" s="93">
        <f t="shared" si="813"/>
        <v>83.333333333333343</v>
      </c>
      <c r="OJ2518" s="100">
        <v>3</v>
      </c>
      <c r="OK2518" s="100">
        <v>4</v>
      </c>
      <c r="OM2518" s="100">
        <v>3</v>
      </c>
      <c r="ON2518" s="100">
        <f t="shared" si="804"/>
        <v>10</v>
      </c>
    </row>
    <row r="2519" spans="1:404" ht="23.25" customHeight="1">
      <c r="A2519" s="97" t="str">
        <f t="shared" si="811"/>
        <v xml:space="preserve">	002/CLARIUS-VG-2166-82624-02-B</v>
      </c>
      <c r="B2519" s="95">
        <v>44683</v>
      </c>
      <c r="C2519" s="97">
        <f t="shared" ca="1" si="795"/>
        <v>-381</v>
      </c>
      <c r="D2519" s="112" t="s">
        <v>2012</v>
      </c>
      <c r="E2519" s="123" t="s">
        <v>2016</v>
      </c>
      <c r="F2519" s="92" t="str">
        <f t="shared" si="806"/>
        <v>B</v>
      </c>
      <c r="G2519" s="109">
        <f ca="1">SUMIF($A:E,$A2519,K:K)</f>
        <v>0</v>
      </c>
      <c r="H2519" s="112" t="s">
        <v>2026</v>
      </c>
      <c r="I2519" s="175">
        <v>21</v>
      </c>
      <c r="J2519" s="115">
        <v>21</v>
      </c>
      <c r="K2519" s="143">
        <f t="shared" si="791"/>
        <v>0</v>
      </c>
      <c r="L2519" s="144">
        <f t="shared" si="812"/>
        <v>21</v>
      </c>
      <c r="M2519" s="275">
        <f t="shared" si="797"/>
        <v>21</v>
      </c>
      <c r="N2519" s="98">
        <v>2</v>
      </c>
      <c r="O2519" s="93">
        <f t="shared" si="813"/>
        <v>0</v>
      </c>
      <c r="ON2519" s="100">
        <f t="shared" si="804"/>
        <v>0</v>
      </c>
    </row>
    <row r="2520" spans="1:404" ht="23.25" customHeight="1">
      <c r="A2520" s="97" t="s">
        <v>2398</v>
      </c>
      <c r="B2520" s="95">
        <v>44683</v>
      </c>
      <c r="C2520" s="97">
        <v>118</v>
      </c>
      <c r="D2520" s="112" t="s">
        <v>2012</v>
      </c>
      <c r="E2520" s="123" t="s">
        <v>2021</v>
      </c>
      <c r="F2520" s="92" t="s">
        <v>561</v>
      </c>
      <c r="G2520" s="109">
        <v>0</v>
      </c>
      <c r="H2520" s="318" t="s">
        <v>2397</v>
      </c>
      <c r="I2520" s="175">
        <v>20</v>
      </c>
      <c r="J2520" s="115">
        <v>20</v>
      </c>
      <c r="K2520" s="143">
        <v>0</v>
      </c>
      <c r="L2520" s="144">
        <v>20</v>
      </c>
      <c r="M2520" s="275">
        <f t="shared" si="797"/>
        <v>20</v>
      </c>
      <c r="N2520" s="98"/>
      <c r="O2520" s="93">
        <f t="shared" si="813"/>
        <v>0</v>
      </c>
      <c r="ON2520" s="100">
        <f t="shared" si="804"/>
        <v>0</v>
      </c>
    </row>
    <row r="2521" spans="1:404" ht="23.25" customHeight="1">
      <c r="A2521" s="97" t="s">
        <v>2398</v>
      </c>
      <c r="B2521" s="95">
        <v>44683</v>
      </c>
      <c r="C2521" s="97">
        <v>118</v>
      </c>
      <c r="D2521" s="112" t="s">
        <v>2012</v>
      </c>
      <c r="E2521" s="123" t="s">
        <v>2022</v>
      </c>
      <c r="F2521" s="92" t="s">
        <v>561</v>
      </c>
      <c r="G2521" s="109">
        <v>0</v>
      </c>
      <c r="H2521" s="318" t="s">
        <v>2397</v>
      </c>
      <c r="I2521" s="175">
        <v>20</v>
      </c>
      <c r="J2521" s="115">
        <v>20</v>
      </c>
      <c r="K2521" s="143">
        <v>0</v>
      </c>
      <c r="L2521" s="144">
        <v>20</v>
      </c>
      <c r="M2521" s="275">
        <f t="shared" si="797"/>
        <v>20</v>
      </c>
      <c r="N2521" s="98"/>
      <c r="O2521" s="93">
        <f t="shared" si="813"/>
        <v>0</v>
      </c>
      <c r="ON2521" s="100">
        <f t="shared" si="804"/>
        <v>0</v>
      </c>
    </row>
    <row r="2522" spans="1:404" ht="23.25" customHeight="1">
      <c r="A2522" s="97" t="str">
        <f t="shared" si="811"/>
        <v xml:space="preserve">	002/CLARIUS-VG-2166-82624-S2-B</v>
      </c>
      <c r="B2522" s="95">
        <v>44683</v>
      </c>
      <c r="C2522" s="97">
        <f t="shared" ca="1" si="795"/>
        <v>-381</v>
      </c>
      <c r="D2522" s="112" t="s">
        <v>2012</v>
      </c>
      <c r="E2522" s="123" t="s">
        <v>2017</v>
      </c>
      <c r="F2522" s="92" t="str">
        <f t="shared" ref="F2522" si="814">MID(E2522,13,2)</f>
        <v>B</v>
      </c>
      <c r="G2522" s="109">
        <f ca="1">SUMIF($A:E,$A2522,K:K)</f>
        <v>0</v>
      </c>
      <c r="H2522" s="112" t="s">
        <v>2026</v>
      </c>
      <c r="I2522" s="175">
        <v>20</v>
      </c>
      <c r="J2522" s="115">
        <v>20</v>
      </c>
      <c r="K2522" s="143">
        <f t="shared" ref="K2522:K2553" si="815">SUM(P2522:BBC2522)</f>
        <v>0</v>
      </c>
      <c r="L2522" s="144">
        <f t="shared" si="812"/>
        <v>20</v>
      </c>
      <c r="M2522" s="275">
        <f t="shared" si="797"/>
        <v>40</v>
      </c>
      <c r="N2522" s="98">
        <v>2</v>
      </c>
      <c r="O2522" s="93">
        <f t="shared" si="813"/>
        <v>0</v>
      </c>
      <c r="ON2522" s="100">
        <f t="shared" si="804"/>
        <v>0</v>
      </c>
    </row>
    <row r="2523" spans="1:404" ht="23.25" customHeight="1">
      <c r="A2523" s="97" t="str">
        <f t="shared" si="811"/>
        <v xml:space="preserve">	002/CLARIUS-VG-2166-82700-B2-B</v>
      </c>
      <c r="B2523" s="95">
        <v>44683</v>
      </c>
      <c r="C2523" s="97">
        <f t="shared" ca="1" si="795"/>
        <v>-381</v>
      </c>
      <c r="D2523" s="112" t="s">
        <v>2012</v>
      </c>
      <c r="E2523" s="123" t="s">
        <v>1487</v>
      </c>
      <c r="F2523" s="92" t="str">
        <f t="shared" si="806"/>
        <v>B</v>
      </c>
      <c r="G2523" s="109">
        <f ca="1">SUMIF($A:E,$A2523,K:K)</f>
        <v>28</v>
      </c>
      <c r="H2523" s="112" t="s">
        <v>2026</v>
      </c>
      <c r="I2523" s="175">
        <v>48</v>
      </c>
      <c r="J2523" s="115">
        <v>48</v>
      </c>
      <c r="K2523" s="143">
        <f t="shared" si="815"/>
        <v>28</v>
      </c>
      <c r="L2523" s="144">
        <f t="shared" si="812"/>
        <v>20</v>
      </c>
      <c r="M2523" s="275">
        <f t="shared" si="797"/>
        <v>96</v>
      </c>
      <c r="N2523" s="98">
        <v>1</v>
      </c>
      <c r="O2523" s="93">
        <f t="shared" si="813"/>
        <v>58.333333333333336</v>
      </c>
      <c r="OM2523" s="100">
        <v>14</v>
      </c>
      <c r="ON2523" s="100">
        <f t="shared" si="804"/>
        <v>14</v>
      </c>
    </row>
    <row r="2524" spans="1:404" ht="23.25" customHeight="1">
      <c r="A2524" s="97" t="str">
        <f t="shared" si="811"/>
        <v xml:space="preserve">	002/CLARIUS-VG-2166-82800-S1-B</v>
      </c>
      <c r="B2524" s="95">
        <v>44683</v>
      </c>
      <c r="C2524" s="97">
        <f t="shared" ca="1" si="795"/>
        <v>-381</v>
      </c>
      <c r="D2524" s="112" t="s">
        <v>2012</v>
      </c>
      <c r="E2524" s="123" t="s">
        <v>1135</v>
      </c>
      <c r="F2524" s="92" t="str">
        <f t="shared" si="806"/>
        <v>B</v>
      </c>
      <c r="G2524" s="109">
        <f ca="1">SUMIF($A:E,$A2524,K:K)</f>
        <v>0</v>
      </c>
      <c r="H2524" s="112" t="s">
        <v>2026</v>
      </c>
      <c r="I2524" s="175">
        <v>60</v>
      </c>
      <c r="J2524" s="115">
        <v>60</v>
      </c>
      <c r="K2524" s="143">
        <f t="shared" si="815"/>
        <v>0</v>
      </c>
      <c r="L2524" s="144">
        <f t="shared" si="812"/>
        <v>60</v>
      </c>
      <c r="M2524" s="275">
        <f t="shared" si="797"/>
        <v>60</v>
      </c>
      <c r="N2524" s="98">
        <v>1</v>
      </c>
      <c r="O2524" s="93">
        <f t="shared" si="813"/>
        <v>0</v>
      </c>
      <c r="ON2524" s="100">
        <f t="shared" si="804"/>
        <v>0</v>
      </c>
    </row>
    <row r="2525" spans="1:404" ht="23.25" customHeight="1">
      <c r="A2525" s="97" t="str">
        <f t="shared" si="811"/>
        <v xml:space="preserve">	002/CLARIUS-VG-2166-83000-02-B</v>
      </c>
      <c r="B2525" s="95">
        <v>44683</v>
      </c>
      <c r="C2525" s="97">
        <f t="shared" ca="1" si="795"/>
        <v>-381</v>
      </c>
      <c r="D2525" s="112" t="s">
        <v>2012</v>
      </c>
      <c r="E2525" s="123" t="s">
        <v>1489</v>
      </c>
      <c r="F2525" s="92" t="str">
        <f t="shared" si="806"/>
        <v>B</v>
      </c>
      <c r="G2525" s="109">
        <f ca="1">SUMIF($A:E,$A2525,K:K)</f>
        <v>0</v>
      </c>
      <c r="H2525" s="112" t="s">
        <v>2026</v>
      </c>
      <c r="I2525" s="175">
        <v>108</v>
      </c>
      <c r="J2525" s="115">
        <v>108</v>
      </c>
      <c r="K2525" s="143">
        <f t="shared" si="815"/>
        <v>0</v>
      </c>
      <c r="L2525" s="144">
        <f t="shared" si="812"/>
        <v>108</v>
      </c>
      <c r="M2525" s="275">
        <f t="shared" si="797"/>
        <v>108</v>
      </c>
      <c r="N2525" s="98">
        <v>2</v>
      </c>
      <c r="O2525" s="93">
        <f t="shared" si="813"/>
        <v>0</v>
      </c>
      <c r="ON2525" s="100">
        <f t="shared" si="804"/>
        <v>0</v>
      </c>
    </row>
    <row r="2526" spans="1:404" ht="23.25" customHeight="1">
      <c r="A2526" s="97" t="str">
        <f t="shared" si="811"/>
        <v xml:space="preserve">	002/CLARIUS-VG-2166-83000-S2-B</v>
      </c>
      <c r="B2526" s="95">
        <v>44683</v>
      </c>
      <c r="C2526" s="97">
        <f t="shared" ca="1" si="795"/>
        <v>-381</v>
      </c>
      <c r="D2526" s="112" t="s">
        <v>2012</v>
      </c>
      <c r="E2526" s="123" t="s">
        <v>1136</v>
      </c>
      <c r="F2526" s="92" t="str">
        <f t="shared" si="806"/>
        <v>B</v>
      </c>
      <c r="G2526" s="109">
        <f ca="1">SUMIF($A:E,$A2526,K:K)</f>
        <v>0</v>
      </c>
      <c r="H2526" s="112" t="s">
        <v>2026</v>
      </c>
      <c r="I2526" s="175">
        <v>120</v>
      </c>
      <c r="J2526" s="115">
        <v>120</v>
      </c>
      <c r="K2526" s="143">
        <f t="shared" si="815"/>
        <v>0</v>
      </c>
      <c r="L2526" s="144">
        <f t="shared" si="812"/>
        <v>120</v>
      </c>
      <c r="M2526" s="275">
        <f t="shared" si="797"/>
        <v>240</v>
      </c>
      <c r="N2526" s="98">
        <v>2</v>
      </c>
      <c r="O2526" s="93">
        <f t="shared" si="813"/>
        <v>0</v>
      </c>
      <c r="ON2526" s="100">
        <f t="shared" si="804"/>
        <v>0</v>
      </c>
    </row>
    <row r="2527" spans="1:404" ht="23.25" customHeight="1">
      <c r="A2527" s="97" t="str">
        <f t="shared" si="811"/>
        <v xml:space="preserve">	002/CLARIUS-VG-2166-02700-01-A1(phen)</v>
      </c>
      <c r="B2527" s="95">
        <v>44683</v>
      </c>
      <c r="C2527" s="97">
        <f t="shared" ca="1" si="795"/>
        <v>-381</v>
      </c>
      <c r="D2527" s="112" t="s">
        <v>2012</v>
      </c>
      <c r="E2527" s="123" t="s">
        <v>427</v>
      </c>
      <c r="F2527" s="92" t="str">
        <f t="shared" si="806"/>
        <v>A1</v>
      </c>
      <c r="G2527" s="109">
        <f ca="1">SUMIF($A:E,$A2527,K:K)</f>
        <v>0</v>
      </c>
      <c r="H2527" s="112" t="s">
        <v>1867</v>
      </c>
      <c r="I2527" s="175">
        <v>24</v>
      </c>
      <c r="J2527" s="115">
        <v>30</v>
      </c>
      <c r="K2527" s="143">
        <f t="shared" si="815"/>
        <v>0</v>
      </c>
      <c r="L2527" s="144">
        <f t="shared" si="812"/>
        <v>30</v>
      </c>
      <c r="M2527" s="275">
        <f t="shared" si="797"/>
        <v>24</v>
      </c>
      <c r="N2527" s="98"/>
      <c r="O2527" s="93">
        <f t="shared" si="813"/>
        <v>0</v>
      </c>
      <c r="ON2527" s="100">
        <f t="shared" si="804"/>
        <v>0</v>
      </c>
    </row>
    <row r="2528" spans="1:404" ht="23.25" customHeight="1">
      <c r="A2528" s="97" t="str">
        <f t="shared" si="811"/>
        <v xml:space="preserve">	002/CLARIUS-VG-2166-02700-02-A1(phen)</v>
      </c>
      <c r="B2528" s="95">
        <v>44683</v>
      </c>
      <c r="C2528" s="97">
        <f t="shared" ca="1" si="795"/>
        <v>-381</v>
      </c>
      <c r="D2528" s="112" t="s">
        <v>2012</v>
      </c>
      <c r="E2528" s="123" t="s">
        <v>2018</v>
      </c>
      <c r="F2528" s="92" t="str">
        <f t="shared" si="806"/>
        <v>A1</v>
      </c>
      <c r="G2528" s="109">
        <f ca="1">SUMIF($A:E,$A2528,K:K)</f>
        <v>0</v>
      </c>
      <c r="H2528" s="112" t="s">
        <v>1867</v>
      </c>
      <c r="I2528" s="175">
        <v>96</v>
      </c>
      <c r="J2528" s="115">
        <v>30</v>
      </c>
      <c r="K2528" s="143">
        <f t="shared" si="815"/>
        <v>0</v>
      </c>
      <c r="L2528" s="144">
        <f t="shared" si="812"/>
        <v>30</v>
      </c>
      <c r="M2528" s="275">
        <f t="shared" si="797"/>
        <v>96</v>
      </c>
      <c r="N2528" s="98"/>
      <c r="O2528" s="93">
        <f t="shared" si="813"/>
        <v>0</v>
      </c>
      <c r="ON2528" s="100">
        <f t="shared" si="804"/>
        <v>0</v>
      </c>
    </row>
    <row r="2529" spans="1:404" ht="23.25" customHeight="1">
      <c r="A2529" s="97" t="str">
        <f t="shared" si="811"/>
        <v xml:space="preserve">	002/CLARIUS-VG-2166-72100-S1-A1(phen)</v>
      </c>
      <c r="B2529" s="95">
        <v>44683</v>
      </c>
      <c r="C2529" s="97">
        <f t="shared" ca="1" si="795"/>
        <v>-381</v>
      </c>
      <c r="D2529" s="112" t="s">
        <v>2012</v>
      </c>
      <c r="E2529" s="279" t="s">
        <v>1475</v>
      </c>
      <c r="F2529" s="92" t="str">
        <f t="shared" si="806"/>
        <v>A1</v>
      </c>
      <c r="G2529" s="109">
        <f ca="1">SUMIF($A:E,$A2529,K:K)</f>
        <v>18</v>
      </c>
      <c r="H2529" s="112" t="s">
        <v>2027</v>
      </c>
      <c r="I2529" s="175">
        <v>48</v>
      </c>
      <c r="J2529" s="115">
        <v>48</v>
      </c>
      <c r="K2529" s="143">
        <f t="shared" si="815"/>
        <v>18</v>
      </c>
      <c r="L2529" s="144">
        <f t="shared" si="812"/>
        <v>30</v>
      </c>
      <c r="M2529" s="275">
        <f t="shared" si="797"/>
        <v>48</v>
      </c>
      <c r="N2529" s="98">
        <v>1</v>
      </c>
      <c r="O2529" s="93">
        <f t="shared" si="813"/>
        <v>37.5</v>
      </c>
      <c r="OJ2529" s="100">
        <v>7</v>
      </c>
      <c r="OM2529" s="100">
        <v>2</v>
      </c>
      <c r="ON2529" s="100">
        <f t="shared" si="804"/>
        <v>9</v>
      </c>
    </row>
    <row r="2530" spans="1:404" ht="23.25" customHeight="1">
      <c r="A2530" s="97" t="str">
        <f t="shared" si="811"/>
        <v xml:space="preserve">	002/CLARIUS-VG-2166-82500-01-A1(phen)</v>
      </c>
      <c r="B2530" s="95">
        <v>44683</v>
      </c>
      <c r="C2530" s="97">
        <f t="shared" ca="1" si="795"/>
        <v>-381</v>
      </c>
      <c r="D2530" s="112" t="s">
        <v>2012</v>
      </c>
      <c r="E2530" s="123" t="s">
        <v>2019</v>
      </c>
      <c r="F2530" s="92" t="str">
        <f t="shared" si="806"/>
        <v>A1</v>
      </c>
      <c r="G2530" s="109">
        <f ca="1">SUMIF($A:E,$A2530,K:K)</f>
        <v>20</v>
      </c>
      <c r="H2530" s="112" t="s">
        <v>2028</v>
      </c>
      <c r="I2530" s="175">
        <v>24</v>
      </c>
      <c r="J2530" s="115">
        <v>24</v>
      </c>
      <c r="K2530" s="143">
        <f t="shared" si="815"/>
        <v>20</v>
      </c>
      <c r="L2530" s="144">
        <f t="shared" si="812"/>
        <v>4</v>
      </c>
      <c r="M2530" s="275">
        <f t="shared" si="797"/>
        <v>24</v>
      </c>
      <c r="N2530" s="98">
        <v>2</v>
      </c>
      <c r="O2530" s="93">
        <f t="shared" si="813"/>
        <v>83.333333333333343</v>
      </c>
      <c r="OK2530" s="100">
        <v>7</v>
      </c>
      <c r="OM2530" s="100">
        <v>3</v>
      </c>
      <c r="ON2530" s="100">
        <f t="shared" si="804"/>
        <v>10</v>
      </c>
    </row>
    <row r="2531" spans="1:404" ht="23.25" customHeight="1">
      <c r="A2531" s="97" t="str">
        <f t="shared" si="811"/>
        <v xml:space="preserve">	002/CLARIUS-VG-2166-82500-02-A1(phen)</v>
      </c>
      <c r="B2531" s="95">
        <v>44683</v>
      </c>
      <c r="C2531" s="97">
        <f t="shared" ca="1" si="795"/>
        <v>-381</v>
      </c>
      <c r="D2531" s="112" t="s">
        <v>2012</v>
      </c>
      <c r="E2531" s="123" t="s">
        <v>2020</v>
      </c>
      <c r="F2531" s="92" t="str">
        <f t="shared" si="806"/>
        <v>A1</v>
      </c>
      <c r="G2531" s="109">
        <f ca="1">SUMIF($A:E,$A2531,K:K)</f>
        <v>216</v>
      </c>
      <c r="H2531" s="112" t="s">
        <v>2028</v>
      </c>
      <c r="I2531" s="175">
        <v>60</v>
      </c>
      <c r="J2531" s="115">
        <v>96</v>
      </c>
      <c r="K2531" s="143">
        <f t="shared" si="815"/>
        <v>0</v>
      </c>
      <c r="L2531" s="144">
        <f t="shared" si="812"/>
        <v>96</v>
      </c>
      <c r="M2531" s="275">
        <f t="shared" si="797"/>
        <v>60</v>
      </c>
      <c r="N2531" s="98"/>
      <c r="O2531" s="93">
        <f t="shared" si="813"/>
        <v>0</v>
      </c>
      <c r="ON2531" s="100">
        <f t="shared" si="804"/>
        <v>0</v>
      </c>
    </row>
    <row r="2532" spans="1:404" ht="23.25" customHeight="1">
      <c r="A2532" s="97" t="str">
        <f t="shared" si="811"/>
        <v xml:space="preserve">	002/CLARIUS-VG-2166-82600-01-A1(phen)</v>
      </c>
      <c r="B2532" s="95">
        <v>44683</v>
      </c>
      <c r="C2532" s="97">
        <f t="shared" ca="1" si="795"/>
        <v>-381</v>
      </c>
      <c r="D2532" s="112" t="s">
        <v>2012</v>
      </c>
      <c r="E2532" s="123" t="s">
        <v>2021</v>
      </c>
      <c r="F2532" s="92" t="str">
        <f t="shared" si="806"/>
        <v>A1</v>
      </c>
      <c r="G2532" s="109">
        <f ca="1">SUMIF($A:E,$A2532,K:K)</f>
        <v>0</v>
      </c>
      <c r="H2532" s="112" t="s">
        <v>2028</v>
      </c>
      <c r="I2532" s="175">
        <v>20</v>
      </c>
      <c r="J2532" s="115">
        <v>20</v>
      </c>
      <c r="K2532" s="143">
        <f t="shared" si="815"/>
        <v>0</v>
      </c>
      <c r="L2532" s="144">
        <f t="shared" si="812"/>
        <v>20</v>
      </c>
      <c r="M2532" s="275">
        <f t="shared" si="797"/>
        <v>20</v>
      </c>
      <c r="N2532" s="98">
        <v>1</v>
      </c>
      <c r="O2532" s="93">
        <f t="shared" si="813"/>
        <v>0</v>
      </c>
      <c r="ON2532" s="100">
        <f t="shared" si="804"/>
        <v>0</v>
      </c>
    </row>
    <row r="2533" spans="1:404" ht="23.25" customHeight="1">
      <c r="A2533" s="97" t="str">
        <f t="shared" si="811"/>
        <v xml:space="preserve">	002/CLARIUS-VG-2166-82600-02-A1(phen)</v>
      </c>
      <c r="B2533" s="95">
        <v>44683</v>
      </c>
      <c r="C2533" s="97">
        <f t="shared" ca="1" si="795"/>
        <v>-381</v>
      </c>
      <c r="D2533" s="112" t="s">
        <v>2012</v>
      </c>
      <c r="E2533" s="123" t="s">
        <v>2022</v>
      </c>
      <c r="F2533" s="92" t="str">
        <f t="shared" si="806"/>
        <v>A1</v>
      </c>
      <c r="G2533" s="109">
        <f ca="1">SUMIF($A:E,$A2533,K:K)</f>
        <v>0</v>
      </c>
      <c r="H2533" s="112" t="s">
        <v>2028</v>
      </c>
      <c r="I2533" s="175">
        <v>41</v>
      </c>
      <c r="J2533" s="115">
        <v>41</v>
      </c>
      <c r="K2533" s="143">
        <f t="shared" si="815"/>
        <v>0</v>
      </c>
      <c r="L2533" s="144">
        <f t="shared" si="812"/>
        <v>41</v>
      </c>
      <c r="M2533" s="275">
        <f t="shared" si="797"/>
        <v>41</v>
      </c>
      <c r="N2533" s="98">
        <v>2</v>
      </c>
      <c r="O2533" s="93">
        <f t="shared" si="813"/>
        <v>0</v>
      </c>
      <c r="ON2533" s="100">
        <f t="shared" si="804"/>
        <v>0</v>
      </c>
    </row>
    <row r="2534" spans="1:404" ht="23.25" customHeight="1">
      <c r="A2534" s="97" t="str">
        <f t="shared" si="811"/>
        <v xml:space="preserve">	002/CLARIUS-VG-2166-82800-S1-A1(phen)</v>
      </c>
      <c r="B2534" s="95">
        <v>44683</v>
      </c>
      <c r="C2534" s="97">
        <f t="shared" ca="1" si="795"/>
        <v>-381</v>
      </c>
      <c r="D2534" s="112" t="s">
        <v>2012</v>
      </c>
      <c r="E2534" s="123" t="s">
        <v>2023</v>
      </c>
      <c r="F2534" s="92" t="str">
        <f t="shared" si="806"/>
        <v>A1</v>
      </c>
      <c r="G2534" s="109">
        <f ca="1">SUMIF($A:E,$A2534,K:K)</f>
        <v>0</v>
      </c>
      <c r="H2534" s="112" t="s">
        <v>2028</v>
      </c>
      <c r="I2534" s="175">
        <v>60</v>
      </c>
      <c r="J2534" s="115">
        <v>60</v>
      </c>
      <c r="K2534" s="143">
        <f t="shared" si="815"/>
        <v>0</v>
      </c>
      <c r="L2534" s="144">
        <f t="shared" si="812"/>
        <v>60</v>
      </c>
      <c r="M2534" s="275">
        <f t="shared" si="797"/>
        <v>60</v>
      </c>
      <c r="N2534" s="98">
        <v>1</v>
      </c>
      <c r="O2534" s="93">
        <f t="shared" si="813"/>
        <v>0</v>
      </c>
      <c r="ON2534" s="100">
        <f t="shared" si="804"/>
        <v>0</v>
      </c>
    </row>
    <row r="2535" spans="1:404" ht="23.25" customHeight="1">
      <c r="A2535" s="97" t="str">
        <f t="shared" si="811"/>
        <v xml:space="preserve">	002/CLARIUS-VG-2166-83000-01-A1(phen)</v>
      </c>
      <c r="B2535" s="95">
        <v>44683</v>
      </c>
      <c r="C2535" s="97">
        <f t="shared" ca="1" si="795"/>
        <v>-381</v>
      </c>
      <c r="D2535" s="112" t="s">
        <v>2012</v>
      </c>
      <c r="E2535" s="123" t="s">
        <v>2024</v>
      </c>
      <c r="F2535" s="92" t="str">
        <f t="shared" si="806"/>
        <v>A1</v>
      </c>
      <c r="G2535" s="109">
        <f ca="1">SUMIF($A:E,$A2535,K:K)</f>
        <v>0</v>
      </c>
      <c r="H2535" s="112" t="s">
        <v>2028</v>
      </c>
      <c r="I2535" s="175">
        <v>120</v>
      </c>
      <c r="J2535" s="115">
        <v>120</v>
      </c>
      <c r="K2535" s="143">
        <f t="shared" si="815"/>
        <v>0</v>
      </c>
      <c r="L2535" s="144">
        <f t="shared" si="812"/>
        <v>120</v>
      </c>
      <c r="M2535" s="275">
        <f t="shared" si="797"/>
        <v>120</v>
      </c>
      <c r="N2535" s="98">
        <v>2</v>
      </c>
      <c r="O2535" s="93">
        <f t="shared" si="813"/>
        <v>0</v>
      </c>
      <c r="ON2535" s="100">
        <f t="shared" si="804"/>
        <v>0</v>
      </c>
    </row>
    <row r="2536" spans="1:404" ht="23.25" customHeight="1">
      <c r="A2536" s="97" t="str">
        <f t="shared" si="811"/>
        <v xml:space="preserve">	002/CLARIUS-VG-2166-83000-02-A1phen)</v>
      </c>
      <c r="B2536" s="95">
        <v>44683</v>
      </c>
      <c r="C2536" s="97">
        <f t="shared" ca="1" si="795"/>
        <v>-381</v>
      </c>
      <c r="D2536" s="112" t="s">
        <v>2012</v>
      </c>
      <c r="E2536" s="123" t="s">
        <v>2025</v>
      </c>
      <c r="F2536" s="92" t="str">
        <f t="shared" si="806"/>
        <v>A1</v>
      </c>
      <c r="G2536" s="109">
        <f ca="1">SUMIF($A:E,$A2536,K:K)</f>
        <v>0</v>
      </c>
      <c r="H2536" s="112" t="s">
        <v>2028</v>
      </c>
      <c r="I2536" s="175">
        <v>228</v>
      </c>
      <c r="J2536" s="115">
        <v>228</v>
      </c>
      <c r="K2536" s="143">
        <f t="shared" si="815"/>
        <v>0</v>
      </c>
      <c r="L2536" s="144">
        <f t="shared" si="812"/>
        <v>228</v>
      </c>
      <c r="M2536" s="275">
        <f t="shared" si="797"/>
        <v>228</v>
      </c>
      <c r="N2536" s="98">
        <v>2</v>
      </c>
      <c r="O2536" s="93">
        <f t="shared" si="813"/>
        <v>0</v>
      </c>
      <c r="ON2536" s="100">
        <f t="shared" si="804"/>
        <v>0</v>
      </c>
    </row>
    <row r="2537" spans="1:404" ht="23.25" customHeight="1">
      <c r="A2537" s="97" t="str">
        <f t="shared" si="811"/>
        <v>022T/EUROMARKET-2166-87400-S1-B</v>
      </c>
      <c r="B2537" s="95">
        <v>44572</v>
      </c>
      <c r="C2537" s="97">
        <f t="shared" ca="1" si="795"/>
        <v>-492</v>
      </c>
      <c r="D2537" s="112" t="s">
        <v>2029</v>
      </c>
      <c r="E2537" s="123" t="s">
        <v>1547</v>
      </c>
      <c r="F2537" s="92" t="str">
        <f t="shared" si="806"/>
        <v>B</v>
      </c>
      <c r="G2537" s="109">
        <f ca="1">SUMIF($A:E,$A2537,K:K)</f>
        <v>175</v>
      </c>
      <c r="H2537" s="97" t="s">
        <v>933</v>
      </c>
      <c r="I2537" s="175">
        <v>175</v>
      </c>
      <c r="J2537" s="115">
        <v>175</v>
      </c>
      <c r="K2537" s="143">
        <f t="shared" si="815"/>
        <v>175</v>
      </c>
      <c r="L2537" s="144">
        <f t="shared" si="812"/>
        <v>0</v>
      </c>
      <c r="M2537" s="275">
        <f t="shared" si="797"/>
        <v>175</v>
      </c>
      <c r="N2537" s="98">
        <v>3</v>
      </c>
      <c r="O2537" s="93">
        <f t="shared" si="813"/>
        <v>100</v>
      </c>
      <c r="ME2537" s="100">
        <v>15</v>
      </c>
      <c r="MF2537" s="100">
        <v>18</v>
      </c>
      <c r="MG2537" s="100">
        <v>5</v>
      </c>
      <c r="MH2537" s="100">
        <v>25</v>
      </c>
      <c r="MK2537" s="100">
        <v>5</v>
      </c>
      <c r="ML2537" s="100">
        <v>20</v>
      </c>
      <c r="MM2537" s="100">
        <v>30</v>
      </c>
      <c r="MN2537" s="100">
        <v>6</v>
      </c>
      <c r="MO2537" s="100">
        <v>15</v>
      </c>
      <c r="MP2537" s="100">
        <v>16</v>
      </c>
      <c r="MR2537" s="100">
        <v>13</v>
      </c>
      <c r="MS2537" s="100">
        <v>7</v>
      </c>
      <c r="ON2537" s="100">
        <f t="shared" si="804"/>
        <v>0</v>
      </c>
    </row>
    <row r="2538" spans="1:404" ht="23.25" customHeight="1">
      <c r="A2538" s="97" t="str">
        <f t="shared" si="811"/>
        <v>022T/EUROMARKET-2166-87500-S1-B</v>
      </c>
      <c r="B2538" s="95">
        <v>44572</v>
      </c>
      <c r="C2538" s="97">
        <f t="shared" ca="1" si="795"/>
        <v>-492</v>
      </c>
      <c r="D2538" s="112" t="s">
        <v>2029</v>
      </c>
      <c r="E2538" s="123" t="s">
        <v>1548</v>
      </c>
      <c r="F2538" s="92" t="str">
        <f t="shared" si="806"/>
        <v>B</v>
      </c>
      <c r="G2538" s="109">
        <f ca="1">SUMIF($A:E,$A2538,K:K)</f>
        <v>342</v>
      </c>
      <c r="H2538" s="97" t="s">
        <v>933</v>
      </c>
      <c r="I2538" s="175">
        <v>24</v>
      </c>
      <c r="J2538" s="115">
        <v>342</v>
      </c>
      <c r="K2538" s="143">
        <f t="shared" si="815"/>
        <v>342</v>
      </c>
      <c r="L2538" s="144">
        <f t="shared" ref="L2538:L2539" si="816">J2538-K2538</f>
        <v>0</v>
      </c>
      <c r="M2538" s="275">
        <f t="shared" si="797"/>
        <v>24</v>
      </c>
      <c r="N2538" s="98" t="s">
        <v>1776</v>
      </c>
      <c r="O2538" s="93">
        <f t="shared" si="813"/>
        <v>100</v>
      </c>
      <c r="MH2538" s="100">
        <v>12</v>
      </c>
      <c r="MK2538" s="100">
        <v>29</v>
      </c>
      <c r="ML2538" s="100">
        <v>26</v>
      </c>
      <c r="MM2538" s="100">
        <v>35</v>
      </c>
      <c r="MN2538" s="100">
        <v>30</v>
      </c>
      <c r="MO2538" s="100">
        <v>30</v>
      </c>
      <c r="MP2538" s="100">
        <v>28</v>
      </c>
      <c r="MQ2538" s="100">
        <v>25</v>
      </c>
      <c r="MR2538" s="100">
        <v>31</v>
      </c>
      <c r="MS2538" s="100">
        <v>28</v>
      </c>
      <c r="MT2538" s="100">
        <v>28</v>
      </c>
      <c r="MU2538" s="100">
        <v>28</v>
      </c>
      <c r="MW2538" s="100">
        <v>12</v>
      </c>
      <c r="ON2538" s="100">
        <f t="shared" si="804"/>
        <v>0</v>
      </c>
    </row>
    <row r="2539" spans="1:404" ht="23.25" customHeight="1">
      <c r="A2539" s="97" t="str">
        <f t="shared" si="811"/>
        <v>022T/EUROMARKET-2166-87600-S1-B</v>
      </c>
      <c r="B2539" s="95">
        <v>44572</v>
      </c>
      <c r="C2539" s="97">
        <f t="shared" ca="1" si="795"/>
        <v>-492</v>
      </c>
      <c r="D2539" s="112" t="s">
        <v>2029</v>
      </c>
      <c r="E2539" s="123" t="s">
        <v>1549</v>
      </c>
      <c r="F2539" s="98" t="str">
        <f t="shared" ref="F2539:F2570" si="817">MID(E2539,13,2)</f>
        <v>B</v>
      </c>
      <c r="G2539" s="110">
        <f ca="1">SUMIF($A:E,$A2539,K:K)</f>
        <v>159</v>
      </c>
      <c r="H2539" s="97" t="s">
        <v>933</v>
      </c>
      <c r="I2539" s="175">
        <v>159</v>
      </c>
      <c r="J2539" s="115">
        <v>159</v>
      </c>
      <c r="K2539" s="143">
        <f t="shared" si="815"/>
        <v>159</v>
      </c>
      <c r="L2539" s="144">
        <f t="shared" si="816"/>
        <v>0</v>
      </c>
      <c r="M2539" s="275">
        <f t="shared" si="797"/>
        <v>159</v>
      </c>
      <c r="N2539" s="98">
        <v>1</v>
      </c>
      <c r="O2539" s="93">
        <f t="shared" si="813"/>
        <v>100</v>
      </c>
      <c r="MK2539" s="100">
        <v>10</v>
      </c>
      <c r="ML2539" s="100">
        <v>18</v>
      </c>
      <c r="MM2539" s="100">
        <v>1</v>
      </c>
      <c r="MN2539" s="100">
        <v>9</v>
      </c>
      <c r="MO2539" s="100">
        <v>11</v>
      </c>
      <c r="MP2539" s="100">
        <v>11</v>
      </c>
      <c r="MQ2539" s="100">
        <v>10</v>
      </c>
      <c r="MR2539" s="100">
        <v>10</v>
      </c>
      <c r="MT2539" s="100">
        <v>10</v>
      </c>
      <c r="MU2539" s="100">
        <v>12</v>
      </c>
      <c r="MW2539" s="100">
        <v>3</v>
      </c>
      <c r="MX2539" s="100">
        <v>10</v>
      </c>
      <c r="MY2539" s="100">
        <v>3</v>
      </c>
      <c r="MZ2539" s="100">
        <v>10</v>
      </c>
      <c r="NA2539" s="100">
        <v>13</v>
      </c>
      <c r="ND2539" s="100">
        <v>11</v>
      </c>
      <c r="NE2539" s="100">
        <v>5</v>
      </c>
      <c r="NF2539" s="100">
        <v>1</v>
      </c>
      <c r="NI2539" s="100">
        <v>1</v>
      </c>
      <c r="ON2539" s="100">
        <f t="shared" si="804"/>
        <v>0</v>
      </c>
    </row>
    <row r="2540" spans="1:404" ht="23.25" customHeight="1">
      <c r="A2540" s="97" t="str">
        <f t="shared" si="811"/>
        <v>021T/EUROMARKET-2166-87400-S1-B</v>
      </c>
      <c r="B2540" s="95">
        <v>44523</v>
      </c>
      <c r="C2540" s="97">
        <f t="shared" ca="1" si="795"/>
        <v>-541</v>
      </c>
      <c r="D2540" s="112" t="s">
        <v>2030</v>
      </c>
      <c r="E2540" s="123" t="s">
        <v>1547</v>
      </c>
      <c r="F2540" s="92" t="str">
        <f t="shared" si="817"/>
        <v>B</v>
      </c>
      <c r="G2540" s="109">
        <f ca="1">SUMIF($A:E,$A2540,K:K)</f>
        <v>100</v>
      </c>
      <c r="H2540" s="97" t="s">
        <v>933</v>
      </c>
      <c r="I2540" s="124">
        <v>64</v>
      </c>
      <c r="J2540" s="115">
        <v>100</v>
      </c>
      <c r="K2540" s="143">
        <f t="shared" si="815"/>
        <v>100</v>
      </c>
      <c r="L2540" s="144">
        <f t="shared" ref="L2540:L2542" si="818">J2540-K2540</f>
        <v>0</v>
      </c>
      <c r="M2540" s="275">
        <f t="shared" si="797"/>
        <v>64</v>
      </c>
      <c r="N2540" s="98">
        <v>3</v>
      </c>
      <c r="O2540" s="93">
        <f t="shared" si="813"/>
        <v>100</v>
      </c>
      <c r="KV2540" s="100">
        <v>9</v>
      </c>
      <c r="KW2540" s="100">
        <v>46</v>
      </c>
      <c r="KX2540" s="100">
        <v>3</v>
      </c>
      <c r="KY2540" s="100">
        <v>19</v>
      </c>
      <c r="KZ2540" s="100">
        <v>13</v>
      </c>
      <c r="LB2540" s="100">
        <v>10</v>
      </c>
      <c r="ON2540" s="100">
        <f t="shared" si="804"/>
        <v>0</v>
      </c>
    </row>
    <row r="2541" spans="1:404" ht="23.25" customHeight="1">
      <c r="A2541" s="97" t="str">
        <f t="shared" si="811"/>
        <v>021T/EUROMARKET-2166-87500-S1-B</v>
      </c>
      <c r="B2541" s="95">
        <v>44523</v>
      </c>
      <c r="C2541" s="97">
        <f t="shared" ca="1" si="795"/>
        <v>-541</v>
      </c>
      <c r="D2541" s="112" t="s">
        <v>2030</v>
      </c>
      <c r="E2541" s="279" t="s">
        <v>1548</v>
      </c>
      <c r="F2541" s="98" t="str">
        <f t="shared" si="817"/>
        <v>B</v>
      </c>
      <c r="G2541" s="110">
        <f ca="1">SUMIF($A:E,$A2541,K:K)</f>
        <v>100</v>
      </c>
      <c r="H2541" s="97" t="s">
        <v>933</v>
      </c>
      <c r="I2541" s="124">
        <v>105</v>
      </c>
      <c r="J2541" s="115">
        <v>100</v>
      </c>
      <c r="K2541" s="143">
        <f t="shared" si="815"/>
        <v>100</v>
      </c>
      <c r="L2541" s="144">
        <f t="shared" si="818"/>
        <v>0</v>
      </c>
      <c r="M2541" s="275">
        <f t="shared" si="797"/>
        <v>105</v>
      </c>
      <c r="N2541" s="133" t="s">
        <v>1776</v>
      </c>
      <c r="O2541" s="93">
        <f t="shared" si="813"/>
        <v>100</v>
      </c>
      <c r="KX2541" s="100">
        <v>24</v>
      </c>
      <c r="KY2541" s="100">
        <v>30</v>
      </c>
      <c r="KZ2541" s="100">
        <v>30</v>
      </c>
      <c r="LB2541" s="100">
        <v>16</v>
      </c>
      <c r="ON2541" s="100">
        <f t="shared" si="804"/>
        <v>0</v>
      </c>
    </row>
    <row r="2542" spans="1:404" ht="23.25" customHeight="1">
      <c r="A2542" s="97" t="str">
        <f t="shared" si="811"/>
        <v>021T/EUROMARKET-2166-87600-S1-B</v>
      </c>
      <c r="B2542" s="95">
        <v>44523</v>
      </c>
      <c r="C2542" s="97">
        <f t="shared" ca="1" si="795"/>
        <v>-541</v>
      </c>
      <c r="D2542" s="112" t="s">
        <v>2030</v>
      </c>
      <c r="E2542" s="123" t="s">
        <v>1549</v>
      </c>
      <c r="F2542" s="92" t="str">
        <f t="shared" si="817"/>
        <v>B</v>
      </c>
      <c r="G2542" s="109">
        <f ca="1">SUMIF($A:E,$A2542,K:K)</f>
        <v>100</v>
      </c>
      <c r="H2542" s="97" t="s">
        <v>933</v>
      </c>
      <c r="I2542" s="386">
        <v>96</v>
      </c>
      <c r="J2542" s="115">
        <v>100</v>
      </c>
      <c r="K2542" s="143">
        <f t="shared" si="815"/>
        <v>100</v>
      </c>
      <c r="L2542" s="144">
        <f t="shared" si="818"/>
        <v>0</v>
      </c>
      <c r="M2542" s="275">
        <f t="shared" ref="M2542:M2605" si="819">IF(OR(MID(E2542,10,1)="0",MID(E2542,10,1)="F"),I2542,IF(OR(,MID(E2542,10,1)="S",MID(E2542,10,1)="L",MID(E2542,10,1)="B",MID(E2542,10,1)="X"),MID(E2542,11,1)*I2542,0))</f>
        <v>96</v>
      </c>
      <c r="N2542" s="98">
        <v>1</v>
      </c>
      <c r="O2542" s="93">
        <f t="shared" si="813"/>
        <v>100</v>
      </c>
      <c r="KV2542" s="100">
        <v>7</v>
      </c>
      <c r="KW2542" s="100">
        <v>17</v>
      </c>
      <c r="KX2542" s="100">
        <v>1</v>
      </c>
      <c r="KY2542" s="100">
        <v>9</v>
      </c>
      <c r="KZ2542" s="100">
        <v>10</v>
      </c>
      <c r="LB2542" s="100">
        <v>10</v>
      </c>
      <c r="LC2542" s="100">
        <v>19</v>
      </c>
      <c r="LD2542" s="100">
        <v>4</v>
      </c>
      <c r="LE2542" s="100">
        <v>10</v>
      </c>
      <c r="LF2542" s="100">
        <v>4</v>
      </c>
      <c r="LG2542" s="100">
        <v>9</v>
      </c>
      <c r="ON2542" s="100">
        <f t="shared" si="804"/>
        <v>0</v>
      </c>
    </row>
    <row r="2543" spans="1:404" ht="23.25" customHeight="1">
      <c r="A2543" s="97" t="str">
        <f t="shared" si="811"/>
        <v>130A/NY/PP-USA-VG-2166-77700-01-A</v>
      </c>
      <c r="B2543" s="95">
        <v>44679</v>
      </c>
      <c r="C2543" s="97">
        <f t="shared" ca="1" si="795"/>
        <v>-385</v>
      </c>
      <c r="D2543" s="112" t="s">
        <v>2031</v>
      </c>
      <c r="E2543" s="279" t="s">
        <v>1271</v>
      </c>
      <c r="F2543" s="92" t="str">
        <f t="shared" si="817"/>
        <v>A</v>
      </c>
      <c r="G2543" s="109">
        <f ca="1">SUMIF($A:E,$A2543,K:K)</f>
        <v>0</v>
      </c>
      <c r="H2543" s="97" t="s">
        <v>933</v>
      </c>
      <c r="I2543" s="377">
        <v>24</v>
      </c>
      <c r="J2543" s="115">
        <v>24</v>
      </c>
      <c r="K2543" s="143">
        <f t="shared" si="815"/>
        <v>0</v>
      </c>
      <c r="L2543" s="144">
        <f t="shared" ref="L2543:L2545" si="820">J2543-K2543</f>
        <v>24</v>
      </c>
      <c r="M2543" s="275">
        <f t="shared" si="819"/>
        <v>24</v>
      </c>
      <c r="N2543" s="98"/>
      <c r="O2543" s="93">
        <f t="shared" si="813"/>
        <v>0</v>
      </c>
      <c r="ON2543" s="100">
        <f t="shared" si="804"/>
        <v>0</v>
      </c>
    </row>
    <row r="2544" spans="1:404" ht="23.25" customHeight="1">
      <c r="A2544" s="97" t="str">
        <f t="shared" si="811"/>
        <v>130A/NY/PP-USA-VG-2166-77700-02-A</v>
      </c>
      <c r="B2544" s="95">
        <v>44679</v>
      </c>
      <c r="C2544" s="97">
        <f t="shared" ca="1" si="795"/>
        <v>-385</v>
      </c>
      <c r="D2544" s="112" t="s">
        <v>2031</v>
      </c>
      <c r="E2544" s="279" t="s">
        <v>1199</v>
      </c>
      <c r="F2544" s="92" t="str">
        <f t="shared" si="817"/>
        <v>A</v>
      </c>
      <c r="G2544" s="109">
        <f ca="1">SUMIF($A:E,$A2544,K:K)</f>
        <v>0</v>
      </c>
      <c r="H2544" s="97" t="s">
        <v>933</v>
      </c>
      <c r="I2544" s="124">
        <v>948</v>
      </c>
      <c r="J2544" s="115">
        <v>24</v>
      </c>
      <c r="K2544" s="143">
        <f t="shared" si="815"/>
        <v>0</v>
      </c>
      <c r="L2544" s="144">
        <f t="shared" si="820"/>
        <v>24</v>
      </c>
      <c r="M2544" s="275">
        <f t="shared" si="819"/>
        <v>948</v>
      </c>
      <c r="N2544" s="98"/>
      <c r="O2544" s="93">
        <f t="shared" si="813"/>
        <v>0</v>
      </c>
      <c r="ON2544" s="100">
        <f t="shared" si="804"/>
        <v>0</v>
      </c>
    </row>
    <row r="2545" spans="1:404" ht="23.25" customHeight="1">
      <c r="A2545" s="97" t="str">
        <f t="shared" si="811"/>
        <v>130A/NY/PP-USA-VG-2168-72600-02-A</v>
      </c>
      <c r="B2545" s="95">
        <v>44679</v>
      </c>
      <c r="C2545" s="97">
        <f t="shared" ca="1" si="795"/>
        <v>-385</v>
      </c>
      <c r="D2545" s="112" t="s">
        <v>2031</v>
      </c>
      <c r="E2545" s="279" t="s">
        <v>221</v>
      </c>
      <c r="F2545" s="92" t="str">
        <f t="shared" si="817"/>
        <v>A</v>
      </c>
      <c r="G2545" s="109">
        <f ca="1">SUMIF($A:E,$A2545,K:K)</f>
        <v>0</v>
      </c>
      <c r="H2545" s="97" t="s">
        <v>933</v>
      </c>
      <c r="I2545" s="124">
        <v>760</v>
      </c>
      <c r="J2545" s="115">
        <v>24</v>
      </c>
      <c r="K2545" s="143">
        <f t="shared" si="815"/>
        <v>0</v>
      </c>
      <c r="L2545" s="144">
        <f t="shared" si="820"/>
        <v>24</v>
      </c>
      <c r="M2545" s="275">
        <f t="shared" si="819"/>
        <v>760</v>
      </c>
      <c r="N2545" s="98"/>
      <c r="O2545" s="93">
        <f t="shared" si="813"/>
        <v>0</v>
      </c>
      <c r="ON2545" s="100">
        <f t="shared" si="804"/>
        <v>0</v>
      </c>
    </row>
    <row r="2546" spans="1:404" ht="23.25" customHeight="1">
      <c r="A2546" s="97" t="str">
        <f t="shared" ref="A2546:A2552" si="821">D2546&amp;E2546</f>
        <v>147B/POTTERYPOT-VG-2166-54100-L2-A</v>
      </c>
      <c r="B2546" s="95">
        <v>44521</v>
      </c>
      <c r="C2546" s="97">
        <f t="shared" ref="C2546:C2609" ca="1" si="822">B2546-TODAY()</f>
        <v>-543</v>
      </c>
      <c r="D2546" s="112" t="s">
        <v>2032</v>
      </c>
      <c r="E2546" s="279" t="s">
        <v>2033</v>
      </c>
      <c r="F2546" s="92" t="str">
        <f t="shared" si="817"/>
        <v>A</v>
      </c>
      <c r="G2546" s="109">
        <f ca="1">SUMIF($A:E,$A2546,K:K)</f>
        <v>12</v>
      </c>
      <c r="H2546" s="97" t="s">
        <v>2034</v>
      </c>
      <c r="I2546" s="386">
        <v>960</v>
      </c>
      <c r="J2546" s="115">
        <v>12</v>
      </c>
      <c r="K2546" s="143">
        <f t="shared" si="815"/>
        <v>12</v>
      </c>
      <c r="L2546" s="144">
        <f t="shared" ref="L2546" si="823">J2546-K2546</f>
        <v>0</v>
      </c>
      <c r="M2546" s="275">
        <f t="shared" si="819"/>
        <v>1920</v>
      </c>
      <c r="N2546" s="98">
        <v>1</v>
      </c>
      <c r="O2546" s="93">
        <f t="shared" si="813"/>
        <v>100</v>
      </c>
      <c r="KW2546" s="100">
        <v>5</v>
      </c>
      <c r="KX2546" s="100">
        <v>5</v>
      </c>
      <c r="KY2546" s="100">
        <v>2</v>
      </c>
      <c r="ON2546" s="100">
        <f t="shared" si="804"/>
        <v>0</v>
      </c>
    </row>
    <row r="2547" spans="1:404" ht="23.25" customHeight="1">
      <c r="A2547" s="97" t="str">
        <f t="shared" si="821"/>
        <v>286/KHBS-2166-70300-03-B</v>
      </c>
      <c r="B2547" s="95">
        <v>44487</v>
      </c>
      <c r="C2547" s="97">
        <f t="shared" ca="1" si="822"/>
        <v>-577</v>
      </c>
      <c r="D2547" s="96" t="s">
        <v>2035</v>
      </c>
      <c r="E2547" s="94" t="s">
        <v>25</v>
      </c>
      <c r="F2547" s="98" t="str">
        <f t="shared" si="817"/>
        <v>B</v>
      </c>
      <c r="G2547" s="110">
        <f ca="1">SUMIF($A:E,$A2547,K:K)</f>
        <v>1</v>
      </c>
      <c r="H2547" s="97" t="s">
        <v>933</v>
      </c>
      <c r="I2547" s="175">
        <v>30</v>
      </c>
      <c r="J2547" s="99">
        <v>1</v>
      </c>
      <c r="K2547" s="143">
        <f t="shared" si="815"/>
        <v>1</v>
      </c>
      <c r="L2547" s="144">
        <f t="shared" ref="L2547" si="824">J2547-K2547</f>
        <v>0</v>
      </c>
      <c r="M2547" s="275">
        <f t="shared" si="819"/>
        <v>30</v>
      </c>
      <c r="N2547" s="98">
        <v>2</v>
      </c>
      <c r="O2547" s="93">
        <f t="shared" si="813"/>
        <v>100</v>
      </c>
      <c r="JO2547" s="100">
        <v>1</v>
      </c>
      <c r="ON2547" s="100">
        <f t="shared" si="804"/>
        <v>0</v>
      </c>
    </row>
    <row r="2548" spans="1:404" ht="23.25" customHeight="1">
      <c r="A2548" s="97" t="str">
        <f t="shared" si="821"/>
        <v>286/KHBS-2166-55412-02-B</v>
      </c>
      <c r="B2548" s="95">
        <v>44487</v>
      </c>
      <c r="C2548" s="97">
        <f t="shared" ca="1" si="822"/>
        <v>-577</v>
      </c>
      <c r="D2548" s="96" t="s">
        <v>2035</v>
      </c>
      <c r="E2548" s="94" t="s">
        <v>1440</v>
      </c>
      <c r="F2548" s="98" t="str">
        <f t="shared" si="817"/>
        <v>B</v>
      </c>
      <c r="G2548" s="110">
        <f ca="1">SUMIF($A:E,$A2548,K:K)</f>
        <v>1</v>
      </c>
      <c r="H2548" s="97" t="s">
        <v>933</v>
      </c>
      <c r="I2548" s="175">
        <v>25</v>
      </c>
      <c r="J2548" s="99">
        <v>1</v>
      </c>
      <c r="K2548" s="143">
        <f t="shared" si="815"/>
        <v>1</v>
      </c>
      <c r="L2548" s="144">
        <f t="shared" ref="L2548:L2550" si="825">J2548-K2548</f>
        <v>0</v>
      </c>
      <c r="M2548" s="275">
        <f t="shared" si="819"/>
        <v>25</v>
      </c>
      <c r="N2548" s="98">
        <v>2</v>
      </c>
      <c r="O2548" s="93">
        <f t="shared" si="813"/>
        <v>100</v>
      </c>
      <c r="JO2548" s="100">
        <v>1</v>
      </c>
      <c r="ON2548" s="100">
        <f t="shared" si="804"/>
        <v>0</v>
      </c>
    </row>
    <row r="2549" spans="1:404" ht="23.25" customHeight="1">
      <c r="A2549" s="97" t="str">
        <f t="shared" si="821"/>
        <v>288/KHBS-2166-70300-03-B</v>
      </c>
      <c r="B2549" s="95">
        <v>44486</v>
      </c>
      <c r="C2549" s="97">
        <f t="shared" ca="1" si="822"/>
        <v>-578</v>
      </c>
      <c r="D2549" s="96" t="s">
        <v>2036</v>
      </c>
      <c r="E2549" s="94" t="s">
        <v>25</v>
      </c>
      <c r="F2549" s="98" t="str">
        <f t="shared" si="817"/>
        <v>B</v>
      </c>
      <c r="G2549" s="110">
        <f ca="1">SUMIF($A:E,$A2549,K:K)</f>
        <v>2</v>
      </c>
      <c r="H2549" s="97" t="s">
        <v>1593</v>
      </c>
      <c r="I2549" s="175">
        <v>36</v>
      </c>
      <c r="J2549" s="99">
        <v>2</v>
      </c>
      <c r="K2549" s="143">
        <f t="shared" si="815"/>
        <v>2</v>
      </c>
      <c r="L2549" s="144">
        <f t="shared" si="825"/>
        <v>0</v>
      </c>
      <c r="M2549" s="275">
        <f t="shared" si="819"/>
        <v>36</v>
      </c>
      <c r="N2549" s="98">
        <v>2</v>
      </c>
      <c r="O2549" s="93">
        <f t="shared" si="813"/>
        <v>100</v>
      </c>
      <c r="JP2549" s="100">
        <v>2</v>
      </c>
      <c r="ON2549" s="100">
        <f t="shared" si="804"/>
        <v>0</v>
      </c>
    </row>
    <row r="2550" spans="1:404" ht="23.25" customHeight="1">
      <c r="A2550" s="97" t="str">
        <f t="shared" si="821"/>
        <v>288/KHBS-2166-07600-02-B</v>
      </c>
      <c r="B2550" s="95">
        <v>44486</v>
      </c>
      <c r="C2550" s="97">
        <f t="shared" ca="1" si="822"/>
        <v>-578</v>
      </c>
      <c r="D2550" s="96" t="s">
        <v>2036</v>
      </c>
      <c r="E2550" s="94" t="s">
        <v>946</v>
      </c>
      <c r="F2550" s="98" t="str">
        <f t="shared" si="817"/>
        <v>B</v>
      </c>
      <c r="G2550" s="110">
        <f ca="1">SUMIF($A:E,$A2550,K:K)</f>
        <v>2</v>
      </c>
      <c r="H2550" s="97" t="s">
        <v>1593</v>
      </c>
      <c r="I2550" s="175">
        <v>32</v>
      </c>
      <c r="J2550" s="99">
        <v>2</v>
      </c>
      <c r="K2550" s="143">
        <f t="shared" si="815"/>
        <v>2</v>
      </c>
      <c r="L2550" s="144">
        <f t="shared" si="825"/>
        <v>0</v>
      </c>
      <c r="M2550" s="275">
        <f t="shared" si="819"/>
        <v>32</v>
      </c>
      <c r="N2550" s="98">
        <v>2</v>
      </c>
      <c r="O2550" s="93">
        <f t="shared" si="813"/>
        <v>100</v>
      </c>
      <c r="JP2550" s="100">
        <v>2</v>
      </c>
      <c r="ON2550" s="100">
        <f t="shared" si="804"/>
        <v>0</v>
      </c>
    </row>
    <row r="2551" spans="1:404" ht="23.25" customHeight="1">
      <c r="A2551" s="97" t="str">
        <f t="shared" si="821"/>
        <v>287/KHBS--2166-51712-01-B</v>
      </c>
      <c r="B2551" s="95">
        <v>44489</v>
      </c>
      <c r="C2551" s="97">
        <f t="shared" ca="1" si="822"/>
        <v>-575</v>
      </c>
      <c r="D2551" s="96" t="s">
        <v>2037</v>
      </c>
      <c r="E2551" s="94" t="s">
        <v>817</v>
      </c>
      <c r="F2551" s="98" t="str">
        <f t="shared" si="817"/>
        <v>B</v>
      </c>
      <c r="G2551" s="110">
        <f ca="1">SUMIF($A:E,$A2551,K:K)</f>
        <v>13</v>
      </c>
      <c r="H2551" s="97" t="s">
        <v>1593</v>
      </c>
      <c r="I2551" s="175">
        <v>26</v>
      </c>
      <c r="J2551" s="99">
        <v>13</v>
      </c>
      <c r="K2551" s="143">
        <f t="shared" si="815"/>
        <v>13</v>
      </c>
      <c r="L2551" s="144">
        <f t="shared" ref="L2551:L2553" si="826">J2551-K2551</f>
        <v>0</v>
      </c>
      <c r="M2551" s="275">
        <f t="shared" si="819"/>
        <v>26</v>
      </c>
      <c r="N2551" s="98">
        <v>1</v>
      </c>
      <c r="O2551" s="93">
        <f t="shared" si="813"/>
        <v>100</v>
      </c>
      <c r="JR2551" s="100">
        <v>6</v>
      </c>
      <c r="JU2551" s="100">
        <v>7</v>
      </c>
      <c r="ON2551" s="100">
        <f t="shared" si="804"/>
        <v>0</v>
      </c>
    </row>
    <row r="2552" spans="1:404" ht="23.25" customHeight="1">
      <c r="A2552" s="97" t="str">
        <f t="shared" si="821"/>
        <v>287/KHBS--2166-51712-02-B</v>
      </c>
      <c r="B2552" s="95">
        <v>44489</v>
      </c>
      <c r="C2552" s="97">
        <f t="shared" ca="1" si="822"/>
        <v>-575</v>
      </c>
      <c r="D2552" s="96" t="s">
        <v>2037</v>
      </c>
      <c r="E2552" s="94" t="s">
        <v>1973</v>
      </c>
      <c r="F2552" s="98" t="str">
        <f t="shared" si="817"/>
        <v>B</v>
      </c>
      <c r="G2552" s="110">
        <f ca="1">SUMIF($A:E,$A2552,K:K)</f>
        <v>3</v>
      </c>
      <c r="H2552" s="97" t="s">
        <v>1593</v>
      </c>
      <c r="I2552" s="175">
        <v>26</v>
      </c>
      <c r="J2552" s="99">
        <v>3</v>
      </c>
      <c r="K2552" s="143">
        <f t="shared" si="815"/>
        <v>3</v>
      </c>
      <c r="L2552" s="144">
        <f t="shared" si="826"/>
        <v>0</v>
      </c>
      <c r="M2552" s="275">
        <f t="shared" si="819"/>
        <v>26</v>
      </c>
      <c r="N2552" s="98">
        <v>1</v>
      </c>
      <c r="O2552" s="93">
        <f t="shared" si="813"/>
        <v>100</v>
      </c>
      <c r="JR2552" s="100">
        <v>2</v>
      </c>
      <c r="JU2552" s="100">
        <v>1</v>
      </c>
      <c r="ON2552" s="100">
        <f t="shared" si="804"/>
        <v>0</v>
      </c>
    </row>
    <row r="2553" spans="1:404" ht="23.25" customHeight="1">
      <c r="A2553" s="97" t="str">
        <f>D2553&amp;E2554</f>
        <v>001/ASIMA-VG-2166-28501-S1-B</v>
      </c>
      <c r="B2553" s="95">
        <v>44686</v>
      </c>
      <c r="C2553" s="97">
        <f t="shared" ca="1" si="822"/>
        <v>-378</v>
      </c>
      <c r="D2553" s="96" t="s">
        <v>2040</v>
      </c>
      <c r="E2553" s="94" t="s">
        <v>2041</v>
      </c>
      <c r="F2553" s="98" t="str">
        <f t="shared" si="817"/>
        <v>B</v>
      </c>
      <c r="G2553" s="110">
        <f ca="1">SUMIF($A:E,$A2553,K:K)</f>
        <v>0</v>
      </c>
      <c r="H2553" s="97" t="s">
        <v>507</v>
      </c>
      <c r="I2553" s="175">
        <v>64</v>
      </c>
      <c r="J2553" s="99">
        <v>64</v>
      </c>
      <c r="K2553" s="143">
        <f t="shared" si="815"/>
        <v>0</v>
      </c>
      <c r="L2553" s="144">
        <f t="shared" si="826"/>
        <v>64</v>
      </c>
      <c r="M2553" s="275">
        <f t="shared" si="819"/>
        <v>64</v>
      </c>
      <c r="N2553" s="98">
        <v>1</v>
      </c>
      <c r="O2553" s="93">
        <f t="shared" si="813"/>
        <v>0</v>
      </c>
      <c r="ON2553" s="100">
        <f t="shared" si="804"/>
        <v>0</v>
      </c>
    </row>
    <row r="2554" spans="1:404" ht="23.25" customHeight="1">
      <c r="A2554" s="97" t="str">
        <f>D2554&amp;E2555</f>
        <v>001/ASIMA-VG-2166-61301-S3-B</v>
      </c>
      <c r="B2554" s="95">
        <v>44686</v>
      </c>
      <c r="C2554" s="97">
        <f t="shared" ca="1" si="822"/>
        <v>-378</v>
      </c>
      <c r="D2554" s="96" t="s">
        <v>2040</v>
      </c>
      <c r="E2554" s="94" t="s">
        <v>2042</v>
      </c>
      <c r="F2554" s="98" t="str">
        <f t="shared" si="817"/>
        <v>B</v>
      </c>
      <c r="G2554" s="110">
        <f ca="1">SUMIF($A:E,$A2554,K:K)</f>
        <v>2</v>
      </c>
      <c r="H2554" s="97" t="s">
        <v>507</v>
      </c>
      <c r="I2554" s="175">
        <v>105</v>
      </c>
      <c r="J2554" s="99">
        <v>105</v>
      </c>
      <c r="K2554" s="143">
        <f t="shared" ref="K2554:K2585" si="827">SUM(P2554:BBC2554)</f>
        <v>2</v>
      </c>
      <c r="L2554" s="144">
        <f t="shared" ref="L2554:L2555" si="828">J2554-K2554</f>
        <v>103</v>
      </c>
      <c r="M2554" s="275">
        <f t="shared" si="819"/>
        <v>105</v>
      </c>
      <c r="N2554" s="98">
        <v>1</v>
      </c>
      <c r="O2554" s="93">
        <f t="shared" si="813"/>
        <v>1.9047619047619049</v>
      </c>
      <c r="OK2554" s="100">
        <v>1</v>
      </c>
      <c r="ON2554" s="100">
        <f t="shared" si="804"/>
        <v>1</v>
      </c>
    </row>
    <row r="2555" spans="1:404" ht="23.25" customHeight="1">
      <c r="A2555" s="97" t="str">
        <f>D2555&amp;E2556</f>
        <v>001/ASIMA-VG-2168-72500-02-B</v>
      </c>
      <c r="B2555" s="95">
        <v>44686</v>
      </c>
      <c r="C2555" s="127">
        <f t="shared" ca="1" si="822"/>
        <v>-378</v>
      </c>
      <c r="D2555" s="128" t="s">
        <v>2040</v>
      </c>
      <c r="E2555" s="129" t="s">
        <v>2043</v>
      </c>
      <c r="F2555" s="132" t="str">
        <f t="shared" si="817"/>
        <v>B</v>
      </c>
      <c r="G2555" s="130">
        <f ca="1">SUMIF($A:E,$A2555,K:K)</f>
        <v>0</v>
      </c>
      <c r="H2555" s="97" t="s">
        <v>507</v>
      </c>
      <c r="I2555" s="175">
        <v>96</v>
      </c>
      <c r="J2555" s="131">
        <v>96</v>
      </c>
      <c r="K2555" s="160">
        <f t="shared" si="827"/>
        <v>0</v>
      </c>
      <c r="L2555" s="151">
        <f t="shared" si="828"/>
        <v>96</v>
      </c>
      <c r="M2555" s="275">
        <f t="shared" si="819"/>
        <v>288</v>
      </c>
      <c r="N2555" s="132"/>
      <c r="O2555" s="93">
        <f t="shared" si="813"/>
        <v>0</v>
      </c>
      <c r="ON2555" s="100">
        <f t="shared" si="804"/>
        <v>0</v>
      </c>
    </row>
    <row r="2556" spans="1:404" ht="23.25" customHeight="1">
      <c r="A2556" s="97" t="str">
        <f>D2556&amp;E2557</f>
        <v>002/METRO-VG_SR-21	66-51620-S3-B</v>
      </c>
      <c r="B2556" s="95">
        <v>44487</v>
      </c>
      <c r="C2556" s="97">
        <f t="shared" ca="1" si="822"/>
        <v>-577</v>
      </c>
      <c r="D2556" s="112" t="s">
        <v>2044</v>
      </c>
      <c r="E2556" s="123" t="s">
        <v>514</v>
      </c>
      <c r="F2556" s="132" t="str">
        <f t="shared" si="817"/>
        <v>B</v>
      </c>
      <c r="G2556" s="130">
        <f ca="1">SUMIF($A:E,$A2556,K:K)</f>
        <v>1</v>
      </c>
      <c r="H2556" s="112" t="s">
        <v>2045</v>
      </c>
      <c r="I2556" s="175">
        <v>30</v>
      </c>
      <c r="J2556" s="99">
        <v>1</v>
      </c>
      <c r="K2556" s="143">
        <f t="shared" si="827"/>
        <v>1</v>
      </c>
      <c r="L2556" s="144">
        <f t="shared" ref="L2556:L2559" si="829">J2556-K2556</f>
        <v>0</v>
      </c>
      <c r="M2556" s="275">
        <f t="shared" si="819"/>
        <v>30</v>
      </c>
      <c r="N2556" s="98">
        <v>1</v>
      </c>
      <c r="O2556" s="93">
        <f t="shared" si="813"/>
        <v>100</v>
      </c>
      <c r="JR2556" s="100">
        <v>1</v>
      </c>
      <c r="ON2556" s="100">
        <f t="shared" si="804"/>
        <v>0</v>
      </c>
    </row>
    <row r="2557" spans="1:404" ht="23.25" customHeight="1">
      <c r="A2557" s="127" t="str">
        <f>D2557&amp;E2558</f>
        <v>001/INTERCOOP-VG_SR-2166-70300-02-B</v>
      </c>
      <c r="B2557" s="126">
        <v>44485</v>
      </c>
      <c r="C2557" s="97">
        <f t="shared" ca="1" si="822"/>
        <v>-579</v>
      </c>
      <c r="D2557" s="208" t="s">
        <v>2046</v>
      </c>
      <c r="E2557" s="226" t="s">
        <v>2047</v>
      </c>
      <c r="F2557" s="132" t="str">
        <f t="shared" si="817"/>
        <v>-B</v>
      </c>
      <c r="G2557" s="130">
        <f ca="1">SUMIF($A:E,$A2557,K:K)</f>
        <v>1</v>
      </c>
      <c r="H2557" s="208" t="s">
        <v>1616</v>
      </c>
      <c r="I2557" s="175">
        <v>30</v>
      </c>
      <c r="J2557" s="131">
        <v>1</v>
      </c>
      <c r="K2557" s="160">
        <f t="shared" si="827"/>
        <v>1</v>
      </c>
      <c r="L2557" s="151">
        <f t="shared" si="829"/>
        <v>0</v>
      </c>
      <c r="M2557" s="275">
        <f t="shared" si="819"/>
        <v>0</v>
      </c>
      <c r="N2557" s="132">
        <v>1</v>
      </c>
      <c r="O2557" s="93">
        <f t="shared" ref="O2557:O2578" si="830">K2557/J2557*100</f>
        <v>100</v>
      </c>
      <c r="JR2557" s="100">
        <v>1</v>
      </c>
      <c r="ON2557" s="100">
        <f t="shared" si="804"/>
        <v>0</v>
      </c>
    </row>
    <row r="2558" spans="1:404" ht="23.25" customHeight="1">
      <c r="A2558" s="97" t="str">
        <f t="shared" ref="A2558:A2565" si="831">D2558&amp;E2558</f>
        <v>289/KHBS-2166-70300-02-B</v>
      </c>
      <c r="B2558" s="95">
        <v>44489</v>
      </c>
      <c r="C2558" s="97">
        <f t="shared" ca="1" si="822"/>
        <v>-575</v>
      </c>
      <c r="D2558" s="96" t="s">
        <v>2048</v>
      </c>
      <c r="E2558" s="94" t="s">
        <v>47</v>
      </c>
      <c r="F2558" s="98" t="str">
        <f t="shared" si="817"/>
        <v>B</v>
      </c>
      <c r="G2558" s="110">
        <f ca="1">SUMIF($A:E,$A2558,K:K)</f>
        <v>1</v>
      </c>
      <c r="H2558" s="97" t="s">
        <v>1593</v>
      </c>
      <c r="I2558" s="175">
        <v>29</v>
      </c>
      <c r="J2558" s="99">
        <v>1</v>
      </c>
      <c r="K2558" s="143">
        <f t="shared" si="827"/>
        <v>1</v>
      </c>
      <c r="L2558" s="144">
        <f t="shared" si="829"/>
        <v>0</v>
      </c>
      <c r="M2558" s="275">
        <f t="shared" si="819"/>
        <v>29</v>
      </c>
      <c r="N2558" s="98">
        <v>3</v>
      </c>
      <c r="O2558" s="93">
        <f t="shared" si="830"/>
        <v>100</v>
      </c>
      <c r="JT2558" s="100">
        <v>1</v>
      </c>
      <c r="ON2558" s="100">
        <f t="shared" si="804"/>
        <v>0</v>
      </c>
    </row>
    <row r="2559" spans="1:404" ht="23.25" customHeight="1">
      <c r="A2559" s="97" t="str">
        <f t="shared" si="831"/>
        <v>289/KHBS-2166-70300-03-B</v>
      </c>
      <c r="B2559" s="95">
        <v>44489</v>
      </c>
      <c r="C2559" s="97">
        <f t="shared" ca="1" si="822"/>
        <v>-575</v>
      </c>
      <c r="D2559" s="96" t="s">
        <v>2048</v>
      </c>
      <c r="E2559" s="94" t="s">
        <v>25</v>
      </c>
      <c r="F2559" s="98" t="str">
        <f t="shared" si="817"/>
        <v>B</v>
      </c>
      <c r="G2559" s="110">
        <f ca="1">SUMIF($A:E,$A2559,K:K)</f>
        <v>1</v>
      </c>
      <c r="H2559" s="97" t="s">
        <v>1593</v>
      </c>
      <c r="I2559" s="175">
        <v>1</v>
      </c>
      <c r="J2559" s="99">
        <v>1</v>
      </c>
      <c r="K2559" s="143">
        <f t="shared" si="827"/>
        <v>1</v>
      </c>
      <c r="L2559" s="144">
        <f t="shared" si="829"/>
        <v>0</v>
      </c>
      <c r="M2559" s="275">
        <f t="shared" si="819"/>
        <v>1</v>
      </c>
      <c r="N2559" s="98">
        <v>3</v>
      </c>
      <c r="O2559" s="93">
        <f t="shared" si="830"/>
        <v>100</v>
      </c>
      <c r="JT2559" s="100">
        <v>1</v>
      </c>
      <c r="ON2559" s="100">
        <f t="shared" si="804"/>
        <v>0</v>
      </c>
    </row>
    <row r="2560" spans="1:404" ht="23.25" customHeight="1">
      <c r="A2560" s="97" t="str">
        <f t="shared" si="831"/>
        <v>290/KHBS-2166-61337-01-B4</v>
      </c>
      <c r="B2560" s="95">
        <v>44491</v>
      </c>
      <c r="C2560" s="97">
        <f t="shared" ca="1" si="822"/>
        <v>-573</v>
      </c>
      <c r="D2560" s="96" t="s">
        <v>2049</v>
      </c>
      <c r="E2560" s="94" t="s">
        <v>1392</v>
      </c>
      <c r="F2560" s="98" t="str">
        <f t="shared" si="817"/>
        <v>B4</v>
      </c>
      <c r="G2560" s="110">
        <f ca="1">SUMIF($A:E,$A2560,K:K)</f>
        <v>1</v>
      </c>
      <c r="H2560" s="97" t="s">
        <v>1593</v>
      </c>
      <c r="I2560" s="175">
        <v>29</v>
      </c>
      <c r="J2560" s="99">
        <v>1</v>
      </c>
      <c r="K2560" s="143">
        <f t="shared" si="827"/>
        <v>1</v>
      </c>
      <c r="L2560" s="144">
        <f t="shared" ref="L2560:L2561" si="832">J2560-K2560</f>
        <v>0</v>
      </c>
      <c r="M2560" s="275">
        <f t="shared" si="819"/>
        <v>29</v>
      </c>
      <c r="N2560" s="98">
        <v>1</v>
      </c>
      <c r="O2560" s="93">
        <f t="shared" si="830"/>
        <v>100</v>
      </c>
      <c r="JT2560" s="100">
        <v>1</v>
      </c>
      <c r="ON2560" s="100">
        <f t="shared" si="804"/>
        <v>0</v>
      </c>
    </row>
    <row r="2561" spans="1:404" ht="23.25" customHeight="1">
      <c r="A2561" s="97" t="str">
        <f t="shared" si="831"/>
        <v>290/KHBS-2166-83237-01-B4</v>
      </c>
      <c r="B2561" s="95">
        <v>44491</v>
      </c>
      <c r="C2561" s="97">
        <f t="shared" ca="1" si="822"/>
        <v>-573</v>
      </c>
      <c r="D2561" s="96" t="s">
        <v>2049</v>
      </c>
      <c r="E2561" s="94" t="s">
        <v>1105</v>
      </c>
      <c r="F2561" s="98" t="str">
        <f t="shared" si="817"/>
        <v>B4</v>
      </c>
      <c r="G2561" s="110">
        <f ca="1">SUMIF($A:E,$A2561,K:K)</f>
        <v>4</v>
      </c>
      <c r="H2561" s="97" t="s">
        <v>1593</v>
      </c>
      <c r="I2561" s="175">
        <v>30</v>
      </c>
      <c r="J2561" s="99">
        <v>4</v>
      </c>
      <c r="K2561" s="143">
        <f t="shared" si="827"/>
        <v>4</v>
      </c>
      <c r="L2561" s="144">
        <f t="shared" si="832"/>
        <v>0</v>
      </c>
      <c r="M2561" s="275">
        <f t="shared" si="819"/>
        <v>30</v>
      </c>
      <c r="N2561" s="98">
        <v>2</v>
      </c>
      <c r="O2561" s="93">
        <f t="shared" si="830"/>
        <v>100</v>
      </c>
      <c r="JX2561" s="100">
        <v>4</v>
      </c>
      <c r="ON2561" s="100">
        <f t="shared" si="804"/>
        <v>0</v>
      </c>
    </row>
    <row r="2562" spans="1:404" ht="23.25" customHeight="1">
      <c r="A2562" s="97" t="str">
        <f t="shared" si="831"/>
        <v>291/KHBS-2166-87200-02-B</v>
      </c>
      <c r="B2562" s="95">
        <v>44491</v>
      </c>
      <c r="C2562" s="97">
        <f t="shared" ca="1" si="822"/>
        <v>-573</v>
      </c>
      <c r="D2562" s="96" t="s">
        <v>2050</v>
      </c>
      <c r="E2562" s="94" t="s">
        <v>1541</v>
      </c>
      <c r="F2562" s="98" t="str">
        <f t="shared" si="817"/>
        <v>B</v>
      </c>
      <c r="G2562" s="110">
        <f ca="1">SUMIF($A:E,$A2562,K:K)</f>
        <v>1</v>
      </c>
      <c r="H2562" s="97" t="s">
        <v>1593</v>
      </c>
      <c r="I2562" s="175">
        <v>32</v>
      </c>
      <c r="J2562" s="99">
        <v>1</v>
      </c>
      <c r="K2562" s="143">
        <f t="shared" si="827"/>
        <v>1</v>
      </c>
      <c r="L2562" s="144">
        <f t="shared" ref="L2562" si="833">J2562-K2562</f>
        <v>0</v>
      </c>
      <c r="M2562" s="275">
        <f t="shared" si="819"/>
        <v>32</v>
      </c>
      <c r="N2562" s="98" t="s">
        <v>1776</v>
      </c>
      <c r="O2562" s="93">
        <f t="shared" si="830"/>
        <v>100</v>
      </c>
      <c r="JV2562" s="100">
        <v>1</v>
      </c>
      <c r="ON2562" s="100">
        <f t="shared" si="804"/>
        <v>0</v>
      </c>
    </row>
    <row r="2563" spans="1:404" ht="23.25" customHeight="1">
      <c r="A2563" s="97" t="str">
        <f t="shared" si="831"/>
        <v>292/KHBS-2166-77712-02-B</v>
      </c>
      <c r="B2563" s="95">
        <v>44491</v>
      </c>
      <c r="C2563" s="97">
        <f t="shared" ca="1" si="822"/>
        <v>-573</v>
      </c>
      <c r="D2563" s="96" t="s">
        <v>2054</v>
      </c>
      <c r="E2563" s="94" t="s">
        <v>1535</v>
      </c>
      <c r="F2563" s="98" t="str">
        <f t="shared" si="817"/>
        <v>B</v>
      </c>
      <c r="G2563" s="110">
        <f ca="1">SUMIF($A:E,$A2563,K:K)</f>
        <v>15</v>
      </c>
      <c r="H2563" s="97" t="s">
        <v>1593</v>
      </c>
      <c r="I2563" s="175">
        <v>62</v>
      </c>
      <c r="J2563" s="99">
        <v>15</v>
      </c>
      <c r="K2563" s="143">
        <f t="shared" si="827"/>
        <v>15</v>
      </c>
      <c r="L2563" s="144">
        <f t="shared" ref="L2563:L2567" si="834">J2563-K2563</f>
        <v>0</v>
      </c>
      <c r="M2563" s="275">
        <f t="shared" si="819"/>
        <v>62</v>
      </c>
      <c r="N2563" s="98">
        <v>3</v>
      </c>
      <c r="O2563" s="93">
        <f t="shared" si="830"/>
        <v>100</v>
      </c>
      <c r="JX2563" s="100">
        <v>8</v>
      </c>
      <c r="JY2563" s="100">
        <v>7</v>
      </c>
      <c r="ON2563" s="100">
        <f t="shared" si="804"/>
        <v>0</v>
      </c>
    </row>
    <row r="2564" spans="1:404" ht="23.25" customHeight="1">
      <c r="A2564" s="97" t="str">
        <f t="shared" si="831"/>
        <v>292/KHBS-2166-77712-03-B</v>
      </c>
      <c r="B2564" s="95">
        <v>44491</v>
      </c>
      <c r="C2564" s="97">
        <f t="shared" ca="1" si="822"/>
        <v>-573</v>
      </c>
      <c r="D2564" s="96" t="s">
        <v>2054</v>
      </c>
      <c r="E2564" s="94" t="s">
        <v>1262</v>
      </c>
      <c r="F2564" s="98" t="str">
        <f t="shared" si="817"/>
        <v>B</v>
      </c>
      <c r="G2564" s="110">
        <f ca="1">SUMIF($A:E,$A2564,K:K)</f>
        <v>10</v>
      </c>
      <c r="H2564" s="97" t="s">
        <v>1593</v>
      </c>
      <c r="I2564" s="175">
        <v>30</v>
      </c>
      <c r="J2564" s="99">
        <v>10</v>
      </c>
      <c r="K2564" s="143">
        <f t="shared" si="827"/>
        <v>10</v>
      </c>
      <c r="L2564" s="144">
        <f t="shared" si="834"/>
        <v>0</v>
      </c>
      <c r="M2564" s="275">
        <f t="shared" si="819"/>
        <v>30</v>
      </c>
      <c r="N2564" s="98">
        <v>3</v>
      </c>
      <c r="O2564" s="93">
        <f t="shared" si="830"/>
        <v>100</v>
      </c>
      <c r="JX2564" s="100">
        <v>5</v>
      </c>
      <c r="JY2564" s="100">
        <v>5</v>
      </c>
      <c r="ON2564" s="100">
        <f t="shared" ref="ON2564:ON2627" si="835">SUM(NS2564:OM2564)</f>
        <v>0</v>
      </c>
    </row>
    <row r="2565" spans="1:404" ht="23.25" customHeight="1">
      <c r="A2565" s="97" t="str">
        <f t="shared" si="831"/>
        <v>292/KHBS-2166-77712-04-B</v>
      </c>
      <c r="B2565" s="95">
        <v>44491</v>
      </c>
      <c r="C2565" s="97">
        <f t="shared" ca="1" si="822"/>
        <v>-573</v>
      </c>
      <c r="D2565" s="96" t="s">
        <v>2054</v>
      </c>
      <c r="E2565" s="94" t="s">
        <v>806</v>
      </c>
      <c r="F2565" s="98" t="str">
        <f t="shared" si="817"/>
        <v>B</v>
      </c>
      <c r="G2565" s="110">
        <f ca="1">SUMIF($A:E,$A2565,K:K)</f>
        <v>9</v>
      </c>
      <c r="H2565" s="97" t="s">
        <v>1593</v>
      </c>
      <c r="I2565" s="175">
        <v>16</v>
      </c>
      <c r="J2565" s="99">
        <v>9</v>
      </c>
      <c r="K2565" s="143">
        <f t="shared" si="827"/>
        <v>9</v>
      </c>
      <c r="L2565" s="144">
        <f t="shared" si="834"/>
        <v>0</v>
      </c>
      <c r="M2565" s="275">
        <f t="shared" si="819"/>
        <v>16</v>
      </c>
      <c r="N2565" s="98">
        <v>3</v>
      </c>
      <c r="O2565" s="93">
        <f t="shared" si="830"/>
        <v>100</v>
      </c>
      <c r="JX2565" s="100">
        <v>9</v>
      </c>
      <c r="ON2565" s="100">
        <f t="shared" si="835"/>
        <v>0</v>
      </c>
    </row>
    <row r="2566" spans="1:404" ht="23.25" customHeight="1">
      <c r="A2566" s="127"/>
      <c r="B2566" s="126">
        <v>44487</v>
      </c>
      <c r="C2566" s="127">
        <f t="shared" ca="1" si="822"/>
        <v>-577</v>
      </c>
      <c r="D2566" s="272" t="s">
        <v>2044</v>
      </c>
      <c r="E2566" s="273" t="s">
        <v>1703</v>
      </c>
      <c r="F2566" s="132" t="str">
        <f t="shared" si="817"/>
        <v>B4</v>
      </c>
      <c r="G2566" s="130">
        <f ca="1">SUMIF($A:E,$A2566,K:K)</f>
        <v>4</v>
      </c>
      <c r="H2566" s="223" t="s">
        <v>2045</v>
      </c>
      <c r="I2566" s="175">
        <v>4</v>
      </c>
      <c r="J2566" s="131">
        <v>1</v>
      </c>
      <c r="K2566" s="160">
        <f t="shared" si="827"/>
        <v>1</v>
      </c>
      <c r="L2566" s="151">
        <f t="shared" si="834"/>
        <v>0</v>
      </c>
      <c r="M2566" s="275">
        <f t="shared" si="819"/>
        <v>4</v>
      </c>
      <c r="N2566" s="132">
        <v>2</v>
      </c>
      <c r="O2566" s="93">
        <f t="shared" si="830"/>
        <v>100</v>
      </c>
      <c r="JU2566" s="100">
        <v>1</v>
      </c>
      <c r="ON2566" s="100">
        <f t="shared" si="835"/>
        <v>0</v>
      </c>
    </row>
    <row r="2567" spans="1:404" ht="23.25" customHeight="1">
      <c r="A2567" s="97" t="str">
        <f t="shared" ref="A2567:A2584" si="836">D2567&amp;E2568</f>
        <v>013/NOIDIA-2166-70300-02-B</v>
      </c>
      <c r="B2567" s="95">
        <v>44494</v>
      </c>
      <c r="C2567" s="97">
        <f t="shared" ca="1" si="822"/>
        <v>-570</v>
      </c>
      <c r="D2567" s="96" t="s">
        <v>2057</v>
      </c>
      <c r="E2567" s="94" t="s">
        <v>531</v>
      </c>
      <c r="F2567" s="98" t="str">
        <f t="shared" si="817"/>
        <v>B</v>
      </c>
      <c r="G2567" s="110">
        <f ca="1">SUMIF($A:E,$A2567,K:K)</f>
        <v>2</v>
      </c>
      <c r="H2567" s="97" t="s">
        <v>2056</v>
      </c>
      <c r="I2567" s="175">
        <v>2</v>
      </c>
      <c r="J2567" s="99">
        <v>2</v>
      </c>
      <c r="K2567" s="143">
        <f t="shared" si="827"/>
        <v>2</v>
      </c>
      <c r="L2567" s="144">
        <f t="shared" si="834"/>
        <v>0</v>
      </c>
      <c r="M2567" s="275">
        <f t="shared" si="819"/>
        <v>2</v>
      </c>
      <c r="N2567" s="98">
        <v>3</v>
      </c>
      <c r="O2567" s="93">
        <f t="shared" si="830"/>
        <v>100</v>
      </c>
      <c r="JW2567" s="100">
        <v>2</v>
      </c>
      <c r="ON2567" s="100">
        <f t="shared" si="835"/>
        <v>0</v>
      </c>
    </row>
    <row r="2568" spans="1:404" ht="23.25" customHeight="1">
      <c r="A2568" s="97" t="str">
        <f t="shared" si="836"/>
        <v>013/NOIDIA-2166-70300-03-B</v>
      </c>
      <c r="B2568" s="95">
        <v>44494</v>
      </c>
      <c r="C2568" s="97">
        <f t="shared" ca="1" si="822"/>
        <v>-570</v>
      </c>
      <c r="D2568" s="96" t="s">
        <v>2057</v>
      </c>
      <c r="E2568" s="94" t="s">
        <v>47</v>
      </c>
      <c r="F2568" s="98" t="str">
        <f t="shared" si="817"/>
        <v>B</v>
      </c>
      <c r="G2568" s="110">
        <f ca="1">SUMIF($A:E,$A2568,K:K)</f>
        <v>2</v>
      </c>
      <c r="H2568" s="97" t="s">
        <v>2056</v>
      </c>
      <c r="I2568" s="175">
        <v>16</v>
      </c>
      <c r="J2568" s="99">
        <v>2</v>
      </c>
      <c r="K2568" s="143">
        <f t="shared" si="827"/>
        <v>2</v>
      </c>
      <c r="L2568" s="144">
        <f t="shared" ref="L2568:L2575" si="837">J2568-K2568</f>
        <v>0</v>
      </c>
      <c r="M2568" s="275">
        <f t="shared" si="819"/>
        <v>16</v>
      </c>
      <c r="N2568" s="98">
        <v>3</v>
      </c>
      <c r="O2568" s="93">
        <f t="shared" si="830"/>
        <v>100</v>
      </c>
      <c r="JW2568" s="100">
        <v>2</v>
      </c>
      <c r="ON2568" s="100">
        <f t="shared" si="835"/>
        <v>0</v>
      </c>
    </row>
    <row r="2569" spans="1:404" ht="23.25" customHeight="1">
      <c r="A2569" s="97" t="str">
        <f t="shared" si="836"/>
        <v>013/NOIDIA-2166-83200-01-B</v>
      </c>
      <c r="B2569" s="95">
        <v>44494</v>
      </c>
      <c r="C2569" s="97">
        <f t="shared" ca="1" si="822"/>
        <v>-570</v>
      </c>
      <c r="D2569" s="96" t="s">
        <v>2057</v>
      </c>
      <c r="E2569" s="94" t="s">
        <v>25</v>
      </c>
      <c r="F2569" s="98" t="str">
        <f t="shared" si="817"/>
        <v>B</v>
      </c>
      <c r="G2569" s="110">
        <f ca="1">SUMIF($A:E,$A2569,K:K)</f>
        <v>2</v>
      </c>
      <c r="H2569" s="97" t="s">
        <v>2056</v>
      </c>
      <c r="I2569" s="175">
        <v>2</v>
      </c>
      <c r="J2569" s="99">
        <v>2</v>
      </c>
      <c r="K2569" s="143">
        <f t="shared" si="827"/>
        <v>2</v>
      </c>
      <c r="L2569" s="144">
        <f t="shared" si="837"/>
        <v>0</v>
      </c>
      <c r="M2569" s="275">
        <f t="shared" si="819"/>
        <v>2</v>
      </c>
      <c r="N2569" s="98">
        <v>3</v>
      </c>
      <c r="O2569" s="93">
        <f t="shared" si="830"/>
        <v>100</v>
      </c>
      <c r="JW2569" s="100">
        <v>2</v>
      </c>
      <c r="ON2569" s="100">
        <f t="shared" si="835"/>
        <v>0</v>
      </c>
    </row>
    <row r="2570" spans="1:404" ht="23.25" customHeight="1">
      <c r="A2570" s="97" t="str">
        <f t="shared" si="836"/>
        <v>013/NOIDIA-2166-83200-02-B</v>
      </c>
      <c r="B2570" s="95">
        <v>44494</v>
      </c>
      <c r="C2570" s="97">
        <f t="shared" ca="1" si="822"/>
        <v>-570</v>
      </c>
      <c r="D2570" s="96" t="s">
        <v>2057</v>
      </c>
      <c r="E2570" s="94" t="s">
        <v>901</v>
      </c>
      <c r="F2570" s="98" t="str">
        <f t="shared" si="817"/>
        <v>B</v>
      </c>
      <c r="G2570" s="110">
        <f ca="1">SUMIF($A:E,$A2570,K:K)</f>
        <v>3</v>
      </c>
      <c r="H2570" s="97" t="s">
        <v>2056</v>
      </c>
      <c r="I2570" s="175">
        <v>36</v>
      </c>
      <c r="J2570" s="99">
        <v>3</v>
      </c>
      <c r="K2570" s="143">
        <f t="shared" si="827"/>
        <v>3</v>
      </c>
      <c r="L2570" s="144">
        <f t="shared" si="837"/>
        <v>0</v>
      </c>
      <c r="M2570" s="275">
        <f t="shared" si="819"/>
        <v>36</v>
      </c>
      <c r="N2570" s="98">
        <v>3</v>
      </c>
      <c r="O2570" s="93">
        <f t="shared" si="830"/>
        <v>100</v>
      </c>
      <c r="JW2570" s="100">
        <v>2</v>
      </c>
      <c r="KA2570" s="100">
        <v>1</v>
      </c>
      <c r="ON2570" s="100">
        <f t="shared" si="835"/>
        <v>0</v>
      </c>
    </row>
    <row r="2571" spans="1:404" ht="23.25" customHeight="1">
      <c r="A2571" s="97" t="str">
        <f t="shared" si="836"/>
        <v>013/NOIDIA-2166-88200-01-B</v>
      </c>
      <c r="B2571" s="95">
        <v>44494</v>
      </c>
      <c r="C2571" s="97">
        <f t="shared" ca="1" si="822"/>
        <v>-570</v>
      </c>
      <c r="D2571" s="96" t="s">
        <v>2057</v>
      </c>
      <c r="E2571" s="94" t="s">
        <v>850</v>
      </c>
      <c r="F2571" s="98" t="str">
        <f t="shared" ref="F2571:F2602" si="838">MID(E2571,13,2)</f>
        <v>B</v>
      </c>
      <c r="G2571" s="110">
        <f ca="1">SUMIF($A:E,$A2571,K:K)</f>
        <v>2</v>
      </c>
      <c r="H2571" s="97" t="s">
        <v>2056</v>
      </c>
      <c r="I2571" s="175">
        <v>42</v>
      </c>
      <c r="J2571" s="99">
        <v>2</v>
      </c>
      <c r="K2571" s="143">
        <f t="shared" si="827"/>
        <v>2</v>
      </c>
      <c r="L2571" s="144">
        <f t="shared" si="837"/>
        <v>0</v>
      </c>
      <c r="M2571" s="275">
        <f t="shared" si="819"/>
        <v>42</v>
      </c>
      <c r="N2571" s="98">
        <v>3</v>
      </c>
      <c r="O2571" s="93">
        <f t="shared" si="830"/>
        <v>100</v>
      </c>
      <c r="JW2571" s="100">
        <v>2</v>
      </c>
      <c r="ON2571" s="100">
        <f t="shared" si="835"/>
        <v>0</v>
      </c>
    </row>
    <row r="2572" spans="1:404" ht="23.25" customHeight="1">
      <c r="A2572" s="97" t="str">
        <f t="shared" si="836"/>
        <v>013/NOIDIA-2180-00600-02-B</v>
      </c>
      <c r="B2572" s="95">
        <v>44494</v>
      </c>
      <c r="C2572" s="97">
        <f t="shared" ca="1" si="822"/>
        <v>-570</v>
      </c>
      <c r="D2572" s="96" t="s">
        <v>2057</v>
      </c>
      <c r="E2572" s="94" t="s">
        <v>1923</v>
      </c>
      <c r="F2572" s="98" t="str">
        <f t="shared" si="838"/>
        <v>B</v>
      </c>
      <c r="G2572" s="110">
        <f ca="1">SUMIF($A:E,$A2572,K:K)</f>
        <v>3</v>
      </c>
      <c r="H2572" s="97" t="s">
        <v>2056</v>
      </c>
      <c r="I2572" s="175">
        <v>58</v>
      </c>
      <c r="J2572" s="99">
        <v>3</v>
      </c>
      <c r="K2572" s="143">
        <f t="shared" si="827"/>
        <v>3</v>
      </c>
      <c r="L2572" s="144">
        <f t="shared" si="837"/>
        <v>0</v>
      </c>
      <c r="M2572" s="275">
        <f t="shared" si="819"/>
        <v>58</v>
      </c>
      <c r="N2572" s="98">
        <v>3</v>
      </c>
      <c r="O2572" s="93">
        <f t="shared" si="830"/>
        <v>100</v>
      </c>
      <c r="JW2572" s="100">
        <v>2</v>
      </c>
      <c r="KA2572" s="100">
        <v>1</v>
      </c>
      <c r="ON2572" s="100">
        <f t="shared" si="835"/>
        <v>0</v>
      </c>
    </row>
    <row r="2573" spans="1:404" ht="23.25" customHeight="1">
      <c r="A2573" s="97" t="str">
        <f t="shared" si="836"/>
        <v>061A/PTSP-PT-2166-07600-01-B</v>
      </c>
      <c r="B2573" s="95">
        <v>44502</v>
      </c>
      <c r="C2573" s="97">
        <f t="shared" ca="1" si="822"/>
        <v>-562</v>
      </c>
      <c r="D2573" s="96" t="s">
        <v>2058</v>
      </c>
      <c r="E2573" s="94" t="s">
        <v>2097</v>
      </c>
      <c r="F2573" s="98" t="str">
        <f t="shared" si="838"/>
        <v>B</v>
      </c>
      <c r="G2573" s="110">
        <f ca="1">SUMIF($A:E,$A2573,K:K)</f>
        <v>10</v>
      </c>
      <c r="H2573" s="97" t="s">
        <v>508</v>
      </c>
      <c r="I2573" s="175">
        <v>40</v>
      </c>
      <c r="J2573" s="99">
        <v>10</v>
      </c>
      <c r="K2573" s="143">
        <f t="shared" si="827"/>
        <v>10</v>
      </c>
      <c r="L2573" s="144">
        <f t="shared" si="837"/>
        <v>0</v>
      </c>
      <c r="M2573" s="275">
        <f t="shared" si="819"/>
        <v>40</v>
      </c>
      <c r="N2573" s="98">
        <v>2</v>
      </c>
      <c r="O2573" s="93">
        <f t="shared" si="830"/>
        <v>100</v>
      </c>
      <c r="KF2573" s="100">
        <v>2</v>
      </c>
      <c r="KG2573" s="100">
        <v>7</v>
      </c>
      <c r="KJ2573" s="100">
        <v>1</v>
      </c>
      <c r="ON2573" s="100">
        <f t="shared" si="835"/>
        <v>0</v>
      </c>
    </row>
    <row r="2574" spans="1:404" ht="23.25" customHeight="1">
      <c r="A2574" s="97" t="str">
        <f t="shared" si="836"/>
        <v>293/KHBS-21(012T/OBI-21)66-49600-S1-B</v>
      </c>
      <c r="B2574" s="95">
        <v>44492</v>
      </c>
      <c r="C2574" s="97">
        <f t="shared" ca="1" si="822"/>
        <v>-572</v>
      </c>
      <c r="D2574" s="112" t="s">
        <v>2059</v>
      </c>
      <c r="E2574" s="123" t="s">
        <v>945</v>
      </c>
      <c r="F2574" s="98" t="str">
        <f t="shared" si="838"/>
        <v>B</v>
      </c>
      <c r="G2574" s="110">
        <f ca="1">SUMIF($A:E,$A2574,K:K)</f>
        <v>2</v>
      </c>
      <c r="H2574" s="97" t="s">
        <v>1593</v>
      </c>
      <c r="I2574" s="175">
        <v>48</v>
      </c>
      <c r="J2574" s="115">
        <v>2</v>
      </c>
      <c r="K2574" s="143">
        <f t="shared" si="827"/>
        <v>2</v>
      </c>
      <c r="L2574" s="144">
        <f t="shared" si="837"/>
        <v>0</v>
      </c>
      <c r="M2574" s="275">
        <f t="shared" si="819"/>
        <v>48</v>
      </c>
      <c r="N2574" s="98">
        <v>2</v>
      </c>
      <c r="O2574" s="93">
        <f t="shared" si="830"/>
        <v>100</v>
      </c>
      <c r="JY2574" s="100">
        <v>2</v>
      </c>
      <c r="ON2574" s="100">
        <f t="shared" si="835"/>
        <v>0</v>
      </c>
    </row>
    <row r="2575" spans="1:404" ht="23.25" customHeight="1">
      <c r="A2575" s="97" t="str">
        <f t="shared" si="836"/>
        <v>299/KHBS-2166-06402-01-B</v>
      </c>
      <c r="B2575" s="95">
        <v>44502</v>
      </c>
      <c r="C2575" s="97">
        <f t="shared" ca="1" si="822"/>
        <v>-562</v>
      </c>
      <c r="D2575" s="112" t="s">
        <v>2098</v>
      </c>
      <c r="E2575" s="123" t="s">
        <v>1176</v>
      </c>
      <c r="F2575" s="98" t="str">
        <f t="shared" si="838"/>
        <v>B</v>
      </c>
      <c r="G2575" s="110">
        <f ca="1">SUMIF($A:E,$A2575,K:K)</f>
        <v>3</v>
      </c>
      <c r="H2575" s="97" t="s">
        <v>1593</v>
      </c>
      <c r="I2575" s="175">
        <v>100</v>
      </c>
      <c r="J2575" s="204">
        <v>2</v>
      </c>
      <c r="K2575" s="143">
        <f t="shared" si="827"/>
        <v>2</v>
      </c>
      <c r="L2575" s="144">
        <f t="shared" si="837"/>
        <v>0</v>
      </c>
      <c r="M2575" s="275">
        <f t="shared" si="819"/>
        <v>100</v>
      </c>
      <c r="N2575" s="98">
        <v>1</v>
      </c>
      <c r="O2575" s="93">
        <f t="shared" si="830"/>
        <v>100</v>
      </c>
      <c r="KG2575" s="100">
        <v>2</v>
      </c>
      <c r="ON2575" s="100">
        <f t="shared" si="835"/>
        <v>0</v>
      </c>
    </row>
    <row r="2576" spans="1:404" ht="23.25" customHeight="1">
      <c r="A2576" s="97" t="str">
        <f t="shared" si="836"/>
        <v>296/KHBS-21(004/MARSHALLS-21)66-06402-03-B</v>
      </c>
      <c r="B2576" s="95">
        <v>44496</v>
      </c>
      <c r="C2576" s="97">
        <f t="shared" ca="1" si="822"/>
        <v>-568</v>
      </c>
      <c r="D2576" s="112" t="s">
        <v>2060</v>
      </c>
      <c r="E2576" s="123" t="s">
        <v>1821</v>
      </c>
      <c r="F2576" s="98" t="str">
        <f t="shared" si="838"/>
        <v>B</v>
      </c>
      <c r="G2576" s="110">
        <f ca="1">SUMIF($A:E,$A2576,K:K)</f>
        <v>1</v>
      </c>
      <c r="H2576" s="97" t="s">
        <v>1593</v>
      </c>
      <c r="I2576" s="175">
        <v>96</v>
      </c>
      <c r="J2576" s="115">
        <v>1</v>
      </c>
      <c r="K2576" s="143">
        <f t="shared" si="827"/>
        <v>1</v>
      </c>
      <c r="L2576" s="144">
        <f t="shared" ref="L2576:L2580" si="839">J2576-K2576</f>
        <v>0</v>
      </c>
      <c r="M2576" s="275">
        <f t="shared" si="819"/>
        <v>96</v>
      </c>
      <c r="N2576" s="211">
        <v>4</v>
      </c>
      <c r="O2576" s="93">
        <f t="shared" si="830"/>
        <v>100</v>
      </c>
      <c r="KA2576" s="100">
        <v>1</v>
      </c>
      <c r="ON2576" s="100">
        <f t="shared" si="835"/>
        <v>0</v>
      </c>
    </row>
    <row r="2577" spans="1:404" ht="23.25" customHeight="1">
      <c r="A2577" s="97" t="str">
        <f t="shared" si="836"/>
        <v>296/KHBS-21(004/MARSHALLS-21)66-49600-S1-B</v>
      </c>
      <c r="B2577" s="95">
        <v>44496</v>
      </c>
      <c r="C2577" s="97">
        <f t="shared" ca="1" si="822"/>
        <v>-568</v>
      </c>
      <c r="D2577" s="112" t="s">
        <v>2060</v>
      </c>
      <c r="E2577" s="123" t="s">
        <v>1207</v>
      </c>
      <c r="F2577" s="98" t="str">
        <f t="shared" si="838"/>
        <v>B</v>
      </c>
      <c r="G2577" s="110">
        <f ca="1">SUMIF($A:E,$A2577,K:K)</f>
        <v>1</v>
      </c>
      <c r="H2577" s="97" t="s">
        <v>1593</v>
      </c>
      <c r="I2577" s="175">
        <v>72</v>
      </c>
      <c r="J2577" s="115">
        <v>1</v>
      </c>
      <c r="K2577" s="143">
        <f t="shared" si="827"/>
        <v>1</v>
      </c>
      <c r="L2577" s="144">
        <f t="shared" si="839"/>
        <v>0</v>
      </c>
      <c r="M2577" s="275">
        <f t="shared" si="819"/>
        <v>72</v>
      </c>
      <c r="N2577" s="211">
        <v>4</v>
      </c>
      <c r="O2577" s="93">
        <f t="shared" si="830"/>
        <v>100</v>
      </c>
      <c r="KA2577" s="100">
        <v>1</v>
      </c>
      <c r="ON2577" s="100">
        <f t="shared" si="835"/>
        <v>0</v>
      </c>
    </row>
    <row r="2578" spans="1:404" ht="23.25" customHeight="1">
      <c r="A2578" s="97" t="str">
        <f t="shared" si="836"/>
        <v>296/KHBS-21(037/POTTERYBARN-21) 68-54500-02-B</v>
      </c>
      <c r="B2578" s="95">
        <v>44496</v>
      </c>
      <c r="C2578" s="97">
        <f t="shared" ca="1" si="822"/>
        <v>-568</v>
      </c>
      <c r="D2578" s="112" t="s">
        <v>2061</v>
      </c>
      <c r="E2578" s="123" t="s">
        <v>1176</v>
      </c>
      <c r="F2578" s="98" t="str">
        <f t="shared" si="838"/>
        <v>B</v>
      </c>
      <c r="G2578" s="110">
        <f ca="1">SUMIF($A:E,$A2578,K:K)</f>
        <v>1</v>
      </c>
      <c r="H2578" s="97" t="s">
        <v>1593</v>
      </c>
      <c r="I2578" s="175">
        <v>64</v>
      </c>
      <c r="J2578" s="115">
        <v>1</v>
      </c>
      <c r="K2578" s="143">
        <f t="shared" si="827"/>
        <v>1</v>
      </c>
      <c r="L2578" s="144">
        <f t="shared" si="839"/>
        <v>0</v>
      </c>
      <c r="M2578" s="275">
        <f t="shared" si="819"/>
        <v>64</v>
      </c>
      <c r="N2578" s="211">
        <v>1</v>
      </c>
      <c r="O2578" s="93">
        <f t="shared" si="830"/>
        <v>100</v>
      </c>
      <c r="KA2578" s="100">
        <v>1</v>
      </c>
      <c r="ON2578" s="100">
        <f t="shared" si="835"/>
        <v>0</v>
      </c>
    </row>
    <row r="2579" spans="1:404" ht="23.25" customHeight="1">
      <c r="A2579" s="97" t="str">
        <f t="shared" si="836"/>
        <v>296/KHBS-21(002/MES-21)66-55137-01-B4</v>
      </c>
      <c r="B2579" s="126">
        <v>44496</v>
      </c>
      <c r="C2579" s="127">
        <f t="shared" ca="1" si="822"/>
        <v>-568</v>
      </c>
      <c r="D2579" s="208" t="s">
        <v>2062</v>
      </c>
      <c r="E2579" s="226" t="s">
        <v>2063</v>
      </c>
      <c r="F2579" s="132" t="str">
        <f t="shared" si="838"/>
        <v>-B</v>
      </c>
      <c r="G2579" s="130">
        <f ca="1">SUMIF($A:E,$A2579,K:K)</f>
        <v>1</v>
      </c>
      <c r="H2579" s="127" t="s">
        <v>1593</v>
      </c>
      <c r="I2579" s="175">
        <v>72</v>
      </c>
      <c r="J2579" s="134">
        <v>1</v>
      </c>
      <c r="K2579" s="160">
        <f t="shared" si="827"/>
        <v>1</v>
      </c>
      <c r="L2579" s="151">
        <f t="shared" si="839"/>
        <v>0</v>
      </c>
      <c r="M2579" s="275">
        <f t="shared" si="819"/>
        <v>0</v>
      </c>
      <c r="N2579" s="245">
        <v>2</v>
      </c>
      <c r="O2579" s="228">
        <f t="shared" ref="O2579:O2611" si="840">K2579/J2579*100</f>
        <v>100</v>
      </c>
      <c r="KD2579" s="100">
        <v>1</v>
      </c>
      <c r="ON2579" s="100">
        <f t="shared" si="835"/>
        <v>0</v>
      </c>
    </row>
    <row r="2580" spans="1:404" ht="23.25" customHeight="1">
      <c r="A2580" s="139" t="str">
        <f t="shared" si="836"/>
        <v>296/KHBS-21( 005/HOMEGOODS-21)66-51712-S2-B</v>
      </c>
      <c r="B2580" s="291">
        <v>44496</v>
      </c>
      <c r="C2580" s="292">
        <f t="shared" ca="1" si="822"/>
        <v>-568</v>
      </c>
      <c r="D2580" s="293" t="s">
        <v>2064</v>
      </c>
      <c r="E2580" s="294" t="s">
        <v>1094</v>
      </c>
      <c r="F2580" s="295" t="str">
        <f t="shared" si="838"/>
        <v>B4</v>
      </c>
      <c r="G2580" s="296">
        <f ca="1">SUMIF($A:E,$A2580,K:K)</f>
        <v>1</v>
      </c>
      <c r="H2580" s="292" t="s">
        <v>1593</v>
      </c>
      <c r="I2580" s="175">
        <v>36</v>
      </c>
      <c r="J2580" s="297">
        <v>1</v>
      </c>
      <c r="K2580" s="298">
        <f t="shared" si="827"/>
        <v>1</v>
      </c>
      <c r="L2580" s="299">
        <f t="shared" si="839"/>
        <v>0</v>
      </c>
      <c r="M2580" s="275">
        <f t="shared" si="819"/>
        <v>36</v>
      </c>
      <c r="N2580" s="300">
        <v>2</v>
      </c>
      <c r="O2580" s="93">
        <f t="shared" si="840"/>
        <v>100</v>
      </c>
      <c r="KE2580" s="100">
        <v>1</v>
      </c>
      <c r="ON2580" s="100">
        <f t="shared" si="835"/>
        <v>0</v>
      </c>
    </row>
    <row r="2581" spans="1:404" ht="23.25" customHeight="1">
      <c r="A2581" s="97" t="str">
        <f t="shared" si="836"/>
        <v>002/MACKOO-VG-21 Đ166-55412-B2-B</v>
      </c>
      <c r="B2581" s="114">
        <v>44673</v>
      </c>
      <c r="C2581" s="138">
        <f t="shared" ca="1" si="822"/>
        <v>-391</v>
      </c>
      <c r="D2581" s="262" t="s">
        <v>2066</v>
      </c>
      <c r="E2581" s="261" t="s">
        <v>422</v>
      </c>
      <c r="F2581" s="133" t="str">
        <f t="shared" si="838"/>
        <v>B</v>
      </c>
      <c r="G2581" s="140">
        <f ca="1">SUMIF($A:E,$A2581,K:K)</f>
        <v>0</v>
      </c>
      <c r="H2581" s="138" t="s">
        <v>1593</v>
      </c>
      <c r="I2581" s="175">
        <v>760</v>
      </c>
      <c r="J2581" s="290">
        <v>760</v>
      </c>
      <c r="K2581" s="230">
        <f t="shared" si="827"/>
        <v>0</v>
      </c>
      <c r="L2581" s="155">
        <f t="shared" ref="L2581:L2600" si="841">J2581-K2581</f>
        <v>760</v>
      </c>
      <c r="M2581" s="275">
        <f t="shared" si="819"/>
        <v>1520</v>
      </c>
      <c r="N2581" s="133">
        <v>4</v>
      </c>
      <c r="O2581" s="93">
        <f t="shared" si="840"/>
        <v>0</v>
      </c>
      <c r="ON2581" s="100">
        <f t="shared" si="835"/>
        <v>0</v>
      </c>
    </row>
    <row r="2582" spans="1:404" ht="23.25" customHeight="1">
      <c r="A2582" s="97" t="str">
        <f t="shared" si="836"/>
        <v>002/MACKOO-VG-21 Đ166-51712-S2-B</v>
      </c>
      <c r="B2582" s="95">
        <v>44626</v>
      </c>
      <c r="C2582" s="97">
        <f t="shared" ca="1" si="822"/>
        <v>-438</v>
      </c>
      <c r="D2582" s="96" t="s">
        <v>2066</v>
      </c>
      <c r="E2582" s="94" t="s">
        <v>1004</v>
      </c>
      <c r="F2582" s="98" t="str">
        <f t="shared" si="838"/>
        <v>B</v>
      </c>
      <c r="G2582" s="110">
        <f ca="1">SUMIF($A:E,$A2582,K:K)</f>
        <v>1241</v>
      </c>
      <c r="H2582" s="97" t="s">
        <v>1593</v>
      </c>
      <c r="I2582" s="175">
        <v>948</v>
      </c>
      <c r="J2582" s="99">
        <v>948</v>
      </c>
      <c r="K2582" s="160">
        <f t="shared" si="827"/>
        <v>1241</v>
      </c>
      <c r="L2582" s="151">
        <f t="shared" si="841"/>
        <v>-293</v>
      </c>
      <c r="M2582" s="275">
        <f t="shared" si="819"/>
        <v>1896</v>
      </c>
      <c r="N2582" s="98">
        <v>3</v>
      </c>
      <c r="O2582" s="93">
        <f t="shared" si="840"/>
        <v>130.9071729957806</v>
      </c>
      <c r="MG2582" s="100">
        <v>27</v>
      </c>
      <c r="MH2582" s="100">
        <v>22</v>
      </c>
      <c r="MK2582" s="100">
        <v>22</v>
      </c>
      <c r="ML2582" s="100">
        <v>22</v>
      </c>
      <c r="MM2582" s="100">
        <v>22</v>
      </c>
      <c r="MN2582" s="100">
        <v>22</v>
      </c>
      <c r="MO2582" s="100">
        <v>14</v>
      </c>
      <c r="MP2582" s="100">
        <v>30</v>
      </c>
      <c r="MR2582" s="100">
        <v>44</v>
      </c>
      <c r="MT2582" s="100">
        <v>33</v>
      </c>
      <c r="MU2582" s="100">
        <v>27</v>
      </c>
      <c r="MW2582" s="100">
        <v>16</v>
      </c>
      <c r="MX2582" s="100">
        <v>28</v>
      </c>
      <c r="MZ2582" s="100">
        <v>20</v>
      </c>
      <c r="NA2582" s="100">
        <v>22</v>
      </c>
      <c r="ND2582" s="100">
        <f>24-6</f>
        <v>18</v>
      </c>
      <c r="NF2582" s="100">
        <v>41</v>
      </c>
      <c r="NG2582" s="100">
        <v>11</v>
      </c>
      <c r="NI2582" s="100">
        <v>33</v>
      </c>
      <c r="NK2582" s="100">
        <v>22</v>
      </c>
      <c r="NL2582" s="100">
        <v>14</v>
      </c>
      <c r="NM2582" s="100">
        <v>6</v>
      </c>
      <c r="NN2582" s="100">
        <v>9</v>
      </c>
      <c r="NS2582" s="100">
        <v>11</v>
      </c>
      <c r="NT2582" s="100">
        <v>22</v>
      </c>
      <c r="NU2582" s="100">
        <v>22</v>
      </c>
      <c r="NV2582" s="100">
        <v>22</v>
      </c>
      <c r="NY2582" s="100">
        <v>20</v>
      </c>
      <c r="NZ2582" s="100">
        <v>21</v>
      </c>
      <c r="OA2582" s="100">
        <v>21</v>
      </c>
      <c r="OC2582" s="100">
        <v>22</v>
      </c>
      <c r="OD2582" s="100">
        <v>22</v>
      </c>
      <c r="OF2582" s="100">
        <v>22</v>
      </c>
      <c r="OG2582" s="100">
        <v>26</v>
      </c>
      <c r="OH2582" s="100">
        <v>23</v>
      </c>
      <c r="OI2582" s="100">
        <v>26</v>
      </c>
      <c r="OJ2582" s="100">
        <v>26</v>
      </c>
      <c r="OK2582" s="100">
        <v>26</v>
      </c>
      <c r="OM2582" s="100">
        <v>26</v>
      </c>
      <c r="ON2582" s="100">
        <f t="shared" si="835"/>
        <v>358</v>
      </c>
    </row>
    <row r="2583" spans="1:404" ht="23.25" customHeight="1">
      <c r="A2583" s="97" t="str">
        <f t="shared" si="836"/>
        <v>002/MACKOO-VG-21 Đ266-55412-B2-B</v>
      </c>
      <c r="B2583" s="95">
        <v>44628</v>
      </c>
      <c r="C2583" s="97">
        <f t="shared" ca="1" si="822"/>
        <v>-436</v>
      </c>
      <c r="D2583" s="96" t="s">
        <v>2067</v>
      </c>
      <c r="E2583" s="94" t="s">
        <v>422</v>
      </c>
      <c r="F2583" s="92" t="str">
        <f t="shared" si="838"/>
        <v>B</v>
      </c>
      <c r="G2583" s="109">
        <f ca="1">SUMIF($A:E,$A2583,K:K)</f>
        <v>1124</v>
      </c>
      <c r="H2583" s="97" t="s">
        <v>1593</v>
      </c>
      <c r="I2583" s="175">
        <v>760</v>
      </c>
      <c r="J2583" s="99">
        <v>760</v>
      </c>
      <c r="K2583" s="160">
        <f t="shared" si="827"/>
        <v>1124</v>
      </c>
      <c r="L2583" s="151">
        <f t="shared" si="841"/>
        <v>-364</v>
      </c>
      <c r="M2583" s="275">
        <f t="shared" si="819"/>
        <v>1520</v>
      </c>
      <c r="N2583" s="98">
        <v>4</v>
      </c>
      <c r="O2583" s="93">
        <f t="shared" si="840"/>
        <v>147.89473684210526</v>
      </c>
      <c r="MR2583" s="100">
        <v>12</v>
      </c>
      <c r="MS2583" s="100">
        <v>24</v>
      </c>
      <c r="MT2583" s="100">
        <v>12</v>
      </c>
      <c r="MU2583" s="100">
        <v>24</v>
      </c>
      <c r="MW2583" s="100">
        <v>24</v>
      </c>
      <c r="MX2583" s="100">
        <v>47</v>
      </c>
      <c r="MZ2583" s="100">
        <v>24</v>
      </c>
      <c r="NA2583" s="100">
        <v>24</v>
      </c>
      <c r="ND2583" s="100">
        <v>24</v>
      </c>
      <c r="NE2583" s="100">
        <v>23</v>
      </c>
      <c r="NF2583" s="100">
        <v>24</v>
      </c>
      <c r="NG2583" s="100">
        <v>22</v>
      </c>
      <c r="NI2583" s="100">
        <v>23</v>
      </c>
      <c r="NK2583" s="100">
        <v>23</v>
      </c>
      <c r="NL2583" s="100">
        <v>22</v>
      </c>
      <c r="NM2583" s="100">
        <v>22</v>
      </c>
      <c r="NN2583" s="100">
        <v>22</v>
      </c>
      <c r="NS2583" s="100">
        <v>26</v>
      </c>
      <c r="NT2583" s="100">
        <v>23</v>
      </c>
      <c r="NU2583" s="100">
        <v>22</v>
      </c>
      <c r="NV2583" s="100">
        <v>27</v>
      </c>
      <c r="NZ2583" s="100">
        <v>48</v>
      </c>
      <c r="OA2583" s="100">
        <v>24</v>
      </c>
      <c r="OB2583" s="100">
        <v>24</v>
      </c>
      <c r="OC2583" s="100">
        <v>24</v>
      </c>
      <c r="OD2583" s="100">
        <v>24</v>
      </c>
      <c r="OF2583" s="100">
        <v>23</v>
      </c>
      <c r="OG2583" s="100">
        <v>13</v>
      </c>
      <c r="OH2583" s="100">
        <v>23</v>
      </c>
      <c r="OI2583" s="100">
        <v>25</v>
      </c>
      <c r="OJ2583" s="100">
        <v>18</v>
      </c>
      <c r="OK2583" s="100">
        <v>20</v>
      </c>
      <c r="ON2583" s="100">
        <f t="shared" si="835"/>
        <v>364</v>
      </c>
    </row>
    <row r="2584" spans="1:404" ht="23.25" customHeight="1">
      <c r="A2584" s="127" t="str">
        <f t="shared" si="836"/>
        <v>002/MACKOO-VG-21 Đ268-72800-S4-01</v>
      </c>
      <c r="B2584" s="126">
        <v>44671</v>
      </c>
      <c r="C2584" s="127">
        <f t="shared" ca="1" si="822"/>
        <v>-393</v>
      </c>
      <c r="D2584" s="128" t="s">
        <v>2067</v>
      </c>
      <c r="E2584" s="129" t="s">
        <v>1004</v>
      </c>
      <c r="F2584" s="132" t="str">
        <f t="shared" si="838"/>
        <v>B</v>
      </c>
      <c r="G2584" s="130">
        <f ca="1">SUMIF($A:E,$A2584,K:K)</f>
        <v>0</v>
      </c>
      <c r="H2584" s="127" t="s">
        <v>1593</v>
      </c>
      <c r="I2584" s="175">
        <v>80</v>
      </c>
      <c r="J2584" s="131">
        <v>960</v>
      </c>
      <c r="K2584" s="160">
        <f t="shared" si="827"/>
        <v>0</v>
      </c>
      <c r="L2584" s="151">
        <f t="shared" si="841"/>
        <v>960</v>
      </c>
      <c r="M2584" s="275">
        <f t="shared" si="819"/>
        <v>160</v>
      </c>
      <c r="N2584" s="132"/>
      <c r="O2584" s="93">
        <f t="shared" si="840"/>
        <v>0</v>
      </c>
      <c r="ON2584" s="100">
        <f t="shared" si="835"/>
        <v>0</v>
      </c>
    </row>
    <row r="2585" spans="1:404" ht="23.25" customHeight="1">
      <c r="A2585" s="97" t="str">
        <f t="shared" ref="A2585:A2610" si="842">D2585&amp;E2585</f>
        <v>001/INTERLINE-VG-2168-72800-S4-01</v>
      </c>
      <c r="B2585" s="95">
        <v>44618</v>
      </c>
      <c r="C2585" s="97">
        <f t="shared" ca="1" si="822"/>
        <v>-446</v>
      </c>
      <c r="D2585" s="112" t="s">
        <v>2074</v>
      </c>
      <c r="E2585" s="279" t="s">
        <v>283</v>
      </c>
      <c r="F2585" s="98" t="str">
        <f t="shared" si="838"/>
        <v>01</v>
      </c>
      <c r="G2585" s="110">
        <f ca="1">SUMIF($A:E,$A2585,K:K)</f>
        <v>25</v>
      </c>
      <c r="H2585" s="97" t="s">
        <v>1086</v>
      </c>
      <c r="I2585" s="124">
        <v>672</v>
      </c>
      <c r="J2585" s="115">
        <v>25</v>
      </c>
      <c r="K2585" s="143">
        <f t="shared" si="827"/>
        <v>25</v>
      </c>
      <c r="L2585" s="144">
        <f t="shared" si="841"/>
        <v>0</v>
      </c>
      <c r="M2585" s="275">
        <f t="shared" si="819"/>
        <v>2688</v>
      </c>
      <c r="N2585" s="98" t="s">
        <v>1776</v>
      </c>
      <c r="O2585" s="93">
        <f t="shared" si="840"/>
        <v>100</v>
      </c>
      <c r="MB2585" s="100">
        <v>4</v>
      </c>
      <c r="MD2585" s="100">
        <v>2</v>
      </c>
      <c r="ME2585" s="100">
        <v>2</v>
      </c>
      <c r="MF2585" s="100">
        <v>2</v>
      </c>
      <c r="MG2585" s="100">
        <v>2</v>
      </c>
      <c r="MH2585" s="100">
        <v>2</v>
      </c>
      <c r="MK2585" s="100">
        <v>2</v>
      </c>
      <c r="ML2585" s="100">
        <v>2</v>
      </c>
      <c r="MM2585" s="100">
        <v>2</v>
      </c>
      <c r="MN2585" s="100">
        <v>2</v>
      </c>
      <c r="MO2585" s="100">
        <v>3</v>
      </c>
      <c r="ON2585" s="100">
        <f t="shared" si="835"/>
        <v>0</v>
      </c>
    </row>
    <row r="2586" spans="1:404" ht="23.25" customHeight="1">
      <c r="A2586" s="97" t="str">
        <f t="shared" si="842"/>
        <v>003/INTERLINE-VG-2168-72800-S4-01</v>
      </c>
      <c r="B2586" s="95">
        <v>44629</v>
      </c>
      <c r="C2586" s="97">
        <f t="shared" ca="1" si="822"/>
        <v>-435</v>
      </c>
      <c r="D2586" s="112" t="s">
        <v>2075</v>
      </c>
      <c r="E2586" s="279" t="s">
        <v>283</v>
      </c>
      <c r="F2586" s="98" t="str">
        <f t="shared" si="838"/>
        <v>01</v>
      </c>
      <c r="G2586" s="110">
        <f ca="1">SUMIF($A:E,$A2586,K:K)</f>
        <v>45</v>
      </c>
      <c r="H2586" s="97" t="s">
        <v>1086</v>
      </c>
      <c r="I2586" s="124">
        <v>30</v>
      </c>
      <c r="J2586" s="115">
        <v>30</v>
      </c>
      <c r="K2586" s="143">
        <f t="shared" ref="K2586:K2617" si="843">SUM(P2586:BBC2586)</f>
        <v>45</v>
      </c>
      <c r="L2586" s="144">
        <f t="shared" si="841"/>
        <v>-15</v>
      </c>
      <c r="M2586" s="275">
        <f t="shared" si="819"/>
        <v>120</v>
      </c>
      <c r="N2586" s="98" t="s">
        <v>1776</v>
      </c>
      <c r="O2586" s="93">
        <f t="shared" si="840"/>
        <v>150</v>
      </c>
      <c r="NI2586" s="100">
        <v>1</v>
      </c>
      <c r="NK2586" s="100">
        <v>4</v>
      </c>
      <c r="NM2586" s="100">
        <v>6</v>
      </c>
      <c r="NN2586" s="100">
        <v>4</v>
      </c>
      <c r="NU2586" s="100">
        <v>10</v>
      </c>
      <c r="NV2586" s="100">
        <v>3</v>
      </c>
      <c r="NY2586" s="100">
        <v>2</v>
      </c>
      <c r="ON2586" s="100">
        <f t="shared" si="835"/>
        <v>15</v>
      </c>
    </row>
    <row r="2587" spans="1:404" ht="23.25" customHeight="1">
      <c r="A2587" s="97" t="str">
        <f t="shared" si="842"/>
        <v>002/INTERLINE-VG-2168-72800-S4-01</v>
      </c>
      <c r="B2587" s="95">
        <v>44646</v>
      </c>
      <c r="C2587" s="97">
        <f t="shared" ca="1" si="822"/>
        <v>-418</v>
      </c>
      <c r="D2587" s="112" t="s">
        <v>2076</v>
      </c>
      <c r="E2587" s="279" t="s">
        <v>283</v>
      </c>
      <c r="F2587" s="98" t="str">
        <f t="shared" si="838"/>
        <v>01</v>
      </c>
      <c r="G2587" s="110">
        <f ca="1">SUMIF($A:E,$A2587,K:K)</f>
        <v>0</v>
      </c>
      <c r="H2587" s="97" t="s">
        <v>1086</v>
      </c>
      <c r="I2587" s="124">
        <v>25</v>
      </c>
      <c r="J2587" s="115">
        <v>25</v>
      </c>
      <c r="K2587" s="143">
        <f t="shared" si="843"/>
        <v>0</v>
      </c>
      <c r="L2587" s="144">
        <f t="shared" si="841"/>
        <v>25</v>
      </c>
      <c r="M2587" s="275">
        <f t="shared" si="819"/>
        <v>100</v>
      </c>
      <c r="N2587" s="98" t="s">
        <v>1776</v>
      </c>
      <c r="O2587" s="93">
        <f t="shared" si="840"/>
        <v>0</v>
      </c>
      <c r="ON2587" s="100">
        <f t="shared" si="835"/>
        <v>0</v>
      </c>
    </row>
    <row r="2588" spans="1:404" ht="23.25" customHeight="1">
      <c r="A2588" s="97" t="str">
        <f t="shared" si="842"/>
        <v>004/INTERLINE-VG-2168-72800-S4-01</v>
      </c>
      <c r="B2588" s="95">
        <v>44622</v>
      </c>
      <c r="C2588" s="97">
        <f t="shared" ca="1" si="822"/>
        <v>-442</v>
      </c>
      <c r="D2588" s="112" t="s">
        <v>2077</v>
      </c>
      <c r="E2588" s="279" t="s">
        <v>283</v>
      </c>
      <c r="F2588" s="98" t="str">
        <f t="shared" si="838"/>
        <v>01</v>
      </c>
      <c r="G2588" s="110">
        <f ca="1">SUMIF($A:E,$A2588,K:K)</f>
        <v>36</v>
      </c>
      <c r="H2588" s="97" t="s">
        <v>1086</v>
      </c>
      <c r="I2588" s="124">
        <v>36</v>
      </c>
      <c r="J2588" s="115">
        <v>36</v>
      </c>
      <c r="K2588" s="143">
        <f t="shared" si="843"/>
        <v>36</v>
      </c>
      <c r="L2588" s="144">
        <f t="shared" si="841"/>
        <v>0</v>
      </c>
      <c r="M2588" s="275">
        <f t="shared" si="819"/>
        <v>144</v>
      </c>
      <c r="N2588" s="98" t="s">
        <v>1776</v>
      </c>
      <c r="O2588" s="93">
        <f t="shared" si="840"/>
        <v>100</v>
      </c>
      <c r="MQ2588" s="100">
        <v>2</v>
      </c>
      <c r="MR2588" s="100">
        <v>2</v>
      </c>
      <c r="MS2588" s="100">
        <v>2</v>
      </c>
      <c r="MT2588" s="100">
        <v>2</v>
      </c>
      <c r="MU2588" s="100">
        <v>2</v>
      </c>
      <c r="MW2588" s="100">
        <v>2</v>
      </c>
      <c r="MX2588" s="100">
        <v>2</v>
      </c>
      <c r="MY2588" s="100">
        <v>2</v>
      </c>
      <c r="MZ2588" s="100">
        <v>2</v>
      </c>
      <c r="NA2588" s="100">
        <v>2</v>
      </c>
      <c r="ND2588" s="100">
        <v>2</v>
      </c>
      <c r="NE2588" s="100">
        <v>6</v>
      </c>
      <c r="NF2588" s="100">
        <v>4</v>
      </c>
      <c r="NG2588" s="100">
        <v>2</v>
      </c>
      <c r="NI2588" s="100">
        <v>1</v>
      </c>
      <c r="NK2588" s="100">
        <v>1</v>
      </c>
      <c r="ON2588" s="100">
        <f t="shared" si="835"/>
        <v>0</v>
      </c>
    </row>
    <row r="2589" spans="1:404" ht="23.25" customHeight="1">
      <c r="A2589" s="97" t="str">
        <f t="shared" si="842"/>
        <v>005/INTERLINE-VG-2168-72800-S4-01</v>
      </c>
      <c r="B2589" s="95">
        <v>44651</v>
      </c>
      <c r="C2589" s="97">
        <f t="shared" ca="1" si="822"/>
        <v>-413</v>
      </c>
      <c r="D2589" s="112" t="s">
        <v>2078</v>
      </c>
      <c r="E2589" s="279" t="s">
        <v>283</v>
      </c>
      <c r="F2589" s="98" t="str">
        <f t="shared" si="838"/>
        <v>01</v>
      </c>
      <c r="G2589" s="110">
        <f ca="1">SUMIF($A:E,$A2589,K:K)</f>
        <v>0</v>
      </c>
      <c r="H2589" s="97" t="s">
        <v>1086</v>
      </c>
      <c r="I2589" s="124">
        <v>32</v>
      </c>
      <c r="J2589" s="115">
        <v>32</v>
      </c>
      <c r="K2589" s="143">
        <f t="shared" si="843"/>
        <v>0</v>
      </c>
      <c r="L2589" s="144">
        <f t="shared" si="841"/>
        <v>32</v>
      </c>
      <c r="M2589" s="275">
        <f t="shared" si="819"/>
        <v>128</v>
      </c>
      <c r="N2589" s="98"/>
      <c r="O2589" s="93">
        <f t="shared" si="840"/>
        <v>0</v>
      </c>
      <c r="ON2589" s="100">
        <f t="shared" si="835"/>
        <v>0</v>
      </c>
    </row>
    <row r="2590" spans="1:404" ht="23.25" customHeight="1">
      <c r="A2590" s="97" t="str">
        <f t="shared" si="842"/>
        <v>006/INTERLINE-VG-2168-72800-S4-01</v>
      </c>
      <c r="B2590" s="95">
        <v>44646</v>
      </c>
      <c r="C2590" s="97">
        <f t="shared" ca="1" si="822"/>
        <v>-418</v>
      </c>
      <c r="D2590" s="112" t="s">
        <v>2079</v>
      </c>
      <c r="E2590" s="279" t="s">
        <v>283</v>
      </c>
      <c r="F2590" s="98" t="str">
        <f t="shared" si="838"/>
        <v>01</v>
      </c>
      <c r="G2590" s="110">
        <f ca="1">SUMIF($A:E,$A2590,K:K)</f>
        <v>0</v>
      </c>
      <c r="H2590" s="97" t="s">
        <v>1086</v>
      </c>
      <c r="I2590" s="175">
        <v>78</v>
      </c>
      <c r="J2590" s="115">
        <v>26</v>
      </c>
      <c r="K2590" s="143">
        <f t="shared" si="843"/>
        <v>0</v>
      </c>
      <c r="L2590" s="144">
        <f t="shared" si="841"/>
        <v>26</v>
      </c>
      <c r="M2590" s="275">
        <f t="shared" si="819"/>
        <v>312</v>
      </c>
      <c r="N2590" s="98"/>
      <c r="O2590" s="93">
        <f t="shared" si="840"/>
        <v>0</v>
      </c>
      <c r="ON2590" s="100">
        <f t="shared" si="835"/>
        <v>0</v>
      </c>
    </row>
    <row r="2591" spans="1:404" ht="23.25" customHeight="1">
      <c r="A2591" s="97" t="str">
        <f t="shared" si="842"/>
        <v>007/INTERLINE-VG-2168-72800-S4-01</v>
      </c>
      <c r="B2591" s="95">
        <v>44659</v>
      </c>
      <c r="C2591" s="97">
        <f t="shared" ca="1" si="822"/>
        <v>-405</v>
      </c>
      <c r="D2591" s="112" t="s">
        <v>2080</v>
      </c>
      <c r="E2591" s="279" t="s">
        <v>283</v>
      </c>
      <c r="F2591" s="98" t="str">
        <f t="shared" si="838"/>
        <v>01</v>
      </c>
      <c r="G2591" s="110">
        <f ca="1">SUMIF($A:E,$A2591,K:K)</f>
        <v>0</v>
      </c>
      <c r="H2591" s="97" t="s">
        <v>1086</v>
      </c>
      <c r="I2591" s="175">
        <v>36</v>
      </c>
      <c r="J2591" s="115">
        <v>26</v>
      </c>
      <c r="K2591" s="143">
        <f t="shared" si="843"/>
        <v>0</v>
      </c>
      <c r="L2591" s="144">
        <f t="shared" si="841"/>
        <v>26</v>
      </c>
      <c r="M2591" s="275">
        <f t="shared" si="819"/>
        <v>144</v>
      </c>
      <c r="N2591" s="98" t="s">
        <v>1776</v>
      </c>
      <c r="O2591" s="93">
        <f t="shared" si="840"/>
        <v>0</v>
      </c>
      <c r="ON2591" s="100">
        <f t="shared" si="835"/>
        <v>0</v>
      </c>
    </row>
    <row r="2592" spans="1:404" ht="23.25" customHeight="1">
      <c r="A2592" s="97" t="str">
        <f t="shared" si="842"/>
        <v>008/INTERLINE-VG-2168-72800-S4-01</v>
      </c>
      <c r="B2592" s="95">
        <v>44675</v>
      </c>
      <c r="C2592" s="97">
        <f t="shared" ca="1" si="822"/>
        <v>-389</v>
      </c>
      <c r="D2592" s="112" t="s">
        <v>2081</v>
      </c>
      <c r="E2592" s="279" t="s">
        <v>283</v>
      </c>
      <c r="F2592" s="98" t="str">
        <f t="shared" si="838"/>
        <v>01</v>
      </c>
      <c r="G2592" s="110">
        <f ca="1">SUMIF($A:E,$A2592,K:K)</f>
        <v>0</v>
      </c>
      <c r="H2592" s="97" t="s">
        <v>1086</v>
      </c>
      <c r="I2592" s="175">
        <v>22</v>
      </c>
      <c r="J2592" s="115">
        <v>22</v>
      </c>
      <c r="K2592" s="143">
        <f t="shared" si="843"/>
        <v>0</v>
      </c>
      <c r="L2592" s="144">
        <f t="shared" si="841"/>
        <v>22</v>
      </c>
      <c r="M2592" s="275">
        <f t="shared" si="819"/>
        <v>88</v>
      </c>
      <c r="N2592" s="98"/>
      <c r="O2592" s="93">
        <f t="shared" si="840"/>
        <v>0</v>
      </c>
      <c r="ON2592" s="100">
        <f t="shared" si="835"/>
        <v>0</v>
      </c>
    </row>
    <row r="2593" spans="1:404" ht="23.25" customHeight="1">
      <c r="A2593" s="97" t="str">
        <f t="shared" si="842"/>
        <v>009/INTERLINE-VG-2168-72800-S4-01</v>
      </c>
      <c r="B2593" s="95">
        <v>44701</v>
      </c>
      <c r="C2593" s="97">
        <f t="shared" ca="1" si="822"/>
        <v>-363</v>
      </c>
      <c r="D2593" s="112" t="s">
        <v>2082</v>
      </c>
      <c r="E2593" s="279" t="s">
        <v>283</v>
      </c>
      <c r="F2593" s="98" t="str">
        <f t="shared" si="838"/>
        <v>01</v>
      </c>
      <c r="G2593" s="110">
        <f ca="1">SUMIF($A:E,$A2593,K:K)</f>
        <v>0</v>
      </c>
      <c r="H2593" s="97" t="s">
        <v>1086</v>
      </c>
      <c r="I2593" s="175">
        <v>32</v>
      </c>
      <c r="J2593" s="115">
        <v>32</v>
      </c>
      <c r="K2593" s="143">
        <f t="shared" si="843"/>
        <v>0</v>
      </c>
      <c r="L2593" s="144">
        <f t="shared" si="841"/>
        <v>32</v>
      </c>
      <c r="M2593" s="275">
        <f t="shared" si="819"/>
        <v>128</v>
      </c>
      <c r="N2593" s="98"/>
      <c r="O2593" s="93">
        <f t="shared" si="840"/>
        <v>0</v>
      </c>
      <c r="ON2593" s="100">
        <f t="shared" si="835"/>
        <v>0</v>
      </c>
    </row>
    <row r="2594" spans="1:404" ht="23.25" customHeight="1">
      <c r="A2594" s="97" t="str">
        <f t="shared" si="842"/>
        <v>010/INTERLINE-VG-2168-72800-S4-01</v>
      </c>
      <c r="B2594" s="95">
        <v>44701</v>
      </c>
      <c r="C2594" s="97">
        <f t="shared" ca="1" si="822"/>
        <v>-363</v>
      </c>
      <c r="D2594" s="112" t="s">
        <v>2083</v>
      </c>
      <c r="E2594" s="279" t="s">
        <v>283</v>
      </c>
      <c r="F2594" s="98" t="str">
        <f t="shared" si="838"/>
        <v>01</v>
      </c>
      <c r="G2594" s="110">
        <f ca="1">SUMIF($A:E,$A2594,K:K)</f>
        <v>0</v>
      </c>
      <c r="H2594" s="97" t="s">
        <v>1086</v>
      </c>
      <c r="I2594" s="175">
        <v>42</v>
      </c>
      <c r="J2594" s="115">
        <v>42</v>
      </c>
      <c r="K2594" s="143">
        <f t="shared" si="843"/>
        <v>0</v>
      </c>
      <c r="L2594" s="144">
        <f t="shared" si="841"/>
        <v>42</v>
      </c>
      <c r="M2594" s="275">
        <f t="shared" si="819"/>
        <v>168</v>
      </c>
      <c r="N2594" s="98"/>
      <c r="O2594" s="93">
        <f t="shared" si="840"/>
        <v>0</v>
      </c>
      <c r="ON2594" s="100">
        <f t="shared" si="835"/>
        <v>0</v>
      </c>
    </row>
    <row r="2595" spans="1:404" ht="23.25" customHeight="1">
      <c r="A2595" s="97" t="str">
        <f t="shared" si="842"/>
        <v>011/INTERLINE-VG-2168-72800-S4-01</v>
      </c>
      <c r="B2595" s="95">
        <v>44708</v>
      </c>
      <c r="C2595" s="97">
        <f t="shared" ca="1" si="822"/>
        <v>-356</v>
      </c>
      <c r="D2595" s="112" t="s">
        <v>2084</v>
      </c>
      <c r="E2595" s="279" t="s">
        <v>283</v>
      </c>
      <c r="F2595" s="98" t="str">
        <f t="shared" si="838"/>
        <v>01</v>
      </c>
      <c r="G2595" s="110">
        <f ca="1">SUMIF($A:E,$A2595,K:K)</f>
        <v>0</v>
      </c>
      <c r="H2595" s="97" t="s">
        <v>1086</v>
      </c>
      <c r="I2595" s="175">
        <v>30</v>
      </c>
      <c r="J2595" s="115">
        <v>30</v>
      </c>
      <c r="K2595" s="143">
        <f t="shared" si="843"/>
        <v>0</v>
      </c>
      <c r="L2595" s="144">
        <f t="shared" si="841"/>
        <v>30</v>
      </c>
      <c r="M2595" s="275">
        <f t="shared" si="819"/>
        <v>120</v>
      </c>
      <c r="N2595" s="98"/>
      <c r="O2595" s="93">
        <f t="shared" si="840"/>
        <v>0</v>
      </c>
      <c r="ON2595" s="100">
        <f t="shared" si="835"/>
        <v>0</v>
      </c>
    </row>
    <row r="2596" spans="1:404" ht="23.25" customHeight="1">
      <c r="A2596" s="97" t="str">
        <f t="shared" si="842"/>
        <v>012/INTERLINE-VG-2168-72800-S4-01</v>
      </c>
      <c r="B2596" s="95">
        <v>44722</v>
      </c>
      <c r="C2596" s="97">
        <f t="shared" ca="1" si="822"/>
        <v>-342</v>
      </c>
      <c r="D2596" s="112" t="s">
        <v>2085</v>
      </c>
      <c r="E2596" s="279" t="s">
        <v>283</v>
      </c>
      <c r="F2596" s="98" t="str">
        <f t="shared" si="838"/>
        <v>01</v>
      </c>
      <c r="G2596" s="110">
        <f ca="1">SUMIF($A:E,$A2596,K:K)</f>
        <v>0</v>
      </c>
      <c r="H2596" s="97" t="s">
        <v>1086</v>
      </c>
      <c r="I2596" s="124">
        <v>30</v>
      </c>
      <c r="J2596" s="115">
        <v>30</v>
      </c>
      <c r="K2596" s="143">
        <f t="shared" si="843"/>
        <v>0</v>
      </c>
      <c r="L2596" s="144">
        <f t="shared" si="841"/>
        <v>30</v>
      </c>
      <c r="M2596" s="275">
        <f t="shared" si="819"/>
        <v>120</v>
      </c>
      <c r="N2596" s="98"/>
      <c r="O2596" s="93">
        <f t="shared" si="840"/>
        <v>0</v>
      </c>
      <c r="ON2596" s="100">
        <f t="shared" si="835"/>
        <v>0</v>
      </c>
    </row>
    <row r="2597" spans="1:404" ht="23.25" customHeight="1">
      <c r="A2597" s="97" t="str">
        <f t="shared" si="842"/>
        <v xml:space="preserve"> 487/POTTERYPOT-VG-2166-03000-01-A1(phen)</v>
      </c>
      <c r="B2597" s="95">
        <v>44679</v>
      </c>
      <c r="C2597" s="97">
        <f t="shared" ca="1" si="822"/>
        <v>-385</v>
      </c>
      <c r="D2597" s="112" t="s">
        <v>2086</v>
      </c>
      <c r="E2597" s="279" t="s">
        <v>428</v>
      </c>
      <c r="F2597" s="98" t="str">
        <f t="shared" si="838"/>
        <v>A1</v>
      </c>
      <c r="G2597" s="110">
        <f ca="1">SUMIF($A:E,$A2597,K:K)</f>
        <v>0</v>
      </c>
      <c r="H2597" s="112" t="s">
        <v>2087</v>
      </c>
      <c r="I2597" s="124">
        <v>8</v>
      </c>
      <c r="J2597" s="115">
        <v>8</v>
      </c>
      <c r="K2597" s="144">
        <f t="shared" si="843"/>
        <v>0</v>
      </c>
      <c r="L2597" s="144">
        <f t="shared" si="841"/>
        <v>8</v>
      </c>
      <c r="M2597" s="275">
        <f t="shared" si="819"/>
        <v>8</v>
      </c>
      <c r="N2597" s="98"/>
      <c r="O2597" s="93">
        <f t="shared" si="840"/>
        <v>0</v>
      </c>
      <c r="MW2597" s="98"/>
      <c r="ON2597" s="100">
        <f t="shared" si="835"/>
        <v>0</v>
      </c>
    </row>
    <row r="2598" spans="1:404" ht="23.25" customHeight="1">
      <c r="A2598" s="97" t="str">
        <f t="shared" si="842"/>
        <v xml:space="preserve"> 487/POTTERYPOT-VG-2166-03000-02-A1(phen)</v>
      </c>
      <c r="B2598" s="95">
        <v>44679</v>
      </c>
      <c r="C2598" s="97">
        <f t="shared" ca="1" si="822"/>
        <v>-385</v>
      </c>
      <c r="D2598" s="112" t="s">
        <v>2086</v>
      </c>
      <c r="E2598" s="279" t="s">
        <v>429</v>
      </c>
      <c r="F2598" s="98" t="str">
        <f t="shared" si="838"/>
        <v>A1</v>
      </c>
      <c r="G2598" s="110">
        <f ca="1">SUMIF($A:E,$A2598,K:K)</f>
        <v>0</v>
      </c>
      <c r="H2598" s="112" t="s">
        <v>2087</v>
      </c>
      <c r="I2598" s="124">
        <v>3</v>
      </c>
      <c r="J2598" s="115">
        <v>29</v>
      </c>
      <c r="K2598" s="144">
        <f t="shared" si="843"/>
        <v>0</v>
      </c>
      <c r="L2598" s="144">
        <f t="shared" si="841"/>
        <v>29</v>
      </c>
      <c r="M2598" s="275">
        <f t="shared" si="819"/>
        <v>3</v>
      </c>
      <c r="N2598" s="98"/>
      <c r="O2598" s="93">
        <f t="shared" si="840"/>
        <v>0</v>
      </c>
      <c r="ON2598" s="100">
        <f t="shared" si="835"/>
        <v>0</v>
      </c>
    </row>
    <row r="2599" spans="1:404" ht="23.25" customHeight="1">
      <c r="A2599" s="97" t="str">
        <f t="shared" si="842"/>
        <v xml:space="preserve"> 487/POTTERYPOT-VG-2166-03000-01-A</v>
      </c>
      <c r="B2599" s="95">
        <v>44679</v>
      </c>
      <c r="C2599" s="97">
        <f t="shared" ca="1" si="822"/>
        <v>-385</v>
      </c>
      <c r="D2599" s="112" t="s">
        <v>2086</v>
      </c>
      <c r="E2599" s="279" t="s">
        <v>612</v>
      </c>
      <c r="F2599" s="98" t="str">
        <f t="shared" si="838"/>
        <v>A</v>
      </c>
      <c r="G2599" s="110">
        <f ca="1">SUMIF($A:E,$A2599,K:K)</f>
        <v>0</v>
      </c>
      <c r="H2599" s="112" t="s">
        <v>2088</v>
      </c>
      <c r="I2599" s="124">
        <v>3</v>
      </c>
      <c r="J2599" s="115">
        <v>8</v>
      </c>
      <c r="K2599" s="144">
        <f t="shared" si="843"/>
        <v>0</v>
      </c>
      <c r="L2599" s="144">
        <f t="shared" si="841"/>
        <v>8</v>
      </c>
      <c r="M2599" s="275">
        <f t="shared" si="819"/>
        <v>3</v>
      </c>
      <c r="N2599" s="98"/>
      <c r="O2599" s="93">
        <f t="shared" si="840"/>
        <v>0</v>
      </c>
      <c r="ON2599" s="100">
        <f t="shared" si="835"/>
        <v>0</v>
      </c>
    </row>
    <row r="2600" spans="1:404" ht="23.25" customHeight="1">
      <c r="A2600" s="97" t="str">
        <f t="shared" si="842"/>
        <v xml:space="preserve"> 487/POTTERYPOT-VG-2166-03000-02-A</v>
      </c>
      <c r="B2600" s="95">
        <v>44679</v>
      </c>
      <c r="C2600" s="97">
        <f t="shared" ca="1" si="822"/>
        <v>-385</v>
      </c>
      <c r="D2600" s="112" t="s">
        <v>2086</v>
      </c>
      <c r="E2600" s="279" t="s">
        <v>686</v>
      </c>
      <c r="F2600" s="98" t="str">
        <f t="shared" si="838"/>
        <v>A</v>
      </c>
      <c r="G2600" s="110">
        <f ca="1">SUMIF($A:E,$A2600,K:K)</f>
        <v>0</v>
      </c>
      <c r="H2600" s="112" t="s">
        <v>2088</v>
      </c>
      <c r="I2600" s="124">
        <v>3</v>
      </c>
      <c r="J2600" s="115">
        <v>29</v>
      </c>
      <c r="K2600" s="144">
        <f t="shared" si="843"/>
        <v>0</v>
      </c>
      <c r="L2600" s="144">
        <f t="shared" si="841"/>
        <v>29</v>
      </c>
      <c r="M2600" s="275">
        <f t="shared" si="819"/>
        <v>3</v>
      </c>
      <c r="N2600" s="98"/>
      <c r="O2600" s="93">
        <f t="shared" si="840"/>
        <v>0</v>
      </c>
      <c r="ON2600" s="100">
        <f t="shared" si="835"/>
        <v>0</v>
      </c>
    </row>
    <row r="2601" spans="1:404" ht="23.25" customHeight="1">
      <c r="A2601" s="97" t="str">
        <f t="shared" si="842"/>
        <v xml:space="preserve"> 486/POTTERYPOT-VG-2166-02700-01-A1(phen)</v>
      </c>
      <c r="B2601" s="95">
        <v>44679</v>
      </c>
      <c r="C2601" s="97">
        <f t="shared" ca="1" si="822"/>
        <v>-385</v>
      </c>
      <c r="D2601" s="112" t="s">
        <v>2089</v>
      </c>
      <c r="E2601" s="279" t="s">
        <v>427</v>
      </c>
      <c r="F2601" s="98" t="str">
        <f t="shared" si="838"/>
        <v>A1</v>
      </c>
      <c r="G2601" s="110">
        <f ca="1">SUMIF($A:E,$A2601,K:K)</f>
        <v>0</v>
      </c>
      <c r="H2601" s="112" t="s">
        <v>2087</v>
      </c>
      <c r="I2601" s="124">
        <v>30</v>
      </c>
      <c r="J2601" s="115">
        <v>30</v>
      </c>
      <c r="K2601" s="144">
        <f t="shared" si="843"/>
        <v>0</v>
      </c>
      <c r="L2601" s="144">
        <f t="shared" ref="L2601:L2614" si="844">J2601-K2601</f>
        <v>30</v>
      </c>
      <c r="M2601" s="275">
        <f t="shared" si="819"/>
        <v>30</v>
      </c>
      <c r="N2601" s="98" t="s">
        <v>1776</v>
      </c>
      <c r="O2601" s="93">
        <f t="shared" si="840"/>
        <v>0</v>
      </c>
      <c r="ON2601" s="100">
        <f t="shared" si="835"/>
        <v>0</v>
      </c>
    </row>
    <row r="2602" spans="1:404" ht="23.25" customHeight="1">
      <c r="A2602" s="97" t="str">
        <f t="shared" si="842"/>
        <v xml:space="preserve"> 486/POTTERYPOT-VG-2166-02600-01-A</v>
      </c>
      <c r="B2602" s="95">
        <v>44679</v>
      </c>
      <c r="C2602" s="97">
        <f t="shared" ca="1" si="822"/>
        <v>-385</v>
      </c>
      <c r="D2602" s="112" t="s">
        <v>2089</v>
      </c>
      <c r="E2602" s="279" t="s">
        <v>611</v>
      </c>
      <c r="F2602" s="98" t="str">
        <f t="shared" si="838"/>
        <v>A</v>
      </c>
      <c r="G2602" s="110">
        <f ca="1">SUMIF($A:E,$A2602,K:K)</f>
        <v>0</v>
      </c>
      <c r="H2602" s="112" t="s">
        <v>2088</v>
      </c>
      <c r="I2602" s="124">
        <v>32</v>
      </c>
      <c r="J2602" s="115">
        <v>32</v>
      </c>
      <c r="K2602" s="144">
        <f t="shared" si="843"/>
        <v>0</v>
      </c>
      <c r="L2602" s="144">
        <f t="shared" si="844"/>
        <v>32</v>
      </c>
      <c r="M2602" s="275">
        <f t="shared" si="819"/>
        <v>32</v>
      </c>
      <c r="N2602" s="98" t="s">
        <v>1776</v>
      </c>
      <c r="O2602" s="93">
        <f t="shared" si="840"/>
        <v>0</v>
      </c>
      <c r="ON2602" s="100">
        <f t="shared" si="835"/>
        <v>0</v>
      </c>
    </row>
    <row r="2603" spans="1:404" ht="23.25" customHeight="1">
      <c r="A2603" s="97" t="str">
        <f t="shared" si="842"/>
        <v xml:space="preserve"> 486/POTTERYPOT-VG-2166-02600-02-A</v>
      </c>
      <c r="B2603" s="95">
        <v>44679</v>
      </c>
      <c r="C2603" s="97">
        <f t="shared" ca="1" si="822"/>
        <v>-385</v>
      </c>
      <c r="D2603" s="112" t="s">
        <v>2089</v>
      </c>
      <c r="E2603" s="279" t="s">
        <v>1590</v>
      </c>
      <c r="F2603" s="98" t="str">
        <f t="shared" ref="F2603:F2611" si="845">MID(E2603,13,2)</f>
        <v>A</v>
      </c>
      <c r="G2603" s="110">
        <f ca="1">SUMIF($A:E,$A2603,K:K)</f>
        <v>0</v>
      </c>
      <c r="H2603" s="112" t="s">
        <v>2088</v>
      </c>
      <c r="I2603" s="124">
        <v>1</v>
      </c>
      <c r="J2603" s="115">
        <v>62</v>
      </c>
      <c r="K2603" s="144">
        <f t="shared" si="843"/>
        <v>0</v>
      </c>
      <c r="L2603" s="144">
        <f t="shared" si="844"/>
        <v>62</v>
      </c>
      <c r="M2603" s="275">
        <f t="shared" si="819"/>
        <v>1</v>
      </c>
      <c r="N2603" s="98" t="s">
        <v>1776</v>
      </c>
      <c r="O2603" s="93">
        <f t="shared" si="840"/>
        <v>0</v>
      </c>
      <c r="ON2603" s="100">
        <f t="shared" si="835"/>
        <v>0</v>
      </c>
    </row>
    <row r="2604" spans="1:404" ht="23.25" customHeight="1">
      <c r="A2604" s="97" t="str">
        <f t="shared" si="842"/>
        <v xml:space="preserve"> 486/POTTERYPOT-VG-2166-02700-01-A</v>
      </c>
      <c r="B2604" s="95">
        <v>44679</v>
      </c>
      <c r="C2604" s="97">
        <f t="shared" ca="1" si="822"/>
        <v>-385</v>
      </c>
      <c r="D2604" s="112" t="s">
        <v>2089</v>
      </c>
      <c r="E2604" s="279" t="s">
        <v>1196</v>
      </c>
      <c r="F2604" s="98" t="str">
        <f t="shared" si="845"/>
        <v>A</v>
      </c>
      <c r="G2604" s="110">
        <f ca="1">SUMIF($A:E,$A2604,K:K)</f>
        <v>0</v>
      </c>
      <c r="H2604" s="112" t="s">
        <v>2088</v>
      </c>
      <c r="I2604" s="124">
        <v>30</v>
      </c>
      <c r="J2604" s="115">
        <v>30</v>
      </c>
      <c r="K2604" s="144">
        <f t="shared" si="843"/>
        <v>0</v>
      </c>
      <c r="L2604" s="144">
        <f t="shared" si="844"/>
        <v>30</v>
      </c>
      <c r="M2604" s="275">
        <f t="shared" si="819"/>
        <v>30</v>
      </c>
      <c r="N2604" s="98" t="s">
        <v>1776</v>
      </c>
      <c r="O2604" s="93">
        <f t="shared" si="840"/>
        <v>0</v>
      </c>
      <c r="ON2604" s="100">
        <f t="shared" si="835"/>
        <v>0</v>
      </c>
    </row>
    <row r="2605" spans="1:404" ht="23.25" customHeight="1">
      <c r="A2605" s="97" t="str">
        <f t="shared" si="842"/>
        <v xml:space="preserve"> 486/POTTERYPOT-VG-2166-77900-01-A</v>
      </c>
      <c r="B2605" s="95">
        <v>44679</v>
      </c>
      <c r="C2605" s="97">
        <f t="shared" ca="1" si="822"/>
        <v>-385</v>
      </c>
      <c r="D2605" s="112" t="s">
        <v>2089</v>
      </c>
      <c r="E2605" s="279" t="s">
        <v>1200</v>
      </c>
      <c r="F2605" s="98" t="str">
        <f t="shared" si="845"/>
        <v>A</v>
      </c>
      <c r="G2605" s="110">
        <f ca="1">SUMIF($A:E,$A2605,K:K)</f>
        <v>32</v>
      </c>
      <c r="H2605" s="97" t="s">
        <v>601</v>
      </c>
      <c r="I2605" s="175">
        <v>16</v>
      </c>
      <c r="J2605" s="115">
        <v>16</v>
      </c>
      <c r="K2605" s="144">
        <f t="shared" si="843"/>
        <v>32</v>
      </c>
      <c r="L2605" s="144">
        <f t="shared" si="844"/>
        <v>-16</v>
      </c>
      <c r="M2605" s="275">
        <f t="shared" si="819"/>
        <v>16</v>
      </c>
      <c r="N2605" s="98" t="s">
        <v>1776</v>
      </c>
      <c r="O2605" s="93">
        <f t="shared" si="840"/>
        <v>200</v>
      </c>
      <c r="OH2605" s="100">
        <v>5</v>
      </c>
      <c r="OJ2605" s="100">
        <v>5</v>
      </c>
      <c r="OK2605" s="100">
        <v>6</v>
      </c>
      <c r="ON2605" s="100">
        <f t="shared" si="835"/>
        <v>16</v>
      </c>
    </row>
    <row r="2606" spans="1:404" ht="23.25" customHeight="1">
      <c r="A2606" s="97" t="str">
        <f t="shared" si="842"/>
        <v>081/WESTELM-2166-70300-03-B</v>
      </c>
      <c r="B2606" s="95">
        <v>44548</v>
      </c>
      <c r="C2606" s="97">
        <f t="shared" ca="1" si="822"/>
        <v>-516</v>
      </c>
      <c r="D2606" s="235" t="s">
        <v>2090</v>
      </c>
      <c r="E2606" s="123" t="s">
        <v>25</v>
      </c>
      <c r="F2606" s="92" t="str">
        <f t="shared" si="845"/>
        <v>B</v>
      </c>
      <c r="G2606" s="109">
        <f ca="1">SUMIF($A:E,$A2606,K:K)</f>
        <v>86</v>
      </c>
      <c r="H2606" s="97" t="s">
        <v>508</v>
      </c>
      <c r="I2606" s="175">
        <v>86</v>
      </c>
      <c r="J2606" s="115">
        <v>86</v>
      </c>
      <c r="K2606" s="143">
        <f t="shared" si="843"/>
        <v>86</v>
      </c>
      <c r="L2606" s="144">
        <f t="shared" si="844"/>
        <v>0</v>
      </c>
      <c r="M2606" s="275">
        <f t="shared" ref="M2606:M2663" si="846">IF(OR(MID(E2606,10,1)="0",MID(E2606,10,1)="F"),I2606,IF(OR(,MID(E2606,10,1)="S",MID(E2606,10,1)="L",MID(E2606,10,1)="B",MID(E2606,10,1)="X"),MID(E2606,11,1)*I2606,0))</f>
        <v>86</v>
      </c>
      <c r="N2606" s="98">
        <v>3</v>
      </c>
      <c r="O2606" s="93">
        <f t="shared" si="840"/>
        <v>100</v>
      </c>
      <c r="KZ2606" s="100">
        <v>28</v>
      </c>
      <c r="LC2606" s="100">
        <v>6</v>
      </c>
      <c r="LE2606" s="100">
        <v>20</v>
      </c>
      <c r="LF2606" s="100">
        <v>20</v>
      </c>
      <c r="LG2606" s="100">
        <v>9</v>
      </c>
      <c r="LI2606" s="100">
        <v>3</v>
      </c>
      <c r="ON2606" s="100">
        <f t="shared" si="835"/>
        <v>0</v>
      </c>
    </row>
    <row r="2607" spans="1:404" ht="23.25" customHeight="1">
      <c r="A2607" s="97" t="str">
        <f t="shared" si="842"/>
        <v>079/WESTELM-2166-70300-03-B</v>
      </c>
      <c r="B2607" s="95">
        <v>44548</v>
      </c>
      <c r="C2607" s="97">
        <f t="shared" ca="1" si="822"/>
        <v>-516</v>
      </c>
      <c r="D2607" s="235" t="s">
        <v>2091</v>
      </c>
      <c r="E2607" s="123" t="s">
        <v>25</v>
      </c>
      <c r="F2607" s="92" t="str">
        <f t="shared" si="845"/>
        <v>B</v>
      </c>
      <c r="G2607" s="109">
        <f ca="1">SUMIF($A:E,$A2607,K:K)</f>
        <v>20</v>
      </c>
      <c r="H2607" s="97" t="s">
        <v>508</v>
      </c>
      <c r="I2607" s="175">
        <v>20</v>
      </c>
      <c r="J2607" s="115">
        <v>20</v>
      </c>
      <c r="K2607" s="143">
        <f t="shared" si="843"/>
        <v>20</v>
      </c>
      <c r="L2607" s="144">
        <f t="shared" si="844"/>
        <v>0</v>
      </c>
      <c r="M2607" s="275">
        <f t="shared" si="846"/>
        <v>20</v>
      </c>
      <c r="N2607" s="98">
        <v>3</v>
      </c>
      <c r="O2607" s="93">
        <f t="shared" si="840"/>
        <v>100</v>
      </c>
      <c r="LI2607" s="100">
        <v>4</v>
      </c>
      <c r="LJ2607" s="100">
        <v>4</v>
      </c>
      <c r="LK2607" s="100">
        <v>12</v>
      </c>
      <c r="ON2607" s="100">
        <f t="shared" si="835"/>
        <v>0</v>
      </c>
    </row>
    <row r="2608" spans="1:404" ht="23.25" customHeight="1">
      <c r="A2608" s="97" t="str">
        <f t="shared" si="842"/>
        <v>297/KHBS-21(002T/OBI-21)66-60124-01-B</v>
      </c>
      <c r="B2608" s="95">
        <v>44499</v>
      </c>
      <c r="C2608" s="97">
        <f t="shared" ca="1" si="822"/>
        <v>-565</v>
      </c>
      <c r="D2608" s="112" t="s">
        <v>2092</v>
      </c>
      <c r="E2608" s="123" t="s">
        <v>1059</v>
      </c>
      <c r="F2608" s="98" t="str">
        <f t="shared" si="845"/>
        <v>B</v>
      </c>
      <c r="G2608" s="110">
        <f ca="1">SUMIF($A:E,$A2608,K:K)</f>
        <v>1</v>
      </c>
      <c r="H2608" s="112" t="s">
        <v>2094</v>
      </c>
      <c r="I2608" s="175">
        <v>48</v>
      </c>
      <c r="J2608" s="99">
        <v>1</v>
      </c>
      <c r="K2608" s="160">
        <f t="shared" si="843"/>
        <v>1</v>
      </c>
      <c r="L2608" s="151">
        <f t="shared" si="844"/>
        <v>0</v>
      </c>
      <c r="M2608" s="275">
        <f t="shared" si="846"/>
        <v>48</v>
      </c>
      <c r="N2608" s="98">
        <v>3</v>
      </c>
      <c r="O2608" s="93">
        <f t="shared" si="840"/>
        <v>100</v>
      </c>
      <c r="KD2608" s="100">
        <v>1</v>
      </c>
      <c r="ON2608" s="100">
        <f t="shared" si="835"/>
        <v>0</v>
      </c>
    </row>
    <row r="2609" spans="1:404" ht="23.25" customHeight="1">
      <c r="A2609" s="97" t="str">
        <f t="shared" si="842"/>
        <v>297/KHBS-21(002T/OBI-21)68-72500-01-B</v>
      </c>
      <c r="B2609" s="95">
        <v>44499</v>
      </c>
      <c r="C2609" s="97">
        <f t="shared" ca="1" si="822"/>
        <v>-565</v>
      </c>
      <c r="D2609" s="112" t="s">
        <v>2092</v>
      </c>
      <c r="E2609" s="123" t="s">
        <v>461</v>
      </c>
      <c r="F2609" s="98" t="str">
        <f t="shared" si="845"/>
        <v>B</v>
      </c>
      <c r="G2609" s="110">
        <f ca="1">SUMIF($A:E,$A2609,K:K)</f>
        <v>1</v>
      </c>
      <c r="H2609" s="112" t="s">
        <v>2088</v>
      </c>
      <c r="I2609" s="175">
        <v>18</v>
      </c>
      <c r="J2609" s="99">
        <v>1</v>
      </c>
      <c r="K2609" s="160">
        <f t="shared" si="843"/>
        <v>1</v>
      </c>
      <c r="L2609" s="151">
        <f t="shared" si="844"/>
        <v>0</v>
      </c>
      <c r="M2609" s="275">
        <f t="shared" si="846"/>
        <v>18</v>
      </c>
      <c r="N2609" s="98">
        <v>1</v>
      </c>
      <c r="O2609" s="93">
        <f t="shared" si="840"/>
        <v>100</v>
      </c>
      <c r="KF2609" s="100">
        <v>1</v>
      </c>
      <c r="ON2609" s="100">
        <f t="shared" si="835"/>
        <v>0</v>
      </c>
    </row>
    <row r="2610" spans="1:404" ht="23.25" customHeight="1">
      <c r="A2610" s="97" t="str">
        <f t="shared" si="842"/>
        <v>297/KHBS-21(029T/WESTELM-21)66-83200-02-B</v>
      </c>
      <c r="B2610" s="126">
        <v>44499</v>
      </c>
      <c r="C2610" s="97">
        <f t="shared" ref="C2610:C2667" ca="1" si="847">B2610-TODAY()</f>
        <v>-565</v>
      </c>
      <c r="D2610" s="208" t="s">
        <v>2093</v>
      </c>
      <c r="E2610" s="226" t="s">
        <v>850</v>
      </c>
      <c r="F2610" s="132" t="str">
        <f t="shared" si="845"/>
        <v>B</v>
      </c>
      <c r="G2610" s="130">
        <f ca="1">SUMIF($A:E,$A2610,K:K)</f>
        <v>1</v>
      </c>
      <c r="H2610" s="208" t="s">
        <v>2094</v>
      </c>
      <c r="I2610" s="175">
        <v>30</v>
      </c>
      <c r="J2610" s="131">
        <v>1</v>
      </c>
      <c r="K2610" s="160">
        <f t="shared" si="843"/>
        <v>1</v>
      </c>
      <c r="L2610" s="151">
        <f t="shared" si="844"/>
        <v>0</v>
      </c>
      <c r="M2610" s="275">
        <f t="shared" si="846"/>
        <v>30</v>
      </c>
      <c r="N2610" s="132">
        <v>3</v>
      </c>
      <c r="O2610" s="93">
        <f t="shared" si="840"/>
        <v>100</v>
      </c>
      <c r="KD2610" s="100">
        <v>1</v>
      </c>
      <c r="ON2610" s="100">
        <f t="shared" si="835"/>
        <v>0</v>
      </c>
    </row>
    <row r="2611" spans="1:404" ht="23.25" customHeight="1">
      <c r="A2611" s="139" t="str">
        <f>D2611&amp;E2612</f>
        <v>298/KHBS-21(014T/OBI-21)66-07200-S1-B</v>
      </c>
      <c r="B2611" s="301">
        <v>44496</v>
      </c>
      <c r="C2611" s="97">
        <f t="shared" ca="1" si="847"/>
        <v>-568</v>
      </c>
      <c r="D2611" s="303" t="s">
        <v>2095</v>
      </c>
      <c r="E2611" s="315" t="s">
        <v>1094</v>
      </c>
      <c r="F2611" s="304" t="str">
        <f t="shared" si="845"/>
        <v>B4</v>
      </c>
      <c r="G2611" s="305">
        <f ca="1">SUMIF($A:E,$A2611,K:K)</f>
        <v>1</v>
      </c>
      <c r="H2611" s="302" t="s">
        <v>1593</v>
      </c>
      <c r="I2611" s="175">
        <v>54</v>
      </c>
      <c r="J2611" s="306">
        <v>1</v>
      </c>
      <c r="K2611" s="307">
        <f t="shared" si="843"/>
        <v>1</v>
      </c>
      <c r="L2611" s="299">
        <f t="shared" si="844"/>
        <v>0</v>
      </c>
      <c r="M2611" s="275">
        <f t="shared" si="846"/>
        <v>54</v>
      </c>
      <c r="N2611" s="300">
        <v>2</v>
      </c>
      <c r="O2611" s="93">
        <f t="shared" si="840"/>
        <v>100</v>
      </c>
      <c r="KE2611" s="100">
        <v>1</v>
      </c>
      <c r="ON2611" s="100">
        <f t="shared" si="835"/>
        <v>0</v>
      </c>
    </row>
    <row r="2612" spans="1:404" ht="23.25" customHeight="1">
      <c r="A2612" s="97" t="str">
        <f>D2612&amp;E2612</f>
        <v>001/TERRAIN-VG_SR-2166-07200-S1-B</v>
      </c>
      <c r="B2612" s="95">
        <v>44497</v>
      </c>
      <c r="C2612" s="97">
        <f t="shared" ca="1" si="847"/>
        <v>-567</v>
      </c>
      <c r="D2612" s="111" t="s">
        <v>1873</v>
      </c>
      <c r="E2612" s="123" t="s">
        <v>591</v>
      </c>
      <c r="F2612" s="227">
        <v>1</v>
      </c>
      <c r="G2612" s="110">
        <f ca="1">SUMIF($A:E,$A2612,K:K)</f>
        <v>1</v>
      </c>
      <c r="H2612" s="97" t="s">
        <v>631</v>
      </c>
      <c r="I2612" s="175">
        <v>72</v>
      </c>
      <c r="J2612" s="146">
        <v>1</v>
      </c>
      <c r="K2612" s="143">
        <f t="shared" si="843"/>
        <v>1</v>
      </c>
      <c r="L2612" s="144">
        <f t="shared" si="844"/>
        <v>0</v>
      </c>
      <c r="M2612" s="275">
        <f t="shared" si="846"/>
        <v>72</v>
      </c>
      <c r="N2612" s="98">
        <v>1</v>
      </c>
      <c r="O2612" s="93">
        <f t="shared" ref="O2612:O2638" si="848">K2612/J2612*100</f>
        <v>100</v>
      </c>
      <c r="KF2612" s="100">
        <v>1</v>
      </c>
      <c r="ON2612" s="100">
        <f t="shared" si="835"/>
        <v>0</v>
      </c>
    </row>
    <row r="2613" spans="1:404" ht="23.25" customHeight="1">
      <c r="A2613" s="127" t="s">
        <v>2099</v>
      </c>
      <c r="B2613" s="126">
        <v>44502</v>
      </c>
      <c r="C2613" s="97">
        <f t="shared" ca="1" si="847"/>
        <v>-562</v>
      </c>
      <c r="D2613" s="208" t="s">
        <v>2098</v>
      </c>
      <c r="E2613" s="119" t="s">
        <v>901</v>
      </c>
      <c r="F2613" s="132" t="str">
        <f t="shared" ref="F2613:F2619" si="849">MID(E2613,13,2)</f>
        <v>B</v>
      </c>
      <c r="G2613" s="130">
        <f ca="1">SUMIF($A:E,$A2613,K:K)</f>
        <v>3</v>
      </c>
      <c r="H2613" s="127" t="s">
        <v>1593</v>
      </c>
      <c r="I2613" s="175">
        <v>48</v>
      </c>
      <c r="J2613" s="204">
        <v>1</v>
      </c>
      <c r="K2613" s="160">
        <f t="shared" si="843"/>
        <v>1</v>
      </c>
      <c r="L2613" s="151">
        <f t="shared" si="844"/>
        <v>0</v>
      </c>
      <c r="M2613" s="275">
        <f t="shared" si="846"/>
        <v>48</v>
      </c>
      <c r="N2613" s="132">
        <v>3</v>
      </c>
      <c r="O2613" s="93">
        <f t="shared" si="848"/>
        <v>100</v>
      </c>
      <c r="KJ2613" s="100">
        <v>1</v>
      </c>
      <c r="ON2613" s="100">
        <f t="shared" si="835"/>
        <v>0</v>
      </c>
    </row>
    <row r="2614" spans="1:404" ht="23.25" customHeight="1">
      <c r="A2614" s="97" t="str">
        <f t="shared" ref="A2614:A2619" si="850">D2614&amp;E2614</f>
        <v>298/KHBS-21(003/TK MAXX-21)66-01737-B3-B4</v>
      </c>
      <c r="B2614" s="95">
        <v>44502</v>
      </c>
      <c r="C2614" s="97">
        <f t="shared" ca="1" si="847"/>
        <v>-562</v>
      </c>
      <c r="D2614" s="310" t="s">
        <v>2101</v>
      </c>
      <c r="E2614" s="316" t="s">
        <v>1180</v>
      </c>
      <c r="F2614" s="132" t="str">
        <f t="shared" si="849"/>
        <v>B4</v>
      </c>
      <c r="G2614" s="130">
        <f ca="1">SUMIF($A:E,$A2614,K:K)</f>
        <v>4</v>
      </c>
      <c r="H2614" s="97" t="s">
        <v>616</v>
      </c>
      <c r="I2614" s="175">
        <v>4</v>
      </c>
      <c r="J2614" s="99">
        <v>4</v>
      </c>
      <c r="K2614" s="143">
        <f t="shared" si="843"/>
        <v>4</v>
      </c>
      <c r="L2614" s="151">
        <f t="shared" si="844"/>
        <v>0</v>
      </c>
      <c r="M2614" s="275">
        <f t="shared" si="846"/>
        <v>12</v>
      </c>
      <c r="N2614" s="98">
        <v>2</v>
      </c>
      <c r="O2614" s="93">
        <f t="shared" si="848"/>
        <v>100</v>
      </c>
      <c r="KG2614" s="100">
        <v>4</v>
      </c>
      <c r="ON2614" s="100">
        <f t="shared" si="835"/>
        <v>0</v>
      </c>
    </row>
    <row r="2615" spans="1:404" ht="23.25" customHeight="1">
      <c r="A2615" s="97" t="str">
        <f t="shared" si="850"/>
        <v>301/KHBS-2168-79900-01-B</v>
      </c>
      <c r="B2615" s="95">
        <v>44506</v>
      </c>
      <c r="C2615" s="97">
        <f t="shared" ca="1" si="847"/>
        <v>-558</v>
      </c>
      <c r="D2615" s="96" t="s">
        <v>2102</v>
      </c>
      <c r="E2615" s="94" t="s">
        <v>1542</v>
      </c>
      <c r="F2615" s="92" t="str">
        <f t="shared" si="849"/>
        <v>B</v>
      </c>
      <c r="G2615" s="109">
        <f ca="1">SUMIF($A:E,$A2615,K:K)</f>
        <v>1</v>
      </c>
      <c r="H2615" s="97" t="s">
        <v>508</v>
      </c>
      <c r="I2615" s="175">
        <v>30</v>
      </c>
      <c r="J2615" s="99">
        <v>1</v>
      </c>
      <c r="K2615" s="143">
        <f t="shared" si="843"/>
        <v>1</v>
      </c>
      <c r="L2615" s="144">
        <f t="shared" ref="L2615:L2617" si="851">J2615-K2615</f>
        <v>0</v>
      </c>
      <c r="M2615" s="275">
        <f t="shared" si="846"/>
        <v>30</v>
      </c>
      <c r="N2615" s="98">
        <v>3</v>
      </c>
      <c r="O2615" s="93">
        <f t="shared" si="848"/>
        <v>100</v>
      </c>
      <c r="KJ2615" s="100">
        <v>1</v>
      </c>
      <c r="ON2615" s="100">
        <f t="shared" si="835"/>
        <v>0</v>
      </c>
    </row>
    <row r="2616" spans="1:404" ht="23.25" customHeight="1">
      <c r="A2616" s="97" t="str">
        <f t="shared" si="850"/>
        <v>301/KHBS-2166-70300-02-B</v>
      </c>
      <c r="B2616" s="95">
        <v>44506</v>
      </c>
      <c r="C2616" s="97">
        <f t="shared" ca="1" si="847"/>
        <v>-558</v>
      </c>
      <c r="D2616" s="96" t="s">
        <v>2102</v>
      </c>
      <c r="E2616" s="94" t="s">
        <v>47</v>
      </c>
      <c r="F2616" s="92" t="str">
        <f t="shared" si="849"/>
        <v>B</v>
      </c>
      <c r="G2616" s="109">
        <f ca="1">SUMIF($A:E,$A2616,K:K)</f>
        <v>1</v>
      </c>
      <c r="H2616" s="97" t="s">
        <v>508</v>
      </c>
      <c r="I2616" s="175">
        <v>30</v>
      </c>
      <c r="J2616" s="99">
        <v>1</v>
      </c>
      <c r="K2616" s="143">
        <f t="shared" si="843"/>
        <v>1</v>
      </c>
      <c r="L2616" s="144">
        <f t="shared" si="851"/>
        <v>0</v>
      </c>
      <c r="M2616" s="275">
        <f t="shared" si="846"/>
        <v>30</v>
      </c>
      <c r="N2616" s="98">
        <v>3</v>
      </c>
      <c r="O2616" s="93">
        <f t="shared" si="848"/>
        <v>100</v>
      </c>
      <c r="KH2616" s="100">
        <v>1</v>
      </c>
      <c r="ON2616" s="100">
        <f t="shared" si="835"/>
        <v>0</v>
      </c>
    </row>
    <row r="2617" spans="1:404" ht="23.25" customHeight="1">
      <c r="A2617" s="97" t="str">
        <f t="shared" si="850"/>
        <v>301/KHBS-2166-70300-03-B</v>
      </c>
      <c r="B2617" s="95">
        <v>44506</v>
      </c>
      <c r="C2617" s="97">
        <f t="shared" ca="1" si="847"/>
        <v>-558</v>
      </c>
      <c r="D2617" s="96" t="s">
        <v>2102</v>
      </c>
      <c r="E2617" s="94" t="s">
        <v>25</v>
      </c>
      <c r="F2617" s="92" t="str">
        <f t="shared" si="849"/>
        <v>B</v>
      </c>
      <c r="G2617" s="109">
        <f ca="1">SUMIF($A:E,$A2617,K:K)</f>
        <v>1</v>
      </c>
      <c r="H2617" s="97" t="s">
        <v>508</v>
      </c>
      <c r="I2617" s="175">
        <v>1</v>
      </c>
      <c r="J2617" s="99">
        <v>1</v>
      </c>
      <c r="K2617" s="143">
        <f t="shared" si="843"/>
        <v>1</v>
      </c>
      <c r="L2617" s="144">
        <f t="shared" si="851"/>
        <v>0</v>
      </c>
      <c r="M2617" s="275">
        <f t="shared" si="846"/>
        <v>1</v>
      </c>
      <c r="N2617" s="98">
        <v>3</v>
      </c>
      <c r="O2617" s="93">
        <f t="shared" si="848"/>
        <v>100</v>
      </c>
      <c r="KH2617" s="100">
        <v>1</v>
      </c>
      <c r="ON2617" s="100">
        <f t="shared" si="835"/>
        <v>0</v>
      </c>
    </row>
    <row r="2618" spans="1:404" ht="23.25" customHeight="1">
      <c r="A2618" s="97" t="str">
        <f t="shared" si="850"/>
        <v>300/KHBS-2166-23000-S1-B</v>
      </c>
      <c r="B2618" s="95">
        <v>44506</v>
      </c>
      <c r="C2618" s="97">
        <f t="shared" ca="1" si="847"/>
        <v>-558</v>
      </c>
      <c r="D2618" s="96" t="s">
        <v>2103</v>
      </c>
      <c r="E2618" s="94" t="s">
        <v>1331</v>
      </c>
      <c r="F2618" s="98" t="str">
        <f t="shared" si="849"/>
        <v>B</v>
      </c>
      <c r="G2618" s="110">
        <f ca="1">SUMIF($A:E,$A2618,K:K)</f>
        <v>2</v>
      </c>
      <c r="H2618" s="97" t="s">
        <v>508</v>
      </c>
      <c r="I2618" s="175">
        <v>18</v>
      </c>
      <c r="J2618" s="99">
        <v>2</v>
      </c>
      <c r="K2618" s="143">
        <f t="shared" ref="K2618:K2649" si="852">SUM(P2618:BBC2618)</f>
        <v>2</v>
      </c>
      <c r="L2618" s="144">
        <f t="shared" ref="L2618" si="853">J2618-K2618</f>
        <v>0</v>
      </c>
      <c r="M2618" s="275">
        <f t="shared" si="846"/>
        <v>18</v>
      </c>
      <c r="N2618" s="98">
        <v>3</v>
      </c>
      <c r="O2618" s="93">
        <f t="shared" si="848"/>
        <v>100</v>
      </c>
      <c r="KH2618" s="100">
        <v>2</v>
      </c>
      <c r="ON2618" s="100">
        <f t="shared" si="835"/>
        <v>0</v>
      </c>
    </row>
    <row r="2619" spans="1:404" ht="23.25" customHeight="1">
      <c r="A2619" s="97" t="str">
        <f t="shared" si="850"/>
        <v>300/KHBS-2166-55437-S3-B4</v>
      </c>
      <c r="B2619" s="95">
        <v>44505</v>
      </c>
      <c r="C2619" s="97">
        <f t="shared" ca="1" si="847"/>
        <v>-559</v>
      </c>
      <c r="D2619" s="96" t="s">
        <v>2103</v>
      </c>
      <c r="E2619" s="94" t="s">
        <v>1289</v>
      </c>
      <c r="F2619" s="92" t="str">
        <f t="shared" si="849"/>
        <v>B4</v>
      </c>
      <c r="G2619" s="109">
        <f ca="1">SUMIF($A:E,$A2619,K:K)</f>
        <v>3</v>
      </c>
      <c r="H2619" s="311" t="s">
        <v>508</v>
      </c>
      <c r="I2619" s="175">
        <v>32</v>
      </c>
      <c r="J2619" s="115">
        <v>3</v>
      </c>
      <c r="K2619" s="143">
        <f t="shared" si="852"/>
        <v>3</v>
      </c>
      <c r="L2619" s="144">
        <f t="shared" ref="L2619" si="854">J2619-K2619</f>
        <v>0</v>
      </c>
      <c r="M2619" s="275">
        <f t="shared" si="846"/>
        <v>96</v>
      </c>
      <c r="N2619" s="98">
        <v>1</v>
      </c>
      <c r="O2619" s="93">
        <f t="shared" si="848"/>
        <v>100</v>
      </c>
      <c r="KH2619" s="100">
        <v>2</v>
      </c>
      <c r="KI2619" s="100">
        <v>1</v>
      </c>
      <c r="ON2619" s="100">
        <f t="shared" si="835"/>
        <v>0</v>
      </c>
    </row>
    <row r="2620" spans="1:404" ht="23.25" customHeight="1">
      <c r="A2620" s="97" t="str">
        <f>D2620&amp;E2621</f>
        <v>300/KHBS-2166-49600-S1-B</v>
      </c>
      <c r="B2620" s="95">
        <v>44505</v>
      </c>
      <c r="C2620" s="97">
        <f t="shared" ca="1" si="847"/>
        <v>-559</v>
      </c>
      <c r="D2620" s="96" t="s">
        <v>2103</v>
      </c>
      <c r="E2620" s="119" t="s">
        <v>1419</v>
      </c>
      <c r="F2620" s="92" t="str">
        <f>MID(E2621,13,2)</f>
        <v>B</v>
      </c>
      <c r="G2620" s="109">
        <f ca="1">SUMIF($A:E,$A2620,K:K)</f>
        <v>1</v>
      </c>
      <c r="H2620" s="311" t="s">
        <v>508</v>
      </c>
      <c r="I2620" s="175">
        <v>64</v>
      </c>
      <c r="J2620" s="115">
        <v>1</v>
      </c>
      <c r="K2620" s="143">
        <f t="shared" si="852"/>
        <v>1</v>
      </c>
      <c r="L2620" s="144">
        <f t="shared" ref="L2620:L2626" si="855">J2620-K2620</f>
        <v>0</v>
      </c>
      <c r="M2620" s="275">
        <f t="shared" si="846"/>
        <v>64</v>
      </c>
      <c r="N2620" s="98">
        <v>2</v>
      </c>
      <c r="O2620" s="93">
        <f t="shared" si="848"/>
        <v>100</v>
      </c>
      <c r="KJ2620" s="100">
        <v>1</v>
      </c>
      <c r="ON2620" s="100">
        <f t="shared" si="835"/>
        <v>0</v>
      </c>
    </row>
    <row r="2621" spans="1:404" ht="23.25" customHeight="1">
      <c r="A2621" s="127" t="e">
        <f>D2621&amp;#REF!</f>
        <v>#REF!</v>
      </c>
      <c r="B2621" s="126">
        <v>44505</v>
      </c>
      <c r="C2621" s="97">
        <f t="shared" ca="1" si="847"/>
        <v>-559</v>
      </c>
      <c r="D2621" s="128" t="s">
        <v>2103</v>
      </c>
      <c r="E2621" s="129" t="s">
        <v>1176</v>
      </c>
      <c r="F2621" s="312" t="str">
        <f>MID(E2622,13,2)</f>
        <v>B</v>
      </c>
      <c r="G2621" s="313">
        <f ca="1">SUMIF($A:E,$A2621,K:K)</f>
        <v>1754</v>
      </c>
      <c r="H2621" s="314" t="s">
        <v>508</v>
      </c>
      <c r="I2621" s="175">
        <v>20</v>
      </c>
      <c r="J2621" s="134">
        <v>1</v>
      </c>
      <c r="K2621" s="160">
        <f t="shared" si="852"/>
        <v>1</v>
      </c>
      <c r="L2621" s="151">
        <f t="shared" si="855"/>
        <v>0</v>
      </c>
      <c r="M2621" s="275">
        <f t="shared" si="846"/>
        <v>20</v>
      </c>
      <c r="N2621" s="132">
        <v>2</v>
      </c>
      <c r="O2621" s="93">
        <f t="shared" si="848"/>
        <v>100</v>
      </c>
      <c r="KJ2621" s="100">
        <v>1</v>
      </c>
      <c r="ON2621" s="100">
        <f t="shared" si="835"/>
        <v>0</v>
      </c>
    </row>
    <row r="2622" spans="1:404" ht="23.25" customHeight="1">
      <c r="A2622" s="97" t="str">
        <f t="shared" ref="A2622:A2659" si="856">D2622&amp;E2622</f>
        <v>304/KHBS-2166-64700-S1-B</v>
      </c>
      <c r="B2622" s="95">
        <v>44507</v>
      </c>
      <c r="C2622" s="97">
        <f t="shared" ca="1" si="847"/>
        <v>-557</v>
      </c>
      <c r="D2622" s="96" t="s">
        <v>2104</v>
      </c>
      <c r="E2622" s="94" t="s">
        <v>635</v>
      </c>
      <c r="F2622" s="98" t="str">
        <f t="shared" ref="F2622:F2659" si="857">MID(E2622,13,2)</f>
        <v>B</v>
      </c>
      <c r="G2622" s="110">
        <f ca="1">SUMIF($A:E,$A2622,K:K)</f>
        <v>2</v>
      </c>
      <c r="H2622" s="97" t="s">
        <v>1593</v>
      </c>
      <c r="I2622" s="175">
        <v>2</v>
      </c>
      <c r="J2622" s="99">
        <v>2</v>
      </c>
      <c r="K2622" s="143">
        <f t="shared" si="852"/>
        <v>2</v>
      </c>
      <c r="L2622" s="144">
        <f t="shared" si="855"/>
        <v>0</v>
      </c>
      <c r="M2622" s="275">
        <f t="shared" si="846"/>
        <v>2</v>
      </c>
      <c r="N2622" s="98">
        <v>1</v>
      </c>
      <c r="O2622" s="93">
        <f t="shared" si="848"/>
        <v>100</v>
      </c>
      <c r="KI2622" s="100">
        <v>2</v>
      </c>
      <c r="ON2622" s="100">
        <f t="shared" si="835"/>
        <v>0</v>
      </c>
    </row>
    <row r="2623" spans="1:404" ht="23.25" customHeight="1">
      <c r="A2623" s="97" t="str">
        <f t="shared" si="856"/>
        <v>304/KHBS-2166-87500-S1-B</v>
      </c>
      <c r="B2623" s="95">
        <v>44507</v>
      </c>
      <c r="C2623" s="97">
        <f t="shared" ca="1" si="847"/>
        <v>-557</v>
      </c>
      <c r="D2623" s="96" t="s">
        <v>2104</v>
      </c>
      <c r="E2623" s="280" t="s">
        <v>1548</v>
      </c>
      <c r="F2623" s="98" t="str">
        <f t="shared" si="857"/>
        <v>B</v>
      </c>
      <c r="G2623" s="110">
        <f ca="1">SUMIF($A:E,$A2623,K:K)</f>
        <v>1</v>
      </c>
      <c r="H2623" s="97" t="s">
        <v>1593</v>
      </c>
      <c r="I2623" s="175">
        <v>96</v>
      </c>
      <c r="J2623" s="99">
        <v>1</v>
      </c>
      <c r="K2623" s="143">
        <f t="shared" si="852"/>
        <v>1</v>
      </c>
      <c r="L2623" s="144">
        <f t="shared" si="855"/>
        <v>0</v>
      </c>
      <c r="M2623" s="275">
        <f t="shared" si="846"/>
        <v>96</v>
      </c>
      <c r="N2623" s="98" t="s">
        <v>1776</v>
      </c>
      <c r="O2623" s="93">
        <f t="shared" si="848"/>
        <v>100</v>
      </c>
      <c r="KI2623" s="100">
        <v>1</v>
      </c>
      <c r="ON2623" s="100">
        <f t="shared" si="835"/>
        <v>0</v>
      </c>
    </row>
    <row r="2624" spans="1:404" ht="23.25" customHeight="1">
      <c r="A2624" s="97" t="str">
        <f t="shared" si="856"/>
        <v>304/KHBS-2168-70900-03-B</v>
      </c>
      <c r="B2624" s="95">
        <v>44507</v>
      </c>
      <c r="C2624" s="97">
        <f t="shared" ca="1" si="847"/>
        <v>-557</v>
      </c>
      <c r="D2624" s="96" t="s">
        <v>2104</v>
      </c>
      <c r="E2624" s="94" t="s">
        <v>27</v>
      </c>
      <c r="F2624" s="98" t="str">
        <f t="shared" si="857"/>
        <v>B</v>
      </c>
      <c r="G2624" s="110">
        <f ca="1">SUMIF($A:E,$A2624,K:K)</f>
        <v>2</v>
      </c>
      <c r="H2624" s="97" t="s">
        <v>1593</v>
      </c>
      <c r="I2624" s="175">
        <v>32</v>
      </c>
      <c r="J2624" s="99">
        <v>2</v>
      </c>
      <c r="K2624" s="143">
        <f t="shared" si="852"/>
        <v>2</v>
      </c>
      <c r="L2624" s="144">
        <f t="shared" si="855"/>
        <v>0</v>
      </c>
      <c r="M2624" s="275">
        <f t="shared" si="846"/>
        <v>32</v>
      </c>
      <c r="N2624" s="98">
        <v>4</v>
      </c>
      <c r="O2624" s="93">
        <f t="shared" si="848"/>
        <v>100</v>
      </c>
      <c r="KN2624" s="100">
        <v>2</v>
      </c>
      <c r="ON2624" s="100">
        <f t="shared" si="835"/>
        <v>0</v>
      </c>
    </row>
    <row r="2625" spans="1:404" ht="23.25" customHeight="1">
      <c r="A2625" s="97" t="str">
        <f t="shared" si="856"/>
        <v>304/KHBS-2166-84016-02-B</v>
      </c>
      <c r="B2625" s="95">
        <v>44507</v>
      </c>
      <c r="C2625" s="97">
        <f t="shared" ca="1" si="847"/>
        <v>-557</v>
      </c>
      <c r="D2625" s="96" t="s">
        <v>2104</v>
      </c>
      <c r="E2625" s="280" t="s">
        <v>1165</v>
      </c>
      <c r="F2625" s="98" t="str">
        <f t="shared" si="857"/>
        <v>B</v>
      </c>
      <c r="G2625" s="110">
        <f ca="1">SUMIF($A:E,$A2625,K:K)</f>
        <v>1</v>
      </c>
      <c r="H2625" s="97" t="s">
        <v>1593</v>
      </c>
      <c r="I2625" s="175">
        <v>42</v>
      </c>
      <c r="J2625" s="99">
        <v>1</v>
      </c>
      <c r="K2625" s="143">
        <f t="shared" si="852"/>
        <v>1</v>
      </c>
      <c r="L2625" s="144">
        <f t="shared" si="855"/>
        <v>0</v>
      </c>
      <c r="M2625" s="275">
        <f t="shared" si="846"/>
        <v>42</v>
      </c>
      <c r="N2625" s="98" t="s">
        <v>1776</v>
      </c>
      <c r="O2625" s="93">
        <f t="shared" si="848"/>
        <v>100</v>
      </c>
      <c r="KN2625" s="100">
        <v>1</v>
      </c>
      <c r="ON2625" s="100">
        <f t="shared" si="835"/>
        <v>0</v>
      </c>
    </row>
    <row r="2626" spans="1:404" ht="23.25" customHeight="1">
      <c r="A2626" s="97" t="str">
        <f t="shared" si="856"/>
        <v>300/KHBS-2166-85629-01-B</v>
      </c>
      <c r="B2626" s="95">
        <v>44509</v>
      </c>
      <c r="C2626" s="97">
        <f t="shared" ca="1" si="847"/>
        <v>-555</v>
      </c>
      <c r="D2626" s="96" t="s">
        <v>2103</v>
      </c>
      <c r="E2626" s="94" t="s">
        <v>1986</v>
      </c>
      <c r="F2626" s="98" t="str">
        <f t="shared" si="857"/>
        <v>B</v>
      </c>
      <c r="G2626" s="110">
        <f ca="1">SUMIF($A:E,$A2626,K:K)</f>
        <v>1</v>
      </c>
      <c r="H2626" s="97" t="s">
        <v>1743</v>
      </c>
      <c r="I2626" s="175">
        <v>32</v>
      </c>
      <c r="J2626" s="115">
        <v>1</v>
      </c>
      <c r="K2626" s="143">
        <f t="shared" si="852"/>
        <v>1</v>
      </c>
      <c r="L2626" s="144">
        <f t="shared" si="855"/>
        <v>0</v>
      </c>
      <c r="M2626" s="275">
        <f t="shared" si="846"/>
        <v>32</v>
      </c>
      <c r="N2626" s="98">
        <v>3</v>
      </c>
      <c r="O2626" s="93">
        <f t="shared" si="848"/>
        <v>100</v>
      </c>
      <c r="KQ2626" s="100">
        <v>1</v>
      </c>
      <c r="ON2626" s="100">
        <f t="shared" si="835"/>
        <v>0</v>
      </c>
    </row>
    <row r="2627" spans="1:404" ht="23.25" customHeight="1">
      <c r="A2627" s="97" t="str">
        <f t="shared" si="856"/>
        <v>002/OBI-VG_SR-2166-01702-B3-B</v>
      </c>
      <c r="B2627" s="95">
        <v>44511</v>
      </c>
      <c r="C2627" s="97">
        <f t="shared" ca="1" si="847"/>
        <v>-553</v>
      </c>
      <c r="D2627" s="96" t="s">
        <v>2111</v>
      </c>
      <c r="E2627" s="94" t="s">
        <v>1222</v>
      </c>
      <c r="F2627" s="98" t="str">
        <f t="shared" si="857"/>
        <v>B</v>
      </c>
      <c r="G2627" s="110">
        <f ca="1">SUMIF($A:E,$A2627,K:K)</f>
        <v>1</v>
      </c>
      <c r="H2627" s="97" t="s">
        <v>1743</v>
      </c>
      <c r="I2627" s="175">
        <v>72</v>
      </c>
      <c r="J2627" s="115">
        <v>1</v>
      </c>
      <c r="K2627" s="143">
        <f t="shared" si="852"/>
        <v>1</v>
      </c>
      <c r="L2627" s="144">
        <f t="shared" ref="L2627:L2649" si="858">J2627-K2627</f>
        <v>0</v>
      </c>
      <c r="M2627" s="275">
        <f t="shared" si="846"/>
        <v>216</v>
      </c>
      <c r="N2627" s="98">
        <v>3</v>
      </c>
      <c r="O2627" s="93">
        <f t="shared" si="848"/>
        <v>100</v>
      </c>
      <c r="KQ2627" s="100">
        <v>1</v>
      </c>
      <c r="ON2627" s="100">
        <f t="shared" si="835"/>
        <v>0</v>
      </c>
    </row>
    <row r="2628" spans="1:404" ht="23.25" customHeight="1">
      <c r="A2628" s="97" t="str">
        <f t="shared" si="856"/>
        <v>002/OBI-VG_SR-2166-06402-S3-B</v>
      </c>
      <c r="B2628" s="95">
        <v>44511</v>
      </c>
      <c r="C2628" s="97">
        <f t="shared" ca="1" si="847"/>
        <v>-553</v>
      </c>
      <c r="D2628" s="96" t="s">
        <v>2111</v>
      </c>
      <c r="E2628" s="94" t="s">
        <v>1250</v>
      </c>
      <c r="F2628" s="98" t="str">
        <f t="shared" si="857"/>
        <v>B</v>
      </c>
      <c r="G2628" s="110">
        <f ca="1">SUMIF($A:E,$A2628,K:K)</f>
        <v>1</v>
      </c>
      <c r="H2628" s="97" t="s">
        <v>1743</v>
      </c>
      <c r="I2628" s="175">
        <v>252</v>
      </c>
      <c r="J2628" s="115">
        <v>1</v>
      </c>
      <c r="K2628" s="143">
        <f t="shared" si="852"/>
        <v>1</v>
      </c>
      <c r="L2628" s="144">
        <f t="shared" si="858"/>
        <v>0</v>
      </c>
      <c r="M2628" s="275">
        <f t="shared" si="846"/>
        <v>756</v>
      </c>
      <c r="N2628" s="98">
        <v>4</v>
      </c>
      <c r="O2628" s="93">
        <f t="shared" si="848"/>
        <v>100</v>
      </c>
      <c r="KO2628" s="100">
        <v>1</v>
      </c>
      <c r="ON2628" s="100">
        <f t="shared" ref="ON2628:ON2691" si="859">SUM(NS2628:OM2628)</f>
        <v>0</v>
      </c>
    </row>
    <row r="2629" spans="1:404" ht="23.25" customHeight="1">
      <c r="A2629" s="97" t="str">
        <f t="shared" si="856"/>
        <v>002/OBI-VG_SR-2166-28401-S1-B</v>
      </c>
      <c r="B2629" s="95">
        <v>44511</v>
      </c>
      <c r="C2629" s="97">
        <f t="shared" ca="1" si="847"/>
        <v>-553</v>
      </c>
      <c r="D2629" s="96" t="s">
        <v>2111</v>
      </c>
      <c r="E2629" s="94" t="s">
        <v>2041</v>
      </c>
      <c r="F2629" s="98" t="str">
        <f t="shared" si="857"/>
        <v>B</v>
      </c>
      <c r="G2629" s="110">
        <f ca="1">SUMIF($A:E,$A2629,K:K)</f>
        <v>1</v>
      </c>
      <c r="H2629" s="97" t="s">
        <v>1743</v>
      </c>
      <c r="I2629" s="175">
        <v>72</v>
      </c>
      <c r="J2629" s="115">
        <v>1</v>
      </c>
      <c r="K2629" s="143">
        <f t="shared" si="852"/>
        <v>1</v>
      </c>
      <c r="L2629" s="144">
        <f t="shared" si="858"/>
        <v>0</v>
      </c>
      <c r="M2629" s="275">
        <f t="shared" si="846"/>
        <v>72</v>
      </c>
      <c r="N2629" s="98">
        <v>2</v>
      </c>
      <c r="O2629" s="93">
        <f t="shared" si="848"/>
        <v>100</v>
      </c>
      <c r="KQ2629" s="100">
        <v>1</v>
      </c>
      <c r="ON2629" s="100">
        <f t="shared" si="859"/>
        <v>0</v>
      </c>
    </row>
    <row r="2630" spans="1:404" ht="23.25" customHeight="1">
      <c r="A2630" s="97" t="str">
        <f t="shared" si="856"/>
        <v>002/OBI-VG_SR-2166-55402-B2-B</v>
      </c>
      <c r="B2630" s="95">
        <v>44511</v>
      </c>
      <c r="C2630" s="97">
        <f t="shared" ca="1" si="847"/>
        <v>-553</v>
      </c>
      <c r="D2630" s="96" t="s">
        <v>2111</v>
      </c>
      <c r="E2630" s="94" t="s">
        <v>1275</v>
      </c>
      <c r="F2630" s="98" t="str">
        <f t="shared" si="857"/>
        <v>B</v>
      </c>
      <c r="G2630" s="110">
        <f ca="1">SUMIF($A:E,$A2630,K:K)</f>
        <v>1</v>
      </c>
      <c r="H2630" s="97" t="s">
        <v>1743</v>
      </c>
      <c r="I2630" s="175">
        <v>96</v>
      </c>
      <c r="J2630" s="115">
        <v>1</v>
      </c>
      <c r="K2630" s="143">
        <f t="shared" si="852"/>
        <v>1</v>
      </c>
      <c r="L2630" s="144">
        <f t="shared" si="858"/>
        <v>0</v>
      </c>
      <c r="M2630" s="275">
        <f t="shared" si="846"/>
        <v>192</v>
      </c>
      <c r="N2630" s="98">
        <v>3</v>
      </c>
      <c r="O2630" s="93">
        <f t="shared" si="848"/>
        <v>100</v>
      </c>
      <c r="KS2630" s="100">
        <v>1</v>
      </c>
      <c r="ON2630" s="100">
        <f t="shared" si="859"/>
        <v>0</v>
      </c>
    </row>
    <row r="2631" spans="1:404" ht="23.25" customHeight="1">
      <c r="A2631" s="97" t="str">
        <f t="shared" si="856"/>
        <v>002/OBI-VG_SR-2166-61301-S3-B</v>
      </c>
      <c r="B2631" s="95">
        <v>44511</v>
      </c>
      <c r="C2631" s="97">
        <f t="shared" ca="1" si="847"/>
        <v>-553</v>
      </c>
      <c r="D2631" s="96" t="s">
        <v>2111</v>
      </c>
      <c r="E2631" s="94" t="s">
        <v>2043</v>
      </c>
      <c r="F2631" s="98" t="str">
        <f t="shared" si="857"/>
        <v>B</v>
      </c>
      <c r="G2631" s="110">
        <f ca="1">SUMIF($A:E,$A2631,K:K)</f>
        <v>1</v>
      </c>
      <c r="H2631" s="97" t="s">
        <v>1743</v>
      </c>
      <c r="I2631" s="175">
        <v>672</v>
      </c>
      <c r="J2631" s="115">
        <v>1</v>
      </c>
      <c r="K2631" s="143">
        <f t="shared" si="852"/>
        <v>1</v>
      </c>
      <c r="L2631" s="144">
        <f t="shared" si="858"/>
        <v>0</v>
      </c>
      <c r="M2631" s="275">
        <f t="shared" si="846"/>
        <v>2016</v>
      </c>
      <c r="N2631" s="98">
        <v>3</v>
      </c>
      <c r="O2631" s="93">
        <f t="shared" si="848"/>
        <v>100</v>
      </c>
      <c r="KQ2631" s="100">
        <v>1</v>
      </c>
      <c r="ON2631" s="100">
        <f t="shared" si="859"/>
        <v>0</v>
      </c>
    </row>
    <row r="2632" spans="1:404" ht="23.25" customHeight="1">
      <c r="A2632" s="97" t="str">
        <f t="shared" si="856"/>
        <v>002/OBI-VG_SR-2166-70301-S4-B</v>
      </c>
      <c r="B2632" s="95">
        <v>44511</v>
      </c>
      <c r="C2632" s="97">
        <f t="shared" ca="1" si="847"/>
        <v>-553</v>
      </c>
      <c r="D2632" s="96" t="s">
        <v>2111</v>
      </c>
      <c r="E2632" s="94" t="s">
        <v>2109</v>
      </c>
      <c r="F2632" s="98" t="str">
        <f t="shared" si="857"/>
        <v>B</v>
      </c>
      <c r="G2632" s="110">
        <f ca="1">SUMIF($A:E,$A2632,K:K)</f>
        <v>1</v>
      </c>
      <c r="H2632" s="97" t="s">
        <v>1743</v>
      </c>
      <c r="I2632" s="175">
        <v>672</v>
      </c>
      <c r="J2632" s="115">
        <v>1</v>
      </c>
      <c r="K2632" s="143">
        <f t="shared" si="852"/>
        <v>1</v>
      </c>
      <c r="L2632" s="144">
        <f t="shared" si="858"/>
        <v>0</v>
      </c>
      <c r="M2632" s="275">
        <f t="shared" si="846"/>
        <v>2688</v>
      </c>
      <c r="N2632" s="98">
        <v>2</v>
      </c>
      <c r="O2632" s="93">
        <f t="shared" si="848"/>
        <v>100</v>
      </c>
      <c r="KQ2632" s="100">
        <v>1</v>
      </c>
      <c r="ON2632" s="100">
        <f t="shared" si="859"/>
        <v>0</v>
      </c>
    </row>
    <row r="2633" spans="1:404" ht="23.25" customHeight="1">
      <c r="A2633" s="97" t="str">
        <f t="shared" si="856"/>
        <v>002/OBI-VG_SR-2166-70302-B3-B</v>
      </c>
      <c r="B2633" s="95">
        <v>44511</v>
      </c>
      <c r="C2633" s="97">
        <f t="shared" ca="1" si="847"/>
        <v>-553</v>
      </c>
      <c r="D2633" s="96" t="s">
        <v>2111</v>
      </c>
      <c r="E2633" s="94" t="s">
        <v>1258</v>
      </c>
      <c r="F2633" s="98" t="str">
        <f t="shared" si="857"/>
        <v>B</v>
      </c>
      <c r="G2633" s="110">
        <f ca="1">SUMIF($A:E,$A2633,K:K)</f>
        <v>1</v>
      </c>
      <c r="H2633" s="97" t="s">
        <v>1743</v>
      </c>
      <c r="I2633" s="175">
        <v>336</v>
      </c>
      <c r="J2633" s="115">
        <v>1</v>
      </c>
      <c r="K2633" s="143">
        <f t="shared" si="852"/>
        <v>1</v>
      </c>
      <c r="L2633" s="144">
        <f t="shared" si="858"/>
        <v>0</v>
      </c>
      <c r="M2633" s="275">
        <f t="shared" si="846"/>
        <v>1008</v>
      </c>
      <c r="N2633" s="98">
        <v>3</v>
      </c>
      <c r="O2633" s="93">
        <f t="shared" si="848"/>
        <v>100</v>
      </c>
      <c r="KQ2633" s="100">
        <v>1</v>
      </c>
      <c r="ON2633" s="100">
        <f t="shared" si="859"/>
        <v>0</v>
      </c>
    </row>
    <row r="2634" spans="1:404" ht="23.25" customHeight="1">
      <c r="A2634" s="97" t="str">
        <f t="shared" si="856"/>
        <v>002/OBI-VG_SR-2166-80036-01-B</v>
      </c>
      <c r="B2634" s="95">
        <v>44511</v>
      </c>
      <c r="C2634" s="97">
        <f t="shared" ca="1" si="847"/>
        <v>-553</v>
      </c>
      <c r="D2634" s="96" t="s">
        <v>2111</v>
      </c>
      <c r="E2634" s="94" t="s">
        <v>894</v>
      </c>
      <c r="F2634" s="98" t="str">
        <f t="shared" si="857"/>
        <v>B</v>
      </c>
      <c r="G2634" s="110">
        <f ca="1">SUMIF($A:E,$A2634,K:K)</f>
        <v>1</v>
      </c>
      <c r="H2634" s="97" t="s">
        <v>1743</v>
      </c>
      <c r="I2634" s="175">
        <v>252</v>
      </c>
      <c r="J2634" s="115">
        <v>1</v>
      </c>
      <c r="K2634" s="143">
        <f t="shared" si="852"/>
        <v>1</v>
      </c>
      <c r="L2634" s="144">
        <f t="shared" si="858"/>
        <v>0</v>
      </c>
      <c r="M2634" s="275">
        <f t="shared" si="846"/>
        <v>252</v>
      </c>
      <c r="N2634" s="98">
        <v>1</v>
      </c>
      <c r="O2634" s="93">
        <f t="shared" si="848"/>
        <v>100</v>
      </c>
      <c r="KQ2634" s="100">
        <v>1</v>
      </c>
      <c r="ON2634" s="100">
        <f t="shared" si="859"/>
        <v>0</v>
      </c>
    </row>
    <row r="2635" spans="1:404" ht="23.25" customHeight="1">
      <c r="A2635" s="97" t="str">
        <f t="shared" si="856"/>
        <v>002/OBI-VG_SR-2166-80036-03-B</v>
      </c>
      <c r="B2635" s="95">
        <v>44511</v>
      </c>
      <c r="C2635" s="97">
        <f t="shared" ca="1" si="847"/>
        <v>-553</v>
      </c>
      <c r="D2635" s="96" t="s">
        <v>2111</v>
      </c>
      <c r="E2635" s="94" t="s">
        <v>638</v>
      </c>
      <c r="F2635" s="98" t="str">
        <f t="shared" si="857"/>
        <v>B</v>
      </c>
      <c r="G2635" s="110">
        <f ca="1">SUMIF($A:E,$A2635,K:K)</f>
        <v>1</v>
      </c>
      <c r="H2635" s="97" t="s">
        <v>1743</v>
      </c>
      <c r="I2635" s="175">
        <v>40</v>
      </c>
      <c r="J2635" s="115">
        <v>1</v>
      </c>
      <c r="K2635" s="143">
        <f t="shared" si="852"/>
        <v>1</v>
      </c>
      <c r="L2635" s="144">
        <f t="shared" si="858"/>
        <v>0</v>
      </c>
      <c r="M2635" s="275">
        <f t="shared" si="846"/>
        <v>40</v>
      </c>
      <c r="N2635" s="98">
        <v>1</v>
      </c>
      <c r="O2635" s="93" t="b">
        <f>'[1]NHAP HANG NGAY'!$ADM$4304=K2635/J2635*100</f>
        <v>0</v>
      </c>
      <c r="KQ2635" s="100">
        <v>1</v>
      </c>
      <c r="ON2635" s="100">
        <f t="shared" si="859"/>
        <v>0</v>
      </c>
    </row>
    <row r="2636" spans="1:404" ht="23.25" customHeight="1">
      <c r="A2636" s="97" t="str">
        <f t="shared" si="856"/>
        <v>002/OBI-VG_SR-2166-80136-02-B</v>
      </c>
      <c r="B2636" s="95">
        <v>44511</v>
      </c>
      <c r="C2636" s="97">
        <f t="shared" ca="1" si="847"/>
        <v>-553</v>
      </c>
      <c r="D2636" s="96" t="s">
        <v>2111</v>
      </c>
      <c r="E2636" s="94" t="s">
        <v>639</v>
      </c>
      <c r="F2636" s="98" t="str">
        <f t="shared" si="857"/>
        <v>B</v>
      </c>
      <c r="G2636" s="110">
        <f ca="1">SUMIF($A:E,$A2636,K:K)</f>
        <v>1</v>
      </c>
      <c r="H2636" s="97" t="s">
        <v>1743</v>
      </c>
      <c r="I2636" s="175">
        <v>16</v>
      </c>
      <c r="J2636" s="115">
        <v>1</v>
      </c>
      <c r="K2636" s="143">
        <f t="shared" si="852"/>
        <v>1</v>
      </c>
      <c r="L2636" s="144">
        <f t="shared" si="858"/>
        <v>0</v>
      </c>
      <c r="M2636" s="275">
        <f t="shared" si="846"/>
        <v>16</v>
      </c>
      <c r="N2636" s="98">
        <v>1</v>
      </c>
      <c r="O2636" s="93">
        <f t="shared" si="848"/>
        <v>100</v>
      </c>
      <c r="KQ2636" s="100">
        <v>1</v>
      </c>
      <c r="ON2636" s="100">
        <f t="shared" si="859"/>
        <v>0</v>
      </c>
    </row>
    <row r="2637" spans="1:404" ht="23.25" customHeight="1">
      <c r="A2637" s="97" t="str">
        <f t="shared" si="856"/>
        <v>002/OBI-VG_SR-2166-83902-02-B</v>
      </c>
      <c r="B2637" s="95">
        <v>44511</v>
      </c>
      <c r="C2637" s="97">
        <f t="shared" ca="1" si="847"/>
        <v>-553</v>
      </c>
      <c r="D2637" s="96" t="s">
        <v>2111</v>
      </c>
      <c r="E2637" s="94" t="s">
        <v>667</v>
      </c>
      <c r="F2637" s="98" t="str">
        <f t="shared" si="857"/>
        <v>B</v>
      </c>
      <c r="G2637" s="110">
        <f ca="1">SUMIF($A:E,$A2637,K:K)</f>
        <v>1</v>
      </c>
      <c r="H2637" s="97" t="s">
        <v>1743</v>
      </c>
      <c r="I2637" s="175">
        <v>16</v>
      </c>
      <c r="J2637" s="115">
        <v>1</v>
      </c>
      <c r="K2637" s="143">
        <f t="shared" si="852"/>
        <v>1</v>
      </c>
      <c r="L2637" s="144">
        <f t="shared" si="858"/>
        <v>0</v>
      </c>
      <c r="M2637" s="275">
        <f t="shared" si="846"/>
        <v>16</v>
      </c>
      <c r="N2637" s="98" t="s">
        <v>1776</v>
      </c>
      <c r="O2637" s="93">
        <f t="shared" si="848"/>
        <v>100</v>
      </c>
      <c r="KP2637" s="100">
        <v>1</v>
      </c>
      <c r="ON2637" s="100">
        <f t="shared" si="859"/>
        <v>0</v>
      </c>
    </row>
    <row r="2638" spans="1:404" ht="23.25" customHeight="1">
      <c r="A2638" s="97" t="str">
        <f t="shared" si="856"/>
        <v>002/OBI-VG_SR-2166-88101-S2-B</v>
      </c>
      <c r="B2638" s="95">
        <v>44511</v>
      </c>
      <c r="C2638" s="97">
        <f t="shared" ca="1" si="847"/>
        <v>-553</v>
      </c>
      <c r="D2638" s="96" t="s">
        <v>2111</v>
      </c>
      <c r="E2638" s="94" t="s">
        <v>2110</v>
      </c>
      <c r="F2638" s="98" t="str">
        <f t="shared" si="857"/>
        <v>B</v>
      </c>
      <c r="G2638" s="110">
        <f ca="1">SUMIF($A:E,$A2638,K:K)</f>
        <v>1</v>
      </c>
      <c r="H2638" s="97" t="s">
        <v>1743</v>
      </c>
      <c r="I2638" s="175">
        <v>30</v>
      </c>
      <c r="J2638" s="115">
        <v>1</v>
      </c>
      <c r="K2638" s="143">
        <f t="shared" si="852"/>
        <v>1</v>
      </c>
      <c r="L2638" s="144">
        <f t="shared" si="858"/>
        <v>0</v>
      </c>
      <c r="M2638" s="275">
        <f t="shared" si="846"/>
        <v>60</v>
      </c>
      <c r="N2638" s="98">
        <v>2</v>
      </c>
      <c r="O2638" s="93">
        <f t="shared" si="848"/>
        <v>100</v>
      </c>
      <c r="KQ2638" s="100">
        <v>1</v>
      </c>
      <c r="ON2638" s="100">
        <f t="shared" si="859"/>
        <v>0</v>
      </c>
    </row>
    <row r="2639" spans="1:404" ht="23.25" customHeight="1">
      <c r="A2639" s="97" t="str">
        <f t="shared" si="856"/>
        <v>002/OBI-VG_SR-2168-83600-S1-A</v>
      </c>
      <c r="B2639" s="95">
        <v>44511</v>
      </c>
      <c r="C2639" s="97">
        <f t="shared" ca="1" si="847"/>
        <v>-553</v>
      </c>
      <c r="D2639" s="96" t="s">
        <v>2111</v>
      </c>
      <c r="E2639" s="94" t="s">
        <v>586</v>
      </c>
      <c r="F2639" s="98" t="str">
        <f t="shared" si="857"/>
        <v>A</v>
      </c>
      <c r="G2639" s="110">
        <f ca="1">SUMIF($A:E,$A2639,K:K)</f>
        <v>1</v>
      </c>
      <c r="H2639" s="97" t="s">
        <v>1743</v>
      </c>
      <c r="I2639" s="175">
        <v>36</v>
      </c>
      <c r="J2639" s="115">
        <v>1</v>
      </c>
      <c r="K2639" s="143">
        <f t="shared" si="852"/>
        <v>1</v>
      </c>
      <c r="L2639" s="144">
        <f t="shared" si="858"/>
        <v>0</v>
      </c>
      <c r="M2639" s="275">
        <f t="shared" si="846"/>
        <v>36</v>
      </c>
      <c r="N2639" s="98" t="s">
        <v>1776</v>
      </c>
      <c r="O2639" s="93">
        <f t="shared" ref="O2639:O2696" si="860">K2639/J2639*100</f>
        <v>100</v>
      </c>
      <c r="KP2639" s="100">
        <v>1</v>
      </c>
      <c r="ON2639" s="100">
        <f t="shared" si="859"/>
        <v>0</v>
      </c>
    </row>
    <row r="2640" spans="1:404" ht="23.25" customHeight="1">
      <c r="A2640" s="97" t="str">
        <f t="shared" si="856"/>
        <v>002/OBI-VG_SR-2168-83700-S1-A</v>
      </c>
      <c r="B2640" s="95">
        <v>44511</v>
      </c>
      <c r="C2640" s="97">
        <f t="shared" ca="1" si="847"/>
        <v>-553</v>
      </c>
      <c r="D2640" s="96" t="s">
        <v>2111</v>
      </c>
      <c r="E2640" s="94" t="s">
        <v>587</v>
      </c>
      <c r="F2640" s="98" t="str">
        <f t="shared" si="857"/>
        <v>A</v>
      </c>
      <c r="G2640" s="110">
        <f ca="1">SUMIF($A:E,$A2640,K:K)</f>
        <v>1</v>
      </c>
      <c r="H2640" s="97" t="s">
        <v>1743</v>
      </c>
      <c r="I2640" s="175">
        <v>90</v>
      </c>
      <c r="J2640" s="115">
        <v>1</v>
      </c>
      <c r="K2640" s="143">
        <f t="shared" si="852"/>
        <v>1</v>
      </c>
      <c r="L2640" s="144">
        <f t="shared" si="858"/>
        <v>0</v>
      </c>
      <c r="M2640" s="275">
        <f t="shared" si="846"/>
        <v>90</v>
      </c>
      <c r="N2640" s="98" t="s">
        <v>1776</v>
      </c>
      <c r="O2640" s="93">
        <f t="shared" si="860"/>
        <v>100</v>
      </c>
      <c r="KP2640" s="100">
        <v>1</v>
      </c>
      <c r="ON2640" s="100">
        <f t="shared" si="859"/>
        <v>0</v>
      </c>
    </row>
    <row r="2641" spans="1:404" ht="23.25" customHeight="1">
      <c r="A2641" s="97" t="str">
        <f t="shared" si="856"/>
        <v>002/OBI-VG_SR-2168-83800-S1-A</v>
      </c>
      <c r="B2641" s="95">
        <v>44511</v>
      </c>
      <c r="C2641" s="97">
        <f t="shared" ca="1" si="847"/>
        <v>-553</v>
      </c>
      <c r="D2641" s="96" t="s">
        <v>2111</v>
      </c>
      <c r="E2641" s="94" t="s">
        <v>588</v>
      </c>
      <c r="F2641" s="98" t="str">
        <f t="shared" si="857"/>
        <v>A</v>
      </c>
      <c r="G2641" s="110">
        <f ca="1">SUMIF($A:E,$A2641,K:K)</f>
        <v>1</v>
      </c>
      <c r="H2641" s="97" t="s">
        <v>1743</v>
      </c>
      <c r="I2641" s="175">
        <v>64</v>
      </c>
      <c r="J2641" s="115">
        <v>1</v>
      </c>
      <c r="K2641" s="143">
        <f t="shared" si="852"/>
        <v>1</v>
      </c>
      <c r="L2641" s="144">
        <f t="shared" si="858"/>
        <v>0</v>
      </c>
      <c r="M2641" s="275">
        <f t="shared" si="846"/>
        <v>64</v>
      </c>
      <c r="N2641" s="98" t="s">
        <v>1776</v>
      </c>
      <c r="O2641" s="93">
        <f t="shared" si="860"/>
        <v>100</v>
      </c>
      <c r="KP2641" s="100">
        <v>1</v>
      </c>
      <c r="ON2641" s="100">
        <f t="shared" si="859"/>
        <v>0</v>
      </c>
    </row>
    <row r="2642" spans="1:404" ht="23.25" customHeight="1">
      <c r="A2642" s="97" t="str">
        <f t="shared" si="856"/>
        <v>002/OBI-VG_SR-2166-28501-S1-B</v>
      </c>
      <c r="B2642" s="95">
        <v>44511</v>
      </c>
      <c r="C2642" s="97">
        <f t="shared" ca="1" si="847"/>
        <v>-553</v>
      </c>
      <c r="D2642" s="96" t="s">
        <v>2111</v>
      </c>
      <c r="E2642" s="94" t="s">
        <v>2042</v>
      </c>
      <c r="F2642" s="98" t="str">
        <f t="shared" si="857"/>
        <v>B</v>
      </c>
      <c r="G2642" s="110">
        <f ca="1">SUMIF($A:E,$A2642,K:K)</f>
        <v>1</v>
      </c>
      <c r="H2642" s="97" t="s">
        <v>1743</v>
      </c>
      <c r="I2642" s="175">
        <v>24</v>
      </c>
      <c r="J2642" s="115">
        <v>1</v>
      </c>
      <c r="K2642" s="143">
        <f t="shared" si="852"/>
        <v>1</v>
      </c>
      <c r="L2642" s="144">
        <f t="shared" si="858"/>
        <v>0</v>
      </c>
      <c r="M2642" s="275">
        <f t="shared" si="846"/>
        <v>24</v>
      </c>
      <c r="N2642" s="98">
        <v>2</v>
      </c>
      <c r="O2642" s="93">
        <f t="shared" si="860"/>
        <v>100</v>
      </c>
      <c r="KS2642" s="100">
        <v>1</v>
      </c>
      <c r="ON2642" s="100">
        <f t="shared" si="859"/>
        <v>0</v>
      </c>
    </row>
    <row r="2643" spans="1:404" ht="23.25" customHeight="1">
      <c r="A2643" s="97" t="str">
        <f t="shared" si="856"/>
        <v>217/POTTERYPOT-2168-72600-01-A</v>
      </c>
      <c r="B2643" s="95">
        <v>44622</v>
      </c>
      <c r="C2643" s="97">
        <f t="shared" ca="1" si="847"/>
        <v>-442</v>
      </c>
      <c r="D2643" s="112" t="s">
        <v>2112</v>
      </c>
      <c r="E2643" s="123" t="s">
        <v>511</v>
      </c>
      <c r="F2643" s="92" t="str">
        <f t="shared" si="857"/>
        <v>A</v>
      </c>
      <c r="G2643" s="109">
        <f ca="1">SUMIF($A:E,$A2643,K:K)</f>
        <v>8</v>
      </c>
      <c r="H2643" s="97" t="s">
        <v>927</v>
      </c>
      <c r="I2643" s="175">
        <v>4</v>
      </c>
      <c r="J2643" s="115">
        <v>4</v>
      </c>
      <c r="K2643" s="143">
        <f t="shared" si="852"/>
        <v>8</v>
      </c>
      <c r="L2643" s="144">
        <f t="shared" si="858"/>
        <v>-4</v>
      </c>
      <c r="M2643" s="275">
        <f t="shared" si="846"/>
        <v>4</v>
      </c>
      <c r="N2643" s="98" t="s">
        <v>1776</v>
      </c>
      <c r="O2643" s="93">
        <f t="shared" si="860"/>
        <v>200</v>
      </c>
      <c r="NY2643" s="100">
        <v>2</v>
      </c>
      <c r="NZ2643" s="100">
        <v>2</v>
      </c>
      <c r="ON2643" s="100">
        <f t="shared" si="859"/>
        <v>4</v>
      </c>
    </row>
    <row r="2644" spans="1:404" ht="23.25" customHeight="1">
      <c r="A2644" s="97" t="str">
        <f t="shared" si="856"/>
        <v>217/POTTERYPOT-2168-72600-02-A</v>
      </c>
      <c r="B2644" s="95">
        <v>44622</v>
      </c>
      <c r="C2644" s="97">
        <f t="shared" ca="1" si="847"/>
        <v>-442</v>
      </c>
      <c r="D2644" s="112" t="s">
        <v>2112</v>
      </c>
      <c r="E2644" s="123" t="s">
        <v>221</v>
      </c>
      <c r="F2644" s="92" t="str">
        <f t="shared" si="857"/>
        <v>A</v>
      </c>
      <c r="G2644" s="109">
        <f ca="1">SUMIF($A:E,$A2644,K:K)</f>
        <v>4</v>
      </c>
      <c r="H2644" s="97" t="s">
        <v>927</v>
      </c>
      <c r="I2644" s="124">
        <v>16</v>
      </c>
      <c r="J2644" s="115">
        <v>4</v>
      </c>
      <c r="K2644" s="143">
        <f t="shared" si="852"/>
        <v>4</v>
      </c>
      <c r="L2644" s="144">
        <f t="shared" si="858"/>
        <v>0</v>
      </c>
      <c r="M2644" s="275">
        <f t="shared" si="846"/>
        <v>16</v>
      </c>
      <c r="N2644" s="98" t="s">
        <v>1776</v>
      </c>
      <c r="O2644" s="93">
        <f t="shared" si="860"/>
        <v>100</v>
      </c>
      <c r="KP2644" s="100">
        <v>2</v>
      </c>
      <c r="KQ2644" s="100">
        <v>2</v>
      </c>
      <c r="ON2644" s="100">
        <f t="shared" si="859"/>
        <v>0</v>
      </c>
    </row>
    <row r="2645" spans="1:404" ht="23.25" customHeight="1">
      <c r="A2645" s="97" t="str">
        <f t="shared" si="856"/>
        <v>217/POTTERYPOT-2168-72700-01-A</v>
      </c>
      <c r="B2645" s="95">
        <v>44622</v>
      </c>
      <c r="C2645" s="97">
        <f t="shared" ca="1" si="847"/>
        <v>-442</v>
      </c>
      <c r="D2645" s="112" t="s">
        <v>2112</v>
      </c>
      <c r="E2645" s="123" t="s">
        <v>224</v>
      </c>
      <c r="F2645" s="92" t="str">
        <f t="shared" si="857"/>
        <v>A</v>
      </c>
      <c r="G2645" s="109">
        <f ca="1">SUMIF($A:E,$A2645,K:K)</f>
        <v>4</v>
      </c>
      <c r="H2645" s="97" t="s">
        <v>927</v>
      </c>
      <c r="I2645" s="124">
        <v>2</v>
      </c>
      <c r="J2645" s="115">
        <v>2</v>
      </c>
      <c r="K2645" s="143">
        <f t="shared" si="852"/>
        <v>4</v>
      </c>
      <c r="L2645" s="144">
        <f t="shared" si="858"/>
        <v>-2</v>
      </c>
      <c r="M2645" s="275">
        <f t="shared" si="846"/>
        <v>2</v>
      </c>
      <c r="N2645" s="98" t="s">
        <v>1776</v>
      </c>
      <c r="O2645" s="93">
        <f t="shared" si="860"/>
        <v>200</v>
      </c>
      <c r="OF2645" s="100">
        <v>2</v>
      </c>
      <c r="ON2645" s="100">
        <f t="shared" si="859"/>
        <v>2</v>
      </c>
    </row>
    <row r="2646" spans="1:404" ht="23.25" customHeight="1">
      <c r="A2646" s="97" t="str">
        <f t="shared" si="856"/>
        <v>217/POTTERYPOT-2168-72700-03-A</v>
      </c>
      <c r="B2646" s="95">
        <v>44622</v>
      </c>
      <c r="C2646" s="97">
        <f t="shared" ca="1" si="847"/>
        <v>-442</v>
      </c>
      <c r="D2646" s="112" t="s">
        <v>2112</v>
      </c>
      <c r="E2646" s="123" t="s">
        <v>226</v>
      </c>
      <c r="F2646" s="92" t="str">
        <f t="shared" si="857"/>
        <v>A</v>
      </c>
      <c r="G2646" s="109">
        <f ca="1">SUMIF($A:E,$A2646,K:K)</f>
        <v>31</v>
      </c>
      <c r="H2646" s="97" t="s">
        <v>927</v>
      </c>
      <c r="I2646" s="124">
        <v>45</v>
      </c>
      <c r="J2646" s="115">
        <v>31</v>
      </c>
      <c r="K2646" s="143">
        <f t="shared" si="852"/>
        <v>31</v>
      </c>
      <c r="L2646" s="144">
        <f t="shared" si="858"/>
        <v>0</v>
      </c>
      <c r="M2646" s="275">
        <f t="shared" si="846"/>
        <v>45</v>
      </c>
      <c r="N2646" s="98" t="s">
        <v>1776</v>
      </c>
      <c r="O2646" s="93">
        <f t="shared" si="860"/>
        <v>100</v>
      </c>
      <c r="ME2646" s="100">
        <v>4</v>
      </c>
      <c r="MF2646" s="100">
        <v>8</v>
      </c>
      <c r="MG2646" s="100">
        <v>8</v>
      </c>
      <c r="MK2646" s="100">
        <v>11</v>
      </c>
      <c r="ON2646" s="100">
        <f t="shared" si="859"/>
        <v>0</v>
      </c>
    </row>
    <row r="2647" spans="1:404" ht="23.25" customHeight="1">
      <c r="A2647" s="97" t="str">
        <f t="shared" si="856"/>
        <v>217/POTTERYPOT-2168-72700-04-A</v>
      </c>
      <c r="B2647" s="95">
        <v>44622</v>
      </c>
      <c r="C2647" s="97">
        <f t="shared" ca="1" si="847"/>
        <v>-442</v>
      </c>
      <c r="D2647" s="112" t="s">
        <v>2112</v>
      </c>
      <c r="E2647" s="123" t="s">
        <v>227</v>
      </c>
      <c r="F2647" s="92" t="str">
        <f t="shared" si="857"/>
        <v>A</v>
      </c>
      <c r="G2647" s="109">
        <f ca="1">SUMIF($A:E,$A2647,K:K)</f>
        <v>31</v>
      </c>
      <c r="H2647" s="97" t="s">
        <v>927</v>
      </c>
      <c r="I2647" s="124">
        <v>31</v>
      </c>
      <c r="J2647" s="115">
        <v>31</v>
      </c>
      <c r="K2647" s="143">
        <f t="shared" si="852"/>
        <v>31</v>
      </c>
      <c r="L2647" s="144">
        <f t="shared" si="858"/>
        <v>0</v>
      </c>
      <c r="M2647" s="275">
        <f t="shared" si="846"/>
        <v>31</v>
      </c>
      <c r="N2647" s="98" t="s">
        <v>1776</v>
      </c>
      <c r="O2647" s="93">
        <f t="shared" si="860"/>
        <v>100</v>
      </c>
      <c r="ME2647" s="100">
        <v>4</v>
      </c>
      <c r="MF2647" s="100">
        <v>8</v>
      </c>
      <c r="MG2647" s="100">
        <v>8</v>
      </c>
      <c r="MK2647" s="100">
        <v>11</v>
      </c>
      <c r="ON2647" s="100">
        <f t="shared" si="859"/>
        <v>0</v>
      </c>
    </row>
    <row r="2648" spans="1:404" ht="23.25" customHeight="1">
      <c r="A2648" s="97" t="str">
        <f t="shared" si="856"/>
        <v>217/POTTERYPOT-2168-72800-01-A</v>
      </c>
      <c r="B2648" s="95">
        <v>44622</v>
      </c>
      <c r="C2648" s="97">
        <f t="shared" ca="1" si="847"/>
        <v>-442</v>
      </c>
      <c r="D2648" s="112" t="s">
        <v>2112</v>
      </c>
      <c r="E2648" s="123" t="s">
        <v>228</v>
      </c>
      <c r="F2648" s="92" t="str">
        <f t="shared" si="857"/>
        <v>A</v>
      </c>
      <c r="G2648" s="109">
        <f ca="1">SUMIF($A:E,$A2648,K:K)</f>
        <v>72</v>
      </c>
      <c r="H2648" s="97" t="s">
        <v>927</v>
      </c>
      <c r="I2648" s="124">
        <v>32</v>
      </c>
      <c r="J2648" s="115">
        <v>36</v>
      </c>
      <c r="K2648" s="143">
        <f t="shared" si="852"/>
        <v>72</v>
      </c>
      <c r="L2648" s="144">
        <f>J2648-K2648</f>
        <v>-36</v>
      </c>
      <c r="M2648" s="275">
        <f t="shared" si="846"/>
        <v>32</v>
      </c>
      <c r="N2648" s="98" t="s">
        <v>1776</v>
      </c>
      <c r="O2648" s="93">
        <f t="shared" si="860"/>
        <v>200</v>
      </c>
      <c r="NY2648" s="100">
        <v>2</v>
      </c>
      <c r="NZ2648" s="100">
        <v>4</v>
      </c>
      <c r="OA2648" s="100">
        <v>3</v>
      </c>
      <c r="OB2648" s="100">
        <v>6</v>
      </c>
      <c r="OC2648" s="100">
        <v>8</v>
      </c>
      <c r="OF2648" s="100">
        <v>13</v>
      </c>
      <c r="ON2648" s="100">
        <f t="shared" si="859"/>
        <v>36</v>
      </c>
    </row>
    <row r="2649" spans="1:404" ht="23.25" customHeight="1">
      <c r="A2649" s="97" t="str">
        <f t="shared" si="856"/>
        <v>217/POTTERYPOT-2168-72800-03-A</v>
      </c>
      <c r="B2649" s="95">
        <v>44622</v>
      </c>
      <c r="C2649" s="97">
        <f t="shared" ca="1" si="847"/>
        <v>-442</v>
      </c>
      <c r="D2649" s="112" t="s">
        <v>2112</v>
      </c>
      <c r="E2649" s="123" t="s">
        <v>230</v>
      </c>
      <c r="F2649" s="92" t="str">
        <f t="shared" si="857"/>
        <v>A</v>
      </c>
      <c r="G2649" s="109">
        <f ca="1">SUMIF($A:E,$A2649,K:K)</f>
        <v>84</v>
      </c>
      <c r="H2649" s="97" t="s">
        <v>927</v>
      </c>
      <c r="I2649" s="124">
        <v>42</v>
      </c>
      <c r="J2649" s="115">
        <v>42</v>
      </c>
      <c r="K2649" s="143">
        <f t="shared" si="852"/>
        <v>84</v>
      </c>
      <c r="L2649" s="144">
        <f t="shared" si="858"/>
        <v>-42</v>
      </c>
      <c r="M2649" s="275">
        <f t="shared" si="846"/>
        <v>42</v>
      </c>
      <c r="N2649" s="98" t="s">
        <v>1776</v>
      </c>
      <c r="O2649" s="93">
        <f t="shared" si="860"/>
        <v>200</v>
      </c>
      <c r="NV2649" s="100">
        <v>7</v>
      </c>
      <c r="NY2649" s="100">
        <v>14</v>
      </c>
      <c r="NZ2649" s="100">
        <v>16</v>
      </c>
      <c r="OA2649" s="100">
        <v>5</v>
      </c>
      <c r="ON2649" s="100">
        <f t="shared" si="859"/>
        <v>42</v>
      </c>
    </row>
    <row r="2650" spans="1:404" ht="23.25" customHeight="1">
      <c r="A2650" s="97" t="str">
        <f t="shared" si="856"/>
        <v>050T/WESTELM-2166-70337-03-B4</v>
      </c>
      <c r="B2650" s="95">
        <v>44579</v>
      </c>
      <c r="C2650" s="97">
        <f t="shared" ca="1" si="847"/>
        <v>-485</v>
      </c>
      <c r="D2650" s="112" t="s">
        <v>2116</v>
      </c>
      <c r="E2650" s="123" t="s">
        <v>1117</v>
      </c>
      <c r="F2650" s="98" t="str">
        <f t="shared" si="857"/>
        <v>B4</v>
      </c>
      <c r="G2650" s="110">
        <f ca="1">SUMIF($A:E,$A2650,K:K)</f>
        <v>96</v>
      </c>
      <c r="H2650" s="97" t="s">
        <v>1743</v>
      </c>
      <c r="I2650" s="175">
        <v>300</v>
      </c>
      <c r="J2650" s="115">
        <v>96</v>
      </c>
      <c r="K2650" s="143">
        <f t="shared" ref="K2650:K2681" si="861">SUM(P2650:BBC2650)</f>
        <v>96</v>
      </c>
      <c r="L2650" s="144">
        <f t="shared" ref="L2650:L2655" si="862">J2650-K2650</f>
        <v>0</v>
      </c>
      <c r="M2650" s="275">
        <f t="shared" si="846"/>
        <v>300</v>
      </c>
      <c r="N2650" s="98">
        <v>4</v>
      </c>
      <c r="O2650" s="93">
        <f t="shared" si="860"/>
        <v>100</v>
      </c>
      <c r="MA2650" s="100">
        <v>12</v>
      </c>
      <c r="MB2650" s="100">
        <v>8</v>
      </c>
      <c r="MD2650" s="100">
        <v>8</v>
      </c>
      <c r="ME2650" s="100">
        <v>4</v>
      </c>
      <c r="MF2650" s="100">
        <v>8</v>
      </c>
      <c r="MH2650" s="100">
        <v>11</v>
      </c>
      <c r="MK2650" s="100">
        <v>5</v>
      </c>
      <c r="ML2650" s="100">
        <v>12</v>
      </c>
      <c r="MN2650" s="100">
        <v>16</v>
      </c>
      <c r="MO2650" s="100">
        <v>12</v>
      </c>
      <c r="ON2650" s="100">
        <f t="shared" si="859"/>
        <v>0</v>
      </c>
    </row>
    <row r="2651" spans="1:404" ht="23.25" customHeight="1">
      <c r="A2651" s="97" t="str">
        <f t="shared" si="856"/>
        <v>050T/WESTELM-2166-80036-01-B</v>
      </c>
      <c r="B2651" s="95">
        <v>44579</v>
      </c>
      <c r="C2651" s="97">
        <f t="shared" ca="1" si="847"/>
        <v>-485</v>
      </c>
      <c r="D2651" s="112" t="s">
        <v>2116</v>
      </c>
      <c r="E2651" s="123" t="s">
        <v>894</v>
      </c>
      <c r="F2651" s="98" t="str">
        <f t="shared" si="857"/>
        <v>B</v>
      </c>
      <c r="G2651" s="110">
        <f ca="1">SUMIF($A:E,$A2651,K:K)</f>
        <v>40</v>
      </c>
      <c r="H2651" s="97" t="s">
        <v>1743</v>
      </c>
      <c r="I2651" s="175">
        <v>140</v>
      </c>
      <c r="J2651" s="115">
        <v>40</v>
      </c>
      <c r="K2651" s="143">
        <f t="shared" si="861"/>
        <v>40</v>
      </c>
      <c r="L2651" s="144">
        <f t="shared" si="862"/>
        <v>0</v>
      </c>
      <c r="M2651" s="275">
        <f t="shared" si="846"/>
        <v>140</v>
      </c>
      <c r="N2651" s="98">
        <v>1</v>
      </c>
      <c r="O2651" s="93">
        <f t="shared" si="860"/>
        <v>100</v>
      </c>
      <c r="MG2651" s="100">
        <v>3</v>
      </c>
      <c r="MH2651" s="100">
        <v>5</v>
      </c>
      <c r="MK2651" s="100">
        <v>1</v>
      </c>
      <c r="ML2651" s="100">
        <v>1</v>
      </c>
      <c r="MM2651" s="100">
        <v>13</v>
      </c>
      <c r="MN2651" s="100">
        <v>4</v>
      </c>
      <c r="MP2651" s="100">
        <v>3</v>
      </c>
      <c r="MQ2651" s="100">
        <v>1</v>
      </c>
      <c r="MR2651" s="100">
        <v>3</v>
      </c>
      <c r="MS2651" s="100">
        <v>6</v>
      </c>
      <c r="ON2651" s="100">
        <f t="shared" si="859"/>
        <v>0</v>
      </c>
    </row>
    <row r="2652" spans="1:404" ht="23.25" customHeight="1">
      <c r="A2652" s="97" t="str">
        <f t="shared" si="856"/>
        <v>050T/WESTELM-2166-80136-02-B</v>
      </c>
      <c r="B2652" s="95">
        <v>44579</v>
      </c>
      <c r="C2652" s="97">
        <f t="shared" ca="1" si="847"/>
        <v>-485</v>
      </c>
      <c r="D2652" s="112" t="s">
        <v>2116</v>
      </c>
      <c r="E2652" s="123" t="s">
        <v>639</v>
      </c>
      <c r="F2652" s="98" t="str">
        <f t="shared" si="857"/>
        <v>B</v>
      </c>
      <c r="G2652" s="110">
        <f ca="1">SUMIF($A:E,$A2652,K:K)</f>
        <v>45</v>
      </c>
      <c r="H2652" s="97" t="s">
        <v>1743</v>
      </c>
      <c r="I2652" s="124">
        <v>30</v>
      </c>
      <c r="J2652" s="115">
        <v>45</v>
      </c>
      <c r="K2652" s="143">
        <f t="shared" si="861"/>
        <v>45</v>
      </c>
      <c r="L2652" s="144">
        <f t="shared" si="862"/>
        <v>0</v>
      </c>
      <c r="M2652" s="275">
        <f t="shared" si="846"/>
        <v>30</v>
      </c>
      <c r="N2652" s="98">
        <v>1</v>
      </c>
      <c r="O2652" s="93">
        <f t="shared" si="860"/>
        <v>100</v>
      </c>
      <c r="MG2652" s="100">
        <v>8</v>
      </c>
      <c r="MH2652" s="100">
        <v>10</v>
      </c>
      <c r="MK2652" s="100">
        <v>9</v>
      </c>
      <c r="ML2652" s="100">
        <v>10</v>
      </c>
      <c r="MM2652" s="100">
        <v>8</v>
      </c>
      <c r="ON2652" s="100">
        <f t="shared" si="859"/>
        <v>0</v>
      </c>
    </row>
    <row r="2653" spans="1:404" ht="23.25" customHeight="1">
      <c r="A2653" s="97" t="str">
        <f t="shared" si="856"/>
        <v>050T/WESTELM-2166-83237-02-B4</v>
      </c>
      <c r="B2653" s="95">
        <v>44579</v>
      </c>
      <c r="C2653" s="97">
        <f t="shared" ca="1" si="847"/>
        <v>-485</v>
      </c>
      <c r="D2653" s="112" t="s">
        <v>2116</v>
      </c>
      <c r="E2653" s="123" t="s">
        <v>1082</v>
      </c>
      <c r="F2653" s="98" t="str">
        <f t="shared" si="857"/>
        <v>B4</v>
      </c>
      <c r="G2653" s="110">
        <f ca="1">SUMIF($A:E,$A2653,K:K)</f>
        <v>7</v>
      </c>
      <c r="H2653" s="97" t="s">
        <v>1743</v>
      </c>
      <c r="I2653" s="124">
        <v>30</v>
      </c>
      <c r="J2653" s="115">
        <v>7</v>
      </c>
      <c r="K2653" s="143">
        <f t="shared" si="861"/>
        <v>7</v>
      </c>
      <c r="L2653" s="144">
        <f t="shared" si="862"/>
        <v>0</v>
      </c>
      <c r="M2653" s="275">
        <f t="shared" si="846"/>
        <v>30</v>
      </c>
      <c r="N2653" s="98">
        <v>2</v>
      </c>
      <c r="O2653" s="93">
        <f t="shared" si="860"/>
        <v>100</v>
      </c>
      <c r="LS2653" s="100">
        <v>2</v>
      </c>
      <c r="LT2653" s="100">
        <v>5</v>
      </c>
      <c r="ON2653" s="100">
        <f t="shared" si="859"/>
        <v>0</v>
      </c>
    </row>
    <row r="2654" spans="1:404" ht="23.25" customHeight="1">
      <c r="A2654" s="97" t="str">
        <f t="shared" si="856"/>
        <v>050T/WESTELM-2166-87839-03-B</v>
      </c>
      <c r="B2654" s="95">
        <v>44579</v>
      </c>
      <c r="C2654" s="97">
        <f t="shared" ca="1" si="847"/>
        <v>-485</v>
      </c>
      <c r="D2654" s="112" t="s">
        <v>2116</v>
      </c>
      <c r="E2654" s="123" t="s">
        <v>1802</v>
      </c>
      <c r="F2654" s="98" t="str">
        <f t="shared" si="857"/>
        <v>B</v>
      </c>
      <c r="G2654" s="110">
        <f ca="1">SUMIF($A:E,$A2654,K:K)</f>
        <v>47</v>
      </c>
      <c r="H2654" s="97" t="s">
        <v>1743</v>
      </c>
      <c r="I2654" s="124">
        <v>69</v>
      </c>
      <c r="J2654" s="115">
        <v>47</v>
      </c>
      <c r="K2654" s="143">
        <f t="shared" si="861"/>
        <v>47</v>
      </c>
      <c r="L2654" s="144">
        <f t="shared" si="862"/>
        <v>0</v>
      </c>
      <c r="M2654" s="275">
        <f t="shared" si="846"/>
        <v>69</v>
      </c>
      <c r="N2654" s="98">
        <v>3</v>
      </c>
      <c r="O2654" s="93">
        <f t="shared" si="860"/>
        <v>100</v>
      </c>
      <c r="MK2654" s="100">
        <v>15</v>
      </c>
      <c r="MM2654" s="100">
        <v>19</v>
      </c>
      <c r="MO2654" s="100">
        <v>13</v>
      </c>
      <c r="ON2654" s="100">
        <f t="shared" si="859"/>
        <v>0</v>
      </c>
    </row>
    <row r="2655" spans="1:404" ht="23.25" customHeight="1">
      <c r="A2655" s="97" t="str">
        <f t="shared" si="856"/>
        <v>050T/WESTELM-2166-87839-04-B</v>
      </c>
      <c r="B2655" s="95">
        <v>44579</v>
      </c>
      <c r="C2655" s="97">
        <f t="shared" ca="1" si="847"/>
        <v>-485</v>
      </c>
      <c r="D2655" s="112" t="s">
        <v>2116</v>
      </c>
      <c r="E2655" s="123" t="s">
        <v>1803</v>
      </c>
      <c r="F2655" s="98" t="str">
        <f t="shared" si="857"/>
        <v>B</v>
      </c>
      <c r="G2655" s="110">
        <f ca="1">SUMIF($A:E,$A2655,K:K)</f>
        <v>43</v>
      </c>
      <c r="H2655" s="97" t="s">
        <v>1743</v>
      </c>
      <c r="I2655" s="124">
        <v>107</v>
      </c>
      <c r="J2655" s="115">
        <v>43</v>
      </c>
      <c r="K2655" s="143">
        <f t="shared" si="861"/>
        <v>43</v>
      </c>
      <c r="L2655" s="144">
        <f t="shared" si="862"/>
        <v>0</v>
      </c>
      <c r="M2655" s="275">
        <f t="shared" si="846"/>
        <v>107</v>
      </c>
      <c r="N2655" s="98">
        <v>3</v>
      </c>
      <c r="O2655" s="93">
        <f t="shared" si="860"/>
        <v>100</v>
      </c>
      <c r="MK2655" s="100">
        <v>14</v>
      </c>
      <c r="MM2655" s="100">
        <v>19</v>
      </c>
      <c r="MP2655" s="100">
        <v>10</v>
      </c>
      <c r="ON2655" s="100">
        <f t="shared" si="859"/>
        <v>0</v>
      </c>
    </row>
    <row r="2656" spans="1:404" ht="23.25" customHeight="1">
      <c r="A2656" s="97" t="str">
        <f t="shared" si="856"/>
        <v>306/KHBS-2166-02700-01-B</v>
      </c>
      <c r="B2656" s="95">
        <v>44512</v>
      </c>
      <c r="C2656" s="97">
        <f t="shared" ca="1" si="847"/>
        <v>-552</v>
      </c>
      <c r="D2656" s="96" t="s">
        <v>2118</v>
      </c>
      <c r="E2656" s="94" t="s">
        <v>628</v>
      </c>
      <c r="F2656" s="98" t="str">
        <f t="shared" si="857"/>
        <v>B</v>
      </c>
      <c r="G2656" s="110">
        <f ca="1">SUMIF($A:E,$A2656,K:K)</f>
        <v>1</v>
      </c>
      <c r="H2656" s="97" t="s">
        <v>1743</v>
      </c>
      <c r="I2656" s="98">
        <v>1</v>
      </c>
      <c r="J2656" s="97">
        <v>1</v>
      </c>
      <c r="K2656" s="143">
        <f t="shared" si="861"/>
        <v>1</v>
      </c>
      <c r="L2656" s="144">
        <f t="shared" ref="L2656:L2659" si="863">J2656-K2656</f>
        <v>0</v>
      </c>
      <c r="M2656" s="275">
        <f t="shared" si="846"/>
        <v>1</v>
      </c>
      <c r="N2656" s="98">
        <v>2</v>
      </c>
      <c r="O2656" s="93">
        <f t="shared" si="860"/>
        <v>100</v>
      </c>
      <c r="KY2656" s="100">
        <v>1</v>
      </c>
      <c r="ON2656" s="100">
        <f t="shared" si="859"/>
        <v>0</v>
      </c>
    </row>
    <row r="2657" spans="1:404" ht="23.25" customHeight="1">
      <c r="A2657" s="97" t="str">
        <f t="shared" si="856"/>
        <v>307/KHBS-2166-87400-S1-B</v>
      </c>
      <c r="B2657" s="95">
        <v>44512</v>
      </c>
      <c r="C2657" s="97">
        <f t="shared" ca="1" si="847"/>
        <v>-552</v>
      </c>
      <c r="D2657" s="96" t="s">
        <v>2119</v>
      </c>
      <c r="E2657" s="94" t="s">
        <v>1547</v>
      </c>
      <c r="F2657" s="98" t="str">
        <f t="shared" si="857"/>
        <v>B</v>
      </c>
      <c r="G2657" s="110">
        <f ca="1">SUMIF($A:E,$A2657,K:K)</f>
        <v>1</v>
      </c>
      <c r="H2657" s="97" t="s">
        <v>1743</v>
      </c>
      <c r="I2657" s="98">
        <v>72</v>
      </c>
      <c r="J2657" s="97">
        <v>1</v>
      </c>
      <c r="K2657" s="143">
        <f t="shared" si="861"/>
        <v>1</v>
      </c>
      <c r="L2657" s="144">
        <f t="shared" si="863"/>
        <v>0</v>
      </c>
      <c r="M2657" s="275">
        <f t="shared" si="846"/>
        <v>72</v>
      </c>
      <c r="N2657" s="98">
        <v>3</v>
      </c>
      <c r="O2657" s="93">
        <f t="shared" si="860"/>
        <v>100</v>
      </c>
      <c r="KP2657" s="100">
        <v>1</v>
      </c>
      <c r="ON2657" s="100">
        <f t="shared" si="859"/>
        <v>0</v>
      </c>
    </row>
    <row r="2658" spans="1:404" ht="23.25" customHeight="1">
      <c r="A2658" s="97" t="str">
        <f t="shared" si="856"/>
        <v>307/KHBS-2166-84016-02-B</v>
      </c>
      <c r="B2658" s="95">
        <v>44512</v>
      </c>
      <c r="C2658" s="97">
        <f t="shared" ca="1" si="847"/>
        <v>-552</v>
      </c>
      <c r="D2658" s="96" t="s">
        <v>2119</v>
      </c>
      <c r="E2658" s="94" t="s">
        <v>1165</v>
      </c>
      <c r="F2658" s="98" t="str">
        <f t="shared" si="857"/>
        <v>B</v>
      </c>
      <c r="G2658" s="110">
        <f ca="1">SUMIF($A:E,$A2658,K:K)</f>
        <v>1</v>
      </c>
      <c r="H2658" s="97" t="s">
        <v>1743</v>
      </c>
      <c r="I2658" s="98">
        <v>72</v>
      </c>
      <c r="J2658" s="97">
        <v>1</v>
      </c>
      <c r="K2658" s="143">
        <f t="shared" si="861"/>
        <v>1</v>
      </c>
      <c r="L2658" s="144">
        <f t="shared" si="863"/>
        <v>0</v>
      </c>
      <c r="M2658" s="275">
        <f t="shared" si="846"/>
        <v>72</v>
      </c>
      <c r="N2658" s="98" t="s">
        <v>1776</v>
      </c>
      <c r="O2658" s="93">
        <f t="shared" si="860"/>
        <v>100</v>
      </c>
      <c r="KQ2658" s="100">
        <v>1</v>
      </c>
      <c r="ON2658" s="100">
        <f t="shared" si="859"/>
        <v>0</v>
      </c>
    </row>
    <row r="2659" spans="1:404" ht="23.25" customHeight="1">
      <c r="A2659" s="97" t="str">
        <f t="shared" si="856"/>
        <v>307/KHBS-2166-06723-02-B</v>
      </c>
      <c r="B2659" s="95">
        <v>44512</v>
      </c>
      <c r="C2659" s="97">
        <f t="shared" ca="1" si="847"/>
        <v>-552</v>
      </c>
      <c r="D2659" s="96" t="s">
        <v>2119</v>
      </c>
      <c r="E2659" s="94" t="s">
        <v>2002</v>
      </c>
      <c r="F2659" s="98" t="str">
        <f t="shared" si="857"/>
        <v>B</v>
      </c>
      <c r="G2659" s="110">
        <f ca="1">SUMIF($A:E,$A2659,K:K)</f>
        <v>3</v>
      </c>
      <c r="H2659" s="97" t="s">
        <v>1743</v>
      </c>
      <c r="I2659" s="98">
        <v>3</v>
      </c>
      <c r="J2659" s="97">
        <v>3</v>
      </c>
      <c r="K2659" s="143">
        <f t="shared" si="861"/>
        <v>3</v>
      </c>
      <c r="L2659" s="144">
        <f t="shared" si="863"/>
        <v>0</v>
      </c>
      <c r="M2659" s="275">
        <f t="shared" si="846"/>
        <v>3</v>
      </c>
      <c r="N2659" s="98">
        <v>6</v>
      </c>
      <c r="O2659" s="93">
        <f t="shared" si="860"/>
        <v>100</v>
      </c>
      <c r="KQ2659" s="100">
        <v>3</v>
      </c>
      <c r="ON2659" s="100">
        <f t="shared" si="859"/>
        <v>0</v>
      </c>
    </row>
    <row r="2660" spans="1:404" ht="23.25" customHeight="1">
      <c r="A2660" s="138" t="s">
        <v>2073</v>
      </c>
      <c r="B2660" s="114">
        <v>44513</v>
      </c>
      <c r="C2660" s="138">
        <f t="shared" ca="1" si="847"/>
        <v>-551</v>
      </c>
      <c r="D2660" s="234" t="s">
        <v>2123</v>
      </c>
      <c r="E2660" s="123" t="s">
        <v>1052</v>
      </c>
      <c r="F2660" s="98" t="s">
        <v>561</v>
      </c>
      <c r="G2660" s="110">
        <v>0</v>
      </c>
      <c r="H2660" s="112" t="s">
        <v>2126</v>
      </c>
      <c r="I2660" s="98">
        <v>72</v>
      </c>
      <c r="J2660" s="99">
        <v>1</v>
      </c>
      <c r="K2660" s="143">
        <f t="shared" si="861"/>
        <v>1</v>
      </c>
      <c r="L2660" s="144">
        <f t="shared" ref="L2660:L2665" si="864">J2660-K2660</f>
        <v>0</v>
      </c>
      <c r="M2660" s="275">
        <f t="shared" si="846"/>
        <v>72</v>
      </c>
      <c r="N2660" s="211">
        <v>6</v>
      </c>
      <c r="O2660" s="93">
        <f t="shared" si="860"/>
        <v>100</v>
      </c>
      <c r="KV2660" s="100">
        <v>1</v>
      </c>
      <c r="ON2660" s="100">
        <f t="shared" si="859"/>
        <v>0</v>
      </c>
    </row>
    <row r="2661" spans="1:404" ht="23.25" customHeight="1">
      <c r="A2661" s="97" t="s">
        <v>2073</v>
      </c>
      <c r="B2661" s="95">
        <v>44513</v>
      </c>
      <c r="C2661" s="97">
        <f t="shared" ca="1" si="847"/>
        <v>-551</v>
      </c>
      <c r="D2661" s="112" t="s">
        <v>2123</v>
      </c>
      <c r="E2661" s="123" t="s">
        <v>2124</v>
      </c>
      <c r="F2661" s="98" t="s">
        <v>561</v>
      </c>
      <c r="G2661" s="110">
        <v>0</v>
      </c>
      <c r="H2661" s="112" t="s">
        <v>2126</v>
      </c>
      <c r="I2661" s="98">
        <v>72</v>
      </c>
      <c r="J2661" s="99">
        <v>1</v>
      </c>
      <c r="K2661" s="143">
        <f t="shared" si="861"/>
        <v>1</v>
      </c>
      <c r="L2661" s="144">
        <f t="shared" si="864"/>
        <v>0</v>
      </c>
      <c r="M2661" s="275">
        <f t="shared" si="846"/>
        <v>216</v>
      </c>
      <c r="N2661" s="211">
        <v>2</v>
      </c>
      <c r="O2661" s="93">
        <f t="shared" si="860"/>
        <v>100</v>
      </c>
      <c r="KU2661" s="100">
        <v>1</v>
      </c>
      <c r="ON2661" s="100">
        <f t="shared" si="859"/>
        <v>0</v>
      </c>
    </row>
    <row r="2662" spans="1:404" ht="23.25" customHeight="1">
      <c r="A2662" s="97" t="s">
        <v>2073</v>
      </c>
      <c r="B2662" s="95">
        <v>44513</v>
      </c>
      <c r="C2662" s="97">
        <f t="shared" ca="1" si="847"/>
        <v>-551</v>
      </c>
      <c r="D2662" s="112" t="s">
        <v>2123</v>
      </c>
      <c r="E2662" s="123" t="s">
        <v>1063</v>
      </c>
      <c r="F2662" s="98" t="s">
        <v>561</v>
      </c>
      <c r="G2662" s="110">
        <v>0</v>
      </c>
      <c r="H2662" s="112" t="s">
        <v>2126</v>
      </c>
      <c r="I2662" s="98">
        <v>72</v>
      </c>
      <c r="J2662" s="99">
        <v>1</v>
      </c>
      <c r="K2662" s="143">
        <f t="shared" si="861"/>
        <v>1</v>
      </c>
      <c r="L2662" s="144">
        <f t="shared" si="864"/>
        <v>0</v>
      </c>
      <c r="M2662" s="275">
        <f t="shared" si="846"/>
        <v>72</v>
      </c>
      <c r="N2662" s="211">
        <v>2</v>
      </c>
      <c r="O2662" s="93">
        <f t="shared" si="860"/>
        <v>100</v>
      </c>
      <c r="KV2662" s="100">
        <v>1</v>
      </c>
      <c r="ON2662" s="100">
        <f t="shared" si="859"/>
        <v>0</v>
      </c>
    </row>
    <row r="2663" spans="1:404" ht="23.25" customHeight="1">
      <c r="A2663" s="97" t="s">
        <v>2073</v>
      </c>
      <c r="B2663" s="95">
        <v>44513</v>
      </c>
      <c r="C2663" s="97">
        <f t="shared" ca="1" si="847"/>
        <v>-551</v>
      </c>
      <c r="D2663" s="112" t="s">
        <v>2123</v>
      </c>
      <c r="E2663" s="123" t="s">
        <v>2125</v>
      </c>
      <c r="F2663" s="98" t="s">
        <v>561</v>
      </c>
      <c r="G2663" s="110">
        <v>0</v>
      </c>
      <c r="H2663" s="112" t="s">
        <v>2126</v>
      </c>
      <c r="I2663" s="98">
        <v>72</v>
      </c>
      <c r="J2663" s="99">
        <v>1</v>
      </c>
      <c r="K2663" s="143">
        <f t="shared" si="861"/>
        <v>1</v>
      </c>
      <c r="L2663" s="144">
        <f t="shared" si="864"/>
        <v>0</v>
      </c>
      <c r="M2663" s="275">
        <f t="shared" si="846"/>
        <v>144</v>
      </c>
      <c r="N2663" s="211">
        <v>2</v>
      </c>
      <c r="O2663" s="93">
        <f t="shared" si="860"/>
        <v>100</v>
      </c>
      <c r="KU2663" s="100">
        <v>1</v>
      </c>
      <c r="ON2663" s="100">
        <f t="shared" si="859"/>
        <v>0</v>
      </c>
    </row>
    <row r="2664" spans="1:404" ht="23.25" customHeight="1">
      <c r="A2664" s="97" t="s">
        <v>2073</v>
      </c>
      <c r="B2664" s="95">
        <v>44513</v>
      </c>
      <c r="C2664" s="97">
        <f t="shared" ca="1" si="847"/>
        <v>-551</v>
      </c>
      <c r="D2664" s="112" t="s">
        <v>2123</v>
      </c>
      <c r="E2664" s="123" t="s">
        <v>1383</v>
      </c>
      <c r="F2664" s="98" t="s">
        <v>561</v>
      </c>
      <c r="G2664" s="110">
        <v>0</v>
      </c>
      <c r="H2664" s="112" t="s">
        <v>2126</v>
      </c>
      <c r="I2664" s="98">
        <v>72</v>
      </c>
      <c r="J2664" s="99">
        <v>1</v>
      </c>
      <c r="K2664" s="143">
        <f t="shared" si="861"/>
        <v>1</v>
      </c>
      <c r="L2664" s="144">
        <f t="shared" si="864"/>
        <v>0</v>
      </c>
      <c r="M2664" s="275">
        <f t="shared" ref="M2664:M2726" si="865">IF(OR(MID(E2664,10,1)="0",MID(E2664,10,1)="F"),I2664,IF(OR(,MID(E2664,10,1)="S",MID(E2664,10,1)="L",MID(E2664,10,1)="B",MID(E2664,10,1)="X"),MID(E2664,11,1)*I2664,0))</f>
        <v>72</v>
      </c>
      <c r="N2664" s="211">
        <v>3</v>
      </c>
      <c r="O2664" s="93">
        <f t="shared" si="860"/>
        <v>100</v>
      </c>
      <c r="KV2664" s="100">
        <v>1</v>
      </c>
      <c r="ON2664" s="100">
        <f t="shared" si="859"/>
        <v>0</v>
      </c>
    </row>
    <row r="2665" spans="1:404" ht="23.25" customHeight="1">
      <c r="A2665" s="97" t="s">
        <v>2073</v>
      </c>
      <c r="B2665" s="95">
        <v>44513</v>
      </c>
      <c r="C2665" s="97">
        <f t="shared" ca="1" si="847"/>
        <v>-551</v>
      </c>
      <c r="D2665" s="112" t="s">
        <v>2123</v>
      </c>
      <c r="E2665" s="123" t="s">
        <v>1384</v>
      </c>
      <c r="F2665" s="98" t="s">
        <v>561</v>
      </c>
      <c r="G2665" s="110">
        <v>0</v>
      </c>
      <c r="H2665" s="112" t="s">
        <v>2126</v>
      </c>
      <c r="I2665" s="98">
        <v>72</v>
      </c>
      <c r="J2665" s="99">
        <v>1</v>
      </c>
      <c r="K2665" s="143">
        <f t="shared" si="861"/>
        <v>1</v>
      </c>
      <c r="L2665" s="144">
        <f t="shared" si="864"/>
        <v>0</v>
      </c>
      <c r="M2665" s="275">
        <f t="shared" si="865"/>
        <v>72</v>
      </c>
      <c r="N2665" s="211">
        <v>3</v>
      </c>
      <c r="O2665" s="93">
        <f t="shared" si="860"/>
        <v>100</v>
      </c>
      <c r="KV2665" s="100">
        <v>1</v>
      </c>
      <c r="ON2665" s="100">
        <f t="shared" si="859"/>
        <v>0</v>
      </c>
    </row>
    <row r="2666" spans="1:404" ht="23.25" customHeight="1">
      <c r="A2666" s="97" t="s">
        <v>2073</v>
      </c>
      <c r="B2666" s="95">
        <v>44515</v>
      </c>
      <c r="C2666" s="97">
        <f t="shared" ca="1" si="847"/>
        <v>-549</v>
      </c>
      <c r="D2666" s="112" t="s">
        <v>2127</v>
      </c>
      <c r="E2666" s="123" t="s">
        <v>1052</v>
      </c>
      <c r="F2666" s="98" t="s">
        <v>561</v>
      </c>
      <c r="G2666" s="110">
        <v>0</v>
      </c>
      <c r="H2666" s="112" t="s">
        <v>1616</v>
      </c>
      <c r="I2666" s="98">
        <v>72</v>
      </c>
      <c r="J2666" s="99">
        <v>1</v>
      </c>
      <c r="K2666" s="143">
        <f t="shared" si="861"/>
        <v>1</v>
      </c>
      <c r="L2666" s="144">
        <f t="shared" ref="L2666:L2673" si="866">J2666-K2666</f>
        <v>0</v>
      </c>
      <c r="M2666" s="275">
        <f t="shared" si="865"/>
        <v>72</v>
      </c>
      <c r="N2666" s="211">
        <v>6</v>
      </c>
      <c r="O2666" s="93">
        <f t="shared" si="860"/>
        <v>100</v>
      </c>
      <c r="KY2666" s="100">
        <v>1</v>
      </c>
      <c r="ON2666" s="100">
        <f t="shared" si="859"/>
        <v>0</v>
      </c>
    </row>
    <row r="2667" spans="1:404" ht="23.25" customHeight="1">
      <c r="A2667" s="97" t="s">
        <v>2073</v>
      </c>
      <c r="B2667" s="95">
        <v>44515</v>
      </c>
      <c r="C2667" s="97">
        <f t="shared" ca="1" si="847"/>
        <v>-549</v>
      </c>
      <c r="D2667" s="112" t="s">
        <v>2127</v>
      </c>
      <c r="E2667" s="123" t="s">
        <v>1051</v>
      </c>
      <c r="F2667" s="98" t="s">
        <v>561</v>
      </c>
      <c r="G2667" s="110">
        <v>0</v>
      </c>
      <c r="H2667" s="112" t="s">
        <v>1616</v>
      </c>
      <c r="I2667" s="98">
        <v>72</v>
      </c>
      <c r="J2667" s="99">
        <v>1</v>
      </c>
      <c r="K2667" s="143">
        <f t="shared" si="861"/>
        <v>1</v>
      </c>
      <c r="L2667" s="144">
        <f t="shared" si="866"/>
        <v>0</v>
      </c>
      <c r="M2667" s="275">
        <f t="shared" si="865"/>
        <v>72</v>
      </c>
      <c r="N2667" s="211">
        <v>6</v>
      </c>
      <c r="O2667" s="93">
        <f t="shared" si="860"/>
        <v>100</v>
      </c>
      <c r="KV2667" s="100">
        <v>1</v>
      </c>
      <c r="ON2667" s="100">
        <f t="shared" si="859"/>
        <v>0</v>
      </c>
    </row>
    <row r="2668" spans="1:404" ht="23.25" customHeight="1">
      <c r="A2668" s="97" t="s">
        <v>2073</v>
      </c>
      <c r="B2668" s="95">
        <v>44515</v>
      </c>
      <c r="C2668" s="97">
        <f t="shared" ref="C2668:C2730" ca="1" si="867">B2668-TODAY()</f>
        <v>-549</v>
      </c>
      <c r="D2668" s="112" t="s">
        <v>2127</v>
      </c>
      <c r="E2668" s="123" t="s">
        <v>1063</v>
      </c>
      <c r="F2668" s="98" t="s">
        <v>561</v>
      </c>
      <c r="G2668" s="110">
        <v>0</v>
      </c>
      <c r="H2668" s="112" t="s">
        <v>1616</v>
      </c>
      <c r="I2668" s="98">
        <v>72</v>
      </c>
      <c r="J2668" s="99">
        <v>1</v>
      </c>
      <c r="K2668" s="143">
        <f t="shared" si="861"/>
        <v>1</v>
      </c>
      <c r="L2668" s="144">
        <f t="shared" si="866"/>
        <v>0</v>
      </c>
      <c r="M2668" s="275">
        <f t="shared" si="865"/>
        <v>72</v>
      </c>
      <c r="N2668" s="211">
        <v>2</v>
      </c>
      <c r="O2668" s="93">
        <f t="shared" si="860"/>
        <v>100</v>
      </c>
      <c r="KU2668" s="100">
        <v>1</v>
      </c>
      <c r="ON2668" s="100">
        <f t="shared" si="859"/>
        <v>0</v>
      </c>
    </row>
    <row r="2669" spans="1:404" ht="23.25" customHeight="1">
      <c r="A2669" s="97" t="s">
        <v>2073</v>
      </c>
      <c r="B2669" s="95">
        <v>44515</v>
      </c>
      <c r="C2669" s="97">
        <f t="shared" ca="1" si="867"/>
        <v>-549</v>
      </c>
      <c r="D2669" s="112" t="s">
        <v>2127</v>
      </c>
      <c r="E2669" s="123" t="s">
        <v>1062</v>
      </c>
      <c r="F2669" s="98" t="s">
        <v>561</v>
      </c>
      <c r="G2669" s="110">
        <v>0</v>
      </c>
      <c r="H2669" s="112" t="s">
        <v>1616</v>
      </c>
      <c r="I2669" s="98">
        <v>72</v>
      </c>
      <c r="J2669" s="99">
        <v>1</v>
      </c>
      <c r="K2669" s="143">
        <f t="shared" si="861"/>
        <v>1</v>
      </c>
      <c r="L2669" s="144">
        <f t="shared" si="866"/>
        <v>0</v>
      </c>
      <c r="M2669" s="275">
        <f t="shared" si="865"/>
        <v>72</v>
      </c>
      <c r="N2669" s="211">
        <v>2</v>
      </c>
      <c r="O2669" s="93">
        <f t="shared" si="860"/>
        <v>100</v>
      </c>
      <c r="KU2669" s="100">
        <v>1</v>
      </c>
      <c r="ON2669" s="100">
        <f t="shared" si="859"/>
        <v>0</v>
      </c>
    </row>
    <row r="2670" spans="1:404" ht="23.25" customHeight="1">
      <c r="A2670" s="97" t="s">
        <v>2073</v>
      </c>
      <c r="B2670" s="95">
        <v>44515</v>
      </c>
      <c r="C2670" s="97">
        <f t="shared" ca="1" si="867"/>
        <v>-549</v>
      </c>
      <c r="D2670" s="112" t="s">
        <v>2127</v>
      </c>
      <c r="E2670" s="123" t="s">
        <v>1373</v>
      </c>
      <c r="F2670" s="98" t="s">
        <v>561</v>
      </c>
      <c r="G2670" s="110">
        <v>0</v>
      </c>
      <c r="H2670" s="112" t="s">
        <v>1616</v>
      </c>
      <c r="I2670" s="98">
        <v>72</v>
      </c>
      <c r="J2670" s="99">
        <v>1</v>
      </c>
      <c r="K2670" s="143">
        <f t="shared" si="861"/>
        <v>1</v>
      </c>
      <c r="L2670" s="144">
        <f t="shared" si="866"/>
        <v>0</v>
      </c>
      <c r="M2670" s="275">
        <f t="shared" si="865"/>
        <v>216</v>
      </c>
      <c r="N2670" s="211">
        <v>1</v>
      </c>
      <c r="O2670" s="93">
        <f t="shared" si="860"/>
        <v>100</v>
      </c>
      <c r="KU2670" s="100">
        <v>1</v>
      </c>
      <c r="ON2670" s="100">
        <f t="shared" si="859"/>
        <v>0</v>
      </c>
    </row>
    <row r="2671" spans="1:404" ht="23.25" customHeight="1">
      <c r="A2671" s="97" t="s">
        <v>2073</v>
      </c>
      <c r="B2671" s="95">
        <v>44515</v>
      </c>
      <c r="C2671" s="97">
        <f t="shared" ca="1" si="867"/>
        <v>-549</v>
      </c>
      <c r="D2671" s="112" t="s">
        <v>2127</v>
      </c>
      <c r="E2671" s="123" t="s">
        <v>2128</v>
      </c>
      <c r="F2671" s="98" t="s">
        <v>561</v>
      </c>
      <c r="G2671" s="110">
        <v>0</v>
      </c>
      <c r="H2671" s="112" t="s">
        <v>1616</v>
      </c>
      <c r="I2671" s="98">
        <v>72</v>
      </c>
      <c r="J2671" s="99">
        <v>1</v>
      </c>
      <c r="K2671" s="143">
        <f t="shared" si="861"/>
        <v>1</v>
      </c>
      <c r="L2671" s="144">
        <f t="shared" si="866"/>
        <v>0</v>
      </c>
      <c r="M2671" s="275">
        <f t="shared" si="865"/>
        <v>72</v>
      </c>
      <c r="N2671" s="211">
        <v>1</v>
      </c>
      <c r="O2671" s="93">
        <f t="shared" si="860"/>
        <v>100</v>
      </c>
      <c r="KV2671" s="100">
        <v>1</v>
      </c>
      <c r="ON2671" s="100">
        <f t="shared" si="859"/>
        <v>0</v>
      </c>
    </row>
    <row r="2672" spans="1:404" ht="23.25" customHeight="1">
      <c r="A2672" s="97" t="s">
        <v>2073</v>
      </c>
      <c r="B2672" s="95">
        <v>44515</v>
      </c>
      <c r="C2672" s="97">
        <f t="shared" ca="1" si="867"/>
        <v>-549</v>
      </c>
      <c r="D2672" s="112" t="s">
        <v>2127</v>
      </c>
      <c r="E2672" s="123" t="s">
        <v>2129</v>
      </c>
      <c r="F2672" s="98" t="s">
        <v>561</v>
      </c>
      <c r="G2672" s="110">
        <v>0</v>
      </c>
      <c r="H2672" s="112" t="s">
        <v>1616</v>
      </c>
      <c r="I2672" s="98">
        <v>72</v>
      </c>
      <c r="J2672" s="99">
        <v>1</v>
      </c>
      <c r="K2672" s="143">
        <f t="shared" si="861"/>
        <v>1</v>
      </c>
      <c r="L2672" s="144">
        <f t="shared" si="866"/>
        <v>0</v>
      </c>
      <c r="M2672" s="275">
        <f t="shared" si="865"/>
        <v>72</v>
      </c>
      <c r="N2672" s="211">
        <v>1</v>
      </c>
      <c r="O2672" s="93">
        <f t="shared" si="860"/>
        <v>100</v>
      </c>
      <c r="KU2672" s="100">
        <v>1</v>
      </c>
      <c r="ON2672" s="100">
        <f t="shared" si="859"/>
        <v>0</v>
      </c>
    </row>
    <row r="2673" spans="1:404" ht="23.25" customHeight="1">
      <c r="A2673" s="97" t="s">
        <v>2073</v>
      </c>
      <c r="B2673" s="95">
        <v>44515</v>
      </c>
      <c r="C2673" s="97">
        <f t="shared" ca="1" si="867"/>
        <v>-549</v>
      </c>
      <c r="D2673" s="112" t="s">
        <v>2127</v>
      </c>
      <c r="E2673" s="123" t="s">
        <v>2130</v>
      </c>
      <c r="F2673" s="98" t="s">
        <v>561</v>
      </c>
      <c r="G2673" s="110">
        <v>0</v>
      </c>
      <c r="H2673" s="112" t="s">
        <v>1616</v>
      </c>
      <c r="I2673" s="98">
        <v>72</v>
      </c>
      <c r="J2673" s="99">
        <v>1</v>
      </c>
      <c r="K2673" s="143">
        <f t="shared" si="861"/>
        <v>1</v>
      </c>
      <c r="L2673" s="144">
        <f t="shared" si="866"/>
        <v>0</v>
      </c>
      <c r="M2673" s="275">
        <f t="shared" si="865"/>
        <v>72</v>
      </c>
      <c r="N2673" s="211">
        <v>1</v>
      </c>
      <c r="O2673" s="93">
        <f t="shared" si="860"/>
        <v>100</v>
      </c>
      <c r="KV2673" s="100">
        <v>1</v>
      </c>
      <c r="ON2673" s="100">
        <f t="shared" si="859"/>
        <v>0</v>
      </c>
    </row>
    <row r="2674" spans="1:404" ht="23.25" customHeight="1">
      <c r="A2674" s="97" t="s">
        <v>2073</v>
      </c>
      <c r="B2674" s="95">
        <v>44512</v>
      </c>
      <c r="C2674" s="97">
        <f t="shared" ca="1" si="867"/>
        <v>-552</v>
      </c>
      <c r="D2674" s="112" t="s">
        <v>2131</v>
      </c>
      <c r="E2674" s="123" t="s">
        <v>2132</v>
      </c>
      <c r="F2674" s="98" t="s">
        <v>561</v>
      </c>
      <c r="G2674" s="110">
        <v>0</v>
      </c>
      <c r="H2674" s="112" t="s">
        <v>2135</v>
      </c>
      <c r="I2674" s="98">
        <v>72</v>
      </c>
      <c r="J2674" s="99">
        <v>1</v>
      </c>
      <c r="K2674" s="143">
        <f t="shared" si="861"/>
        <v>1</v>
      </c>
      <c r="L2674" s="144">
        <f t="shared" ref="L2674:L2679" si="868">J2674-K2674</f>
        <v>0</v>
      </c>
      <c r="M2674" s="275">
        <f t="shared" si="865"/>
        <v>72</v>
      </c>
      <c r="N2674" s="211">
        <v>2</v>
      </c>
      <c r="O2674" s="93">
        <f t="shared" si="860"/>
        <v>100</v>
      </c>
      <c r="KU2674" s="100">
        <v>1</v>
      </c>
      <c r="ON2674" s="100">
        <f t="shared" si="859"/>
        <v>0</v>
      </c>
    </row>
    <row r="2675" spans="1:404" ht="23.25" customHeight="1">
      <c r="A2675" s="97" t="s">
        <v>2073</v>
      </c>
      <c r="B2675" s="95">
        <v>44512</v>
      </c>
      <c r="C2675" s="97">
        <f t="shared" ca="1" si="867"/>
        <v>-552</v>
      </c>
      <c r="D2675" s="112" t="s">
        <v>2131</v>
      </c>
      <c r="E2675" s="123" t="s">
        <v>28</v>
      </c>
      <c r="F2675" s="98" t="s">
        <v>561</v>
      </c>
      <c r="G2675" s="110">
        <v>0</v>
      </c>
      <c r="H2675" s="112" t="s">
        <v>2135</v>
      </c>
      <c r="I2675" s="98">
        <v>72</v>
      </c>
      <c r="J2675" s="99">
        <v>1</v>
      </c>
      <c r="K2675" s="143">
        <f t="shared" si="861"/>
        <v>1</v>
      </c>
      <c r="L2675" s="144">
        <f t="shared" si="868"/>
        <v>0</v>
      </c>
      <c r="M2675" s="275">
        <f t="shared" si="865"/>
        <v>72</v>
      </c>
      <c r="N2675" s="211">
        <v>2</v>
      </c>
      <c r="O2675" s="93">
        <f t="shared" si="860"/>
        <v>100</v>
      </c>
      <c r="KV2675" s="100">
        <v>1</v>
      </c>
      <c r="ON2675" s="100">
        <f t="shared" si="859"/>
        <v>0</v>
      </c>
    </row>
    <row r="2676" spans="1:404" ht="23.25" customHeight="1">
      <c r="A2676" s="97" t="s">
        <v>2073</v>
      </c>
      <c r="B2676" s="95">
        <v>44512</v>
      </c>
      <c r="C2676" s="97">
        <f t="shared" ca="1" si="867"/>
        <v>-552</v>
      </c>
      <c r="D2676" s="112" t="s">
        <v>2131</v>
      </c>
      <c r="E2676" s="123" t="s">
        <v>2133</v>
      </c>
      <c r="F2676" s="98" t="s">
        <v>561</v>
      </c>
      <c r="G2676" s="110">
        <v>0</v>
      </c>
      <c r="H2676" s="112" t="s">
        <v>2135</v>
      </c>
      <c r="I2676" s="98">
        <v>72</v>
      </c>
      <c r="J2676" s="99">
        <v>1</v>
      </c>
      <c r="K2676" s="143">
        <f t="shared" si="861"/>
        <v>1</v>
      </c>
      <c r="L2676" s="144">
        <f t="shared" si="868"/>
        <v>0</v>
      </c>
      <c r="M2676" s="275">
        <f t="shared" si="865"/>
        <v>216</v>
      </c>
      <c r="N2676" s="211">
        <v>1</v>
      </c>
      <c r="O2676" s="93">
        <f t="shared" si="860"/>
        <v>100</v>
      </c>
      <c r="KU2676" s="100">
        <v>1</v>
      </c>
      <c r="ON2676" s="100">
        <f t="shared" si="859"/>
        <v>0</v>
      </c>
    </row>
    <row r="2677" spans="1:404" ht="23.25" customHeight="1">
      <c r="A2677" s="97" t="s">
        <v>2073</v>
      </c>
      <c r="B2677" s="95">
        <v>44512</v>
      </c>
      <c r="C2677" s="97">
        <f t="shared" ca="1" si="867"/>
        <v>-552</v>
      </c>
      <c r="D2677" s="112" t="s">
        <v>2131</v>
      </c>
      <c r="E2677" s="123" t="s">
        <v>1564</v>
      </c>
      <c r="F2677" s="98" t="s">
        <v>561</v>
      </c>
      <c r="G2677" s="110">
        <v>0</v>
      </c>
      <c r="H2677" s="112" t="s">
        <v>2135</v>
      </c>
      <c r="I2677" s="98">
        <v>1</v>
      </c>
      <c r="J2677" s="99">
        <v>1</v>
      </c>
      <c r="K2677" s="143">
        <f t="shared" si="861"/>
        <v>1</v>
      </c>
      <c r="L2677" s="144">
        <f t="shared" si="868"/>
        <v>0</v>
      </c>
      <c r="M2677" s="275">
        <f t="shared" si="865"/>
        <v>2</v>
      </c>
      <c r="N2677" s="211">
        <v>1</v>
      </c>
      <c r="O2677" s="93">
        <f t="shared" si="860"/>
        <v>100</v>
      </c>
      <c r="KV2677" s="100">
        <v>1</v>
      </c>
      <c r="ON2677" s="100">
        <f t="shared" si="859"/>
        <v>0</v>
      </c>
    </row>
    <row r="2678" spans="1:404" ht="23.25" customHeight="1">
      <c r="A2678" s="97" t="s">
        <v>2073</v>
      </c>
      <c r="B2678" s="95">
        <v>44512</v>
      </c>
      <c r="C2678" s="97">
        <f t="shared" ca="1" si="867"/>
        <v>-552</v>
      </c>
      <c r="D2678" s="112" t="s">
        <v>2131</v>
      </c>
      <c r="E2678" s="123" t="s">
        <v>2134</v>
      </c>
      <c r="F2678" s="98" t="s">
        <v>561</v>
      </c>
      <c r="G2678" s="110">
        <v>0</v>
      </c>
      <c r="H2678" s="112" t="s">
        <v>2135</v>
      </c>
      <c r="I2678" s="98">
        <v>72</v>
      </c>
      <c r="J2678" s="99">
        <v>1</v>
      </c>
      <c r="K2678" s="143">
        <f t="shared" si="861"/>
        <v>1</v>
      </c>
      <c r="L2678" s="144">
        <f t="shared" si="868"/>
        <v>0</v>
      </c>
      <c r="M2678" s="275">
        <f t="shared" si="865"/>
        <v>216</v>
      </c>
      <c r="N2678" s="211">
        <v>6</v>
      </c>
      <c r="O2678" s="93">
        <f t="shared" si="860"/>
        <v>100</v>
      </c>
      <c r="KV2678" s="100">
        <v>1</v>
      </c>
      <c r="ON2678" s="100">
        <f t="shared" si="859"/>
        <v>0</v>
      </c>
    </row>
    <row r="2679" spans="1:404" ht="23.25" customHeight="1">
      <c r="A2679" s="97" t="s">
        <v>2073</v>
      </c>
      <c r="B2679" s="95">
        <v>44512</v>
      </c>
      <c r="C2679" s="97">
        <f t="shared" ca="1" si="867"/>
        <v>-552</v>
      </c>
      <c r="D2679" s="112" t="s">
        <v>2131</v>
      </c>
      <c r="E2679" s="123" t="s">
        <v>746</v>
      </c>
      <c r="F2679" s="98" t="s">
        <v>561</v>
      </c>
      <c r="G2679" s="110">
        <v>0</v>
      </c>
      <c r="H2679" s="112" t="s">
        <v>2135</v>
      </c>
      <c r="I2679" s="98">
        <v>72</v>
      </c>
      <c r="J2679" s="99">
        <v>1</v>
      </c>
      <c r="K2679" s="143">
        <f t="shared" si="861"/>
        <v>1</v>
      </c>
      <c r="L2679" s="144">
        <f t="shared" si="868"/>
        <v>0</v>
      </c>
      <c r="M2679" s="275">
        <f t="shared" si="865"/>
        <v>216</v>
      </c>
      <c r="N2679" s="211">
        <v>6</v>
      </c>
      <c r="O2679" s="93">
        <f t="shared" si="860"/>
        <v>100</v>
      </c>
      <c r="KX2679" s="100">
        <v>1</v>
      </c>
      <c r="ON2679" s="100">
        <f t="shared" si="859"/>
        <v>0</v>
      </c>
    </row>
    <row r="2680" spans="1:404" ht="23.25" customHeight="1">
      <c r="A2680" s="97" t="s">
        <v>2073</v>
      </c>
      <c r="B2680" s="95">
        <v>44513</v>
      </c>
      <c r="C2680" s="97">
        <f t="shared" ca="1" si="867"/>
        <v>-551</v>
      </c>
      <c r="D2680" s="112" t="s">
        <v>2136</v>
      </c>
      <c r="E2680" s="123" t="s">
        <v>733</v>
      </c>
      <c r="F2680" s="98" t="s">
        <v>561</v>
      </c>
      <c r="G2680" s="110">
        <v>0</v>
      </c>
      <c r="H2680" s="112" t="s">
        <v>2137</v>
      </c>
      <c r="I2680" s="98">
        <v>72</v>
      </c>
      <c r="J2680" s="99">
        <v>1</v>
      </c>
      <c r="K2680" s="143">
        <f t="shared" si="861"/>
        <v>1</v>
      </c>
      <c r="L2680" s="144">
        <f t="shared" ref="L2680:L2702" si="869">J2680-K2680</f>
        <v>0</v>
      </c>
      <c r="M2680" s="275">
        <f t="shared" si="865"/>
        <v>72</v>
      </c>
      <c r="N2680" s="98">
        <v>1</v>
      </c>
      <c r="O2680" s="93">
        <f t="shared" si="860"/>
        <v>100</v>
      </c>
      <c r="KU2680" s="100">
        <v>1</v>
      </c>
      <c r="ON2680" s="100">
        <f t="shared" si="859"/>
        <v>0</v>
      </c>
    </row>
    <row r="2681" spans="1:404" ht="23.25" customHeight="1">
      <c r="A2681" s="97" t="s">
        <v>2073</v>
      </c>
      <c r="B2681" s="95">
        <v>44513</v>
      </c>
      <c r="C2681" s="97">
        <f t="shared" ca="1" si="867"/>
        <v>-551</v>
      </c>
      <c r="D2681" s="112" t="s">
        <v>2136</v>
      </c>
      <c r="E2681" s="123" t="s">
        <v>1779</v>
      </c>
      <c r="F2681" s="98" t="s">
        <v>561</v>
      </c>
      <c r="G2681" s="110">
        <v>0</v>
      </c>
      <c r="H2681" s="112" t="s">
        <v>2137</v>
      </c>
      <c r="I2681" s="98">
        <v>72</v>
      </c>
      <c r="J2681" s="99">
        <v>1</v>
      </c>
      <c r="K2681" s="143">
        <f t="shared" si="861"/>
        <v>1</v>
      </c>
      <c r="L2681" s="144">
        <f t="shared" si="869"/>
        <v>0</v>
      </c>
      <c r="M2681" s="275">
        <f t="shared" si="865"/>
        <v>72</v>
      </c>
      <c r="N2681" s="98">
        <v>1</v>
      </c>
      <c r="O2681" s="93">
        <f t="shared" si="860"/>
        <v>100</v>
      </c>
      <c r="KU2681" s="100">
        <v>1</v>
      </c>
      <c r="ON2681" s="100">
        <f t="shared" si="859"/>
        <v>0</v>
      </c>
    </row>
    <row r="2682" spans="1:404" ht="23.25" customHeight="1">
      <c r="A2682" s="97" t="str">
        <f t="shared" ref="A2682:A2713" si="870">D2682&amp;E2682</f>
        <v>003/OBI-VG-2166-00600-02-B</v>
      </c>
      <c r="B2682" s="95">
        <v>44552</v>
      </c>
      <c r="C2682" s="97">
        <f t="shared" ca="1" si="867"/>
        <v>-512</v>
      </c>
      <c r="D2682" s="112" t="s">
        <v>2138</v>
      </c>
      <c r="E2682" s="123" t="s">
        <v>939</v>
      </c>
      <c r="F2682" s="98" t="str">
        <f t="shared" ref="F2682:F2713" si="871">MID(E2682,13,2)</f>
        <v>B</v>
      </c>
      <c r="G2682" s="110">
        <f ca="1">SUMIF($A:E,$A2682,K:K)</f>
        <v>32</v>
      </c>
      <c r="H2682" s="318" t="s">
        <v>2139</v>
      </c>
      <c r="I2682" s="98">
        <v>72</v>
      </c>
      <c r="J2682" s="115">
        <v>32</v>
      </c>
      <c r="K2682" s="143">
        <f t="shared" ref="K2682:K2696" si="872">SUM(P2682:BBC2682)</f>
        <v>32</v>
      </c>
      <c r="L2682" s="144">
        <f t="shared" si="869"/>
        <v>0</v>
      </c>
      <c r="M2682" s="275">
        <f t="shared" si="865"/>
        <v>72</v>
      </c>
      <c r="N2682" s="98">
        <v>4</v>
      </c>
      <c r="O2682" s="93">
        <f t="shared" si="860"/>
        <v>100</v>
      </c>
      <c r="MA2682" s="100">
        <v>4</v>
      </c>
      <c r="MB2682" s="100">
        <v>2</v>
      </c>
      <c r="MD2682" s="100">
        <v>4</v>
      </c>
      <c r="ME2682" s="100">
        <v>9</v>
      </c>
      <c r="MF2682" s="100">
        <v>2</v>
      </c>
      <c r="MG2682" s="100">
        <v>9</v>
      </c>
      <c r="ML2682" s="100">
        <v>2</v>
      </c>
      <c r="ON2682" s="100">
        <f t="shared" si="859"/>
        <v>0</v>
      </c>
    </row>
    <row r="2683" spans="1:404" ht="23.25" customHeight="1">
      <c r="A2683" s="97" t="str">
        <f t="shared" si="870"/>
        <v>003/OBI-VG-2166-00600-03-B</v>
      </c>
      <c r="B2683" s="95">
        <v>44552</v>
      </c>
      <c r="C2683" s="97">
        <f t="shared" ca="1" si="867"/>
        <v>-512</v>
      </c>
      <c r="D2683" s="112" t="s">
        <v>2138</v>
      </c>
      <c r="E2683" s="123" t="s">
        <v>940</v>
      </c>
      <c r="F2683" s="98" t="str">
        <f t="shared" si="871"/>
        <v>B</v>
      </c>
      <c r="G2683" s="110">
        <f ca="1">SUMIF($A:E,$A2683,K:K)</f>
        <v>32</v>
      </c>
      <c r="H2683" s="318" t="s">
        <v>2139</v>
      </c>
      <c r="I2683" s="98">
        <v>72</v>
      </c>
      <c r="J2683" s="115">
        <v>32</v>
      </c>
      <c r="K2683" s="143">
        <f t="shared" si="872"/>
        <v>32</v>
      </c>
      <c r="L2683" s="144">
        <f t="shared" si="869"/>
        <v>0</v>
      </c>
      <c r="M2683" s="275">
        <f t="shared" si="865"/>
        <v>72</v>
      </c>
      <c r="N2683" s="98">
        <v>4</v>
      </c>
      <c r="O2683" s="93">
        <f t="shared" si="860"/>
        <v>100</v>
      </c>
      <c r="MA2683" s="100">
        <v>4</v>
      </c>
      <c r="MB2683" s="100">
        <v>2</v>
      </c>
      <c r="MD2683" s="100">
        <v>4</v>
      </c>
      <c r="ME2683" s="100">
        <v>9</v>
      </c>
      <c r="MF2683" s="100">
        <v>2</v>
      </c>
      <c r="MG2683" s="100">
        <v>9</v>
      </c>
      <c r="ML2683" s="100">
        <v>2</v>
      </c>
      <c r="ON2683" s="100">
        <f t="shared" si="859"/>
        <v>0</v>
      </c>
    </row>
    <row r="2684" spans="1:404" ht="23.25" customHeight="1">
      <c r="A2684" s="97" t="str">
        <f t="shared" si="870"/>
        <v>003/OBI-VG-2166-02600-02-B</v>
      </c>
      <c r="B2684" s="95">
        <v>44552</v>
      </c>
      <c r="C2684" s="97">
        <f t="shared" ca="1" si="867"/>
        <v>-512</v>
      </c>
      <c r="D2684" s="112" t="s">
        <v>2138</v>
      </c>
      <c r="E2684" s="123" t="s">
        <v>627</v>
      </c>
      <c r="F2684" s="98" t="str">
        <f t="shared" si="871"/>
        <v>B</v>
      </c>
      <c r="G2684" s="110">
        <f ca="1">SUMIF($A:E,$A2684,K:K)</f>
        <v>32</v>
      </c>
      <c r="H2684" s="318" t="s">
        <v>2139</v>
      </c>
      <c r="I2684" s="98">
        <v>72</v>
      </c>
      <c r="J2684" s="115">
        <v>32</v>
      </c>
      <c r="K2684" s="143">
        <f t="shared" si="872"/>
        <v>32</v>
      </c>
      <c r="L2684" s="144">
        <f t="shared" si="869"/>
        <v>0</v>
      </c>
      <c r="M2684" s="275">
        <f t="shared" si="865"/>
        <v>72</v>
      </c>
      <c r="N2684" s="98">
        <v>4</v>
      </c>
      <c r="O2684" s="93">
        <f t="shared" si="860"/>
        <v>100</v>
      </c>
      <c r="MB2684" s="100">
        <v>3</v>
      </c>
      <c r="MD2684" s="100">
        <v>3</v>
      </c>
      <c r="ME2684" s="100">
        <v>3</v>
      </c>
      <c r="MF2684" s="100">
        <v>5</v>
      </c>
      <c r="MG2684" s="100">
        <v>6</v>
      </c>
      <c r="MH2684" s="100">
        <v>7</v>
      </c>
      <c r="MK2684" s="100">
        <v>5</v>
      </c>
      <c r="ON2684" s="100">
        <f t="shared" si="859"/>
        <v>0</v>
      </c>
    </row>
    <row r="2685" spans="1:404" ht="23.25" customHeight="1">
      <c r="A2685" s="97" t="str">
        <f t="shared" si="870"/>
        <v>003/OBI-VG-2166-02600-03-B</v>
      </c>
      <c r="B2685" s="95">
        <v>44552</v>
      </c>
      <c r="C2685" s="97">
        <f t="shared" ca="1" si="867"/>
        <v>-512</v>
      </c>
      <c r="D2685" s="112" t="s">
        <v>2138</v>
      </c>
      <c r="E2685" s="123" t="s">
        <v>941</v>
      </c>
      <c r="F2685" s="98" t="str">
        <f t="shared" si="871"/>
        <v>B</v>
      </c>
      <c r="G2685" s="110">
        <f ca="1">SUMIF($A:E,$A2685,K:K)</f>
        <v>32</v>
      </c>
      <c r="H2685" s="318" t="s">
        <v>2139</v>
      </c>
      <c r="I2685" s="98">
        <v>72</v>
      </c>
      <c r="J2685" s="115">
        <v>32</v>
      </c>
      <c r="K2685" s="143">
        <f t="shared" si="872"/>
        <v>32</v>
      </c>
      <c r="L2685" s="144">
        <f t="shared" si="869"/>
        <v>0</v>
      </c>
      <c r="M2685" s="275">
        <f t="shared" si="865"/>
        <v>72</v>
      </c>
      <c r="N2685" s="98">
        <v>4</v>
      </c>
      <c r="O2685" s="93">
        <f t="shared" si="860"/>
        <v>100</v>
      </c>
      <c r="MB2685" s="100">
        <v>3</v>
      </c>
      <c r="MD2685" s="100">
        <v>3</v>
      </c>
      <c r="ME2685" s="100">
        <v>3</v>
      </c>
      <c r="MF2685" s="100">
        <v>5</v>
      </c>
      <c r="MG2685" s="100">
        <v>6</v>
      </c>
      <c r="MH2685" s="100">
        <v>7</v>
      </c>
      <c r="MK2685" s="100">
        <v>5</v>
      </c>
      <c r="ON2685" s="100">
        <f t="shared" si="859"/>
        <v>0</v>
      </c>
    </row>
    <row r="2686" spans="1:404" ht="23.25" customHeight="1">
      <c r="A2686" s="97" t="str">
        <f t="shared" si="870"/>
        <v>003/OBI-VG-2166-05800-S1-B</v>
      </c>
      <c r="B2686" s="95">
        <v>44552</v>
      </c>
      <c r="C2686" s="97">
        <f t="shared" ca="1" si="867"/>
        <v>-512</v>
      </c>
      <c r="D2686" s="112" t="s">
        <v>2138</v>
      </c>
      <c r="E2686" s="123" t="s">
        <v>944</v>
      </c>
      <c r="F2686" s="98" t="str">
        <f t="shared" si="871"/>
        <v>B</v>
      </c>
      <c r="G2686" s="110">
        <f ca="1">SUMIF($A:E,$A2686,K:K)</f>
        <v>48</v>
      </c>
      <c r="H2686" s="318" t="s">
        <v>616</v>
      </c>
      <c r="I2686" s="98">
        <v>48</v>
      </c>
      <c r="J2686" s="115">
        <v>48</v>
      </c>
      <c r="K2686" s="143">
        <f t="shared" si="872"/>
        <v>48</v>
      </c>
      <c r="L2686" s="144">
        <f t="shared" si="869"/>
        <v>0</v>
      </c>
      <c r="M2686" s="275">
        <f t="shared" si="865"/>
        <v>48</v>
      </c>
      <c r="N2686" s="98">
        <v>4</v>
      </c>
      <c r="O2686" s="93">
        <f t="shared" si="860"/>
        <v>100</v>
      </c>
      <c r="LW2686" s="100">
        <v>4</v>
      </c>
      <c r="LX2686" s="100">
        <v>5</v>
      </c>
      <c r="LY2686" s="100">
        <v>5</v>
      </c>
      <c r="LZ2686" s="100">
        <v>16</v>
      </c>
      <c r="MA2686" s="100">
        <v>1</v>
      </c>
      <c r="MB2686" s="100">
        <v>13</v>
      </c>
      <c r="MO2686" s="100">
        <v>1</v>
      </c>
      <c r="MP2686" s="100">
        <v>3</v>
      </c>
      <c r="ON2686" s="100">
        <f t="shared" si="859"/>
        <v>0</v>
      </c>
    </row>
    <row r="2687" spans="1:404" ht="23.25" customHeight="1">
      <c r="A2687" s="97" t="str">
        <f t="shared" si="870"/>
        <v>003/OBI-VG-2166-07600-01-B</v>
      </c>
      <c r="B2687" s="95">
        <v>44552</v>
      </c>
      <c r="C2687" s="97">
        <f t="shared" ca="1" si="867"/>
        <v>-512</v>
      </c>
      <c r="D2687" s="112" t="s">
        <v>2138</v>
      </c>
      <c r="E2687" s="123" t="s">
        <v>945</v>
      </c>
      <c r="F2687" s="98" t="str">
        <f t="shared" si="871"/>
        <v>B</v>
      </c>
      <c r="G2687" s="110">
        <f ca="1">SUMIF($A:E,$A2687,K:K)</f>
        <v>32</v>
      </c>
      <c r="H2687" s="318" t="s">
        <v>2139</v>
      </c>
      <c r="I2687" s="98">
        <v>72</v>
      </c>
      <c r="J2687" s="115">
        <v>32</v>
      </c>
      <c r="K2687" s="143">
        <f t="shared" si="872"/>
        <v>32</v>
      </c>
      <c r="L2687" s="144">
        <f t="shared" si="869"/>
        <v>0</v>
      </c>
      <c r="M2687" s="275">
        <f t="shared" si="865"/>
        <v>72</v>
      </c>
      <c r="N2687" s="98">
        <v>3</v>
      </c>
      <c r="O2687" s="93">
        <f t="shared" si="860"/>
        <v>100</v>
      </c>
      <c r="MA2687" s="100">
        <v>5</v>
      </c>
      <c r="MB2687" s="100">
        <v>5</v>
      </c>
      <c r="MD2687" s="100">
        <v>10</v>
      </c>
      <c r="ME2687" s="100">
        <v>5</v>
      </c>
      <c r="MF2687" s="100">
        <v>5</v>
      </c>
      <c r="MG2687" s="100">
        <v>2</v>
      </c>
      <c r="ON2687" s="100">
        <f t="shared" si="859"/>
        <v>0</v>
      </c>
    </row>
    <row r="2688" spans="1:404" ht="23.25" customHeight="1">
      <c r="A2688" s="97" t="str">
        <f t="shared" si="870"/>
        <v>003/OBI-VG-2166-07600-02-B</v>
      </c>
      <c r="B2688" s="95">
        <v>44552</v>
      </c>
      <c r="C2688" s="97">
        <f t="shared" ca="1" si="867"/>
        <v>-512</v>
      </c>
      <c r="D2688" s="112" t="s">
        <v>2138</v>
      </c>
      <c r="E2688" s="123" t="s">
        <v>946</v>
      </c>
      <c r="F2688" s="98" t="str">
        <f t="shared" si="871"/>
        <v>B</v>
      </c>
      <c r="G2688" s="110">
        <f ca="1">SUMIF($A:E,$A2688,K:K)</f>
        <v>32</v>
      </c>
      <c r="H2688" s="318" t="s">
        <v>2139</v>
      </c>
      <c r="I2688" s="98">
        <v>72</v>
      </c>
      <c r="J2688" s="115">
        <v>32</v>
      </c>
      <c r="K2688" s="143">
        <f t="shared" si="872"/>
        <v>32</v>
      </c>
      <c r="L2688" s="144">
        <f t="shared" si="869"/>
        <v>0</v>
      </c>
      <c r="M2688" s="275">
        <f t="shared" si="865"/>
        <v>72</v>
      </c>
      <c r="N2688" s="98">
        <v>3</v>
      </c>
      <c r="O2688" s="93">
        <f t="shared" si="860"/>
        <v>100</v>
      </c>
      <c r="MA2688" s="100">
        <v>5</v>
      </c>
      <c r="MB2688" s="100">
        <v>5</v>
      </c>
      <c r="MD2688" s="100">
        <v>10</v>
      </c>
      <c r="ME2688" s="100">
        <v>5</v>
      </c>
      <c r="MF2688" s="100">
        <v>5</v>
      </c>
      <c r="MG2688" s="100">
        <v>2</v>
      </c>
      <c r="ON2688" s="100">
        <f t="shared" si="859"/>
        <v>0</v>
      </c>
    </row>
    <row r="2689" spans="1:404" ht="23.25" customHeight="1">
      <c r="A2689" s="97" t="str">
        <f t="shared" si="870"/>
        <v>003/OBI-VG-2166-07600-03-B</v>
      </c>
      <c r="B2689" s="95">
        <v>44552</v>
      </c>
      <c r="C2689" s="97">
        <f t="shared" ca="1" si="867"/>
        <v>-512</v>
      </c>
      <c r="D2689" s="112" t="s">
        <v>2138</v>
      </c>
      <c r="E2689" s="123" t="s">
        <v>947</v>
      </c>
      <c r="F2689" s="98" t="str">
        <f t="shared" si="871"/>
        <v>B</v>
      </c>
      <c r="G2689" s="110">
        <f ca="1">SUMIF($A:E,$A2689,K:K)</f>
        <v>32</v>
      </c>
      <c r="H2689" s="318" t="s">
        <v>2139</v>
      </c>
      <c r="I2689" s="98">
        <v>72</v>
      </c>
      <c r="J2689" s="115">
        <v>32</v>
      </c>
      <c r="K2689" s="143">
        <f t="shared" si="872"/>
        <v>32</v>
      </c>
      <c r="L2689" s="144">
        <f t="shared" si="869"/>
        <v>0</v>
      </c>
      <c r="M2689" s="275">
        <f t="shared" si="865"/>
        <v>72</v>
      </c>
      <c r="N2689" s="98">
        <v>3</v>
      </c>
      <c r="O2689" s="93">
        <f t="shared" si="860"/>
        <v>100</v>
      </c>
      <c r="MA2689" s="100">
        <v>5</v>
      </c>
      <c r="MB2689" s="100">
        <v>5</v>
      </c>
      <c r="MD2689" s="100">
        <v>10</v>
      </c>
      <c r="ME2689" s="100">
        <v>5</v>
      </c>
      <c r="MF2689" s="100">
        <v>5</v>
      </c>
      <c r="MG2689" s="100">
        <v>2</v>
      </c>
      <c r="ON2689" s="100">
        <f t="shared" si="859"/>
        <v>0</v>
      </c>
    </row>
    <row r="2690" spans="1:404" ht="23.25" customHeight="1">
      <c r="A2690" s="97" t="str">
        <f t="shared" si="870"/>
        <v>003/OBI-VG-2166-55137-01-B4</v>
      </c>
      <c r="B2690" s="95">
        <v>44552</v>
      </c>
      <c r="C2690" s="97">
        <f t="shared" ca="1" si="867"/>
        <v>-512</v>
      </c>
      <c r="D2690" s="112" t="s">
        <v>2138</v>
      </c>
      <c r="E2690" s="123" t="s">
        <v>1094</v>
      </c>
      <c r="F2690" s="98" t="str">
        <f t="shared" si="871"/>
        <v>B4</v>
      </c>
      <c r="G2690" s="110">
        <f ca="1">SUMIF($A:E,$A2690,K:K)</f>
        <v>160</v>
      </c>
      <c r="H2690" s="318" t="s">
        <v>2139</v>
      </c>
      <c r="I2690" s="98">
        <v>72</v>
      </c>
      <c r="J2690" s="115">
        <v>160</v>
      </c>
      <c r="K2690" s="143">
        <f t="shared" si="872"/>
        <v>160</v>
      </c>
      <c r="L2690" s="144">
        <f t="shared" si="869"/>
        <v>0</v>
      </c>
      <c r="M2690" s="275">
        <f t="shared" si="865"/>
        <v>72</v>
      </c>
      <c r="N2690" s="98">
        <v>2</v>
      </c>
      <c r="O2690" s="93">
        <f t="shared" si="860"/>
        <v>100</v>
      </c>
      <c r="LE2690" s="100">
        <v>5</v>
      </c>
      <c r="LF2690" s="100">
        <v>39</v>
      </c>
      <c r="LG2690" s="100">
        <v>24</v>
      </c>
      <c r="LI2690" s="100">
        <v>7</v>
      </c>
      <c r="LJ2690" s="100">
        <v>26</v>
      </c>
      <c r="LK2690" s="100">
        <v>20</v>
      </c>
      <c r="LM2690" s="100">
        <v>36</v>
      </c>
      <c r="LN2690" s="100">
        <v>3</v>
      </c>
      <c r="ON2690" s="100">
        <f t="shared" si="859"/>
        <v>0</v>
      </c>
    </row>
    <row r="2691" spans="1:404" ht="23.25" customHeight="1">
      <c r="A2691" s="97" t="str">
        <f t="shared" si="870"/>
        <v>003/OBI-VG-2166-55137-02-B4</v>
      </c>
      <c r="B2691" s="95">
        <v>44552</v>
      </c>
      <c r="C2691" s="97">
        <f t="shared" ca="1" si="867"/>
        <v>-512</v>
      </c>
      <c r="D2691" s="112" t="s">
        <v>2138</v>
      </c>
      <c r="E2691" s="123" t="s">
        <v>1097</v>
      </c>
      <c r="F2691" s="98" t="str">
        <f t="shared" si="871"/>
        <v>B4</v>
      </c>
      <c r="G2691" s="110">
        <f ca="1">SUMIF($A:E,$A2691,K:K)</f>
        <v>160</v>
      </c>
      <c r="H2691" s="318" t="s">
        <v>2139</v>
      </c>
      <c r="I2691" s="98">
        <v>72</v>
      </c>
      <c r="J2691" s="115">
        <v>160</v>
      </c>
      <c r="K2691" s="143">
        <f t="shared" si="872"/>
        <v>160</v>
      </c>
      <c r="L2691" s="144">
        <f t="shared" si="869"/>
        <v>0</v>
      </c>
      <c r="M2691" s="275">
        <f t="shared" si="865"/>
        <v>72</v>
      </c>
      <c r="N2691" s="98">
        <v>2</v>
      </c>
      <c r="O2691" s="93">
        <f t="shared" si="860"/>
        <v>100</v>
      </c>
      <c r="LE2691" s="100">
        <v>5</v>
      </c>
      <c r="LF2691" s="100">
        <v>39</v>
      </c>
      <c r="LG2691" s="100">
        <v>24</v>
      </c>
      <c r="LI2691" s="100">
        <v>7</v>
      </c>
      <c r="LJ2691" s="100">
        <v>26</v>
      </c>
      <c r="LK2691" s="100">
        <v>20</v>
      </c>
      <c r="LM2691" s="100">
        <v>36</v>
      </c>
      <c r="LN2691" s="100">
        <v>3</v>
      </c>
      <c r="ON2691" s="100">
        <f t="shared" si="859"/>
        <v>0</v>
      </c>
    </row>
    <row r="2692" spans="1:404" ht="23.25" customHeight="1">
      <c r="A2692" s="97" t="str">
        <f t="shared" si="870"/>
        <v>003/CLARIUS-VG-2166-58224-S1-B</v>
      </c>
      <c r="B2692" s="95">
        <v>44703</v>
      </c>
      <c r="C2692" s="97">
        <f t="shared" ca="1" si="867"/>
        <v>-361</v>
      </c>
      <c r="D2692" s="112" t="s">
        <v>2140</v>
      </c>
      <c r="E2692" s="123" t="s">
        <v>2141</v>
      </c>
      <c r="F2692" s="92" t="str">
        <f t="shared" si="871"/>
        <v>B</v>
      </c>
      <c r="G2692" s="109">
        <f ca="1">SUMIF($A:E,$A2692,K:K)</f>
        <v>0</v>
      </c>
      <c r="H2692" s="97" t="s">
        <v>508</v>
      </c>
      <c r="I2692" s="98">
        <v>100</v>
      </c>
      <c r="J2692" s="115">
        <v>100</v>
      </c>
      <c r="K2692" s="143">
        <f t="shared" si="872"/>
        <v>0</v>
      </c>
      <c r="L2692" s="144">
        <f t="shared" si="869"/>
        <v>100</v>
      </c>
      <c r="M2692" s="275">
        <f t="shared" si="865"/>
        <v>100</v>
      </c>
      <c r="N2692" s="98">
        <v>6</v>
      </c>
      <c r="O2692" s="93">
        <f t="shared" si="860"/>
        <v>0</v>
      </c>
      <c r="ON2692" s="100">
        <f t="shared" ref="ON2692:ON2755" si="873">SUM(NS2692:OM2692)</f>
        <v>0</v>
      </c>
    </row>
    <row r="2693" spans="1:404" ht="23.25" customHeight="1">
      <c r="A2693" s="97" t="str">
        <f t="shared" si="870"/>
        <v>003/CLARIUS-VG-2166-68124-S1-B</v>
      </c>
      <c r="B2693" s="95">
        <v>44703</v>
      </c>
      <c r="C2693" s="97">
        <f t="shared" ca="1" si="867"/>
        <v>-361</v>
      </c>
      <c r="D2693" s="112" t="s">
        <v>2140</v>
      </c>
      <c r="E2693" s="123" t="s">
        <v>2142</v>
      </c>
      <c r="F2693" s="92" t="str">
        <f t="shared" si="871"/>
        <v>B</v>
      </c>
      <c r="G2693" s="109">
        <f ca="1">SUMIF($A:E,$A2693,K:K)</f>
        <v>0</v>
      </c>
      <c r="H2693" s="97" t="s">
        <v>508</v>
      </c>
      <c r="I2693" s="98">
        <v>96</v>
      </c>
      <c r="J2693" s="115">
        <v>96</v>
      </c>
      <c r="K2693" s="143">
        <f t="shared" si="872"/>
        <v>0</v>
      </c>
      <c r="L2693" s="144">
        <f t="shared" si="869"/>
        <v>96</v>
      </c>
      <c r="M2693" s="275">
        <f t="shared" si="865"/>
        <v>96</v>
      </c>
      <c r="N2693" s="98">
        <v>6</v>
      </c>
      <c r="O2693" s="93">
        <f t="shared" si="860"/>
        <v>0</v>
      </c>
      <c r="ON2693" s="100">
        <f t="shared" si="873"/>
        <v>0</v>
      </c>
    </row>
    <row r="2694" spans="1:404" ht="23.25" customHeight="1">
      <c r="A2694" s="97" t="str">
        <f t="shared" si="870"/>
        <v>003/CLARIUS-VG-2166-72124-S1-B</v>
      </c>
      <c r="B2694" s="95">
        <v>44703</v>
      </c>
      <c r="C2694" s="97">
        <f t="shared" ca="1" si="867"/>
        <v>-361</v>
      </c>
      <c r="D2694" s="112" t="s">
        <v>2140</v>
      </c>
      <c r="E2694" s="123" t="s">
        <v>1127</v>
      </c>
      <c r="F2694" s="92" t="str">
        <f t="shared" si="871"/>
        <v>B</v>
      </c>
      <c r="G2694" s="109">
        <f ca="1">SUMIF($A:E,$A2694,K:K)</f>
        <v>0</v>
      </c>
      <c r="H2694" s="97" t="s">
        <v>508</v>
      </c>
      <c r="I2694" s="98">
        <v>72</v>
      </c>
      <c r="J2694" s="115">
        <v>72</v>
      </c>
      <c r="K2694" s="143">
        <f t="shared" si="872"/>
        <v>0</v>
      </c>
      <c r="L2694" s="144">
        <f t="shared" si="869"/>
        <v>72</v>
      </c>
      <c r="M2694" s="275">
        <f t="shared" si="865"/>
        <v>72</v>
      </c>
      <c r="N2694" s="98"/>
      <c r="O2694" s="93">
        <f t="shared" si="860"/>
        <v>0</v>
      </c>
      <c r="ON2694" s="100">
        <f t="shared" si="873"/>
        <v>0</v>
      </c>
    </row>
    <row r="2695" spans="1:404" ht="23.25" customHeight="1">
      <c r="A2695" s="97" t="str">
        <f t="shared" si="870"/>
        <v>003/CLARIUS-VG-2166-80400-02-B</v>
      </c>
      <c r="B2695" s="95">
        <v>44703</v>
      </c>
      <c r="C2695" s="97">
        <f t="shared" ca="1" si="867"/>
        <v>-361</v>
      </c>
      <c r="D2695" s="112" t="s">
        <v>2140</v>
      </c>
      <c r="E2695" s="123" t="s">
        <v>2014</v>
      </c>
      <c r="F2695" s="92" t="str">
        <f t="shared" si="871"/>
        <v>B</v>
      </c>
      <c r="G2695" s="109">
        <f ca="1">SUMIF($A:E,$A2695,K:K)</f>
        <v>0</v>
      </c>
      <c r="H2695" s="97" t="s">
        <v>508</v>
      </c>
      <c r="I2695" s="98">
        <v>64</v>
      </c>
      <c r="J2695" s="115">
        <v>64</v>
      </c>
      <c r="K2695" s="143">
        <f t="shared" si="872"/>
        <v>0</v>
      </c>
      <c r="L2695" s="144">
        <f t="shared" si="869"/>
        <v>64</v>
      </c>
      <c r="M2695" s="275">
        <f t="shared" si="865"/>
        <v>64</v>
      </c>
      <c r="N2695" s="98">
        <v>1</v>
      </c>
      <c r="O2695" s="93">
        <f t="shared" si="860"/>
        <v>0</v>
      </c>
      <c r="ON2695" s="100">
        <f t="shared" si="873"/>
        <v>0</v>
      </c>
    </row>
    <row r="2696" spans="1:404" ht="23.25" customHeight="1">
      <c r="A2696" s="97" t="str">
        <f t="shared" si="870"/>
        <v>003/CLARIUS-VG-2166-82500-02-B</v>
      </c>
      <c r="B2696" s="95">
        <v>44703</v>
      </c>
      <c r="C2696" s="97">
        <f t="shared" ca="1" si="867"/>
        <v>-361</v>
      </c>
      <c r="D2696" s="112" t="s">
        <v>2140</v>
      </c>
      <c r="E2696" s="123" t="s">
        <v>2143</v>
      </c>
      <c r="F2696" s="92" t="str">
        <f t="shared" si="871"/>
        <v>B</v>
      </c>
      <c r="G2696" s="109">
        <f ca="1">SUMIF($A:E,$A2696,K:K)</f>
        <v>72</v>
      </c>
      <c r="H2696" s="97" t="s">
        <v>507</v>
      </c>
      <c r="I2696" s="98">
        <v>72</v>
      </c>
      <c r="J2696" s="115">
        <v>72</v>
      </c>
      <c r="K2696" s="143">
        <f t="shared" si="872"/>
        <v>72</v>
      </c>
      <c r="L2696" s="144">
        <f t="shared" si="869"/>
        <v>0</v>
      </c>
      <c r="M2696" s="275">
        <f t="shared" si="865"/>
        <v>72</v>
      </c>
      <c r="N2696" s="98">
        <v>1</v>
      </c>
      <c r="O2696" s="93">
        <f t="shared" si="860"/>
        <v>100</v>
      </c>
      <c r="OB2696" s="100">
        <v>6</v>
      </c>
      <c r="OJ2696" s="100">
        <v>8</v>
      </c>
      <c r="OK2696" s="100">
        <v>7</v>
      </c>
      <c r="OM2696" s="100">
        <v>15</v>
      </c>
      <c r="ON2696" s="100">
        <f t="shared" si="873"/>
        <v>36</v>
      </c>
    </row>
    <row r="2697" spans="1:404" ht="23.25" customHeight="1">
      <c r="A2697" s="97" t="s">
        <v>2576</v>
      </c>
      <c r="B2697" s="95">
        <v>44703</v>
      </c>
      <c r="C2697" s="97">
        <v>70</v>
      </c>
      <c r="D2697" s="112" t="s">
        <v>2577</v>
      </c>
      <c r="E2697" s="123" t="s">
        <v>2020</v>
      </c>
      <c r="F2697" s="92" t="s">
        <v>1770</v>
      </c>
      <c r="G2697" s="109">
        <v>33</v>
      </c>
      <c r="H2697" s="97" t="s">
        <v>2569</v>
      </c>
      <c r="I2697" s="175">
        <v>72</v>
      </c>
      <c r="J2697" s="115">
        <v>72</v>
      </c>
      <c r="K2697" s="143">
        <f t="shared" ref="K2697" si="874">SUM(P2697:BBC2697)</f>
        <v>72</v>
      </c>
      <c r="L2697" s="144">
        <f t="shared" ref="L2697" si="875">J2697-K2697</f>
        <v>0</v>
      </c>
      <c r="M2697" s="98">
        <v>2</v>
      </c>
      <c r="N2697" s="98">
        <v>1</v>
      </c>
      <c r="O2697" s="93"/>
      <c r="OI2697" s="100">
        <v>3</v>
      </c>
      <c r="OJ2697" s="100">
        <v>8</v>
      </c>
      <c r="OK2697" s="100">
        <v>10</v>
      </c>
      <c r="OM2697" s="100">
        <v>15</v>
      </c>
      <c r="ON2697" s="100">
        <f t="shared" si="873"/>
        <v>36</v>
      </c>
    </row>
    <row r="2698" spans="1:404" ht="23.25" customHeight="1">
      <c r="A2698" s="97" t="str">
        <f t="shared" si="870"/>
        <v>003/CLARIUS-VG-2166-82524-02-B</v>
      </c>
      <c r="B2698" s="95">
        <v>44703</v>
      </c>
      <c r="C2698" s="97">
        <f t="shared" ca="1" si="867"/>
        <v>-361</v>
      </c>
      <c r="D2698" s="112" t="s">
        <v>2140</v>
      </c>
      <c r="E2698" s="123" t="s">
        <v>2144</v>
      </c>
      <c r="F2698" s="92" t="str">
        <f t="shared" si="871"/>
        <v>B</v>
      </c>
      <c r="G2698" s="109">
        <f ca="1">SUMIF($A:E,$A2698,K:K)</f>
        <v>12</v>
      </c>
      <c r="H2698" s="97" t="s">
        <v>508</v>
      </c>
      <c r="I2698" s="98">
        <v>36</v>
      </c>
      <c r="J2698" s="115">
        <v>36</v>
      </c>
      <c r="K2698" s="143">
        <f t="shared" ref="K2698:K2729" si="876">SUM(P2698:BBC2698)</f>
        <v>12</v>
      </c>
      <c r="L2698" s="144">
        <f t="shared" si="869"/>
        <v>24</v>
      </c>
      <c r="M2698" s="275">
        <f t="shared" si="865"/>
        <v>36</v>
      </c>
      <c r="N2698" s="98">
        <v>2</v>
      </c>
      <c r="O2698" s="93">
        <f t="shared" ref="O2698:O2720" si="877">K2698/J2698*100</f>
        <v>33.333333333333329</v>
      </c>
      <c r="OK2698" s="100">
        <v>4</v>
      </c>
      <c r="OM2698" s="100">
        <v>2</v>
      </c>
      <c r="ON2698" s="100">
        <f t="shared" si="873"/>
        <v>6</v>
      </c>
    </row>
    <row r="2699" spans="1:404" ht="23.25" customHeight="1">
      <c r="A2699" s="97" t="str">
        <f t="shared" si="870"/>
        <v>003/CLARIUS-VG-2166-82700-B2-B</v>
      </c>
      <c r="B2699" s="95">
        <v>44703</v>
      </c>
      <c r="C2699" s="97">
        <f t="shared" ca="1" si="867"/>
        <v>-361</v>
      </c>
      <c r="D2699" s="112" t="s">
        <v>2140</v>
      </c>
      <c r="E2699" s="123" t="s">
        <v>1487</v>
      </c>
      <c r="F2699" s="92" t="str">
        <f t="shared" si="871"/>
        <v>B</v>
      </c>
      <c r="G2699" s="109">
        <f ca="1">SUMIF($A:E,$A2699,K:K)</f>
        <v>0</v>
      </c>
      <c r="H2699" s="97" t="s">
        <v>508</v>
      </c>
      <c r="I2699" s="98">
        <v>64</v>
      </c>
      <c r="J2699" s="115">
        <v>64</v>
      </c>
      <c r="K2699" s="143">
        <f t="shared" si="876"/>
        <v>0</v>
      </c>
      <c r="L2699" s="144">
        <f t="shared" si="869"/>
        <v>64</v>
      </c>
      <c r="M2699" s="275">
        <f t="shared" si="865"/>
        <v>128</v>
      </c>
      <c r="N2699" s="98"/>
      <c r="O2699" s="93">
        <f t="shared" si="877"/>
        <v>0</v>
      </c>
      <c r="ON2699" s="100">
        <f t="shared" si="873"/>
        <v>0</v>
      </c>
    </row>
    <row r="2700" spans="1:404" ht="23.25" customHeight="1">
      <c r="A2700" s="97" t="str">
        <f t="shared" si="870"/>
        <v>003/CLARIUS-VG-2166-82800-S1-B</v>
      </c>
      <c r="B2700" s="95">
        <v>44703</v>
      </c>
      <c r="C2700" s="97">
        <f t="shared" ca="1" si="867"/>
        <v>-361</v>
      </c>
      <c r="D2700" s="112" t="s">
        <v>2140</v>
      </c>
      <c r="E2700" s="123" t="s">
        <v>1135</v>
      </c>
      <c r="F2700" s="92" t="str">
        <f t="shared" si="871"/>
        <v>B</v>
      </c>
      <c r="G2700" s="109">
        <f ca="1">SUMIF($A:E,$A2700,K:K)</f>
        <v>0</v>
      </c>
      <c r="H2700" s="97" t="s">
        <v>508</v>
      </c>
      <c r="I2700" s="98">
        <v>48</v>
      </c>
      <c r="J2700" s="115">
        <v>48</v>
      </c>
      <c r="K2700" s="143">
        <f t="shared" si="876"/>
        <v>0</v>
      </c>
      <c r="L2700" s="144">
        <f t="shared" si="869"/>
        <v>48</v>
      </c>
      <c r="M2700" s="275">
        <f t="shared" si="865"/>
        <v>48</v>
      </c>
      <c r="N2700" s="98"/>
      <c r="O2700" s="93">
        <f t="shared" si="877"/>
        <v>0</v>
      </c>
      <c r="ON2700" s="100">
        <f t="shared" si="873"/>
        <v>0</v>
      </c>
    </row>
    <row r="2701" spans="1:404" ht="23.25" customHeight="1">
      <c r="A2701" s="97" t="str">
        <f t="shared" si="870"/>
        <v>003/CLARIUS-VG-2166-83000-02-B</v>
      </c>
      <c r="B2701" s="95">
        <v>44703</v>
      </c>
      <c r="C2701" s="97">
        <f t="shared" ca="1" si="867"/>
        <v>-361</v>
      </c>
      <c r="D2701" s="112" t="s">
        <v>2140</v>
      </c>
      <c r="E2701" s="123" t="s">
        <v>1489</v>
      </c>
      <c r="F2701" s="92" t="str">
        <f t="shared" si="871"/>
        <v>B</v>
      </c>
      <c r="G2701" s="109">
        <f ca="1">SUMIF($A:E,$A2701,K:K)</f>
        <v>0</v>
      </c>
      <c r="H2701" s="97" t="s">
        <v>508</v>
      </c>
      <c r="I2701" s="98">
        <v>81</v>
      </c>
      <c r="J2701" s="115">
        <v>81</v>
      </c>
      <c r="K2701" s="143">
        <f t="shared" si="876"/>
        <v>0</v>
      </c>
      <c r="L2701" s="144">
        <f t="shared" si="869"/>
        <v>81</v>
      </c>
      <c r="M2701" s="275">
        <f t="shared" si="865"/>
        <v>81</v>
      </c>
      <c r="N2701" s="98"/>
      <c r="O2701" s="93">
        <f t="shared" si="877"/>
        <v>0</v>
      </c>
      <c r="ON2701" s="100">
        <f t="shared" si="873"/>
        <v>0</v>
      </c>
    </row>
    <row r="2702" spans="1:404" ht="23.25" customHeight="1">
      <c r="A2702" s="97" t="str">
        <f t="shared" si="870"/>
        <v>003/CLARIUS-VG-2166-83000-S2-B</v>
      </c>
      <c r="B2702" s="95">
        <v>44703</v>
      </c>
      <c r="C2702" s="97">
        <f t="shared" ca="1" si="867"/>
        <v>-361</v>
      </c>
      <c r="D2702" s="112" t="s">
        <v>2140</v>
      </c>
      <c r="E2702" s="123" t="s">
        <v>1136</v>
      </c>
      <c r="F2702" s="92" t="str">
        <f t="shared" si="871"/>
        <v>B</v>
      </c>
      <c r="G2702" s="109">
        <f ca="1">SUMIF($A:E,$A2702,K:K)</f>
        <v>0</v>
      </c>
      <c r="H2702" s="97" t="s">
        <v>508</v>
      </c>
      <c r="I2702" s="98">
        <v>80</v>
      </c>
      <c r="J2702" s="115">
        <v>80</v>
      </c>
      <c r="K2702" s="143">
        <f t="shared" si="876"/>
        <v>0</v>
      </c>
      <c r="L2702" s="144">
        <f t="shared" si="869"/>
        <v>80</v>
      </c>
      <c r="M2702" s="275">
        <f t="shared" si="865"/>
        <v>160</v>
      </c>
      <c r="N2702" s="98"/>
      <c r="O2702" s="93">
        <f t="shared" si="877"/>
        <v>0</v>
      </c>
      <c r="ON2702" s="100">
        <f t="shared" si="873"/>
        <v>0</v>
      </c>
    </row>
    <row r="2703" spans="1:404" ht="23.25" customHeight="1">
      <c r="A2703" s="97" t="str">
        <f t="shared" si="870"/>
        <v>007/TK MAXX-VG-2166-06723-S2-B</v>
      </c>
      <c r="B2703" s="95">
        <v>44673</v>
      </c>
      <c r="C2703" s="97">
        <f t="shared" ca="1" si="867"/>
        <v>-391</v>
      </c>
      <c r="D2703" s="112" t="s">
        <v>2145</v>
      </c>
      <c r="E2703" s="123" t="s">
        <v>1226</v>
      </c>
      <c r="F2703" s="92" t="str">
        <f t="shared" si="871"/>
        <v>B</v>
      </c>
      <c r="G2703" s="109">
        <f ca="1">SUMIF($A:E,$A2703,K:K)</f>
        <v>994</v>
      </c>
      <c r="H2703" s="97" t="s">
        <v>507</v>
      </c>
      <c r="I2703" s="98">
        <v>672</v>
      </c>
      <c r="J2703" s="99">
        <v>672</v>
      </c>
      <c r="K2703" s="143">
        <f t="shared" si="876"/>
        <v>994</v>
      </c>
      <c r="L2703" s="144">
        <f t="shared" ref="L2703:L2706" si="878">J2703-K2703</f>
        <v>-322</v>
      </c>
      <c r="M2703" s="275">
        <f t="shared" si="865"/>
        <v>1344</v>
      </c>
      <c r="N2703" s="98">
        <v>6</v>
      </c>
      <c r="O2703" s="93">
        <f t="shared" si="877"/>
        <v>147.91666666666669</v>
      </c>
      <c r="NL2703" s="100">
        <v>25</v>
      </c>
      <c r="NM2703" s="100">
        <v>33</v>
      </c>
      <c r="NN2703" s="100">
        <v>34</v>
      </c>
      <c r="NS2703" s="100">
        <v>25</v>
      </c>
      <c r="NU2703" s="100">
        <f>28+23</f>
        <v>51</v>
      </c>
      <c r="NV2703" s="100">
        <v>26</v>
      </c>
      <c r="NY2703" s="100">
        <v>37</v>
      </c>
      <c r="NZ2703" s="100">
        <v>49</v>
      </c>
      <c r="OA2703" s="100">
        <v>10</v>
      </c>
      <c r="OB2703" s="100">
        <v>16</v>
      </c>
      <c r="OC2703" s="100">
        <v>28</v>
      </c>
      <c r="OD2703" s="100">
        <v>33</v>
      </c>
      <c r="OF2703" s="100">
        <v>28</v>
      </c>
      <c r="OG2703" s="100">
        <v>20</v>
      </c>
      <c r="OH2703" s="100">
        <v>26</v>
      </c>
      <c r="OI2703" s="100">
        <v>10</v>
      </c>
      <c r="OJ2703" s="100">
        <v>41</v>
      </c>
      <c r="OK2703" s="100">
        <v>22</v>
      </c>
      <c r="OM2703" s="100">
        <v>29</v>
      </c>
      <c r="ON2703" s="100">
        <f t="shared" si="873"/>
        <v>451</v>
      </c>
    </row>
    <row r="2704" spans="1:404" ht="23.25" customHeight="1">
      <c r="A2704" s="97" t="str">
        <f t="shared" si="870"/>
        <v>075/VG_SR-21(EUROMARKET)66-84016-03-B</v>
      </c>
      <c r="B2704" s="95">
        <v>44519</v>
      </c>
      <c r="C2704" s="97">
        <f t="shared" ca="1" si="867"/>
        <v>-545</v>
      </c>
      <c r="D2704" s="112" t="s">
        <v>2149</v>
      </c>
      <c r="E2704" s="123" t="s">
        <v>1166</v>
      </c>
      <c r="F2704" s="98" t="str">
        <f t="shared" si="871"/>
        <v>B</v>
      </c>
      <c r="G2704" s="110">
        <f ca="1">SUMIF($A:E,$A2704,K:K)</f>
        <v>3</v>
      </c>
      <c r="H2704" s="112" t="s">
        <v>2150</v>
      </c>
      <c r="I2704" s="98">
        <v>3</v>
      </c>
      <c r="J2704" s="99">
        <v>3</v>
      </c>
      <c r="K2704" s="143">
        <f t="shared" si="876"/>
        <v>3</v>
      </c>
      <c r="L2704" s="144">
        <f t="shared" ref="L2704" si="879">J2704-K2704</f>
        <v>0</v>
      </c>
      <c r="M2704" s="275">
        <f t="shared" si="865"/>
        <v>3</v>
      </c>
      <c r="N2704" s="98">
        <v>1</v>
      </c>
      <c r="O2704" s="93">
        <f t="shared" si="877"/>
        <v>100</v>
      </c>
      <c r="LC2704" s="100">
        <v>3</v>
      </c>
      <c r="ON2704" s="100">
        <f t="shared" si="873"/>
        <v>0</v>
      </c>
    </row>
    <row r="2705" spans="1:404" ht="23.25" customHeight="1">
      <c r="A2705" s="97" t="str">
        <f t="shared" si="870"/>
        <v>055_SR-21(ALFRESCO)66-01702-B3-B</v>
      </c>
      <c r="B2705" s="95">
        <v>44525</v>
      </c>
      <c r="C2705" s="97">
        <f t="shared" ca="1" si="867"/>
        <v>-539</v>
      </c>
      <c r="D2705" s="112" t="s">
        <v>2151</v>
      </c>
      <c r="E2705" s="123" t="s">
        <v>1222</v>
      </c>
      <c r="F2705" s="98" t="str">
        <f t="shared" si="871"/>
        <v>B</v>
      </c>
      <c r="G2705" s="110">
        <f ca="1">SUMIF($A:E,$A2705,K:K)</f>
        <v>2</v>
      </c>
      <c r="H2705" s="112" t="s">
        <v>1616</v>
      </c>
      <c r="I2705" s="98">
        <v>72</v>
      </c>
      <c r="J2705" s="99">
        <v>2</v>
      </c>
      <c r="K2705" s="143">
        <f t="shared" si="876"/>
        <v>2</v>
      </c>
      <c r="L2705" s="144">
        <f t="shared" si="878"/>
        <v>0</v>
      </c>
      <c r="M2705" s="275">
        <f t="shared" si="865"/>
        <v>216</v>
      </c>
      <c r="N2705" s="211">
        <v>3</v>
      </c>
      <c r="O2705" s="93">
        <f t="shared" si="877"/>
        <v>100</v>
      </c>
      <c r="LC2705" s="100">
        <v>2</v>
      </c>
      <c r="ON2705" s="100">
        <f t="shared" si="873"/>
        <v>0</v>
      </c>
    </row>
    <row r="2706" spans="1:404" ht="23.25" customHeight="1">
      <c r="A2706" s="97" t="str">
        <f t="shared" si="870"/>
        <v>055_SR-21(ALFRESCO)66-55402-B2-B</v>
      </c>
      <c r="B2706" s="95">
        <v>44525</v>
      </c>
      <c r="C2706" s="97">
        <f t="shared" ca="1" si="867"/>
        <v>-539</v>
      </c>
      <c r="D2706" s="112" t="s">
        <v>2151</v>
      </c>
      <c r="E2706" s="123" t="s">
        <v>1275</v>
      </c>
      <c r="F2706" s="98" t="str">
        <f t="shared" si="871"/>
        <v>B</v>
      </c>
      <c r="G2706" s="110">
        <f ca="1">SUMIF($A:E,$A2706,K:K)</f>
        <v>2</v>
      </c>
      <c r="H2706" s="112" t="s">
        <v>1616</v>
      </c>
      <c r="I2706" s="98">
        <v>72</v>
      </c>
      <c r="J2706" s="99">
        <v>2</v>
      </c>
      <c r="K2706" s="143">
        <f t="shared" si="876"/>
        <v>2</v>
      </c>
      <c r="L2706" s="144">
        <f t="shared" si="878"/>
        <v>0</v>
      </c>
      <c r="M2706" s="275">
        <f t="shared" si="865"/>
        <v>144</v>
      </c>
      <c r="N2706" s="211">
        <v>3</v>
      </c>
      <c r="O2706" s="93">
        <f t="shared" si="877"/>
        <v>100</v>
      </c>
      <c r="LC2706" s="100">
        <v>1</v>
      </c>
      <c r="LE2706" s="100">
        <v>1</v>
      </c>
      <c r="ON2706" s="100">
        <f t="shared" si="873"/>
        <v>0</v>
      </c>
    </row>
    <row r="2707" spans="1:404" ht="23.25" customHeight="1">
      <c r="A2707" s="97" t="str">
        <f t="shared" si="870"/>
        <v>055_SR-21(ALFRESCO)66-83902-02-B</v>
      </c>
      <c r="B2707" s="95">
        <v>44525</v>
      </c>
      <c r="C2707" s="97">
        <f t="shared" ca="1" si="867"/>
        <v>-539</v>
      </c>
      <c r="D2707" s="112" t="s">
        <v>2151</v>
      </c>
      <c r="E2707" s="123" t="s">
        <v>667</v>
      </c>
      <c r="F2707" s="98" t="str">
        <f t="shared" si="871"/>
        <v>B</v>
      </c>
      <c r="G2707" s="110">
        <f ca="1">SUMIF($A:E,$A2707,K:K)</f>
        <v>2</v>
      </c>
      <c r="H2707" s="112" t="s">
        <v>1616</v>
      </c>
      <c r="I2707" s="98">
        <v>72</v>
      </c>
      <c r="J2707" s="99">
        <v>2</v>
      </c>
      <c r="K2707" s="143">
        <f t="shared" si="876"/>
        <v>2</v>
      </c>
      <c r="L2707" s="144">
        <f t="shared" ref="L2707:L2708" si="880">J2707-K2707</f>
        <v>0</v>
      </c>
      <c r="M2707" s="275">
        <f t="shared" si="865"/>
        <v>72</v>
      </c>
      <c r="N2707" s="211" t="s">
        <v>1776</v>
      </c>
      <c r="O2707" s="93">
        <f t="shared" si="877"/>
        <v>100</v>
      </c>
      <c r="KX2707" s="100">
        <v>1</v>
      </c>
      <c r="KZ2707" s="100">
        <v>1</v>
      </c>
      <c r="ON2707" s="100">
        <f t="shared" si="873"/>
        <v>0</v>
      </c>
    </row>
    <row r="2708" spans="1:404" ht="23.25" customHeight="1">
      <c r="A2708" s="97" t="str">
        <f t="shared" si="870"/>
        <v>055_SR-21(ALFRESCO)66-84102-B2-B</v>
      </c>
      <c r="B2708" s="95">
        <v>44525</v>
      </c>
      <c r="C2708" s="97">
        <f t="shared" ca="1" si="867"/>
        <v>-539</v>
      </c>
      <c r="D2708" s="112" t="s">
        <v>2151</v>
      </c>
      <c r="E2708" s="123" t="s">
        <v>2125</v>
      </c>
      <c r="F2708" s="98" t="str">
        <f t="shared" si="871"/>
        <v>B</v>
      </c>
      <c r="G2708" s="110">
        <f ca="1">SUMIF($A:E,$A2708,K:K)</f>
        <v>2</v>
      </c>
      <c r="H2708" s="112" t="s">
        <v>1616</v>
      </c>
      <c r="I2708" s="98">
        <v>72</v>
      </c>
      <c r="J2708" s="99">
        <v>2</v>
      </c>
      <c r="K2708" s="143">
        <f t="shared" si="876"/>
        <v>2</v>
      </c>
      <c r="L2708" s="144">
        <f t="shared" si="880"/>
        <v>0</v>
      </c>
      <c r="M2708" s="275">
        <f t="shared" si="865"/>
        <v>144</v>
      </c>
      <c r="N2708" s="211">
        <v>1</v>
      </c>
      <c r="O2708" s="93">
        <f t="shared" si="877"/>
        <v>100</v>
      </c>
      <c r="LE2708" s="100">
        <v>2</v>
      </c>
      <c r="ON2708" s="100">
        <f t="shared" si="873"/>
        <v>0</v>
      </c>
    </row>
    <row r="2709" spans="1:404" ht="23.25" customHeight="1">
      <c r="A2709" s="97" t="str">
        <f t="shared" si="870"/>
        <v>002/YAMATEI-VG_SR-2166-70301-03-B</v>
      </c>
      <c r="B2709" s="95">
        <v>44520</v>
      </c>
      <c r="C2709" s="97">
        <f t="shared" ca="1" si="867"/>
        <v>-544</v>
      </c>
      <c r="D2709" s="112" t="s">
        <v>2153</v>
      </c>
      <c r="E2709" s="123" t="s">
        <v>2154</v>
      </c>
      <c r="F2709" s="98" t="str">
        <f t="shared" si="871"/>
        <v>B</v>
      </c>
      <c r="G2709" s="110">
        <f ca="1">SUMIF($A:E,$A2709,K:K)</f>
        <v>6</v>
      </c>
      <c r="H2709" s="112" t="s">
        <v>2152</v>
      </c>
      <c r="I2709" s="98">
        <v>72</v>
      </c>
      <c r="J2709" s="99">
        <v>6</v>
      </c>
      <c r="K2709" s="143">
        <f t="shared" si="876"/>
        <v>6</v>
      </c>
      <c r="L2709" s="144">
        <f t="shared" ref="L2709:L2710" si="881">J2709-K2709</f>
        <v>0</v>
      </c>
      <c r="M2709" s="275">
        <f t="shared" si="865"/>
        <v>72</v>
      </c>
      <c r="N2709" s="211">
        <v>1</v>
      </c>
      <c r="O2709" s="93">
        <f t="shared" si="877"/>
        <v>100</v>
      </c>
      <c r="LB2709" s="100">
        <v>2</v>
      </c>
      <c r="LC2709" s="100">
        <v>4</v>
      </c>
      <c r="ON2709" s="100">
        <f t="shared" si="873"/>
        <v>0</v>
      </c>
    </row>
    <row r="2710" spans="1:404" ht="23.25" customHeight="1">
      <c r="A2710" s="97" t="str">
        <f t="shared" si="870"/>
        <v>002/YAMATEI-VG_SR-2166-70301-04-B</v>
      </c>
      <c r="B2710" s="95">
        <v>44520</v>
      </c>
      <c r="C2710" s="97">
        <f t="shared" ca="1" si="867"/>
        <v>-544</v>
      </c>
      <c r="D2710" s="112" t="s">
        <v>2153</v>
      </c>
      <c r="E2710" s="123" t="s">
        <v>2155</v>
      </c>
      <c r="F2710" s="98" t="str">
        <f t="shared" si="871"/>
        <v>B</v>
      </c>
      <c r="G2710" s="110">
        <f ca="1">SUMIF($A:E,$A2710,K:K)</f>
        <v>6</v>
      </c>
      <c r="H2710" s="112" t="s">
        <v>2152</v>
      </c>
      <c r="I2710" s="98">
        <v>72</v>
      </c>
      <c r="J2710" s="99">
        <v>6</v>
      </c>
      <c r="K2710" s="143">
        <f t="shared" si="876"/>
        <v>6</v>
      </c>
      <c r="L2710" s="144">
        <f t="shared" si="881"/>
        <v>0</v>
      </c>
      <c r="M2710" s="275">
        <f t="shared" si="865"/>
        <v>72</v>
      </c>
      <c r="N2710" s="211">
        <v>1</v>
      </c>
      <c r="O2710" s="93">
        <f t="shared" si="877"/>
        <v>100</v>
      </c>
      <c r="LB2710" s="100">
        <v>2</v>
      </c>
      <c r="LC2710" s="100">
        <v>4</v>
      </c>
      <c r="ON2710" s="100">
        <f t="shared" si="873"/>
        <v>0</v>
      </c>
    </row>
    <row r="2711" spans="1:404" ht="23.25" customHeight="1">
      <c r="A2711" s="122" t="str">
        <f t="shared" si="870"/>
        <v>001/ALFRESCO HOME-
VG_SR-2166-01701-B3-B</v>
      </c>
      <c r="B2711" s="95">
        <v>44525</v>
      </c>
      <c r="C2711" s="97">
        <f t="shared" ca="1" si="867"/>
        <v>-539</v>
      </c>
      <c r="D2711" s="247" t="s">
        <v>2156</v>
      </c>
      <c r="E2711" s="123" t="s">
        <v>2157</v>
      </c>
      <c r="F2711" s="98" t="str">
        <f t="shared" si="871"/>
        <v>B</v>
      </c>
      <c r="G2711" s="110">
        <f ca="1">SUMIF($A:E,$A2711,K:K)</f>
        <v>2</v>
      </c>
      <c r="H2711" s="112" t="s">
        <v>1616</v>
      </c>
      <c r="I2711" s="98">
        <v>2</v>
      </c>
      <c r="J2711" s="115">
        <v>2</v>
      </c>
      <c r="K2711" s="143">
        <f t="shared" si="876"/>
        <v>2</v>
      </c>
      <c r="L2711" s="144">
        <f t="shared" ref="L2711:L2725" si="882">J2711-K2711</f>
        <v>0</v>
      </c>
      <c r="M2711" s="275">
        <f t="shared" si="865"/>
        <v>6</v>
      </c>
      <c r="N2711" s="211">
        <v>3</v>
      </c>
      <c r="O2711" s="93">
        <f t="shared" si="877"/>
        <v>100</v>
      </c>
      <c r="LC2711" s="100">
        <v>2</v>
      </c>
      <c r="ON2711" s="100">
        <f t="shared" si="873"/>
        <v>0</v>
      </c>
    </row>
    <row r="2712" spans="1:404" ht="23.25" customHeight="1">
      <c r="A2712" s="122" t="str">
        <f t="shared" si="870"/>
        <v>001/ALFRESCO HOME-
VG_SR-2166-02601-B2-B</v>
      </c>
      <c r="B2712" s="95">
        <v>44525</v>
      </c>
      <c r="C2712" s="97">
        <f t="shared" ca="1" si="867"/>
        <v>-539</v>
      </c>
      <c r="D2712" s="247" t="s">
        <v>2156</v>
      </c>
      <c r="E2712" s="123" t="s">
        <v>2158</v>
      </c>
      <c r="F2712" s="98" t="str">
        <f t="shared" si="871"/>
        <v>B</v>
      </c>
      <c r="G2712" s="110">
        <f ca="1">SUMIF($A:E,$A2712,K:K)</f>
        <v>2</v>
      </c>
      <c r="H2712" s="112" t="s">
        <v>1616</v>
      </c>
      <c r="I2712" s="98">
        <v>2</v>
      </c>
      <c r="J2712" s="115">
        <v>2</v>
      </c>
      <c r="K2712" s="143">
        <f t="shared" si="876"/>
        <v>2</v>
      </c>
      <c r="L2712" s="144">
        <f t="shared" si="882"/>
        <v>0</v>
      </c>
      <c r="M2712" s="275">
        <f t="shared" si="865"/>
        <v>4</v>
      </c>
      <c r="N2712" s="211">
        <v>3</v>
      </c>
      <c r="O2712" s="93">
        <f t="shared" si="877"/>
        <v>100</v>
      </c>
      <c r="LC2712" s="100">
        <v>1</v>
      </c>
      <c r="LE2712" s="100">
        <v>1</v>
      </c>
      <c r="ON2712" s="100">
        <f t="shared" si="873"/>
        <v>0</v>
      </c>
    </row>
    <row r="2713" spans="1:404" ht="23.25" customHeight="1">
      <c r="A2713" s="122" t="str">
        <f t="shared" si="870"/>
        <v>001/ALFRESCO HOME-
VG_SR-2166-28401-S1-B</v>
      </c>
      <c r="B2713" s="95">
        <v>44525</v>
      </c>
      <c r="C2713" s="97">
        <f t="shared" ca="1" si="867"/>
        <v>-539</v>
      </c>
      <c r="D2713" s="247" t="s">
        <v>2156</v>
      </c>
      <c r="E2713" s="123" t="s">
        <v>2041</v>
      </c>
      <c r="F2713" s="98" t="str">
        <f t="shared" si="871"/>
        <v>B</v>
      </c>
      <c r="G2713" s="110">
        <f ca="1">SUMIF($A:E,$A2713,K:K)</f>
        <v>2</v>
      </c>
      <c r="H2713" s="112" t="s">
        <v>1616</v>
      </c>
      <c r="I2713" s="98">
        <v>72</v>
      </c>
      <c r="J2713" s="115">
        <v>2</v>
      </c>
      <c r="K2713" s="143">
        <f t="shared" si="876"/>
        <v>2</v>
      </c>
      <c r="L2713" s="144">
        <f t="shared" si="882"/>
        <v>0</v>
      </c>
      <c r="M2713" s="275">
        <f t="shared" si="865"/>
        <v>72</v>
      </c>
      <c r="N2713" s="211">
        <v>1</v>
      </c>
      <c r="O2713" s="93">
        <f t="shared" si="877"/>
        <v>100</v>
      </c>
      <c r="LB2713" s="100">
        <v>1</v>
      </c>
      <c r="LC2713" s="100">
        <v>1</v>
      </c>
      <c r="ON2713" s="100">
        <f t="shared" si="873"/>
        <v>0</v>
      </c>
    </row>
    <row r="2714" spans="1:404" ht="23.25" customHeight="1">
      <c r="A2714" s="122" t="str">
        <f t="shared" ref="A2714:A2742" si="883">D2714&amp;E2714</f>
        <v>001/ALFRESCO HOME-
VG_SR-2166-28501-S1-B</v>
      </c>
      <c r="B2714" s="95">
        <v>44525</v>
      </c>
      <c r="C2714" s="97">
        <f t="shared" ca="1" si="867"/>
        <v>-539</v>
      </c>
      <c r="D2714" s="247" t="s">
        <v>2156</v>
      </c>
      <c r="E2714" s="123" t="s">
        <v>2042</v>
      </c>
      <c r="F2714" s="98" t="str">
        <f t="shared" ref="F2714:F2742" si="884">MID(E2714,13,2)</f>
        <v>B</v>
      </c>
      <c r="G2714" s="110">
        <f ca="1">SUMIF($A:E,$A2714,K:K)</f>
        <v>4</v>
      </c>
      <c r="H2714" s="112" t="s">
        <v>1616</v>
      </c>
      <c r="I2714" s="98">
        <v>72</v>
      </c>
      <c r="J2714" s="115">
        <v>4</v>
      </c>
      <c r="K2714" s="143">
        <f t="shared" si="876"/>
        <v>4</v>
      </c>
      <c r="L2714" s="144">
        <f t="shared" si="882"/>
        <v>0</v>
      </c>
      <c r="M2714" s="275">
        <f t="shared" si="865"/>
        <v>72</v>
      </c>
      <c r="N2714" s="211">
        <v>1</v>
      </c>
      <c r="O2714" s="93">
        <f t="shared" si="877"/>
        <v>100</v>
      </c>
      <c r="LB2714" s="100">
        <v>2</v>
      </c>
      <c r="LC2714" s="100">
        <v>2</v>
      </c>
      <c r="ON2714" s="100">
        <f t="shared" si="873"/>
        <v>0</v>
      </c>
    </row>
    <row r="2715" spans="1:404" ht="23.25" customHeight="1">
      <c r="A2715" s="122" t="str">
        <f t="shared" si="883"/>
        <v>001/ALFRESCO HOME-
VG_SR-2166-61301-L2-B</v>
      </c>
      <c r="B2715" s="95">
        <v>44525</v>
      </c>
      <c r="C2715" s="97">
        <f t="shared" ca="1" si="867"/>
        <v>-539</v>
      </c>
      <c r="D2715" s="247" t="s">
        <v>2156</v>
      </c>
      <c r="E2715" s="123" t="s">
        <v>2159</v>
      </c>
      <c r="F2715" s="98" t="str">
        <f t="shared" si="884"/>
        <v>B</v>
      </c>
      <c r="G2715" s="110">
        <f ca="1">SUMIF($A:E,$A2715,K:K)</f>
        <v>2</v>
      </c>
      <c r="H2715" s="112" t="s">
        <v>1616</v>
      </c>
      <c r="I2715" s="98">
        <v>72</v>
      </c>
      <c r="J2715" s="115">
        <v>2</v>
      </c>
      <c r="K2715" s="143">
        <f t="shared" si="876"/>
        <v>2</v>
      </c>
      <c r="L2715" s="144">
        <f t="shared" si="882"/>
        <v>0</v>
      </c>
      <c r="M2715" s="275">
        <f t="shared" si="865"/>
        <v>144</v>
      </c>
      <c r="N2715" s="211">
        <v>3</v>
      </c>
      <c r="O2715" s="93">
        <f t="shared" si="877"/>
        <v>100</v>
      </c>
      <c r="LC2715" s="100">
        <v>2</v>
      </c>
      <c r="ON2715" s="100">
        <f t="shared" si="873"/>
        <v>0</v>
      </c>
    </row>
    <row r="2716" spans="1:404" ht="23.25" customHeight="1">
      <c r="A2716" s="122" t="str">
        <f t="shared" si="883"/>
        <v>001/ALFRESCO HOME-
VG_SR-2166-70301-B3-B</v>
      </c>
      <c r="B2716" s="95">
        <v>44525</v>
      </c>
      <c r="C2716" s="97">
        <f t="shared" ca="1" si="867"/>
        <v>-539</v>
      </c>
      <c r="D2716" s="247" t="s">
        <v>2156</v>
      </c>
      <c r="E2716" s="123" t="s">
        <v>2160</v>
      </c>
      <c r="F2716" s="98" t="str">
        <f t="shared" si="884"/>
        <v>B</v>
      </c>
      <c r="G2716" s="110">
        <f ca="1">SUMIF($A:E,$A2716,K:K)</f>
        <v>2</v>
      </c>
      <c r="H2716" s="112" t="s">
        <v>1616</v>
      </c>
      <c r="I2716" s="98">
        <v>72</v>
      </c>
      <c r="J2716" s="115">
        <v>2</v>
      </c>
      <c r="K2716" s="143">
        <f t="shared" si="876"/>
        <v>2</v>
      </c>
      <c r="L2716" s="144">
        <f t="shared" si="882"/>
        <v>0</v>
      </c>
      <c r="M2716" s="275">
        <f t="shared" si="865"/>
        <v>216</v>
      </c>
      <c r="N2716" s="211">
        <v>1</v>
      </c>
      <c r="O2716" s="93">
        <f t="shared" si="877"/>
        <v>100</v>
      </c>
      <c r="LB2716" s="100">
        <v>2</v>
      </c>
      <c r="ON2716" s="100">
        <f t="shared" si="873"/>
        <v>0</v>
      </c>
    </row>
    <row r="2717" spans="1:404" ht="23.25" customHeight="1">
      <c r="A2717" s="122" t="str">
        <f t="shared" si="883"/>
        <v>001/ALFRESCO HOME-
VG_SR-2166-88001-B2-B</v>
      </c>
      <c r="B2717" s="95">
        <v>44525</v>
      </c>
      <c r="C2717" s="97">
        <f t="shared" ca="1" si="867"/>
        <v>-539</v>
      </c>
      <c r="D2717" s="247" t="s">
        <v>2156</v>
      </c>
      <c r="E2717" s="123" t="s">
        <v>2161</v>
      </c>
      <c r="F2717" s="98" t="str">
        <f t="shared" si="884"/>
        <v>B</v>
      </c>
      <c r="G2717" s="110">
        <f ca="1">SUMIF($A:E,$A2717,K:K)</f>
        <v>2</v>
      </c>
      <c r="H2717" s="112" t="s">
        <v>1616</v>
      </c>
      <c r="I2717" s="98">
        <v>72</v>
      </c>
      <c r="J2717" s="115">
        <v>2</v>
      </c>
      <c r="K2717" s="143">
        <f t="shared" si="876"/>
        <v>2</v>
      </c>
      <c r="L2717" s="144">
        <f t="shared" si="882"/>
        <v>0</v>
      </c>
      <c r="M2717" s="275">
        <f t="shared" si="865"/>
        <v>144</v>
      </c>
      <c r="N2717" s="211">
        <v>3</v>
      </c>
      <c r="O2717" s="93">
        <f t="shared" si="877"/>
        <v>100</v>
      </c>
      <c r="LC2717" s="100">
        <v>1</v>
      </c>
      <c r="LE2717" s="100">
        <v>1</v>
      </c>
      <c r="ON2717" s="100">
        <f t="shared" si="873"/>
        <v>0</v>
      </c>
    </row>
    <row r="2718" spans="1:404" ht="40.5" customHeight="1">
      <c r="A2718" s="139" t="str">
        <f t="shared" si="883"/>
        <v>001/ALFRESCO HOME-
VG_SR-2166-88101-S2-B</v>
      </c>
      <c r="B2718" s="126">
        <v>44525</v>
      </c>
      <c r="C2718" s="127">
        <f t="shared" ca="1" si="867"/>
        <v>-539</v>
      </c>
      <c r="D2718" s="321" t="s">
        <v>2156</v>
      </c>
      <c r="E2718" s="123" t="s">
        <v>2110</v>
      </c>
      <c r="F2718" s="98" t="str">
        <f t="shared" si="884"/>
        <v>B</v>
      </c>
      <c r="G2718" s="110">
        <f ca="1">SUMIF($A:E,$A2718,K:K)</f>
        <v>2</v>
      </c>
      <c r="H2718" s="112" t="s">
        <v>1616</v>
      </c>
      <c r="I2718" s="98">
        <v>72</v>
      </c>
      <c r="J2718" s="115">
        <v>2</v>
      </c>
      <c r="K2718" s="143">
        <f t="shared" si="876"/>
        <v>2</v>
      </c>
      <c r="L2718" s="144">
        <f t="shared" si="882"/>
        <v>0</v>
      </c>
      <c r="M2718" s="275">
        <f t="shared" si="865"/>
        <v>144</v>
      </c>
      <c r="N2718" s="211">
        <v>1</v>
      </c>
      <c r="O2718" s="93">
        <f t="shared" si="877"/>
        <v>100</v>
      </c>
      <c r="LC2718" s="100">
        <v>1</v>
      </c>
      <c r="LF2718" s="100">
        <v>1</v>
      </c>
      <c r="ON2718" s="100">
        <f t="shared" si="873"/>
        <v>0</v>
      </c>
    </row>
    <row r="2719" spans="1:404" ht="23.25" customHeight="1">
      <c r="A2719" s="97" t="str">
        <f t="shared" si="883"/>
        <v>311/KHBS-21(039T/WESTELM-21)66-83237-02-B4</v>
      </c>
      <c r="B2719" s="95">
        <v>44518</v>
      </c>
      <c r="C2719" s="97">
        <f t="shared" ca="1" si="867"/>
        <v>-546</v>
      </c>
      <c r="D2719" s="112" t="s">
        <v>2163</v>
      </c>
      <c r="E2719" s="123" t="s">
        <v>1082</v>
      </c>
      <c r="F2719" s="98" t="str">
        <f t="shared" si="884"/>
        <v>B4</v>
      </c>
      <c r="G2719" s="110">
        <f ca="1">SUMIF($A:E,$A2719,K:K)</f>
        <v>2</v>
      </c>
      <c r="H2719" s="97" t="s">
        <v>1743</v>
      </c>
      <c r="I2719" s="98">
        <v>72</v>
      </c>
      <c r="J2719" s="115">
        <v>2</v>
      </c>
      <c r="K2719" s="143">
        <f t="shared" si="876"/>
        <v>2</v>
      </c>
      <c r="L2719" s="144">
        <f t="shared" si="882"/>
        <v>0</v>
      </c>
      <c r="M2719" s="275">
        <f t="shared" si="865"/>
        <v>72</v>
      </c>
      <c r="N2719" s="320">
        <v>2</v>
      </c>
      <c r="O2719" s="93">
        <f t="shared" si="877"/>
        <v>100</v>
      </c>
      <c r="LD2719" s="100">
        <v>2</v>
      </c>
      <c r="ON2719" s="100">
        <f t="shared" si="873"/>
        <v>0</v>
      </c>
    </row>
    <row r="2720" spans="1:404" ht="23.25" customHeight="1">
      <c r="A2720" s="97" t="str">
        <f t="shared" si="883"/>
        <v>311/KHBS-21(016T/EUROMARKET-21)66-02700-01-B</v>
      </c>
      <c r="B2720" s="95">
        <v>44518</v>
      </c>
      <c r="C2720" s="97">
        <f t="shared" ca="1" si="867"/>
        <v>-546</v>
      </c>
      <c r="D2720" s="112" t="s">
        <v>2164</v>
      </c>
      <c r="E2720" s="123" t="s">
        <v>628</v>
      </c>
      <c r="F2720" s="98" t="str">
        <f t="shared" si="884"/>
        <v>B</v>
      </c>
      <c r="G2720" s="110">
        <f ca="1">SUMIF($A:E,$A2720,K:K)</f>
        <v>1</v>
      </c>
      <c r="H2720" s="97" t="s">
        <v>2168</v>
      </c>
      <c r="I2720" s="98">
        <v>1</v>
      </c>
      <c r="J2720" s="115">
        <v>1</v>
      </c>
      <c r="K2720" s="143">
        <f t="shared" si="876"/>
        <v>1</v>
      </c>
      <c r="L2720" s="144">
        <f t="shared" si="882"/>
        <v>0</v>
      </c>
      <c r="M2720" s="275">
        <f t="shared" si="865"/>
        <v>1</v>
      </c>
      <c r="N2720" s="320">
        <v>2</v>
      </c>
      <c r="O2720" s="93">
        <f t="shared" si="877"/>
        <v>100</v>
      </c>
      <c r="LF2720" s="100">
        <v>1</v>
      </c>
      <c r="ON2720" s="100">
        <f t="shared" si="873"/>
        <v>0</v>
      </c>
    </row>
    <row r="2721" spans="1:404" ht="23.25" customHeight="1">
      <c r="A2721" s="138" t="str">
        <f t="shared" si="883"/>
        <v>311/KHBS-21(003/TK MAXX-21) 66-79028-01-B</v>
      </c>
      <c r="B2721" s="114">
        <v>44518</v>
      </c>
      <c r="C2721" s="101">
        <f t="shared" ca="1" si="867"/>
        <v>-546</v>
      </c>
      <c r="D2721" s="234" t="s">
        <v>2165</v>
      </c>
      <c r="E2721" s="123" t="s">
        <v>2166</v>
      </c>
      <c r="F2721" s="98" t="str">
        <f t="shared" si="884"/>
        <v>-B</v>
      </c>
      <c r="G2721" s="110">
        <f ca="1">SUMIF($A:E,$A2721,K:K)</f>
        <v>2</v>
      </c>
      <c r="H2721" s="122" t="s">
        <v>1743</v>
      </c>
      <c r="I2721" s="98">
        <v>2</v>
      </c>
      <c r="J2721" s="115">
        <v>2</v>
      </c>
      <c r="K2721" s="143">
        <f t="shared" si="876"/>
        <v>2</v>
      </c>
      <c r="L2721" s="144">
        <f t="shared" ref="L2721:L2722" si="885">J2721-K2721</f>
        <v>0</v>
      </c>
      <c r="M2721" s="275">
        <f t="shared" si="865"/>
        <v>0</v>
      </c>
      <c r="N2721" s="320">
        <v>4</v>
      </c>
      <c r="O2721" s="93">
        <f t="shared" ref="O2721:O2767" si="886">K2721/J2721*100</f>
        <v>100</v>
      </c>
      <c r="KZ2721" s="100">
        <v>2</v>
      </c>
      <c r="ON2721" s="100">
        <f t="shared" si="873"/>
        <v>0</v>
      </c>
    </row>
    <row r="2722" spans="1:404" ht="23.25" customHeight="1">
      <c r="A2722" s="97" t="str">
        <f t="shared" si="883"/>
        <v>311/KHBS-21(006/MARSHALLS-21)66-06723-02-B</v>
      </c>
      <c r="B2722" s="95">
        <v>44518</v>
      </c>
      <c r="C2722" s="101">
        <f t="shared" ca="1" si="867"/>
        <v>-546</v>
      </c>
      <c r="D2722" s="112" t="s">
        <v>2167</v>
      </c>
      <c r="E2722" s="123" t="s">
        <v>2002</v>
      </c>
      <c r="F2722" s="98" t="str">
        <f t="shared" si="884"/>
        <v>B</v>
      </c>
      <c r="G2722" s="110">
        <f ca="1">SUMIF($A:E,$A2722,K:K)</f>
        <v>2</v>
      </c>
      <c r="H2722" s="122" t="s">
        <v>1743</v>
      </c>
      <c r="I2722" s="98">
        <v>2</v>
      </c>
      <c r="J2722" s="115">
        <v>2</v>
      </c>
      <c r="K2722" s="143">
        <f t="shared" si="876"/>
        <v>2</v>
      </c>
      <c r="L2722" s="144">
        <f t="shared" si="885"/>
        <v>0</v>
      </c>
      <c r="M2722" s="275">
        <f t="shared" si="865"/>
        <v>2</v>
      </c>
      <c r="N2722" s="320">
        <v>6</v>
      </c>
      <c r="O2722" s="93">
        <f t="shared" si="886"/>
        <v>100</v>
      </c>
      <c r="LD2722" s="100">
        <v>2</v>
      </c>
      <c r="ON2722" s="100">
        <f t="shared" si="873"/>
        <v>0</v>
      </c>
    </row>
    <row r="2723" spans="1:404" ht="23.25" customHeight="1">
      <c r="A2723" s="97" t="str">
        <f t="shared" si="883"/>
        <v>056T/WESTELM-21	66-70300-02-B</v>
      </c>
      <c r="B2723" s="95">
        <v>44513</v>
      </c>
      <c r="C2723" s="97">
        <f t="shared" ca="1" si="867"/>
        <v>-551</v>
      </c>
      <c r="D2723" s="112" t="s">
        <v>2170</v>
      </c>
      <c r="E2723" s="123" t="s">
        <v>2171</v>
      </c>
      <c r="F2723" s="92" t="str">
        <f t="shared" si="884"/>
        <v>-B</v>
      </c>
      <c r="G2723" s="109">
        <f ca="1">SUMIF($A:E,$A2723,K:K)</f>
        <v>3</v>
      </c>
      <c r="H2723" s="97" t="s">
        <v>508</v>
      </c>
      <c r="I2723" s="98">
        <v>72</v>
      </c>
      <c r="J2723" s="99">
        <v>3</v>
      </c>
      <c r="K2723" s="143">
        <f t="shared" si="876"/>
        <v>3</v>
      </c>
      <c r="L2723" s="144">
        <f t="shared" si="882"/>
        <v>0</v>
      </c>
      <c r="M2723" s="275">
        <f t="shared" si="865"/>
        <v>0</v>
      </c>
      <c r="N2723" s="98">
        <v>1</v>
      </c>
      <c r="O2723" s="93">
        <f t="shared" si="886"/>
        <v>100</v>
      </c>
      <c r="KZ2723" s="100">
        <v>3</v>
      </c>
      <c r="ON2723" s="100">
        <f t="shared" si="873"/>
        <v>0</v>
      </c>
    </row>
    <row r="2724" spans="1:404" ht="23.25" customHeight="1">
      <c r="A2724" s="97" t="str">
        <f t="shared" si="883"/>
        <v>312/KHBS-21(003/TK MAXX-21)66-55429-02-B</v>
      </c>
      <c r="B2724" s="95">
        <v>44520</v>
      </c>
      <c r="C2724" s="97">
        <f t="shared" ca="1" si="867"/>
        <v>-544</v>
      </c>
      <c r="D2724" s="112" t="s">
        <v>2173</v>
      </c>
      <c r="E2724" s="123" t="s">
        <v>2174</v>
      </c>
      <c r="F2724" s="98" t="str">
        <f t="shared" si="884"/>
        <v>B</v>
      </c>
      <c r="G2724" s="110">
        <f ca="1">SUMIF($A:E,$A2724,K:K)</f>
        <v>2</v>
      </c>
      <c r="H2724" s="97" t="s">
        <v>1743</v>
      </c>
      <c r="I2724" s="98">
        <v>72</v>
      </c>
      <c r="J2724" s="115">
        <v>2</v>
      </c>
      <c r="K2724" s="143">
        <f t="shared" si="876"/>
        <v>2</v>
      </c>
      <c r="L2724" s="144">
        <f t="shared" si="882"/>
        <v>0</v>
      </c>
      <c r="M2724" s="275">
        <f t="shared" si="865"/>
        <v>72</v>
      </c>
      <c r="N2724" s="320">
        <v>1</v>
      </c>
      <c r="O2724" s="93">
        <f t="shared" si="886"/>
        <v>100</v>
      </c>
      <c r="LE2724" s="100">
        <v>2</v>
      </c>
      <c r="ON2724" s="100">
        <f t="shared" si="873"/>
        <v>0</v>
      </c>
    </row>
    <row r="2725" spans="1:404" ht="23.25" customHeight="1">
      <c r="A2725" s="127" t="str">
        <f t="shared" si="883"/>
        <v>312/KHBS-21(025/METRO-VG-21) 66-06422-03-B</v>
      </c>
      <c r="B2725" s="126">
        <v>44520</v>
      </c>
      <c r="C2725" s="127">
        <f t="shared" ca="1" si="867"/>
        <v>-544</v>
      </c>
      <c r="D2725" s="208" t="s">
        <v>2175</v>
      </c>
      <c r="E2725" s="123" t="s">
        <v>2176</v>
      </c>
      <c r="F2725" s="98" t="str">
        <f t="shared" si="884"/>
        <v>-B</v>
      </c>
      <c r="G2725" s="110">
        <f ca="1">SUMIF($A:E,$A2725,K:K)</f>
        <v>1</v>
      </c>
      <c r="H2725" s="97" t="s">
        <v>1743</v>
      </c>
      <c r="I2725" s="98">
        <v>72</v>
      </c>
      <c r="J2725" s="115">
        <v>1</v>
      </c>
      <c r="K2725" s="143">
        <f t="shared" si="876"/>
        <v>1</v>
      </c>
      <c r="L2725" s="144">
        <f t="shared" si="882"/>
        <v>0</v>
      </c>
      <c r="M2725" s="275">
        <f t="shared" si="865"/>
        <v>0</v>
      </c>
      <c r="N2725" s="320">
        <v>6</v>
      </c>
      <c r="O2725" s="93">
        <f t="shared" si="886"/>
        <v>100</v>
      </c>
      <c r="LD2725" s="100">
        <v>1</v>
      </c>
      <c r="ON2725" s="100">
        <f t="shared" si="873"/>
        <v>0</v>
      </c>
    </row>
    <row r="2726" spans="1:404" ht="23.25" customHeight="1">
      <c r="A2726" s="97" t="str">
        <f t="shared" si="883"/>
        <v>002/ITIMASIA-VG_SR-2166-01711-02-B</v>
      </c>
      <c r="B2726" s="95">
        <v>44523</v>
      </c>
      <c r="C2726" s="97">
        <f t="shared" ca="1" si="867"/>
        <v>-541</v>
      </c>
      <c r="D2726" s="112" t="s">
        <v>2177</v>
      </c>
      <c r="E2726" s="123" t="s">
        <v>2178</v>
      </c>
      <c r="F2726" s="98" t="str">
        <f t="shared" si="884"/>
        <v>B</v>
      </c>
      <c r="G2726" s="110">
        <f ca="1">SUMIF($A:E,$A2726,K:K)</f>
        <v>1</v>
      </c>
      <c r="H2726" s="112" t="s">
        <v>1616</v>
      </c>
      <c r="I2726" s="98">
        <v>72</v>
      </c>
      <c r="J2726" s="115">
        <v>1</v>
      </c>
      <c r="K2726" s="143">
        <f t="shared" si="876"/>
        <v>1</v>
      </c>
      <c r="L2726" s="144">
        <f t="shared" ref="L2726" si="887">J2726-K2726</f>
        <v>0</v>
      </c>
      <c r="M2726" s="275">
        <f t="shared" si="865"/>
        <v>72</v>
      </c>
      <c r="N2726" s="98">
        <v>2</v>
      </c>
      <c r="O2726" s="93">
        <f t="shared" si="886"/>
        <v>100</v>
      </c>
      <c r="LF2726" s="100">
        <v>1</v>
      </c>
      <c r="ON2726" s="100">
        <f t="shared" si="873"/>
        <v>0</v>
      </c>
    </row>
    <row r="2727" spans="1:404" ht="23.25" customHeight="1">
      <c r="A2727" s="97" t="str">
        <f t="shared" si="883"/>
        <v>002/ITIMASIA-VG_SR-2166-01711-03-B</v>
      </c>
      <c r="B2727" s="95">
        <v>44523</v>
      </c>
      <c r="C2727" s="97">
        <f t="shared" ca="1" si="867"/>
        <v>-541</v>
      </c>
      <c r="D2727" s="112" t="s">
        <v>2177</v>
      </c>
      <c r="E2727" s="123" t="s">
        <v>2179</v>
      </c>
      <c r="F2727" s="98" t="str">
        <f t="shared" si="884"/>
        <v>B</v>
      </c>
      <c r="G2727" s="110">
        <f ca="1">SUMIF($A:E,$A2727,K:K)</f>
        <v>1</v>
      </c>
      <c r="H2727" s="112" t="s">
        <v>1616</v>
      </c>
      <c r="I2727" s="98">
        <v>72</v>
      </c>
      <c r="J2727" s="115">
        <v>1</v>
      </c>
      <c r="K2727" s="143">
        <f t="shared" si="876"/>
        <v>1</v>
      </c>
      <c r="L2727" s="144">
        <f t="shared" ref="L2727:L2734" si="888">J2727-K2727</f>
        <v>0</v>
      </c>
      <c r="M2727" s="275">
        <f t="shared" ref="M2727:M2788" si="889">IF(OR(MID(E2727,10,1)="0",MID(E2727,10,1)="F"),I2727,IF(OR(,MID(E2727,10,1)="S",MID(E2727,10,1)="L",MID(E2727,10,1)="B",MID(E2727,10,1)="X"),MID(E2727,11,1)*I2727,0))</f>
        <v>72</v>
      </c>
      <c r="N2727" s="98">
        <v>2</v>
      </c>
      <c r="O2727" s="93">
        <f t="shared" si="886"/>
        <v>100</v>
      </c>
      <c r="LF2727" s="100">
        <v>1</v>
      </c>
      <c r="ON2727" s="100">
        <f t="shared" si="873"/>
        <v>0</v>
      </c>
    </row>
    <row r="2728" spans="1:404" ht="23.25" customHeight="1">
      <c r="A2728" s="97" t="str">
        <f t="shared" si="883"/>
        <v>002/ITIMASIA-VG_SR-2166-02605-03-B</v>
      </c>
      <c r="B2728" s="95">
        <v>44523</v>
      </c>
      <c r="C2728" s="97">
        <f t="shared" ca="1" si="867"/>
        <v>-541</v>
      </c>
      <c r="D2728" s="112" t="s">
        <v>2177</v>
      </c>
      <c r="E2728" s="123" t="s">
        <v>2180</v>
      </c>
      <c r="F2728" s="98" t="str">
        <f t="shared" si="884"/>
        <v>B</v>
      </c>
      <c r="G2728" s="110">
        <f ca="1">SUMIF($A:E,$A2728,K:K)</f>
        <v>1</v>
      </c>
      <c r="H2728" s="112" t="s">
        <v>1616</v>
      </c>
      <c r="I2728" s="98">
        <v>1</v>
      </c>
      <c r="J2728" s="115">
        <v>1</v>
      </c>
      <c r="K2728" s="143">
        <f t="shared" si="876"/>
        <v>1</v>
      </c>
      <c r="L2728" s="144">
        <f t="shared" si="888"/>
        <v>0</v>
      </c>
      <c r="M2728" s="275">
        <f t="shared" si="889"/>
        <v>1</v>
      </c>
      <c r="N2728" s="98">
        <v>2</v>
      </c>
      <c r="O2728" s="93">
        <f t="shared" si="886"/>
        <v>100</v>
      </c>
      <c r="LF2728" s="100">
        <v>1</v>
      </c>
      <c r="ON2728" s="100">
        <f t="shared" si="873"/>
        <v>0</v>
      </c>
    </row>
    <row r="2729" spans="1:404" ht="23.25" customHeight="1">
      <c r="A2729" s="97" t="str">
        <f t="shared" si="883"/>
        <v>002/ITIMASIA-VG_SR-2166-02615-01-B</v>
      </c>
      <c r="B2729" s="95">
        <v>44523</v>
      </c>
      <c r="C2729" s="97">
        <f t="shared" ca="1" si="867"/>
        <v>-541</v>
      </c>
      <c r="D2729" s="112" t="s">
        <v>2177</v>
      </c>
      <c r="E2729" s="123" t="s">
        <v>2181</v>
      </c>
      <c r="F2729" s="98" t="str">
        <f t="shared" si="884"/>
        <v>B</v>
      </c>
      <c r="G2729" s="110">
        <f ca="1">SUMIF($A:E,$A2729,K:K)</f>
        <v>1</v>
      </c>
      <c r="H2729" s="112" t="s">
        <v>1616</v>
      </c>
      <c r="I2729" s="98">
        <v>72</v>
      </c>
      <c r="J2729" s="115">
        <v>1</v>
      </c>
      <c r="K2729" s="143">
        <f t="shared" si="876"/>
        <v>1</v>
      </c>
      <c r="L2729" s="144">
        <f t="shared" si="888"/>
        <v>0</v>
      </c>
      <c r="M2729" s="275">
        <f t="shared" si="889"/>
        <v>72</v>
      </c>
      <c r="N2729" s="98">
        <v>2</v>
      </c>
      <c r="O2729" s="93">
        <f t="shared" si="886"/>
        <v>100</v>
      </c>
      <c r="LF2729" s="100">
        <v>1</v>
      </c>
      <c r="ON2729" s="100">
        <f t="shared" si="873"/>
        <v>0</v>
      </c>
    </row>
    <row r="2730" spans="1:404" ht="23.25" customHeight="1">
      <c r="A2730" s="97" t="str">
        <f t="shared" si="883"/>
        <v>002/ITIMASIA-VG_SR-2166-02615-02-B</v>
      </c>
      <c r="B2730" s="95">
        <v>44523</v>
      </c>
      <c r="C2730" s="97">
        <f t="shared" ca="1" si="867"/>
        <v>-541</v>
      </c>
      <c r="D2730" s="112" t="s">
        <v>2177</v>
      </c>
      <c r="E2730" s="123" t="s">
        <v>2182</v>
      </c>
      <c r="F2730" s="98" t="str">
        <f t="shared" si="884"/>
        <v>B</v>
      </c>
      <c r="G2730" s="110">
        <f ca="1">SUMIF($A:E,$A2730,K:K)</f>
        <v>1</v>
      </c>
      <c r="H2730" s="112" t="s">
        <v>1616</v>
      </c>
      <c r="I2730" s="98">
        <v>72</v>
      </c>
      <c r="J2730" s="115">
        <v>1</v>
      </c>
      <c r="K2730" s="143">
        <f t="shared" ref="K2730:K2761" si="890">SUM(P2730:BBC2730)</f>
        <v>1</v>
      </c>
      <c r="L2730" s="144">
        <f t="shared" si="888"/>
        <v>0</v>
      </c>
      <c r="M2730" s="275">
        <f t="shared" si="889"/>
        <v>72</v>
      </c>
      <c r="N2730" s="98">
        <v>2</v>
      </c>
      <c r="O2730" s="93">
        <f t="shared" si="886"/>
        <v>100</v>
      </c>
      <c r="LF2730" s="100">
        <v>1</v>
      </c>
      <c r="ON2730" s="100">
        <f t="shared" si="873"/>
        <v>0</v>
      </c>
    </row>
    <row r="2731" spans="1:404" ht="23.25" customHeight="1">
      <c r="A2731" s="97" t="str">
        <f t="shared" si="883"/>
        <v>002/ITIMASIA-VG_SR-2166-02615-03-B</v>
      </c>
      <c r="B2731" s="95">
        <v>44523</v>
      </c>
      <c r="C2731" s="97">
        <f t="shared" ref="C2731:C2782" ca="1" si="891">B2731-TODAY()</f>
        <v>-541</v>
      </c>
      <c r="D2731" s="112" t="s">
        <v>2177</v>
      </c>
      <c r="E2731" s="123" t="s">
        <v>2183</v>
      </c>
      <c r="F2731" s="98" t="str">
        <f t="shared" si="884"/>
        <v>B</v>
      </c>
      <c r="G2731" s="110">
        <f ca="1">SUMIF($A:E,$A2731,K:K)</f>
        <v>1</v>
      </c>
      <c r="H2731" s="112" t="s">
        <v>1616</v>
      </c>
      <c r="I2731" s="98">
        <v>72</v>
      </c>
      <c r="J2731" s="115">
        <v>1</v>
      </c>
      <c r="K2731" s="143">
        <f t="shared" si="890"/>
        <v>1</v>
      </c>
      <c r="L2731" s="144">
        <f t="shared" si="888"/>
        <v>0</v>
      </c>
      <c r="M2731" s="275">
        <f t="shared" si="889"/>
        <v>72</v>
      </c>
      <c r="N2731" s="98">
        <v>2</v>
      </c>
      <c r="O2731" s="93">
        <f t="shared" si="886"/>
        <v>100</v>
      </c>
      <c r="LF2731" s="100">
        <v>1</v>
      </c>
      <c r="ON2731" s="100">
        <f t="shared" si="873"/>
        <v>0</v>
      </c>
    </row>
    <row r="2732" spans="1:404" ht="23.25" customHeight="1">
      <c r="A2732" s="97" t="str">
        <f t="shared" si="883"/>
        <v>002/ITIMASIA-VG_SR-2166-70300-01-B</v>
      </c>
      <c r="B2732" s="95">
        <v>44523</v>
      </c>
      <c r="C2732" s="97">
        <f t="shared" ca="1" si="891"/>
        <v>-541</v>
      </c>
      <c r="D2732" s="112" t="s">
        <v>2177</v>
      </c>
      <c r="E2732" s="123" t="s">
        <v>531</v>
      </c>
      <c r="F2732" s="98" t="str">
        <f t="shared" si="884"/>
        <v>B</v>
      </c>
      <c r="G2732" s="110">
        <f ca="1">SUMIF($A:E,$A2732,K:K)</f>
        <v>1</v>
      </c>
      <c r="H2732" s="112" t="s">
        <v>1616</v>
      </c>
      <c r="I2732" s="98">
        <v>72</v>
      </c>
      <c r="J2732" s="115">
        <v>1</v>
      </c>
      <c r="K2732" s="143">
        <f t="shared" si="890"/>
        <v>1</v>
      </c>
      <c r="L2732" s="144">
        <f t="shared" si="888"/>
        <v>0</v>
      </c>
      <c r="M2732" s="275">
        <f t="shared" si="889"/>
        <v>72</v>
      </c>
      <c r="N2732" s="98">
        <v>2</v>
      </c>
      <c r="O2732" s="93">
        <f t="shared" si="886"/>
        <v>100</v>
      </c>
      <c r="LF2732" s="100">
        <v>1</v>
      </c>
      <c r="ON2732" s="100">
        <f t="shared" si="873"/>
        <v>0</v>
      </c>
    </row>
    <row r="2733" spans="1:404" ht="23.25" customHeight="1">
      <c r="A2733" s="97" t="str">
        <f t="shared" si="883"/>
        <v>002/ITIMASIA-VG_SR-2166-70300-02-B</v>
      </c>
      <c r="B2733" s="95">
        <v>44523</v>
      </c>
      <c r="C2733" s="97">
        <f t="shared" ca="1" si="891"/>
        <v>-541</v>
      </c>
      <c r="D2733" s="112" t="s">
        <v>2177</v>
      </c>
      <c r="E2733" s="123" t="s">
        <v>47</v>
      </c>
      <c r="F2733" s="98" t="str">
        <f t="shared" si="884"/>
        <v>B</v>
      </c>
      <c r="G2733" s="110">
        <f ca="1">SUMIF($A:E,$A2733,K:K)</f>
        <v>1</v>
      </c>
      <c r="H2733" s="112" t="s">
        <v>1616</v>
      </c>
      <c r="I2733" s="98">
        <v>72</v>
      </c>
      <c r="J2733" s="115">
        <v>1</v>
      </c>
      <c r="K2733" s="143">
        <f t="shared" si="890"/>
        <v>1</v>
      </c>
      <c r="L2733" s="144">
        <f t="shared" si="888"/>
        <v>0</v>
      </c>
      <c r="M2733" s="275">
        <f t="shared" si="889"/>
        <v>72</v>
      </c>
      <c r="N2733" s="98">
        <v>2</v>
      </c>
      <c r="O2733" s="93">
        <f t="shared" si="886"/>
        <v>100</v>
      </c>
      <c r="LG2733" s="100">
        <v>1</v>
      </c>
      <c r="ON2733" s="100">
        <f t="shared" si="873"/>
        <v>0</v>
      </c>
    </row>
    <row r="2734" spans="1:404" ht="23.25" customHeight="1">
      <c r="A2734" s="97" t="str">
        <f t="shared" si="883"/>
        <v>002/ITIMASIA-VG_SR-2166-70300-04-B</v>
      </c>
      <c r="B2734" s="95">
        <v>44523</v>
      </c>
      <c r="C2734" s="97">
        <f t="shared" ca="1" si="891"/>
        <v>-541</v>
      </c>
      <c r="D2734" s="112" t="s">
        <v>2177</v>
      </c>
      <c r="E2734" s="123" t="s">
        <v>1452</v>
      </c>
      <c r="F2734" s="98" t="str">
        <f t="shared" si="884"/>
        <v>B</v>
      </c>
      <c r="G2734" s="110">
        <f ca="1">SUMIF($A:E,$A2734,K:K)</f>
        <v>1</v>
      </c>
      <c r="H2734" s="112" t="s">
        <v>1616</v>
      </c>
      <c r="I2734" s="98">
        <v>72</v>
      </c>
      <c r="J2734" s="115">
        <v>1</v>
      </c>
      <c r="K2734" s="143">
        <f t="shared" si="890"/>
        <v>1</v>
      </c>
      <c r="L2734" s="144">
        <f t="shared" si="888"/>
        <v>0</v>
      </c>
      <c r="M2734" s="275">
        <f t="shared" si="889"/>
        <v>72</v>
      </c>
      <c r="N2734" s="98">
        <v>2</v>
      </c>
      <c r="O2734" s="93">
        <f t="shared" si="886"/>
        <v>100</v>
      </c>
      <c r="LF2734" s="100">
        <v>1</v>
      </c>
      <c r="ON2734" s="100">
        <f t="shared" si="873"/>
        <v>0</v>
      </c>
    </row>
    <row r="2735" spans="1:404" ht="23.25" customHeight="1">
      <c r="A2735" s="97" t="str">
        <f t="shared" si="883"/>
        <v>014/NOI DIA-2166-70300-01-B</v>
      </c>
      <c r="B2735" s="95">
        <v>44530</v>
      </c>
      <c r="C2735" s="97">
        <f t="shared" ca="1" si="891"/>
        <v>-534</v>
      </c>
      <c r="D2735" s="112" t="s">
        <v>2184</v>
      </c>
      <c r="E2735" s="123" t="s">
        <v>531</v>
      </c>
      <c r="F2735" s="98" t="str">
        <f t="shared" si="884"/>
        <v>B</v>
      </c>
      <c r="G2735" s="110">
        <f ca="1">SUMIF($A:E,$A2735,K:K)</f>
        <v>2</v>
      </c>
      <c r="H2735" s="112" t="s">
        <v>2185</v>
      </c>
      <c r="I2735" s="98">
        <v>72</v>
      </c>
      <c r="J2735" s="99">
        <v>2</v>
      </c>
      <c r="K2735" s="143">
        <f t="shared" si="890"/>
        <v>2</v>
      </c>
      <c r="L2735" s="144">
        <f t="shared" ref="L2735:L2740" si="892">J2735-K2735</f>
        <v>0</v>
      </c>
      <c r="M2735" s="275">
        <f t="shared" si="889"/>
        <v>72</v>
      </c>
      <c r="N2735" s="98">
        <v>2</v>
      </c>
      <c r="O2735" s="93">
        <f t="shared" si="886"/>
        <v>100</v>
      </c>
      <c r="LF2735" s="100">
        <v>2</v>
      </c>
      <c r="ON2735" s="100">
        <f t="shared" si="873"/>
        <v>0</v>
      </c>
    </row>
    <row r="2736" spans="1:404" ht="23.25" customHeight="1">
      <c r="A2736" s="97" t="str">
        <f t="shared" si="883"/>
        <v>014/NOI DIA-2166-70300-02-B</v>
      </c>
      <c r="B2736" s="95">
        <v>44530</v>
      </c>
      <c r="C2736" s="97">
        <f t="shared" ca="1" si="891"/>
        <v>-534</v>
      </c>
      <c r="D2736" s="112" t="s">
        <v>2184</v>
      </c>
      <c r="E2736" s="123" t="s">
        <v>47</v>
      </c>
      <c r="F2736" s="98" t="str">
        <f t="shared" si="884"/>
        <v>B</v>
      </c>
      <c r="G2736" s="110">
        <f ca="1">SUMIF($A:E,$A2736,K:K)</f>
        <v>2</v>
      </c>
      <c r="H2736" s="112" t="s">
        <v>2185</v>
      </c>
      <c r="I2736" s="98">
        <v>72</v>
      </c>
      <c r="J2736" s="99">
        <v>2</v>
      </c>
      <c r="K2736" s="143">
        <f t="shared" si="890"/>
        <v>2</v>
      </c>
      <c r="L2736" s="144">
        <f t="shared" si="892"/>
        <v>0</v>
      </c>
      <c r="M2736" s="275">
        <f t="shared" si="889"/>
        <v>72</v>
      </c>
      <c r="N2736" s="98">
        <v>2</v>
      </c>
      <c r="O2736" s="93">
        <f t="shared" si="886"/>
        <v>100</v>
      </c>
      <c r="LF2736" s="100">
        <v>2</v>
      </c>
      <c r="ON2736" s="100">
        <f t="shared" si="873"/>
        <v>0</v>
      </c>
    </row>
    <row r="2737" spans="1:404" ht="23.25" customHeight="1">
      <c r="A2737" s="97" t="str">
        <f t="shared" si="883"/>
        <v>014/NOI DIA-2166-70300-03-B</v>
      </c>
      <c r="B2737" s="95">
        <v>44530</v>
      </c>
      <c r="C2737" s="97">
        <f t="shared" ca="1" si="891"/>
        <v>-534</v>
      </c>
      <c r="D2737" s="112" t="s">
        <v>2184</v>
      </c>
      <c r="E2737" s="123" t="s">
        <v>25</v>
      </c>
      <c r="F2737" s="98" t="str">
        <f t="shared" si="884"/>
        <v>B</v>
      </c>
      <c r="G2737" s="110">
        <f ca="1">SUMIF($A:E,$A2737,K:K)</f>
        <v>2</v>
      </c>
      <c r="H2737" s="112" t="s">
        <v>2185</v>
      </c>
      <c r="I2737" s="98">
        <v>2</v>
      </c>
      <c r="J2737" s="99">
        <v>2</v>
      </c>
      <c r="K2737" s="143">
        <f t="shared" si="890"/>
        <v>2</v>
      </c>
      <c r="L2737" s="144">
        <f t="shared" si="892"/>
        <v>0</v>
      </c>
      <c r="M2737" s="275">
        <f t="shared" si="889"/>
        <v>2</v>
      </c>
      <c r="N2737" s="98">
        <v>3</v>
      </c>
      <c r="O2737" s="93">
        <f t="shared" si="886"/>
        <v>100</v>
      </c>
      <c r="LE2737" s="100">
        <v>2</v>
      </c>
      <c r="ON2737" s="100">
        <f t="shared" si="873"/>
        <v>0</v>
      </c>
    </row>
    <row r="2738" spans="1:404" ht="23.25" customHeight="1">
      <c r="A2738" s="97" t="str">
        <f t="shared" si="883"/>
        <v>014/NOI DIA-2166-83200-01-B</v>
      </c>
      <c r="B2738" s="95">
        <v>44530</v>
      </c>
      <c r="C2738" s="97">
        <f t="shared" ca="1" si="891"/>
        <v>-534</v>
      </c>
      <c r="D2738" s="112" t="s">
        <v>2184</v>
      </c>
      <c r="E2738" s="123" t="s">
        <v>901</v>
      </c>
      <c r="F2738" s="98" t="str">
        <f t="shared" si="884"/>
        <v>B</v>
      </c>
      <c r="G2738" s="110">
        <f ca="1">SUMIF($A:E,$A2738,K:K)</f>
        <v>2</v>
      </c>
      <c r="H2738" s="112" t="s">
        <v>2185</v>
      </c>
      <c r="I2738" s="98">
        <v>72</v>
      </c>
      <c r="J2738" s="99">
        <v>2</v>
      </c>
      <c r="K2738" s="143">
        <f t="shared" si="890"/>
        <v>2</v>
      </c>
      <c r="L2738" s="144">
        <f t="shared" si="892"/>
        <v>0</v>
      </c>
      <c r="M2738" s="275">
        <f t="shared" si="889"/>
        <v>72</v>
      </c>
      <c r="N2738" s="98">
        <v>3</v>
      </c>
      <c r="O2738" s="93">
        <f t="shared" si="886"/>
        <v>100</v>
      </c>
      <c r="LE2738" s="100">
        <v>2</v>
      </c>
      <c r="ON2738" s="100">
        <f t="shared" si="873"/>
        <v>0</v>
      </c>
    </row>
    <row r="2739" spans="1:404" ht="23.25" customHeight="1">
      <c r="A2739" s="97" t="str">
        <f t="shared" si="883"/>
        <v>014/NOI DIA-2166-83200-02-B</v>
      </c>
      <c r="B2739" s="95">
        <v>44530</v>
      </c>
      <c r="C2739" s="97">
        <f t="shared" ca="1" si="891"/>
        <v>-534</v>
      </c>
      <c r="D2739" s="112" t="s">
        <v>2184</v>
      </c>
      <c r="E2739" s="123" t="s">
        <v>850</v>
      </c>
      <c r="F2739" s="98" t="str">
        <f t="shared" si="884"/>
        <v>B</v>
      </c>
      <c r="G2739" s="110">
        <f ca="1">SUMIF($A:E,$A2739,K:K)</f>
        <v>2</v>
      </c>
      <c r="H2739" s="112" t="s">
        <v>2185</v>
      </c>
      <c r="I2739" s="98">
        <v>72</v>
      </c>
      <c r="J2739" s="99">
        <v>2</v>
      </c>
      <c r="K2739" s="143">
        <f t="shared" si="890"/>
        <v>2</v>
      </c>
      <c r="L2739" s="144">
        <f t="shared" si="892"/>
        <v>0</v>
      </c>
      <c r="M2739" s="275">
        <f t="shared" si="889"/>
        <v>72</v>
      </c>
      <c r="N2739" s="98">
        <v>3</v>
      </c>
      <c r="O2739" s="93">
        <f t="shared" si="886"/>
        <v>100</v>
      </c>
      <c r="LE2739" s="100">
        <v>2</v>
      </c>
      <c r="ON2739" s="100">
        <f t="shared" si="873"/>
        <v>0</v>
      </c>
    </row>
    <row r="2740" spans="1:404" ht="23.25" customHeight="1">
      <c r="A2740" s="97" t="str">
        <f t="shared" si="883"/>
        <v>014/NOI DIA-2166-88200-01-B</v>
      </c>
      <c r="B2740" s="95">
        <v>44530</v>
      </c>
      <c r="C2740" s="97">
        <f t="shared" ca="1" si="891"/>
        <v>-534</v>
      </c>
      <c r="D2740" s="112" t="s">
        <v>2184</v>
      </c>
      <c r="E2740" s="123" t="s">
        <v>1923</v>
      </c>
      <c r="F2740" s="98" t="str">
        <f t="shared" si="884"/>
        <v>B</v>
      </c>
      <c r="G2740" s="110">
        <f ca="1">SUMIF($A:E,$A2740,K:K)</f>
        <v>2</v>
      </c>
      <c r="H2740" s="112" t="s">
        <v>2185</v>
      </c>
      <c r="I2740" s="98">
        <v>72</v>
      </c>
      <c r="J2740" s="99">
        <v>2</v>
      </c>
      <c r="K2740" s="143">
        <f t="shared" si="890"/>
        <v>2</v>
      </c>
      <c r="L2740" s="144">
        <f t="shared" si="892"/>
        <v>0</v>
      </c>
      <c r="M2740" s="275">
        <f t="shared" si="889"/>
        <v>72</v>
      </c>
      <c r="N2740" s="98">
        <v>3</v>
      </c>
      <c r="O2740" s="93">
        <f t="shared" si="886"/>
        <v>100</v>
      </c>
      <c r="LE2740" s="100">
        <v>2</v>
      </c>
      <c r="ON2740" s="100">
        <f t="shared" si="873"/>
        <v>0</v>
      </c>
    </row>
    <row r="2741" spans="1:404" ht="23.25" customHeight="1">
      <c r="A2741" s="97" t="str">
        <f t="shared" si="883"/>
        <v>309/KHBS-2168-83600-S1-B</v>
      </c>
      <c r="B2741" s="95">
        <v>44515</v>
      </c>
      <c r="C2741" s="97">
        <f t="shared" ca="1" si="891"/>
        <v>-549</v>
      </c>
      <c r="D2741" s="96" t="s">
        <v>2188</v>
      </c>
      <c r="E2741" s="94" t="s">
        <v>1418</v>
      </c>
      <c r="F2741" s="98" t="str">
        <f t="shared" si="884"/>
        <v>B</v>
      </c>
      <c r="G2741" s="110">
        <f ca="1">SUMIF($A:E,$A2741,K:K)</f>
        <v>2</v>
      </c>
      <c r="H2741" s="97" t="s">
        <v>508</v>
      </c>
      <c r="I2741" s="98">
        <v>72</v>
      </c>
      <c r="J2741" s="99">
        <v>2</v>
      </c>
      <c r="K2741" s="143">
        <f t="shared" si="890"/>
        <v>2</v>
      </c>
      <c r="L2741" s="144">
        <f t="shared" ref="L2741" si="893">J2741-K2741</f>
        <v>0</v>
      </c>
      <c r="M2741" s="275">
        <f t="shared" si="889"/>
        <v>72</v>
      </c>
      <c r="N2741" s="98">
        <v>1</v>
      </c>
      <c r="O2741" s="93">
        <f t="shared" si="886"/>
        <v>100</v>
      </c>
      <c r="LB2741" s="100">
        <v>2</v>
      </c>
      <c r="ON2741" s="100">
        <f t="shared" si="873"/>
        <v>0</v>
      </c>
    </row>
    <row r="2742" spans="1:404" ht="23.25" customHeight="1">
      <c r="A2742" s="97" t="str">
        <f t="shared" si="883"/>
        <v>044/POTTERYBARN-VG-2166-83800-02-B</v>
      </c>
      <c r="B2742" s="95">
        <v>44579</v>
      </c>
      <c r="C2742" s="97">
        <f t="shared" ca="1" si="891"/>
        <v>-485</v>
      </c>
      <c r="D2742" s="112" t="s">
        <v>2189</v>
      </c>
      <c r="E2742" s="123" t="s">
        <v>670</v>
      </c>
      <c r="F2742" s="98" t="str">
        <f t="shared" si="884"/>
        <v>B</v>
      </c>
      <c r="G2742" s="110">
        <f ca="1">SUMIF($A:E,$A2742,K:K)</f>
        <v>78</v>
      </c>
      <c r="H2742" s="97" t="s">
        <v>508</v>
      </c>
      <c r="I2742" s="98">
        <v>78</v>
      </c>
      <c r="J2742" s="115">
        <v>78</v>
      </c>
      <c r="K2742" s="143">
        <f t="shared" si="890"/>
        <v>78</v>
      </c>
      <c r="L2742" s="144">
        <f t="shared" ref="L2742:L2758" si="894">J2742-K2742</f>
        <v>0</v>
      </c>
      <c r="M2742" s="275">
        <f t="shared" si="889"/>
        <v>78</v>
      </c>
      <c r="N2742" s="98">
        <v>2</v>
      </c>
      <c r="O2742" s="93">
        <f t="shared" si="886"/>
        <v>100</v>
      </c>
      <c r="MT2742" s="100">
        <v>9</v>
      </c>
      <c r="MU2742" s="100">
        <v>13</v>
      </c>
      <c r="MW2742" s="100">
        <v>14</v>
      </c>
      <c r="MX2742" s="100">
        <v>4</v>
      </c>
      <c r="MY2742" s="100">
        <v>12</v>
      </c>
      <c r="MZ2742" s="100">
        <v>12</v>
      </c>
      <c r="NA2742" s="100">
        <v>12</v>
      </c>
      <c r="NE2742" s="100">
        <v>2</v>
      </c>
      <c r="ON2742" s="100">
        <f t="shared" si="873"/>
        <v>0</v>
      </c>
    </row>
    <row r="2743" spans="1:404" ht="23.25" customHeight="1">
      <c r="A2743" s="97" t="str">
        <f t="shared" ref="A2743:A2775" si="895">D2743&amp;E2743</f>
        <v>044/POTTERYBARN-VG-2166-84016-02-B</v>
      </c>
      <c r="B2743" s="95">
        <v>44579</v>
      </c>
      <c r="C2743" s="97">
        <f t="shared" ca="1" si="891"/>
        <v>-485</v>
      </c>
      <c r="D2743" s="112" t="s">
        <v>2189</v>
      </c>
      <c r="E2743" s="123" t="s">
        <v>1165</v>
      </c>
      <c r="F2743" s="98" t="str">
        <f t="shared" ref="F2743:F2748" si="896">MID(E2743,13,2)</f>
        <v>B</v>
      </c>
      <c r="G2743" s="110">
        <f ca="1">SUMIF($A:E,$A2743,K:K)</f>
        <v>110</v>
      </c>
      <c r="H2743" s="97" t="s">
        <v>508</v>
      </c>
      <c r="I2743" s="98">
        <v>110</v>
      </c>
      <c r="J2743" s="115">
        <v>110</v>
      </c>
      <c r="K2743" s="143">
        <f t="shared" si="890"/>
        <v>110</v>
      </c>
      <c r="L2743" s="144">
        <f t="shared" si="894"/>
        <v>0</v>
      </c>
      <c r="M2743" s="275">
        <f t="shared" si="889"/>
        <v>110</v>
      </c>
      <c r="N2743" s="98">
        <v>1</v>
      </c>
      <c r="O2743" s="93">
        <f t="shared" si="886"/>
        <v>100</v>
      </c>
      <c r="LP2743" s="100">
        <v>8</v>
      </c>
      <c r="LQ2743" s="100">
        <v>4</v>
      </c>
      <c r="LR2743" s="100">
        <v>4</v>
      </c>
      <c r="LS2743" s="100">
        <v>9</v>
      </c>
      <c r="LU2743" s="100">
        <v>9</v>
      </c>
      <c r="LX2743" s="100">
        <v>17</v>
      </c>
      <c r="LY2743" s="100">
        <v>1</v>
      </c>
      <c r="LZ2743" s="100">
        <v>7</v>
      </c>
      <c r="MA2743" s="100">
        <v>4</v>
      </c>
      <c r="MD2743" s="100">
        <v>8</v>
      </c>
      <c r="ME2743" s="100">
        <v>4</v>
      </c>
      <c r="MF2743" s="100">
        <v>4</v>
      </c>
      <c r="MG2743" s="100">
        <v>4</v>
      </c>
      <c r="MH2743" s="100">
        <v>4</v>
      </c>
      <c r="MK2743" s="100">
        <v>11</v>
      </c>
      <c r="ML2743" s="100">
        <v>5</v>
      </c>
      <c r="MM2743" s="100">
        <v>4</v>
      </c>
      <c r="MN2743" s="100">
        <v>3</v>
      </c>
      <c r="ON2743" s="100">
        <f t="shared" si="873"/>
        <v>0</v>
      </c>
    </row>
    <row r="2744" spans="1:404" ht="23.25" customHeight="1">
      <c r="A2744" s="97" t="str">
        <f t="shared" si="895"/>
        <v>044/POTTERYBARN-VG-2166-84016-03-B</v>
      </c>
      <c r="B2744" s="95">
        <v>44579</v>
      </c>
      <c r="C2744" s="97">
        <f t="shared" ca="1" si="891"/>
        <v>-485</v>
      </c>
      <c r="D2744" s="112" t="s">
        <v>2189</v>
      </c>
      <c r="E2744" s="123" t="s">
        <v>1166</v>
      </c>
      <c r="F2744" s="98" t="str">
        <f t="shared" si="896"/>
        <v>B</v>
      </c>
      <c r="G2744" s="110">
        <f ca="1">SUMIF($A:E,$A2744,K:K)</f>
        <v>135</v>
      </c>
      <c r="H2744" s="97" t="s">
        <v>508</v>
      </c>
      <c r="I2744" s="98">
        <v>135</v>
      </c>
      <c r="J2744" s="115">
        <v>135</v>
      </c>
      <c r="K2744" s="143">
        <f t="shared" si="890"/>
        <v>135</v>
      </c>
      <c r="L2744" s="144">
        <f t="shared" si="894"/>
        <v>0</v>
      </c>
      <c r="M2744" s="275">
        <f t="shared" si="889"/>
        <v>135</v>
      </c>
      <c r="N2744" s="98">
        <v>1</v>
      </c>
      <c r="O2744" s="93">
        <f t="shared" si="886"/>
        <v>100</v>
      </c>
      <c r="LP2744" s="100">
        <v>8</v>
      </c>
      <c r="LQ2744" s="100">
        <v>5</v>
      </c>
      <c r="LR2744" s="100">
        <v>7</v>
      </c>
      <c r="LS2744" s="100">
        <v>7</v>
      </c>
      <c r="LU2744" s="100">
        <v>15</v>
      </c>
      <c r="LW2744" s="100">
        <v>6</v>
      </c>
      <c r="LX2744" s="100">
        <v>20</v>
      </c>
      <c r="LY2744" s="100">
        <v>6</v>
      </c>
      <c r="LZ2744" s="100">
        <v>6</v>
      </c>
      <c r="MA2744" s="100">
        <v>6</v>
      </c>
      <c r="MD2744" s="100">
        <v>10</v>
      </c>
      <c r="ME2744" s="100">
        <v>7</v>
      </c>
      <c r="MF2744" s="100">
        <v>6</v>
      </c>
      <c r="MG2744" s="100">
        <v>7</v>
      </c>
      <c r="MH2744" s="100">
        <v>6</v>
      </c>
      <c r="ML2744" s="100">
        <v>13</v>
      </c>
      <c r="ON2744" s="100">
        <f t="shared" si="873"/>
        <v>0</v>
      </c>
    </row>
    <row r="2745" spans="1:404" ht="23.25" customHeight="1">
      <c r="A2745" s="97" t="str">
        <f t="shared" si="895"/>
        <v>045/POTTERYBARN-VG-2166-83800-02-B</v>
      </c>
      <c r="B2745" s="95">
        <v>44548</v>
      </c>
      <c r="C2745" s="97">
        <f t="shared" ca="1" si="891"/>
        <v>-516</v>
      </c>
      <c r="D2745" s="112" t="s">
        <v>2190</v>
      </c>
      <c r="E2745" s="123" t="s">
        <v>670</v>
      </c>
      <c r="F2745" s="98" t="str">
        <f t="shared" si="896"/>
        <v>B</v>
      </c>
      <c r="G2745" s="110">
        <f ca="1">SUMIF($A:E,$A2745,K:K)</f>
        <v>114</v>
      </c>
      <c r="H2745" s="97" t="s">
        <v>508</v>
      </c>
      <c r="I2745" s="98">
        <v>72</v>
      </c>
      <c r="J2745" s="115">
        <v>114</v>
      </c>
      <c r="K2745" s="143">
        <f t="shared" si="890"/>
        <v>114</v>
      </c>
      <c r="L2745" s="144">
        <f t="shared" si="894"/>
        <v>0</v>
      </c>
      <c r="M2745" s="275">
        <f t="shared" si="889"/>
        <v>72</v>
      </c>
      <c r="N2745" s="98">
        <v>2</v>
      </c>
      <c r="O2745" s="93">
        <f t="shared" si="886"/>
        <v>100</v>
      </c>
      <c r="LQ2745" s="100">
        <v>18</v>
      </c>
      <c r="LR2745" s="100">
        <v>4</v>
      </c>
      <c r="LS2745" s="100">
        <v>6</v>
      </c>
      <c r="LT2745" s="100">
        <v>5</v>
      </c>
      <c r="LU2745" s="100">
        <v>5</v>
      </c>
      <c r="LX2745" s="100">
        <v>12</v>
      </c>
      <c r="LY2745" s="100">
        <v>12</v>
      </c>
      <c r="LZ2745" s="100">
        <v>12</v>
      </c>
      <c r="MA2745" s="100">
        <v>12</v>
      </c>
      <c r="MB2745" s="100">
        <v>13</v>
      </c>
      <c r="MD2745" s="100">
        <v>12</v>
      </c>
      <c r="ME2745" s="100">
        <v>3</v>
      </c>
      <c r="ON2745" s="100">
        <f t="shared" si="873"/>
        <v>0</v>
      </c>
    </row>
    <row r="2746" spans="1:404" ht="23.25" customHeight="1">
      <c r="A2746" s="97" t="str">
        <f t="shared" si="895"/>
        <v>045/POTTERYBARN-VG-2166-84016-02-B</v>
      </c>
      <c r="B2746" s="95">
        <v>44548</v>
      </c>
      <c r="C2746" s="97">
        <f t="shared" ca="1" si="891"/>
        <v>-516</v>
      </c>
      <c r="D2746" s="112" t="s">
        <v>2190</v>
      </c>
      <c r="E2746" s="123" t="s">
        <v>1165</v>
      </c>
      <c r="F2746" s="98" t="str">
        <f t="shared" si="896"/>
        <v>B</v>
      </c>
      <c r="G2746" s="110">
        <f ca="1">SUMIF($A:E,$A2746,K:K)</f>
        <v>164</v>
      </c>
      <c r="H2746" s="97" t="s">
        <v>508</v>
      </c>
      <c r="I2746" s="98">
        <v>72</v>
      </c>
      <c r="J2746" s="115">
        <v>164</v>
      </c>
      <c r="K2746" s="143">
        <f t="shared" si="890"/>
        <v>164</v>
      </c>
      <c r="L2746" s="144">
        <f t="shared" ref="L2746:L2747" si="897">J2746-K2746</f>
        <v>0</v>
      </c>
      <c r="M2746" s="275">
        <f t="shared" si="889"/>
        <v>72</v>
      </c>
      <c r="N2746" s="98">
        <v>2</v>
      </c>
      <c r="O2746" s="93">
        <f t="shared" si="886"/>
        <v>100</v>
      </c>
      <c r="LG2746" s="100">
        <v>2</v>
      </c>
      <c r="LI2746" s="100">
        <v>16</v>
      </c>
      <c r="LJ2746" s="100">
        <v>9</v>
      </c>
      <c r="LK2746" s="100">
        <v>4</v>
      </c>
      <c r="LL2746" s="100">
        <v>5</v>
      </c>
      <c r="LN2746" s="100">
        <v>7</v>
      </c>
      <c r="LP2746" s="100">
        <v>5</v>
      </c>
      <c r="LQ2746" s="100">
        <v>22</v>
      </c>
      <c r="LR2746" s="100">
        <v>5</v>
      </c>
      <c r="LS2746" s="100">
        <v>13</v>
      </c>
      <c r="LT2746" s="100">
        <v>6</v>
      </c>
      <c r="LU2746" s="100">
        <v>16</v>
      </c>
      <c r="LW2746" s="100">
        <v>6</v>
      </c>
      <c r="LX2746" s="100">
        <v>25</v>
      </c>
      <c r="LY2746" s="100">
        <v>6</v>
      </c>
      <c r="LZ2746" s="100">
        <v>6</v>
      </c>
      <c r="MA2746" s="100">
        <v>6</v>
      </c>
      <c r="MD2746" s="100">
        <v>5</v>
      </c>
      <c r="ON2746" s="100">
        <f t="shared" si="873"/>
        <v>0</v>
      </c>
    </row>
    <row r="2747" spans="1:404" ht="23.25" customHeight="1">
      <c r="A2747" s="97" t="str">
        <f t="shared" si="895"/>
        <v>045/POTTERYBARN-VG-2166-84016-03-B</v>
      </c>
      <c r="B2747" s="95">
        <v>44548</v>
      </c>
      <c r="C2747" s="97">
        <f t="shared" ca="1" si="891"/>
        <v>-516</v>
      </c>
      <c r="D2747" s="112" t="s">
        <v>2190</v>
      </c>
      <c r="E2747" s="123" t="s">
        <v>1166</v>
      </c>
      <c r="F2747" s="132" t="str">
        <f t="shared" si="896"/>
        <v>B</v>
      </c>
      <c r="G2747" s="130">
        <f ca="1">SUMIF($A:E,$A2747,K:K)</f>
        <v>210</v>
      </c>
      <c r="H2747" s="97" t="s">
        <v>508</v>
      </c>
      <c r="I2747" s="98">
        <v>210</v>
      </c>
      <c r="J2747" s="115">
        <v>210</v>
      </c>
      <c r="K2747" s="143">
        <f t="shared" si="890"/>
        <v>210</v>
      </c>
      <c r="L2747" s="144">
        <f t="shared" si="897"/>
        <v>0</v>
      </c>
      <c r="M2747" s="275">
        <f t="shared" si="889"/>
        <v>210</v>
      </c>
      <c r="N2747" s="98">
        <v>2</v>
      </c>
      <c r="O2747" s="93">
        <f t="shared" si="886"/>
        <v>100</v>
      </c>
      <c r="LG2747" s="100">
        <v>7</v>
      </c>
      <c r="LI2747" s="100">
        <v>24</v>
      </c>
      <c r="LJ2747" s="100">
        <v>7</v>
      </c>
      <c r="LK2747" s="100">
        <v>6</v>
      </c>
      <c r="LL2747" s="100">
        <v>5</v>
      </c>
      <c r="LN2747" s="100">
        <v>2</v>
      </c>
      <c r="LP2747" s="100">
        <v>14</v>
      </c>
      <c r="LQ2747" s="100">
        <v>14</v>
      </c>
      <c r="LR2747" s="100">
        <v>5</v>
      </c>
      <c r="LS2747" s="100">
        <v>10</v>
      </c>
      <c r="LT2747" s="100">
        <v>6</v>
      </c>
      <c r="LU2747" s="100">
        <v>17</v>
      </c>
      <c r="LW2747" s="100">
        <v>1</v>
      </c>
      <c r="LX2747" s="100">
        <v>21</v>
      </c>
      <c r="LY2747" s="100">
        <v>6</v>
      </c>
      <c r="LZ2747" s="100">
        <v>6</v>
      </c>
      <c r="MA2747" s="100">
        <v>6</v>
      </c>
      <c r="MD2747" s="100">
        <v>6</v>
      </c>
      <c r="ME2747" s="100">
        <v>1</v>
      </c>
      <c r="MF2747" s="100">
        <v>15</v>
      </c>
      <c r="MG2747" s="100">
        <v>6</v>
      </c>
      <c r="MH2747" s="100">
        <v>6</v>
      </c>
      <c r="MK2747" s="100">
        <v>6</v>
      </c>
      <c r="ML2747" s="100">
        <v>11</v>
      </c>
      <c r="MM2747" s="100">
        <v>2</v>
      </c>
      <c r="ON2747" s="100">
        <f t="shared" si="873"/>
        <v>0</v>
      </c>
    </row>
    <row r="2748" spans="1:404" ht="23.25" customHeight="1">
      <c r="A2748" s="97" t="str">
        <f t="shared" si="895"/>
        <v>047/POTTERYBARN-VG-2166-83800-02-B</v>
      </c>
      <c r="B2748" s="95">
        <v>44579</v>
      </c>
      <c r="C2748" s="97">
        <f t="shared" ca="1" si="891"/>
        <v>-485</v>
      </c>
      <c r="D2748" s="112" t="s">
        <v>2191</v>
      </c>
      <c r="E2748" s="123" t="s">
        <v>670</v>
      </c>
      <c r="F2748" s="132" t="str">
        <f t="shared" si="896"/>
        <v>B</v>
      </c>
      <c r="G2748" s="130">
        <f ca="1">SUMIF($A:E,$A2748,K:K)</f>
        <v>78</v>
      </c>
      <c r="H2748" s="97" t="s">
        <v>508</v>
      </c>
      <c r="I2748" s="98">
        <v>78</v>
      </c>
      <c r="J2748" s="115">
        <v>78</v>
      </c>
      <c r="K2748" s="143">
        <f t="shared" si="890"/>
        <v>78</v>
      </c>
      <c r="L2748" s="144">
        <f t="shared" si="894"/>
        <v>0</v>
      </c>
      <c r="M2748" s="275">
        <f t="shared" si="889"/>
        <v>78</v>
      </c>
      <c r="N2748" s="98">
        <v>2</v>
      </c>
      <c r="O2748" s="93">
        <f t="shared" si="886"/>
        <v>100</v>
      </c>
      <c r="ME2748" s="100">
        <v>3</v>
      </c>
      <c r="MF2748" s="100">
        <v>12</v>
      </c>
      <c r="MG2748" s="100">
        <v>12</v>
      </c>
      <c r="MH2748" s="100">
        <v>12</v>
      </c>
      <c r="MK2748" s="100">
        <v>12</v>
      </c>
      <c r="ML2748" s="100">
        <v>12</v>
      </c>
      <c r="MM2748" s="100">
        <v>10</v>
      </c>
      <c r="MN2748" s="100">
        <v>5</v>
      </c>
      <c r="ON2748" s="100">
        <f t="shared" si="873"/>
        <v>0</v>
      </c>
    </row>
    <row r="2749" spans="1:404" ht="23.25" customHeight="1">
      <c r="A2749" s="97" t="str">
        <f t="shared" si="895"/>
        <v>047/POTTERYBARN-VG-2166-84016-02-B</v>
      </c>
      <c r="B2749" s="95">
        <v>44579</v>
      </c>
      <c r="C2749" s="97">
        <f t="shared" ca="1" si="891"/>
        <v>-485</v>
      </c>
      <c r="D2749" s="112" t="s">
        <v>2191</v>
      </c>
      <c r="E2749" s="123" t="s">
        <v>1165</v>
      </c>
      <c r="F2749" s="98" t="str">
        <f t="shared" ref="F2749:F2750" si="898">MID(E2749,13,2)</f>
        <v>B</v>
      </c>
      <c r="G2749" s="110">
        <f ca="1">SUMIF($A:E,$A2749,K:K)</f>
        <v>118</v>
      </c>
      <c r="H2749" s="97" t="s">
        <v>508</v>
      </c>
      <c r="I2749" s="98">
        <v>118</v>
      </c>
      <c r="J2749" s="115">
        <v>118</v>
      </c>
      <c r="K2749" s="143">
        <f t="shared" si="890"/>
        <v>118</v>
      </c>
      <c r="L2749" s="144">
        <f t="shared" si="894"/>
        <v>0</v>
      </c>
      <c r="M2749" s="275">
        <f t="shared" si="889"/>
        <v>118</v>
      </c>
      <c r="N2749" s="98">
        <v>1</v>
      </c>
      <c r="O2749" s="93">
        <f t="shared" si="886"/>
        <v>100</v>
      </c>
      <c r="MN2749" s="100">
        <v>1</v>
      </c>
      <c r="MO2749" s="100">
        <v>11</v>
      </c>
      <c r="MP2749" s="100">
        <v>4</v>
      </c>
      <c r="MQ2749" s="100">
        <v>3</v>
      </c>
      <c r="MS2749" s="100">
        <v>6</v>
      </c>
      <c r="MT2749" s="100">
        <v>8</v>
      </c>
      <c r="MU2749" s="100">
        <v>7</v>
      </c>
      <c r="MX2749" s="100">
        <v>13</v>
      </c>
      <c r="MY2749" s="100">
        <v>4</v>
      </c>
      <c r="MZ2749" s="100">
        <v>4</v>
      </c>
      <c r="ND2749" s="100">
        <v>15</v>
      </c>
      <c r="NE2749" s="100">
        <v>8</v>
      </c>
      <c r="NF2749" s="100">
        <v>6</v>
      </c>
      <c r="NG2749" s="100">
        <v>6</v>
      </c>
      <c r="NI2749" s="100">
        <v>22</v>
      </c>
      <c r="ON2749" s="100">
        <f t="shared" si="873"/>
        <v>0</v>
      </c>
    </row>
    <row r="2750" spans="1:404" ht="23.25" customHeight="1">
      <c r="A2750" s="97" t="str">
        <f t="shared" si="895"/>
        <v>047/POTTERYBARN-VG-2166-84016-03-B</v>
      </c>
      <c r="B2750" s="95">
        <v>44579</v>
      </c>
      <c r="C2750" s="97">
        <f t="shared" ca="1" si="891"/>
        <v>-485</v>
      </c>
      <c r="D2750" s="112" t="s">
        <v>2191</v>
      </c>
      <c r="E2750" s="123" t="s">
        <v>1166</v>
      </c>
      <c r="F2750" s="98" t="str">
        <f t="shared" si="898"/>
        <v>B</v>
      </c>
      <c r="G2750" s="110">
        <f ca="1">SUMIF($A:E,$A2750,K:K)</f>
        <v>144</v>
      </c>
      <c r="H2750" s="97" t="s">
        <v>508</v>
      </c>
      <c r="I2750" s="98">
        <v>144</v>
      </c>
      <c r="J2750" s="115">
        <v>144</v>
      </c>
      <c r="K2750" s="143">
        <f t="shared" si="890"/>
        <v>144</v>
      </c>
      <c r="L2750" s="144">
        <f t="shared" si="894"/>
        <v>0</v>
      </c>
      <c r="M2750" s="275">
        <f t="shared" si="889"/>
        <v>144</v>
      </c>
      <c r="N2750" s="98">
        <v>1</v>
      </c>
      <c r="O2750" s="93">
        <f t="shared" si="886"/>
        <v>100</v>
      </c>
      <c r="ML2750" s="100">
        <v>4</v>
      </c>
      <c r="MM2750" s="100">
        <v>14</v>
      </c>
      <c r="MN2750" s="100">
        <v>11</v>
      </c>
      <c r="MO2750" s="100">
        <v>10</v>
      </c>
      <c r="MP2750" s="100">
        <v>6</v>
      </c>
      <c r="MQ2750" s="100">
        <v>7</v>
      </c>
      <c r="MS2750" s="100">
        <v>2</v>
      </c>
      <c r="MT2750" s="100">
        <v>18</v>
      </c>
      <c r="MW2750" s="100">
        <v>6</v>
      </c>
      <c r="MX2750" s="100">
        <v>12</v>
      </c>
      <c r="MY2750" s="100">
        <v>7</v>
      </c>
      <c r="MZ2750" s="100">
        <v>6</v>
      </c>
      <c r="ND2750" s="100">
        <v>12</v>
      </c>
      <c r="NE2750" s="100">
        <v>12</v>
      </c>
      <c r="NF2750" s="100">
        <v>7</v>
      </c>
      <c r="NG2750" s="100">
        <v>8</v>
      </c>
      <c r="NI2750" s="100">
        <v>2</v>
      </c>
      <c r="ON2750" s="100">
        <f t="shared" si="873"/>
        <v>0</v>
      </c>
    </row>
    <row r="2751" spans="1:404" ht="23.25" customHeight="1">
      <c r="A2751" s="97" t="str">
        <f t="shared" si="895"/>
        <v>048/POTTERYBARN-VG-2166-83800-02-B</v>
      </c>
      <c r="B2751" s="95">
        <v>44579</v>
      </c>
      <c r="C2751" s="97">
        <f t="shared" ca="1" si="891"/>
        <v>-485</v>
      </c>
      <c r="D2751" s="112" t="s">
        <v>2192</v>
      </c>
      <c r="E2751" s="123" t="s">
        <v>670</v>
      </c>
      <c r="F2751" s="98" t="str">
        <f t="shared" ref="F2751:F2769" si="899">MID(E2751,13,2)</f>
        <v>B</v>
      </c>
      <c r="G2751" s="110">
        <f ca="1">SUMIF($A:E,$A2751,K:K)</f>
        <v>122</v>
      </c>
      <c r="H2751" s="97" t="s">
        <v>508</v>
      </c>
      <c r="I2751" s="98">
        <v>110</v>
      </c>
      <c r="J2751" s="115">
        <v>110</v>
      </c>
      <c r="K2751" s="143">
        <f t="shared" si="890"/>
        <v>122</v>
      </c>
      <c r="L2751" s="144">
        <f t="shared" si="894"/>
        <v>-12</v>
      </c>
      <c r="M2751" s="275">
        <f t="shared" si="889"/>
        <v>110</v>
      </c>
      <c r="N2751" s="98">
        <v>2</v>
      </c>
      <c r="O2751" s="93">
        <f t="shared" si="886"/>
        <v>110.90909090909091</v>
      </c>
      <c r="NE2751" s="100">
        <v>20</v>
      </c>
      <c r="NG2751" s="100">
        <v>21</v>
      </c>
      <c r="NI2751" s="100">
        <v>13</v>
      </c>
      <c r="NL2751" s="100">
        <v>18</v>
      </c>
      <c r="NM2751" s="100">
        <v>9</v>
      </c>
      <c r="NN2751" s="100">
        <v>17</v>
      </c>
      <c r="NS2751" s="100">
        <v>10</v>
      </c>
      <c r="NV2751" s="100">
        <v>2</v>
      </c>
      <c r="ON2751" s="100">
        <f t="shared" si="873"/>
        <v>12</v>
      </c>
    </row>
    <row r="2752" spans="1:404" ht="23.25" customHeight="1">
      <c r="A2752" s="97" t="str">
        <f t="shared" si="895"/>
        <v>048/POTTERYBARN-VG-2166-84016-02-B</v>
      </c>
      <c r="B2752" s="95">
        <v>44579</v>
      </c>
      <c r="C2752" s="97">
        <f t="shared" ca="1" si="891"/>
        <v>-485</v>
      </c>
      <c r="D2752" s="112" t="s">
        <v>2192</v>
      </c>
      <c r="E2752" s="123" t="s">
        <v>1165</v>
      </c>
      <c r="F2752" s="132" t="str">
        <f t="shared" si="899"/>
        <v>B</v>
      </c>
      <c r="G2752" s="130">
        <f ca="1">SUMIF($A:E,$A2752,K:K)</f>
        <v>166</v>
      </c>
      <c r="H2752" s="97" t="s">
        <v>508</v>
      </c>
      <c r="I2752" s="98">
        <v>166</v>
      </c>
      <c r="J2752" s="115">
        <v>166</v>
      </c>
      <c r="K2752" s="143">
        <f t="shared" si="890"/>
        <v>166</v>
      </c>
      <c r="L2752" s="144">
        <f t="shared" si="894"/>
        <v>0</v>
      </c>
      <c r="M2752" s="275">
        <f t="shared" si="889"/>
        <v>166</v>
      </c>
      <c r="N2752" s="98">
        <v>2</v>
      </c>
      <c r="O2752" s="93">
        <f t="shared" si="886"/>
        <v>100</v>
      </c>
      <c r="LT2752" s="100">
        <v>6</v>
      </c>
      <c r="MB2752" s="100">
        <v>6</v>
      </c>
      <c r="MD2752" s="100">
        <v>1</v>
      </c>
      <c r="ME2752" s="100">
        <v>1</v>
      </c>
      <c r="MF2752" s="100">
        <v>18</v>
      </c>
      <c r="MG2752" s="100">
        <v>6</v>
      </c>
      <c r="MH2752" s="100">
        <v>5</v>
      </c>
      <c r="MK2752" s="100">
        <v>13</v>
      </c>
      <c r="ML2752" s="100">
        <v>10</v>
      </c>
      <c r="MM2752" s="100">
        <v>6</v>
      </c>
      <c r="MN2752" s="100">
        <v>13</v>
      </c>
      <c r="MO2752" s="100">
        <v>19</v>
      </c>
      <c r="MU2752" s="100">
        <v>6</v>
      </c>
      <c r="MW2752" s="100">
        <v>9</v>
      </c>
      <c r="MX2752" s="100">
        <v>3</v>
      </c>
      <c r="MY2752" s="100">
        <v>12</v>
      </c>
      <c r="MZ2752" s="100">
        <v>12</v>
      </c>
      <c r="NA2752" s="100">
        <v>6</v>
      </c>
      <c r="NE2752" s="100">
        <v>5</v>
      </c>
      <c r="NF2752" s="100">
        <v>7</v>
      </c>
      <c r="NG2752" s="100">
        <v>2</v>
      </c>
      <c r="ON2752" s="100">
        <f t="shared" si="873"/>
        <v>0</v>
      </c>
    </row>
    <row r="2753" spans="1:404" ht="23.25" customHeight="1">
      <c r="A2753" s="97" t="str">
        <f t="shared" si="895"/>
        <v>048/POTTERYBARN-VG-2166-84016-03-B</v>
      </c>
      <c r="B2753" s="95">
        <v>44579</v>
      </c>
      <c r="C2753" s="97">
        <f t="shared" ca="1" si="891"/>
        <v>-485</v>
      </c>
      <c r="D2753" s="112" t="s">
        <v>2192</v>
      </c>
      <c r="E2753" s="123" t="s">
        <v>1166</v>
      </c>
      <c r="F2753" s="98" t="str">
        <f t="shared" si="899"/>
        <v>B</v>
      </c>
      <c r="G2753" s="110">
        <f ca="1">SUMIF($A:E,$A2753,K:K)</f>
        <v>202</v>
      </c>
      <c r="H2753" s="97" t="s">
        <v>508</v>
      </c>
      <c r="I2753" s="98">
        <v>202</v>
      </c>
      <c r="J2753" s="115">
        <v>202</v>
      </c>
      <c r="K2753" s="143">
        <f t="shared" si="890"/>
        <v>202</v>
      </c>
      <c r="L2753" s="144">
        <f t="shared" si="894"/>
        <v>0</v>
      </c>
      <c r="M2753" s="275">
        <f t="shared" si="889"/>
        <v>202</v>
      </c>
      <c r="N2753" s="98">
        <v>2</v>
      </c>
      <c r="O2753" s="93">
        <f t="shared" si="886"/>
        <v>100</v>
      </c>
      <c r="MB2753" s="100">
        <v>6</v>
      </c>
      <c r="ME2753" s="100">
        <v>3</v>
      </c>
      <c r="MM2753" s="100">
        <v>5</v>
      </c>
      <c r="MN2753" s="100">
        <v>13</v>
      </c>
      <c r="MO2753" s="100">
        <v>10</v>
      </c>
      <c r="MU2753" s="100">
        <v>13</v>
      </c>
      <c r="MW2753" s="100">
        <v>6</v>
      </c>
      <c r="MY2753" s="100">
        <v>10</v>
      </c>
      <c r="MZ2753" s="100">
        <v>16</v>
      </c>
      <c r="NA2753" s="100">
        <v>10</v>
      </c>
      <c r="ND2753" s="100">
        <v>12</v>
      </c>
      <c r="NE2753" s="100">
        <v>11</v>
      </c>
      <c r="NF2753" s="100">
        <v>8</v>
      </c>
      <c r="NG2753" s="100">
        <v>15</v>
      </c>
      <c r="NI2753" s="100">
        <v>30</v>
      </c>
      <c r="NK2753" s="100">
        <v>34</v>
      </c>
      <c r="ON2753" s="100">
        <f t="shared" si="873"/>
        <v>0</v>
      </c>
    </row>
    <row r="2754" spans="1:404" ht="23.25" customHeight="1">
      <c r="A2754" s="97" t="str">
        <f t="shared" si="895"/>
        <v>002/HACA-HK-VG_SR-2166-01722-S4-B</v>
      </c>
      <c r="B2754" s="95">
        <v>44676</v>
      </c>
      <c r="C2754" s="97">
        <f t="shared" ca="1" si="891"/>
        <v>-388</v>
      </c>
      <c r="D2754" s="112" t="s">
        <v>2193</v>
      </c>
      <c r="E2754" s="123" t="s">
        <v>1242</v>
      </c>
      <c r="F2754" s="98" t="str">
        <f t="shared" si="899"/>
        <v>B</v>
      </c>
      <c r="G2754" s="110">
        <f ca="1">SUMIF($A:E,$A2754,K:K)</f>
        <v>0</v>
      </c>
      <c r="H2754" s="112" t="s">
        <v>2194</v>
      </c>
      <c r="I2754" s="98">
        <v>3</v>
      </c>
      <c r="J2754" s="99">
        <v>3</v>
      </c>
      <c r="K2754" s="143">
        <f t="shared" si="890"/>
        <v>0</v>
      </c>
      <c r="L2754" s="144">
        <f t="shared" si="894"/>
        <v>3</v>
      </c>
      <c r="M2754" s="275">
        <f t="shared" si="889"/>
        <v>12</v>
      </c>
      <c r="N2754" s="98"/>
      <c r="O2754" s="93">
        <f t="shared" si="886"/>
        <v>0</v>
      </c>
      <c r="ON2754" s="100">
        <f t="shared" si="873"/>
        <v>0</v>
      </c>
    </row>
    <row r="2755" spans="1:404" ht="23.25" customHeight="1">
      <c r="A2755" s="97" t="str">
        <f t="shared" si="895"/>
        <v>002/HACA-HK-VG_SR-2166-06422-S3-B</v>
      </c>
      <c r="B2755" s="95">
        <v>44676</v>
      </c>
      <c r="C2755" s="97">
        <f t="shared" ca="1" si="891"/>
        <v>-388</v>
      </c>
      <c r="D2755" s="112" t="s">
        <v>2193</v>
      </c>
      <c r="E2755" s="123" t="s">
        <v>1171</v>
      </c>
      <c r="F2755" s="98" t="str">
        <f t="shared" si="899"/>
        <v>B</v>
      </c>
      <c r="G2755" s="110">
        <f ca="1">SUMIF($A:E,$A2755,K:K)</f>
        <v>0</v>
      </c>
      <c r="H2755" s="112" t="s">
        <v>2194</v>
      </c>
      <c r="I2755" s="98">
        <v>3</v>
      </c>
      <c r="J2755" s="99">
        <v>3</v>
      </c>
      <c r="K2755" s="143">
        <f t="shared" si="890"/>
        <v>0</v>
      </c>
      <c r="L2755" s="144">
        <f t="shared" si="894"/>
        <v>3</v>
      </c>
      <c r="M2755" s="275">
        <f t="shared" si="889"/>
        <v>9</v>
      </c>
      <c r="N2755" s="98"/>
      <c r="O2755" s="93">
        <f t="shared" si="886"/>
        <v>0</v>
      </c>
      <c r="ON2755" s="100">
        <f t="shared" si="873"/>
        <v>0</v>
      </c>
    </row>
    <row r="2756" spans="1:404" ht="23.25" customHeight="1">
      <c r="A2756" s="97" t="str">
        <f t="shared" si="895"/>
        <v>002/HACA-HK-VG_SR-2166-06722-S2-B</v>
      </c>
      <c r="B2756" s="95">
        <v>44676</v>
      </c>
      <c r="C2756" s="97">
        <f t="shared" ca="1" si="891"/>
        <v>-388</v>
      </c>
      <c r="D2756" s="112" t="s">
        <v>2193</v>
      </c>
      <c r="E2756" s="123" t="s">
        <v>1623</v>
      </c>
      <c r="F2756" s="98" t="str">
        <f t="shared" si="899"/>
        <v>B</v>
      </c>
      <c r="G2756" s="110">
        <f ca="1">SUMIF($A:E,$A2756,K:K)</f>
        <v>0</v>
      </c>
      <c r="H2756" s="112" t="s">
        <v>2194</v>
      </c>
      <c r="I2756" s="98">
        <v>3</v>
      </c>
      <c r="J2756" s="99">
        <v>3</v>
      </c>
      <c r="K2756" s="143">
        <f t="shared" si="890"/>
        <v>0</v>
      </c>
      <c r="L2756" s="144">
        <f t="shared" si="894"/>
        <v>3</v>
      </c>
      <c r="M2756" s="275">
        <f t="shared" si="889"/>
        <v>6</v>
      </c>
      <c r="N2756" s="98"/>
      <c r="O2756" s="93">
        <f t="shared" si="886"/>
        <v>0</v>
      </c>
      <c r="ON2756" s="100">
        <f t="shared" ref="ON2756:ON2819" si="900">SUM(NS2756:OM2756)</f>
        <v>0</v>
      </c>
    </row>
    <row r="2757" spans="1:404" ht="23.25" customHeight="1">
      <c r="A2757" s="97" t="str">
        <f t="shared" si="895"/>
        <v>002/HACA-HK-VG_SR-2166-12522-B2-B</v>
      </c>
      <c r="B2757" s="95">
        <v>44676</v>
      </c>
      <c r="C2757" s="97">
        <f t="shared" ca="1" si="891"/>
        <v>-388</v>
      </c>
      <c r="D2757" s="112" t="s">
        <v>2193</v>
      </c>
      <c r="E2757" s="123" t="s">
        <v>632</v>
      </c>
      <c r="F2757" s="98" t="str">
        <f t="shared" si="899"/>
        <v>B</v>
      </c>
      <c r="G2757" s="110">
        <f ca="1">SUMIF($A:E,$A2757,K:K)</f>
        <v>6</v>
      </c>
      <c r="H2757" s="112" t="s">
        <v>2194</v>
      </c>
      <c r="I2757" s="98">
        <v>3</v>
      </c>
      <c r="J2757" s="99">
        <v>3</v>
      </c>
      <c r="K2757" s="143">
        <f t="shared" si="890"/>
        <v>6</v>
      </c>
      <c r="L2757" s="144">
        <f t="shared" si="894"/>
        <v>-3</v>
      </c>
      <c r="M2757" s="275">
        <f t="shared" si="889"/>
        <v>6</v>
      </c>
      <c r="N2757" s="98">
        <v>2</v>
      </c>
      <c r="O2757" s="93">
        <f t="shared" si="886"/>
        <v>200</v>
      </c>
      <c r="OH2757" s="100">
        <v>3</v>
      </c>
      <c r="ON2757" s="100">
        <f t="shared" si="900"/>
        <v>3</v>
      </c>
    </row>
    <row r="2758" spans="1:404" ht="23.25" customHeight="1">
      <c r="A2758" s="97" t="str">
        <f t="shared" si="895"/>
        <v>002/HACA-HK-VG_SR-2166-70322-B3-B</v>
      </c>
      <c r="B2758" s="95">
        <v>44676</v>
      </c>
      <c r="C2758" s="97">
        <f t="shared" ca="1" si="891"/>
        <v>-388</v>
      </c>
      <c r="D2758" s="112" t="s">
        <v>2193</v>
      </c>
      <c r="E2758" s="123" t="s">
        <v>1075</v>
      </c>
      <c r="F2758" s="98" t="str">
        <f t="shared" si="899"/>
        <v>B</v>
      </c>
      <c r="G2758" s="110">
        <f ca="1">SUMIF($A:E,$A2758,K:K)</f>
        <v>6</v>
      </c>
      <c r="H2758" s="112" t="s">
        <v>2194</v>
      </c>
      <c r="I2758" s="98">
        <v>3</v>
      </c>
      <c r="J2758" s="99">
        <v>3</v>
      </c>
      <c r="K2758" s="143">
        <f t="shared" si="890"/>
        <v>6</v>
      </c>
      <c r="L2758" s="144">
        <f t="shared" si="894"/>
        <v>-3</v>
      </c>
      <c r="M2758" s="275">
        <f t="shared" si="889"/>
        <v>9</v>
      </c>
      <c r="N2758" s="98">
        <v>4</v>
      </c>
      <c r="O2758" s="93">
        <f t="shared" si="886"/>
        <v>200</v>
      </c>
      <c r="OC2758" s="100">
        <v>3</v>
      </c>
      <c r="ON2758" s="100">
        <f t="shared" si="900"/>
        <v>3</v>
      </c>
    </row>
    <row r="2759" spans="1:404" ht="23.25" customHeight="1">
      <c r="A2759" s="97" t="str">
        <f t="shared" si="895"/>
        <v>003/HACA-HK-VG_SR-2166-51012-S2-B</v>
      </c>
      <c r="B2759" s="95">
        <v>44619</v>
      </c>
      <c r="C2759" s="97">
        <f t="shared" ca="1" si="891"/>
        <v>-445</v>
      </c>
      <c r="D2759" s="112" t="s">
        <v>2195</v>
      </c>
      <c r="E2759" s="123" t="s">
        <v>419</v>
      </c>
      <c r="F2759" s="98" t="str">
        <f t="shared" si="899"/>
        <v>B</v>
      </c>
      <c r="G2759" s="110">
        <f ca="1">SUMIF($A:E,$A2759,K:K)</f>
        <v>2</v>
      </c>
      <c r="H2759" s="112" t="s">
        <v>2194</v>
      </c>
      <c r="I2759" s="98">
        <v>1</v>
      </c>
      <c r="J2759" s="99">
        <v>1</v>
      </c>
      <c r="K2759" s="143">
        <f t="shared" si="890"/>
        <v>2</v>
      </c>
      <c r="L2759" s="144">
        <f t="shared" ref="L2759:L2762" si="901">J2759-K2759</f>
        <v>-1</v>
      </c>
      <c r="M2759" s="275">
        <f t="shared" si="889"/>
        <v>2</v>
      </c>
      <c r="N2759" s="98">
        <v>2</v>
      </c>
      <c r="O2759" s="93">
        <f t="shared" si="886"/>
        <v>200</v>
      </c>
      <c r="OA2759" s="100">
        <v>1</v>
      </c>
      <c r="ON2759" s="100">
        <f t="shared" si="900"/>
        <v>1</v>
      </c>
    </row>
    <row r="2760" spans="1:404" ht="23.25" customHeight="1">
      <c r="A2760" s="97" t="str">
        <f t="shared" si="895"/>
        <v>003/HACA-HK-VG_SR-2166-51712-S2-B</v>
      </c>
      <c r="B2760" s="95">
        <v>44639</v>
      </c>
      <c r="C2760" s="97">
        <f t="shared" ca="1" si="891"/>
        <v>-425</v>
      </c>
      <c r="D2760" s="112" t="s">
        <v>2195</v>
      </c>
      <c r="E2760" s="123" t="s">
        <v>422</v>
      </c>
      <c r="F2760" s="98" t="str">
        <f t="shared" si="899"/>
        <v>B</v>
      </c>
      <c r="G2760" s="110">
        <f ca="1">SUMIF($A:E,$A2760,K:K)</f>
        <v>0</v>
      </c>
      <c r="H2760" s="112" t="s">
        <v>2194</v>
      </c>
      <c r="I2760" s="98">
        <v>1</v>
      </c>
      <c r="J2760" s="99">
        <v>1</v>
      </c>
      <c r="K2760" s="143">
        <f t="shared" si="890"/>
        <v>0</v>
      </c>
      <c r="L2760" s="144">
        <f t="shared" si="901"/>
        <v>1</v>
      </c>
      <c r="M2760" s="275">
        <f t="shared" si="889"/>
        <v>2</v>
      </c>
      <c r="N2760" s="98">
        <v>4</v>
      </c>
      <c r="O2760" s="93">
        <f t="shared" si="886"/>
        <v>0</v>
      </c>
      <c r="ON2760" s="100">
        <f t="shared" si="900"/>
        <v>0</v>
      </c>
    </row>
    <row r="2761" spans="1:404" ht="23.25" customHeight="1">
      <c r="A2761" s="97" t="str">
        <f t="shared" si="895"/>
        <v>003/HACA-HK-VG_SR-2166-61312-S3-B</v>
      </c>
      <c r="B2761" s="95">
        <v>44619</v>
      </c>
      <c r="C2761" s="97">
        <f t="shared" ca="1" si="891"/>
        <v>-445</v>
      </c>
      <c r="D2761" s="112" t="s">
        <v>2195</v>
      </c>
      <c r="E2761" s="123" t="s">
        <v>425</v>
      </c>
      <c r="F2761" s="98" t="str">
        <f t="shared" si="899"/>
        <v>B</v>
      </c>
      <c r="G2761" s="110">
        <f ca="1">SUMIF($A:E,$A2761,K:K)</f>
        <v>2</v>
      </c>
      <c r="H2761" s="112" t="s">
        <v>2194</v>
      </c>
      <c r="I2761" s="98">
        <v>1</v>
      </c>
      <c r="J2761" s="99">
        <v>1</v>
      </c>
      <c r="K2761" s="143">
        <f t="shared" si="890"/>
        <v>2</v>
      </c>
      <c r="L2761" s="144">
        <f t="shared" si="901"/>
        <v>-1</v>
      </c>
      <c r="M2761" s="275">
        <f t="shared" si="889"/>
        <v>3</v>
      </c>
      <c r="N2761" s="98">
        <v>2</v>
      </c>
      <c r="O2761" s="93">
        <f t="shared" si="886"/>
        <v>200</v>
      </c>
      <c r="NV2761" s="100">
        <v>1</v>
      </c>
      <c r="ON2761" s="100">
        <f t="shared" si="900"/>
        <v>1</v>
      </c>
    </row>
    <row r="2762" spans="1:404" ht="23.25" customHeight="1">
      <c r="A2762" s="97" t="str">
        <f t="shared" si="895"/>
        <v>003/HACA-HK-VG_SR-2166-77712-L4-B</v>
      </c>
      <c r="B2762" s="95">
        <v>44619</v>
      </c>
      <c r="C2762" s="97">
        <f t="shared" ca="1" si="891"/>
        <v>-445</v>
      </c>
      <c r="D2762" s="112" t="s">
        <v>2195</v>
      </c>
      <c r="E2762" s="123" t="s">
        <v>789</v>
      </c>
      <c r="F2762" s="98" t="str">
        <f t="shared" si="899"/>
        <v>B</v>
      </c>
      <c r="G2762" s="110">
        <f ca="1">SUMIF($A:E,$A2762,K:K)</f>
        <v>2</v>
      </c>
      <c r="H2762" s="112" t="s">
        <v>2194</v>
      </c>
      <c r="I2762" s="98">
        <v>1</v>
      </c>
      <c r="J2762" s="99">
        <v>1</v>
      </c>
      <c r="K2762" s="143">
        <f t="shared" ref="K2762:K2782" si="902">SUM(P2762:BBC2762)</f>
        <v>2</v>
      </c>
      <c r="L2762" s="144">
        <f t="shared" si="901"/>
        <v>-1</v>
      </c>
      <c r="M2762" s="275">
        <f t="shared" si="889"/>
        <v>4</v>
      </c>
      <c r="N2762" s="98">
        <v>4</v>
      </c>
      <c r="O2762" s="93">
        <f t="shared" si="886"/>
        <v>200</v>
      </c>
      <c r="NU2762" s="100">
        <v>1</v>
      </c>
      <c r="ON2762" s="100">
        <f t="shared" si="900"/>
        <v>1</v>
      </c>
    </row>
    <row r="2763" spans="1:404" ht="23.25" customHeight="1">
      <c r="A2763" s="97" t="str">
        <f t="shared" si="895"/>
        <v>010/POTTERY PATCH-VG-2166-06422-S3-B</v>
      </c>
      <c r="B2763" s="95">
        <v>44658</v>
      </c>
      <c r="C2763" s="97">
        <f t="shared" ca="1" si="891"/>
        <v>-406</v>
      </c>
      <c r="D2763" s="112" t="s">
        <v>2201</v>
      </c>
      <c r="E2763" s="123" t="s">
        <v>1171</v>
      </c>
      <c r="F2763" s="98" t="str">
        <f t="shared" si="899"/>
        <v>B</v>
      </c>
      <c r="G2763" s="110">
        <f ca="1">SUMIF($A:E,$A2763,K:K)</f>
        <v>102</v>
      </c>
      <c r="H2763" s="97" t="s">
        <v>508</v>
      </c>
      <c r="I2763" s="98">
        <v>90</v>
      </c>
      <c r="J2763" s="115">
        <v>90</v>
      </c>
      <c r="K2763" s="143">
        <f t="shared" si="902"/>
        <v>102</v>
      </c>
      <c r="L2763" s="144">
        <f t="shared" ref="L2763:L2768" si="903">J2763-K2763</f>
        <v>-12</v>
      </c>
      <c r="M2763" s="275">
        <f t="shared" si="889"/>
        <v>270</v>
      </c>
      <c r="N2763" s="98">
        <v>6</v>
      </c>
      <c r="O2763" s="93">
        <f t="shared" si="886"/>
        <v>113.33333333333333</v>
      </c>
      <c r="OJ2763" s="100">
        <v>14</v>
      </c>
      <c r="OK2763" s="100">
        <v>10</v>
      </c>
      <c r="OM2763" s="100">
        <v>27</v>
      </c>
      <c r="ON2763" s="100">
        <f t="shared" si="900"/>
        <v>51</v>
      </c>
    </row>
    <row r="2764" spans="1:404" ht="23.25" customHeight="1">
      <c r="A2764" s="97" t="str">
        <f t="shared" si="895"/>
        <v>010/POTTERY PATCH-VG-2166-06722-S2-B</v>
      </c>
      <c r="B2764" s="95">
        <v>44658</v>
      </c>
      <c r="C2764" s="97">
        <f t="shared" ca="1" si="891"/>
        <v>-406</v>
      </c>
      <c r="D2764" s="112" t="s">
        <v>2201</v>
      </c>
      <c r="E2764" s="123" t="s">
        <v>1623</v>
      </c>
      <c r="F2764" s="98" t="str">
        <f t="shared" si="899"/>
        <v>B</v>
      </c>
      <c r="G2764" s="110">
        <f ca="1">SUMIF($A:E,$A2764,K:K)</f>
        <v>52</v>
      </c>
      <c r="H2764" s="97" t="s">
        <v>508</v>
      </c>
      <c r="I2764" s="98">
        <v>189</v>
      </c>
      <c r="J2764" s="115">
        <v>189</v>
      </c>
      <c r="K2764" s="143">
        <f t="shared" si="902"/>
        <v>52</v>
      </c>
      <c r="L2764" s="144">
        <f t="shared" si="903"/>
        <v>137</v>
      </c>
      <c r="M2764" s="275">
        <f t="shared" si="889"/>
        <v>378</v>
      </c>
      <c r="N2764" s="98">
        <v>6</v>
      </c>
      <c r="O2764" s="93">
        <f t="shared" si="886"/>
        <v>27.513227513227513</v>
      </c>
      <c r="OM2764" s="100">
        <v>26</v>
      </c>
      <c r="ON2764" s="100">
        <f t="shared" si="900"/>
        <v>26</v>
      </c>
    </row>
    <row r="2765" spans="1:404" ht="23.25" customHeight="1">
      <c r="A2765" s="97" t="str">
        <f t="shared" si="895"/>
        <v>010/POTTERY PATCH-VG-2166-61312-S3-B</v>
      </c>
      <c r="B2765" s="95">
        <v>44658</v>
      </c>
      <c r="C2765" s="97">
        <f t="shared" ca="1" si="891"/>
        <v>-406</v>
      </c>
      <c r="D2765" s="112" t="s">
        <v>2201</v>
      </c>
      <c r="E2765" s="123" t="s">
        <v>425</v>
      </c>
      <c r="F2765" s="98" t="str">
        <f t="shared" si="899"/>
        <v>B</v>
      </c>
      <c r="G2765" s="110">
        <f ca="1">SUMIF($A:E,$A2765,K:K)</f>
        <v>0</v>
      </c>
      <c r="H2765" s="97" t="s">
        <v>508</v>
      </c>
      <c r="I2765" s="98">
        <v>32</v>
      </c>
      <c r="J2765" s="115">
        <v>32</v>
      </c>
      <c r="K2765" s="143">
        <f t="shared" si="902"/>
        <v>0</v>
      </c>
      <c r="L2765" s="144">
        <f t="shared" si="903"/>
        <v>32</v>
      </c>
      <c r="M2765" s="275">
        <f t="shared" si="889"/>
        <v>96</v>
      </c>
      <c r="N2765" s="98"/>
      <c r="O2765" s="93">
        <f t="shared" si="886"/>
        <v>0</v>
      </c>
      <c r="ON2765" s="100">
        <f t="shared" si="900"/>
        <v>0</v>
      </c>
    </row>
    <row r="2766" spans="1:404" ht="23.25" customHeight="1">
      <c r="A2766" s="97" t="str">
        <f t="shared" si="895"/>
        <v>010/POTTERY PATCH-VG-2166-70322-B3-B</v>
      </c>
      <c r="B2766" s="95">
        <v>44658</v>
      </c>
      <c r="C2766" s="97">
        <f t="shared" ca="1" si="891"/>
        <v>-406</v>
      </c>
      <c r="D2766" s="112" t="s">
        <v>2201</v>
      </c>
      <c r="E2766" s="123" t="s">
        <v>1075</v>
      </c>
      <c r="F2766" s="92" t="str">
        <f t="shared" si="899"/>
        <v>B</v>
      </c>
      <c r="G2766" s="109">
        <f ca="1">SUMIF($A:E,$A2766,K:K)</f>
        <v>96</v>
      </c>
      <c r="H2766" s="97" t="s">
        <v>508</v>
      </c>
      <c r="I2766" s="98">
        <v>48</v>
      </c>
      <c r="J2766" s="115">
        <v>48</v>
      </c>
      <c r="K2766" s="143">
        <f t="shared" si="902"/>
        <v>96</v>
      </c>
      <c r="L2766" s="144">
        <f t="shared" si="903"/>
        <v>-48</v>
      </c>
      <c r="M2766" s="275">
        <f t="shared" si="889"/>
        <v>144</v>
      </c>
      <c r="N2766" s="98">
        <v>4</v>
      </c>
      <c r="O2766" s="93">
        <f t="shared" si="886"/>
        <v>200</v>
      </c>
      <c r="OD2766" s="100">
        <v>7</v>
      </c>
      <c r="OF2766" s="100">
        <v>10</v>
      </c>
      <c r="OG2766" s="100">
        <v>10</v>
      </c>
      <c r="OH2766" s="100">
        <v>10</v>
      </c>
      <c r="OI2766" s="100">
        <v>10</v>
      </c>
      <c r="OJ2766" s="100">
        <v>1</v>
      </c>
      <c r="ON2766" s="100">
        <f t="shared" si="900"/>
        <v>48</v>
      </c>
    </row>
    <row r="2767" spans="1:404" ht="23.25" customHeight="1">
      <c r="A2767" s="97" t="str">
        <f t="shared" si="895"/>
        <v>010/POTTERY PATCH-VG-2166-77712-L4-B</v>
      </c>
      <c r="B2767" s="95">
        <v>44658</v>
      </c>
      <c r="C2767" s="97">
        <f t="shared" ca="1" si="891"/>
        <v>-406</v>
      </c>
      <c r="D2767" s="112" t="s">
        <v>2201</v>
      </c>
      <c r="E2767" s="123" t="s">
        <v>789</v>
      </c>
      <c r="F2767" s="98" t="str">
        <f t="shared" si="899"/>
        <v>B</v>
      </c>
      <c r="G2767" s="110">
        <f ca="1">SUMIF($A:E,$A2767,K:K)</f>
        <v>36</v>
      </c>
      <c r="H2767" s="97" t="s">
        <v>508</v>
      </c>
      <c r="I2767" s="98">
        <v>18</v>
      </c>
      <c r="J2767" s="115">
        <v>18</v>
      </c>
      <c r="K2767" s="143">
        <f t="shared" si="902"/>
        <v>36</v>
      </c>
      <c r="L2767" s="144">
        <f t="shared" si="903"/>
        <v>-18</v>
      </c>
      <c r="M2767" s="275">
        <f t="shared" si="889"/>
        <v>72</v>
      </c>
      <c r="N2767" s="98">
        <v>4</v>
      </c>
      <c r="O2767" s="93">
        <f t="shared" si="886"/>
        <v>200</v>
      </c>
      <c r="NU2767" s="100">
        <v>1</v>
      </c>
      <c r="NV2767" s="100">
        <v>4</v>
      </c>
      <c r="NY2767" s="100">
        <v>4</v>
      </c>
      <c r="NZ2767" s="100">
        <v>4</v>
      </c>
      <c r="OA2767" s="100">
        <v>5</v>
      </c>
      <c r="ON2767" s="100">
        <f t="shared" si="900"/>
        <v>18</v>
      </c>
    </row>
    <row r="2768" spans="1:404" ht="23.25" customHeight="1">
      <c r="A2768" s="97" t="str">
        <f t="shared" si="895"/>
        <v>317/KHBS-21(332/POTTERYPOT-21) 68-72700-04-A</v>
      </c>
      <c r="B2768" s="95">
        <v>44522</v>
      </c>
      <c r="C2768" s="97">
        <f t="shared" ca="1" si="891"/>
        <v>-542</v>
      </c>
      <c r="D2768" s="111" t="s">
        <v>2202</v>
      </c>
      <c r="E2768" s="225" t="s">
        <v>2203</v>
      </c>
      <c r="F2768" s="98" t="str">
        <f t="shared" si="899"/>
        <v>-A</v>
      </c>
      <c r="G2768" s="110">
        <f ca="1">SUMIF($A:E,$A2768,K:K)</f>
        <v>1</v>
      </c>
      <c r="H2768" s="97" t="s">
        <v>964</v>
      </c>
      <c r="I2768" s="98">
        <v>72</v>
      </c>
      <c r="J2768" s="115">
        <v>1</v>
      </c>
      <c r="K2768" s="143">
        <f t="shared" si="902"/>
        <v>1</v>
      </c>
      <c r="L2768" s="151">
        <f t="shared" si="903"/>
        <v>0</v>
      </c>
      <c r="M2768" s="275">
        <f t="shared" si="889"/>
        <v>0</v>
      </c>
      <c r="N2768" s="98" t="s">
        <v>1776</v>
      </c>
      <c r="O2768" s="93">
        <f t="shared" ref="O2768:O2769" si="904">K2768/J2768*100</f>
        <v>100</v>
      </c>
      <c r="LC2768" s="100">
        <v>1</v>
      </c>
      <c r="ON2768" s="100">
        <f t="shared" si="900"/>
        <v>0</v>
      </c>
    </row>
    <row r="2769" spans="1:404" ht="23.25" customHeight="1">
      <c r="A2769" s="97" t="str">
        <f t="shared" si="895"/>
        <v>076/VG_SR-21(ITIMASIA)66-70322-04-B</v>
      </c>
      <c r="B2769" s="95">
        <v>44522</v>
      </c>
      <c r="C2769" s="97">
        <f t="shared" ca="1" si="891"/>
        <v>-542</v>
      </c>
      <c r="D2769" s="111" t="s">
        <v>2147</v>
      </c>
      <c r="E2769" s="225" t="s">
        <v>1063</v>
      </c>
      <c r="F2769" s="98" t="str">
        <f t="shared" si="899"/>
        <v>B</v>
      </c>
      <c r="G2769" s="110">
        <f ca="1">SUMIF($A:E,$A2769,K:K)</f>
        <v>3</v>
      </c>
      <c r="H2769" s="111" t="s">
        <v>2148</v>
      </c>
      <c r="I2769" s="98">
        <v>72</v>
      </c>
      <c r="J2769" s="99">
        <v>3</v>
      </c>
      <c r="K2769" s="143">
        <f t="shared" si="902"/>
        <v>3</v>
      </c>
      <c r="L2769" s="144">
        <f t="shared" ref="L2769" si="905">J2769-K2769</f>
        <v>0</v>
      </c>
      <c r="M2769" s="275">
        <f t="shared" si="889"/>
        <v>72</v>
      </c>
      <c r="N2769" s="98">
        <v>1</v>
      </c>
      <c r="O2769" s="93">
        <f t="shared" si="904"/>
        <v>100</v>
      </c>
      <c r="LC2769" s="100">
        <v>3</v>
      </c>
      <c r="ON2769" s="100">
        <f t="shared" si="900"/>
        <v>0</v>
      </c>
    </row>
    <row r="2770" spans="1:404" ht="23.25" customHeight="1">
      <c r="A2770" s="138" t="str">
        <f t="shared" si="895"/>
        <v>317/KHBS-21(049T/WESTELM-21)66-88200-01-B</v>
      </c>
      <c r="B2770" s="114">
        <v>44525</v>
      </c>
      <c r="C2770" s="97">
        <f t="shared" ca="1" si="891"/>
        <v>-539</v>
      </c>
      <c r="D2770" s="322" t="s">
        <v>2208</v>
      </c>
      <c r="E2770" s="323" t="s">
        <v>1923</v>
      </c>
      <c r="F2770" s="324">
        <v>1</v>
      </c>
      <c r="G2770" s="140"/>
      <c r="H2770" s="138" t="s">
        <v>508</v>
      </c>
      <c r="I2770" s="98">
        <v>72</v>
      </c>
      <c r="J2770" s="290">
        <v>1</v>
      </c>
      <c r="K2770" s="166">
        <f t="shared" si="902"/>
        <v>1</v>
      </c>
      <c r="L2770" s="150">
        <f t="shared" ref="L2770:L2777" si="906">J2770-K2770</f>
        <v>0</v>
      </c>
      <c r="M2770" s="275">
        <f t="shared" si="889"/>
        <v>72</v>
      </c>
      <c r="N2770" s="133">
        <v>3</v>
      </c>
      <c r="O2770" s="93">
        <f t="shared" ref="O2770" si="907">K2770/J2770*100</f>
        <v>100</v>
      </c>
      <c r="LE2770" s="100">
        <v>1</v>
      </c>
      <c r="ON2770" s="100">
        <f t="shared" si="900"/>
        <v>0</v>
      </c>
    </row>
    <row r="2771" spans="1:404" ht="23.25" customHeight="1">
      <c r="A2771" s="97" t="str">
        <f t="shared" si="895"/>
        <v>317/KHBS-21(004/MARSHALLS-21) 66-12522-02-B</v>
      </c>
      <c r="B2771" s="95">
        <v>44520</v>
      </c>
      <c r="C2771" s="97">
        <f t="shared" ca="1" si="891"/>
        <v>-544</v>
      </c>
      <c r="D2771" s="112" t="s">
        <v>2209</v>
      </c>
      <c r="E2771" s="123" t="s">
        <v>2210</v>
      </c>
      <c r="F2771" s="98" t="str">
        <f t="shared" ref="F2771:F2782" si="908">MID(E2771,13,2)</f>
        <v>-B</v>
      </c>
      <c r="G2771" s="110">
        <f ca="1">SUMIF($A:E,$A2771,K:K)</f>
        <v>1</v>
      </c>
      <c r="H2771" s="97" t="s">
        <v>1743</v>
      </c>
      <c r="I2771" s="98">
        <v>1</v>
      </c>
      <c r="J2771" s="115">
        <v>1</v>
      </c>
      <c r="K2771" s="143">
        <f t="shared" si="902"/>
        <v>1</v>
      </c>
      <c r="L2771" s="144">
        <f t="shared" si="906"/>
        <v>0</v>
      </c>
      <c r="M2771" s="275">
        <f t="shared" si="889"/>
        <v>0</v>
      </c>
      <c r="N2771" s="320">
        <v>6</v>
      </c>
      <c r="O2771" s="93">
        <f t="shared" ref="O2771:O2776" si="909">K2771/J2771*100</f>
        <v>100</v>
      </c>
      <c r="LD2771" s="100">
        <v>1</v>
      </c>
      <c r="ON2771" s="100">
        <f t="shared" si="900"/>
        <v>0</v>
      </c>
    </row>
    <row r="2772" spans="1:404" ht="23.25" customHeight="1">
      <c r="A2772" s="97" t="str">
        <f t="shared" si="895"/>
        <v>317/KHBS-21(005/METRO-VG-21)66-06422-02-B</v>
      </c>
      <c r="B2772" s="95">
        <v>44520</v>
      </c>
      <c r="C2772" s="97">
        <f t="shared" ca="1" si="891"/>
        <v>-544</v>
      </c>
      <c r="D2772" s="112" t="s">
        <v>2211</v>
      </c>
      <c r="E2772" s="123" t="s">
        <v>1052</v>
      </c>
      <c r="F2772" s="98" t="str">
        <f t="shared" si="908"/>
        <v>B</v>
      </c>
      <c r="G2772" s="110">
        <f ca="1">SUMIF($A:E,$A2772,K:K)</f>
        <v>1</v>
      </c>
      <c r="H2772" s="97" t="s">
        <v>1743</v>
      </c>
      <c r="I2772" s="98">
        <v>72</v>
      </c>
      <c r="J2772" s="115">
        <v>1</v>
      </c>
      <c r="K2772" s="143">
        <f t="shared" si="902"/>
        <v>1</v>
      </c>
      <c r="L2772" s="144">
        <f t="shared" si="906"/>
        <v>0</v>
      </c>
      <c r="M2772" s="275">
        <f t="shared" si="889"/>
        <v>72</v>
      </c>
      <c r="N2772" s="320">
        <v>6</v>
      </c>
      <c r="O2772" s="93">
        <f t="shared" si="909"/>
        <v>100</v>
      </c>
      <c r="LD2772" s="100">
        <v>1</v>
      </c>
      <c r="ON2772" s="100">
        <f t="shared" si="900"/>
        <v>0</v>
      </c>
    </row>
    <row r="2773" spans="1:404" ht="23.25" customHeight="1">
      <c r="A2773" s="97" t="str">
        <f t="shared" si="895"/>
        <v>317/KHBS-21(005/METRO-VG-21)66-06422-03-B</v>
      </c>
      <c r="B2773" s="95">
        <v>44520</v>
      </c>
      <c r="C2773" s="97">
        <f t="shared" ca="1" si="891"/>
        <v>-544</v>
      </c>
      <c r="D2773" s="112" t="s">
        <v>2211</v>
      </c>
      <c r="E2773" s="123" t="s">
        <v>1189</v>
      </c>
      <c r="F2773" s="98" t="str">
        <f t="shared" si="908"/>
        <v>B</v>
      </c>
      <c r="G2773" s="110">
        <f ca="1">SUMIF($A:E,$A2773,K:K)</f>
        <v>1</v>
      </c>
      <c r="H2773" s="97" t="s">
        <v>1743</v>
      </c>
      <c r="I2773" s="98">
        <v>72</v>
      </c>
      <c r="J2773" s="115">
        <v>1</v>
      </c>
      <c r="K2773" s="143">
        <f t="shared" si="902"/>
        <v>1</v>
      </c>
      <c r="L2773" s="144">
        <f t="shared" si="906"/>
        <v>0</v>
      </c>
      <c r="M2773" s="275">
        <f t="shared" si="889"/>
        <v>72</v>
      </c>
      <c r="N2773" s="320">
        <v>6</v>
      </c>
      <c r="O2773" s="93">
        <f t="shared" si="909"/>
        <v>100</v>
      </c>
      <c r="LD2773" s="100">
        <v>1</v>
      </c>
      <c r="ON2773" s="100">
        <f t="shared" si="900"/>
        <v>0</v>
      </c>
    </row>
    <row r="2774" spans="1:404" ht="23.25" customHeight="1">
      <c r="A2774" s="97" t="str">
        <f t="shared" si="895"/>
        <v>317/KHBS-21(023/METRO-VG-21)66-02500-02-A</v>
      </c>
      <c r="B2774" s="95">
        <v>44555</v>
      </c>
      <c r="C2774" s="97">
        <f t="shared" ca="1" si="891"/>
        <v>-509</v>
      </c>
      <c r="D2774" s="111" t="s">
        <v>2212</v>
      </c>
      <c r="E2774" s="225" t="s">
        <v>1747</v>
      </c>
      <c r="F2774" s="98" t="str">
        <f t="shared" si="908"/>
        <v>A</v>
      </c>
      <c r="G2774" s="110">
        <f ca="1">SUMIF($A:E,$A2774,K:K)</f>
        <v>1</v>
      </c>
      <c r="H2774" s="97" t="s">
        <v>616</v>
      </c>
      <c r="I2774" s="98">
        <v>72</v>
      </c>
      <c r="J2774" s="99">
        <v>1</v>
      </c>
      <c r="K2774" s="143">
        <f t="shared" si="902"/>
        <v>1</v>
      </c>
      <c r="L2774" s="144">
        <f t="shared" si="906"/>
        <v>0</v>
      </c>
      <c r="M2774" s="275">
        <f t="shared" si="889"/>
        <v>72</v>
      </c>
      <c r="N2774" s="98" t="s">
        <v>1776</v>
      </c>
      <c r="O2774" s="93">
        <f t="shared" si="909"/>
        <v>100</v>
      </c>
      <c r="LD2774" s="100">
        <v>1</v>
      </c>
      <c r="ON2774" s="100">
        <f t="shared" si="900"/>
        <v>0</v>
      </c>
    </row>
    <row r="2775" spans="1:404" ht="23.25" customHeight="1">
      <c r="A2775" s="97" t="str">
        <f t="shared" si="895"/>
        <v>317/KHBS-2168-83700-S1-B</v>
      </c>
      <c r="B2775" s="95">
        <v>44525</v>
      </c>
      <c r="C2775" s="97">
        <f t="shared" ca="1" si="891"/>
        <v>-539</v>
      </c>
      <c r="D2775" s="112" t="s">
        <v>2213</v>
      </c>
      <c r="E2775" s="123" t="s">
        <v>1419</v>
      </c>
      <c r="F2775" s="98" t="str">
        <f t="shared" si="908"/>
        <v>B</v>
      </c>
      <c r="G2775" s="110">
        <f ca="1">SUMIF($A:E,$A2775,K:K)</f>
        <v>1</v>
      </c>
      <c r="H2775" s="97" t="s">
        <v>1743</v>
      </c>
      <c r="I2775" s="98">
        <v>72</v>
      </c>
      <c r="J2775" s="115">
        <v>1</v>
      </c>
      <c r="K2775" s="143">
        <f t="shared" si="902"/>
        <v>1</v>
      </c>
      <c r="L2775" s="144">
        <f t="shared" si="906"/>
        <v>0</v>
      </c>
      <c r="M2775" s="275">
        <f t="shared" si="889"/>
        <v>72</v>
      </c>
      <c r="N2775" s="320">
        <v>2</v>
      </c>
      <c r="O2775" s="93">
        <f t="shared" si="909"/>
        <v>100</v>
      </c>
      <c r="LD2775" s="100">
        <v>1</v>
      </c>
      <c r="ON2775" s="100">
        <f t="shared" si="900"/>
        <v>0</v>
      </c>
    </row>
    <row r="2776" spans="1:404" ht="23.25" customHeight="1">
      <c r="A2776" s="127" t="str">
        <f>D2776&amp;E2777</f>
        <v>002/ITIMASIA-VG_SR-21 66-80136-02-B</v>
      </c>
      <c r="B2776" s="126">
        <v>44522</v>
      </c>
      <c r="C2776" s="127">
        <f t="shared" ca="1" si="891"/>
        <v>-542</v>
      </c>
      <c r="D2776" s="208" t="s">
        <v>2177</v>
      </c>
      <c r="E2776" s="226" t="s">
        <v>25</v>
      </c>
      <c r="F2776" s="132" t="str">
        <f t="shared" si="908"/>
        <v>B</v>
      </c>
      <c r="G2776" s="130">
        <f ca="1">SUMIF($A:E,$A2776,K:K)</f>
        <v>1</v>
      </c>
      <c r="H2776" s="127" t="s">
        <v>508</v>
      </c>
      <c r="I2776" s="98">
        <v>72</v>
      </c>
      <c r="J2776" s="127">
        <v>1</v>
      </c>
      <c r="K2776" s="160">
        <f t="shared" si="902"/>
        <v>1</v>
      </c>
      <c r="L2776" s="151">
        <f t="shared" si="906"/>
        <v>0</v>
      </c>
      <c r="M2776" s="275">
        <f t="shared" si="889"/>
        <v>72</v>
      </c>
      <c r="N2776" s="132">
        <v>4</v>
      </c>
      <c r="O2776" s="93">
        <f t="shared" si="909"/>
        <v>100</v>
      </c>
      <c r="LD2776" s="100">
        <v>1</v>
      </c>
      <c r="ON2776" s="100">
        <f t="shared" si="900"/>
        <v>0</v>
      </c>
    </row>
    <row r="2777" spans="1:404" ht="23.25" customHeight="1">
      <c r="A2777" s="97" t="str">
        <f t="shared" ref="A2777:A2782" si="910">D2777&amp;E2777</f>
        <v>315/KHBS-21(042T/WESTELM-21) 66-80136-02-B</v>
      </c>
      <c r="B2777" s="95">
        <v>44525</v>
      </c>
      <c r="C2777" s="97">
        <f t="shared" ca="1" si="891"/>
        <v>-539</v>
      </c>
      <c r="D2777" s="112" t="s">
        <v>2214</v>
      </c>
      <c r="E2777" s="123" t="s">
        <v>2215</v>
      </c>
      <c r="F2777" s="98" t="str">
        <f t="shared" si="908"/>
        <v>-B</v>
      </c>
      <c r="G2777" s="110">
        <f ca="1">SUMIF($A:E,$A2777,K:K)</f>
        <v>1</v>
      </c>
      <c r="H2777" s="97" t="s">
        <v>1593</v>
      </c>
      <c r="I2777" s="98">
        <v>72</v>
      </c>
      <c r="J2777" s="115">
        <v>1</v>
      </c>
      <c r="K2777" s="143">
        <f t="shared" si="902"/>
        <v>1</v>
      </c>
      <c r="L2777" s="144">
        <f t="shared" si="906"/>
        <v>0</v>
      </c>
      <c r="M2777" s="275">
        <f t="shared" si="889"/>
        <v>0</v>
      </c>
      <c r="N2777" s="98">
        <v>1</v>
      </c>
      <c r="O2777" s="93">
        <f t="shared" ref="O2777:O2826" si="911">K2777/J2777*100</f>
        <v>100</v>
      </c>
      <c r="LI2777" s="100">
        <v>1</v>
      </c>
      <c r="ON2777" s="100">
        <f t="shared" si="900"/>
        <v>0</v>
      </c>
    </row>
    <row r="2778" spans="1:404" ht="23.25" customHeight="1">
      <c r="A2778" s="97" t="str">
        <f t="shared" si="910"/>
        <v>001/GLOBAL PALMS -VG-2166-51012-S2-B</v>
      </c>
      <c r="B2778" s="95">
        <v>44690</v>
      </c>
      <c r="C2778" s="97">
        <f t="shared" ca="1" si="891"/>
        <v>-374</v>
      </c>
      <c r="D2778" s="112" t="s">
        <v>2217</v>
      </c>
      <c r="E2778" s="123" t="s">
        <v>419</v>
      </c>
      <c r="F2778" s="98" t="str">
        <f t="shared" si="908"/>
        <v>B</v>
      </c>
      <c r="G2778" s="110">
        <f ca="1">SUMIF($A:E,$A2778,K:K)</f>
        <v>10</v>
      </c>
      <c r="H2778" s="97" t="s">
        <v>927</v>
      </c>
      <c r="I2778" s="98">
        <v>30</v>
      </c>
      <c r="J2778" s="115">
        <v>30</v>
      </c>
      <c r="K2778" s="143">
        <f t="shared" si="902"/>
        <v>10</v>
      </c>
      <c r="L2778" s="144">
        <f t="shared" ref="L2778" si="912">J2778-K2778</f>
        <v>20</v>
      </c>
      <c r="M2778" s="275">
        <f t="shared" si="889"/>
        <v>60</v>
      </c>
      <c r="N2778" s="98">
        <v>2</v>
      </c>
      <c r="O2778" s="93">
        <f t="shared" si="911"/>
        <v>33.333333333333329</v>
      </c>
      <c r="OF2778" s="100">
        <v>3</v>
      </c>
      <c r="OG2778" s="100">
        <v>1</v>
      </c>
      <c r="OK2778" s="100">
        <v>1</v>
      </c>
      <c r="ON2778" s="100">
        <f t="shared" si="900"/>
        <v>5</v>
      </c>
    </row>
    <row r="2779" spans="1:404" ht="23.25" customHeight="1">
      <c r="A2779" s="97" t="str">
        <f t="shared" si="910"/>
        <v>001/GLOBAL PALMS -VG-2166-51712-S2-B</v>
      </c>
      <c r="B2779" s="95">
        <v>44690</v>
      </c>
      <c r="C2779" s="97">
        <f t="shared" ca="1" si="891"/>
        <v>-374</v>
      </c>
      <c r="D2779" s="112" t="s">
        <v>2217</v>
      </c>
      <c r="E2779" s="123" t="s">
        <v>422</v>
      </c>
      <c r="F2779" s="98" t="str">
        <f t="shared" si="908"/>
        <v>B</v>
      </c>
      <c r="G2779" s="110">
        <f ca="1">SUMIF($A:E,$A2779,K:K)</f>
        <v>0</v>
      </c>
      <c r="H2779" s="97" t="s">
        <v>927</v>
      </c>
      <c r="I2779" s="98">
        <v>54</v>
      </c>
      <c r="J2779" s="115">
        <v>54</v>
      </c>
      <c r="K2779" s="143">
        <f t="shared" si="902"/>
        <v>0</v>
      </c>
      <c r="L2779" s="144">
        <f t="shared" ref="L2779:L2798" si="913">J2779-K2779</f>
        <v>54</v>
      </c>
      <c r="M2779" s="275">
        <f t="shared" si="889"/>
        <v>108</v>
      </c>
      <c r="N2779" s="98"/>
      <c r="O2779" s="93">
        <f t="shared" si="911"/>
        <v>0</v>
      </c>
      <c r="ON2779" s="100">
        <f t="shared" si="900"/>
        <v>0</v>
      </c>
    </row>
    <row r="2780" spans="1:404" ht="23.25" customHeight="1">
      <c r="A2780" s="97" t="str">
        <f t="shared" si="910"/>
        <v>001/GLOBAL PALMS -VG-2166-55412-S3-B</v>
      </c>
      <c r="B2780" s="95">
        <v>44690</v>
      </c>
      <c r="C2780" s="97">
        <f t="shared" ca="1" si="891"/>
        <v>-374</v>
      </c>
      <c r="D2780" s="112" t="s">
        <v>2217</v>
      </c>
      <c r="E2780" s="123" t="s">
        <v>787</v>
      </c>
      <c r="F2780" s="98" t="str">
        <f t="shared" si="908"/>
        <v>B</v>
      </c>
      <c r="G2780" s="110">
        <f ca="1">SUMIF($A:E,$A2780,K:K)</f>
        <v>0</v>
      </c>
      <c r="H2780" s="97" t="s">
        <v>927</v>
      </c>
      <c r="I2780" s="98">
        <v>72</v>
      </c>
      <c r="J2780" s="115">
        <v>72</v>
      </c>
      <c r="K2780" s="143">
        <f t="shared" si="902"/>
        <v>0</v>
      </c>
      <c r="L2780" s="144">
        <f t="shared" si="913"/>
        <v>72</v>
      </c>
      <c r="M2780" s="275">
        <f t="shared" si="889"/>
        <v>216</v>
      </c>
      <c r="N2780" s="98"/>
      <c r="O2780" s="93">
        <f t="shared" si="911"/>
        <v>0</v>
      </c>
      <c r="ON2780" s="100">
        <f t="shared" si="900"/>
        <v>0</v>
      </c>
    </row>
    <row r="2781" spans="1:404" ht="23.25" customHeight="1">
      <c r="A2781" s="97" t="str">
        <f t="shared" si="910"/>
        <v>001/GLOBAL PALMS -VG-2166-61312-S3-B</v>
      </c>
      <c r="B2781" s="95">
        <v>44690</v>
      </c>
      <c r="C2781" s="97">
        <f t="shared" ca="1" si="891"/>
        <v>-374</v>
      </c>
      <c r="D2781" s="112" t="s">
        <v>2217</v>
      </c>
      <c r="E2781" s="123" t="s">
        <v>425</v>
      </c>
      <c r="F2781" s="98" t="str">
        <f t="shared" si="908"/>
        <v>B</v>
      </c>
      <c r="G2781" s="110">
        <f ca="1">SUMIF($A:E,$A2781,K:K)</f>
        <v>0</v>
      </c>
      <c r="H2781" s="97" t="s">
        <v>927</v>
      </c>
      <c r="I2781" s="98">
        <v>48</v>
      </c>
      <c r="J2781" s="115">
        <v>48</v>
      </c>
      <c r="K2781" s="143">
        <f t="shared" si="902"/>
        <v>0</v>
      </c>
      <c r="L2781" s="144">
        <f t="shared" si="913"/>
        <v>48</v>
      </c>
      <c r="M2781" s="275">
        <f t="shared" si="889"/>
        <v>144</v>
      </c>
      <c r="N2781" s="98"/>
      <c r="O2781" s="93">
        <f t="shared" si="911"/>
        <v>0</v>
      </c>
      <c r="ON2781" s="100">
        <f t="shared" si="900"/>
        <v>0</v>
      </c>
    </row>
    <row r="2782" spans="1:404" ht="23.25" customHeight="1">
      <c r="A2782" s="97" t="str">
        <f t="shared" si="910"/>
        <v>001/GLOBAL PALMS -VG-2166-77712-L4-B</v>
      </c>
      <c r="B2782" s="95">
        <v>44687</v>
      </c>
      <c r="C2782" s="97">
        <f t="shared" ca="1" si="891"/>
        <v>-377</v>
      </c>
      <c r="D2782" s="112" t="s">
        <v>2217</v>
      </c>
      <c r="E2782" s="123" t="s">
        <v>789</v>
      </c>
      <c r="F2782" s="92" t="str">
        <f t="shared" si="908"/>
        <v>B</v>
      </c>
      <c r="G2782" s="109">
        <f ca="1">SUMIF($A:E,$A2782,K:K)</f>
        <v>90</v>
      </c>
      <c r="H2782" s="97" t="s">
        <v>927</v>
      </c>
      <c r="I2782" s="98">
        <v>56</v>
      </c>
      <c r="J2782" s="115">
        <v>56</v>
      </c>
      <c r="K2782" s="143">
        <f t="shared" si="902"/>
        <v>90</v>
      </c>
      <c r="L2782" s="144">
        <f t="shared" si="913"/>
        <v>-34</v>
      </c>
      <c r="M2782" s="275">
        <f t="shared" si="889"/>
        <v>224</v>
      </c>
      <c r="N2782" s="98">
        <v>4</v>
      </c>
      <c r="O2782" s="93">
        <f t="shared" si="911"/>
        <v>160.71428571428572</v>
      </c>
      <c r="OD2782" s="100">
        <v>6</v>
      </c>
      <c r="OF2782" s="100">
        <v>6</v>
      </c>
      <c r="OG2782" s="100">
        <v>3</v>
      </c>
      <c r="OH2782" s="100">
        <v>6</v>
      </c>
      <c r="OI2782" s="100">
        <v>6</v>
      </c>
      <c r="OJ2782" s="100">
        <v>6</v>
      </c>
      <c r="OK2782" s="100">
        <v>6</v>
      </c>
      <c r="OM2782" s="100">
        <v>6</v>
      </c>
      <c r="ON2782" s="100">
        <f t="shared" si="900"/>
        <v>45</v>
      </c>
    </row>
    <row r="2783" spans="1:404" ht="23.25" customHeight="1">
      <c r="A2783" s="97" t="s">
        <v>2369</v>
      </c>
      <c r="B2783" s="95">
        <v>44679</v>
      </c>
      <c r="C2783" s="97">
        <v>121</v>
      </c>
      <c r="D2783" s="112" t="s">
        <v>2218</v>
      </c>
      <c r="E2783" s="123" t="s">
        <v>1234</v>
      </c>
      <c r="F2783" s="98" t="s">
        <v>561</v>
      </c>
      <c r="G2783" s="110">
        <v>0</v>
      </c>
      <c r="H2783" s="97" t="s">
        <v>927</v>
      </c>
      <c r="I2783" s="98">
        <v>30</v>
      </c>
      <c r="J2783" s="115">
        <v>30</v>
      </c>
      <c r="K2783" s="143">
        <v>0</v>
      </c>
      <c r="L2783" s="144">
        <v>30</v>
      </c>
      <c r="M2783" s="275">
        <f t="shared" si="889"/>
        <v>90</v>
      </c>
      <c r="N2783" s="98"/>
      <c r="O2783" s="93">
        <f t="shared" si="911"/>
        <v>0</v>
      </c>
      <c r="ON2783" s="100">
        <f t="shared" si="900"/>
        <v>0</v>
      </c>
    </row>
    <row r="2784" spans="1:404" ht="23.25" customHeight="1">
      <c r="A2784" s="97" t="str">
        <f t="shared" ref="A2784:A2812" si="914">D2784&amp;E2784</f>
        <v>002/GLOBAL PALMS -VG-2166-02700-01-A1(phen)</v>
      </c>
      <c r="B2784" s="95">
        <v>44679</v>
      </c>
      <c r="C2784" s="97">
        <f t="shared" ref="C2784:C2812" ca="1" si="915">B2784-TODAY()</f>
        <v>-385</v>
      </c>
      <c r="D2784" s="112" t="s">
        <v>2218</v>
      </c>
      <c r="E2784" s="94" t="s">
        <v>427</v>
      </c>
      <c r="F2784" s="98" t="str">
        <f t="shared" ref="F2784:F2812" si="916">MID(E2784,13,2)</f>
        <v>A1</v>
      </c>
      <c r="G2784" s="110">
        <f ca="1">SUMIF($A:E,$A2784,K:K)</f>
        <v>0</v>
      </c>
      <c r="H2784" s="97" t="s">
        <v>927</v>
      </c>
      <c r="I2784" s="98">
        <v>30</v>
      </c>
      <c r="J2784" s="115">
        <v>30</v>
      </c>
      <c r="K2784" s="143">
        <f t="shared" ref="K2784:K2847" si="917">SUM(P2784:BBC2784)</f>
        <v>0</v>
      </c>
      <c r="L2784" s="144">
        <f t="shared" si="913"/>
        <v>30</v>
      </c>
      <c r="M2784" s="275">
        <f t="shared" si="889"/>
        <v>30</v>
      </c>
      <c r="N2784" s="98"/>
      <c r="O2784" s="93">
        <f t="shared" si="911"/>
        <v>0</v>
      </c>
      <c r="ON2784" s="100">
        <f t="shared" si="900"/>
        <v>0</v>
      </c>
    </row>
    <row r="2785" spans="1:404" ht="23.25" customHeight="1">
      <c r="A2785" s="97" t="str">
        <f t="shared" si="914"/>
        <v>002/GLOBAL PALMS -VG-2166-54100-S3-B</v>
      </c>
      <c r="B2785" s="95">
        <v>44679</v>
      </c>
      <c r="C2785" s="97">
        <f t="shared" ca="1" si="915"/>
        <v>-385</v>
      </c>
      <c r="D2785" s="112" t="s">
        <v>2218</v>
      </c>
      <c r="E2785" s="123" t="s">
        <v>2219</v>
      </c>
      <c r="F2785" s="98" t="str">
        <f t="shared" si="916"/>
        <v>B</v>
      </c>
      <c r="G2785" s="110">
        <f ca="1">SUMIF($A:E,$A2785,K:K)</f>
        <v>0</v>
      </c>
      <c r="H2785" s="97" t="s">
        <v>927</v>
      </c>
      <c r="I2785" s="98">
        <v>48</v>
      </c>
      <c r="J2785" s="115">
        <v>48</v>
      </c>
      <c r="K2785" s="143">
        <f t="shared" si="917"/>
        <v>0</v>
      </c>
      <c r="L2785" s="144">
        <f t="shared" si="913"/>
        <v>48</v>
      </c>
      <c r="M2785" s="275">
        <f t="shared" si="889"/>
        <v>144</v>
      </c>
      <c r="N2785" s="98"/>
      <c r="O2785" s="93">
        <f t="shared" si="911"/>
        <v>0</v>
      </c>
      <c r="ON2785" s="100">
        <f t="shared" si="900"/>
        <v>0</v>
      </c>
    </row>
    <row r="2786" spans="1:404" ht="23.25" customHeight="1">
      <c r="A2786" s="97" t="str">
        <f t="shared" si="914"/>
        <v>002/GLOBAL PALMS -VG-2166-64700-S1-B</v>
      </c>
      <c r="B2786" s="95">
        <v>44679</v>
      </c>
      <c r="C2786" s="97">
        <f t="shared" ca="1" si="915"/>
        <v>-385</v>
      </c>
      <c r="D2786" s="112" t="s">
        <v>2218</v>
      </c>
      <c r="E2786" s="123" t="s">
        <v>635</v>
      </c>
      <c r="F2786" s="98" t="str">
        <f t="shared" si="916"/>
        <v>B</v>
      </c>
      <c r="G2786" s="110">
        <f ca="1">SUMIF($A:E,$A2786,K:K)</f>
        <v>0</v>
      </c>
      <c r="H2786" s="97" t="s">
        <v>927</v>
      </c>
      <c r="I2786" s="98">
        <v>18</v>
      </c>
      <c r="J2786" s="115">
        <v>18</v>
      </c>
      <c r="K2786" s="143">
        <f t="shared" si="917"/>
        <v>0</v>
      </c>
      <c r="L2786" s="144">
        <f t="shared" si="913"/>
        <v>18</v>
      </c>
      <c r="M2786" s="275">
        <f t="shared" si="889"/>
        <v>18</v>
      </c>
      <c r="N2786" s="98">
        <v>3</v>
      </c>
      <c r="O2786" s="93">
        <f t="shared" si="911"/>
        <v>0</v>
      </c>
      <c r="ON2786" s="100">
        <f t="shared" si="900"/>
        <v>0</v>
      </c>
    </row>
    <row r="2787" spans="1:404" ht="23.25" customHeight="1">
      <c r="A2787" s="97" t="str">
        <f t="shared" si="914"/>
        <v>002/GLOBAL PALMS -VG-2166-64800-S1-B</v>
      </c>
      <c r="B2787" s="95">
        <v>44679</v>
      </c>
      <c r="C2787" s="97">
        <f t="shared" ca="1" si="915"/>
        <v>-385</v>
      </c>
      <c r="D2787" s="112" t="s">
        <v>2218</v>
      </c>
      <c r="E2787" s="123" t="s">
        <v>636</v>
      </c>
      <c r="F2787" s="98" t="str">
        <f t="shared" si="916"/>
        <v>B</v>
      </c>
      <c r="G2787" s="110">
        <f ca="1">SUMIF($A:E,$A2787,K:K)</f>
        <v>0</v>
      </c>
      <c r="H2787" s="97" t="s">
        <v>927</v>
      </c>
      <c r="I2787" s="98">
        <v>32</v>
      </c>
      <c r="J2787" s="115">
        <v>32</v>
      </c>
      <c r="K2787" s="143">
        <f t="shared" si="917"/>
        <v>0</v>
      </c>
      <c r="L2787" s="144">
        <f t="shared" si="913"/>
        <v>32</v>
      </c>
      <c r="M2787" s="275">
        <f t="shared" si="889"/>
        <v>32</v>
      </c>
      <c r="N2787" s="98"/>
      <c r="O2787" s="93">
        <f t="shared" si="911"/>
        <v>0</v>
      </c>
      <c r="ON2787" s="100">
        <f t="shared" si="900"/>
        <v>0</v>
      </c>
    </row>
    <row r="2788" spans="1:404" ht="23.25" customHeight="1">
      <c r="A2788" s="97" t="str">
        <f t="shared" si="914"/>
        <v>002/GLOBAL PALMS -VG-2166-73300-S3-B</v>
      </c>
      <c r="B2788" s="95">
        <v>44679</v>
      </c>
      <c r="C2788" s="97">
        <f t="shared" ca="1" si="915"/>
        <v>-385</v>
      </c>
      <c r="D2788" s="112" t="s">
        <v>2218</v>
      </c>
      <c r="E2788" s="123" t="s">
        <v>746</v>
      </c>
      <c r="F2788" s="98" t="str">
        <f t="shared" si="916"/>
        <v>B</v>
      </c>
      <c r="G2788" s="110">
        <f ca="1">SUMIF($A:E,$A2788,K:K)</f>
        <v>0</v>
      </c>
      <c r="H2788" s="97" t="s">
        <v>927</v>
      </c>
      <c r="I2788" s="98">
        <v>64</v>
      </c>
      <c r="J2788" s="115">
        <v>64</v>
      </c>
      <c r="K2788" s="143">
        <f t="shared" si="917"/>
        <v>0</v>
      </c>
      <c r="L2788" s="144">
        <f t="shared" si="913"/>
        <v>64</v>
      </c>
      <c r="M2788" s="275">
        <f t="shared" si="889"/>
        <v>192</v>
      </c>
      <c r="N2788" s="98"/>
      <c r="O2788" s="93">
        <f t="shared" si="911"/>
        <v>0</v>
      </c>
      <c r="ON2788" s="100">
        <f t="shared" si="900"/>
        <v>0</v>
      </c>
    </row>
    <row r="2789" spans="1:404" ht="23.25" customHeight="1">
      <c r="A2789" s="97" t="str">
        <f t="shared" si="914"/>
        <v>002A/GLOBAL PALMS -VG-2166-17500-01-B</v>
      </c>
      <c r="B2789" s="95">
        <v>44671</v>
      </c>
      <c r="C2789" s="97">
        <f t="shared" ca="1" si="915"/>
        <v>-393</v>
      </c>
      <c r="D2789" s="112" t="s">
        <v>2220</v>
      </c>
      <c r="E2789" s="123" t="s">
        <v>2221</v>
      </c>
      <c r="F2789" s="98" t="str">
        <f t="shared" si="916"/>
        <v>B</v>
      </c>
      <c r="G2789" s="110">
        <f ca="1">SUMIF($A:E,$A2789,K:K)</f>
        <v>0</v>
      </c>
      <c r="H2789" s="97" t="s">
        <v>927</v>
      </c>
      <c r="I2789" s="98">
        <v>20</v>
      </c>
      <c r="J2789" s="115">
        <v>20</v>
      </c>
      <c r="K2789" s="143">
        <f t="shared" si="917"/>
        <v>0</v>
      </c>
      <c r="L2789" s="144">
        <f t="shared" si="913"/>
        <v>20</v>
      </c>
      <c r="M2789" s="275">
        <f t="shared" ref="M2789:M2845" si="918">IF(OR(MID(E2789,10,1)="0",MID(E2789,10,1)="F"),I2789,IF(OR(,MID(E2789,10,1)="S",MID(E2789,10,1)="L",MID(E2789,10,1)="B",MID(E2789,10,1)="X"),MID(E2789,11,1)*I2789,0))</f>
        <v>20</v>
      </c>
      <c r="N2789" s="98">
        <v>4</v>
      </c>
      <c r="O2789" s="93">
        <f t="shared" si="911"/>
        <v>0</v>
      </c>
      <c r="ON2789" s="100">
        <f t="shared" si="900"/>
        <v>0</v>
      </c>
    </row>
    <row r="2790" spans="1:404" ht="23.25" customHeight="1">
      <c r="A2790" s="97" t="str">
        <f t="shared" si="914"/>
        <v>002A/GLOBAL PALMS -VG-2166-17500-02-B</v>
      </c>
      <c r="B2790" s="95">
        <v>44671</v>
      </c>
      <c r="C2790" s="97">
        <f t="shared" ca="1" si="915"/>
        <v>-393</v>
      </c>
      <c r="D2790" s="112" t="s">
        <v>2220</v>
      </c>
      <c r="E2790" s="123" t="s">
        <v>2222</v>
      </c>
      <c r="F2790" s="98" t="str">
        <f t="shared" si="916"/>
        <v>B</v>
      </c>
      <c r="G2790" s="110">
        <f ca="1">SUMIF($A:E,$A2790,K:K)</f>
        <v>0</v>
      </c>
      <c r="H2790" s="97" t="s">
        <v>927</v>
      </c>
      <c r="I2790" s="98">
        <v>36</v>
      </c>
      <c r="J2790" s="115">
        <v>36</v>
      </c>
      <c r="K2790" s="143">
        <f t="shared" si="917"/>
        <v>0</v>
      </c>
      <c r="L2790" s="144">
        <f t="shared" si="913"/>
        <v>36</v>
      </c>
      <c r="M2790" s="275">
        <f t="shared" si="918"/>
        <v>36</v>
      </c>
      <c r="N2790" s="98">
        <v>3</v>
      </c>
      <c r="O2790" s="93">
        <f t="shared" si="911"/>
        <v>0</v>
      </c>
      <c r="ON2790" s="100">
        <f t="shared" si="900"/>
        <v>0</v>
      </c>
    </row>
    <row r="2791" spans="1:404" ht="23.25" customHeight="1">
      <c r="A2791" s="97" t="str">
        <f t="shared" si="914"/>
        <v>002A/GLOBAL PALMS -VG-2166-17500-03-B</v>
      </c>
      <c r="B2791" s="95">
        <v>44671</v>
      </c>
      <c r="C2791" s="97">
        <f t="shared" ca="1" si="915"/>
        <v>-393</v>
      </c>
      <c r="D2791" s="112" t="s">
        <v>2220</v>
      </c>
      <c r="E2791" s="123" t="s">
        <v>2223</v>
      </c>
      <c r="F2791" s="98" t="str">
        <f t="shared" si="916"/>
        <v>B</v>
      </c>
      <c r="G2791" s="110">
        <f ca="1">SUMIF($A:E,$A2791,K:K)</f>
        <v>0</v>
      </c>
      <c r="H2791" s="97" t="s">
        <v>927</v>
      </c>
      <c r="I2791" s="98">
        <v>96</v>
      </c>
      <c r="J2791" s="115">
        <v>96</v>
      </c>
      <c r="K2791" s="143">
        <f t="shared" si="917"/>
        <v>0</v>
      </c>
      <c r="L2791" s="144">
        <f t="shared" si="913"/>
        <v>96</v>
      </c>
      <c r="M2791" s="275">
        <f t="shared" si="918"/>
        <v>96</v>
      </c>
      <c r="N2791" s="98"/>
      <c r="O2791" s="93">
        <f t="shared" si="911"/>
        <v>0</v>
      </c>
      <c r="ON2791" s="100">
        <f t="shared" si="900"/>
        <v>0</v>
      </c>
    </row>
    <row r="2792" spans="1:404" ht="23.25" customHeight="1">
      <c r="A2792" s="97" t="str">
        <f t="shared" si="914"/>
        <v>002A/GLOBAL PALMS -VG-2166-61309-S3-B</v>
      </c>
      <c r="B2792" s="95">
        <v>44671</v>
      </c>
      <c r="C2792" s="97">
        <f t="shared" ca="1" si="915"/>
        <v>-393</v>
      </c>
      <c r="D2792" s="112" t="s">
        <v>2220</v>
      </c>
      <c r="E2792" s="123" t="s">
        <v>2224</v>
      </c>
      <c r="F2792" s="98" t="str">
        <f t="shared" si="916"/>
        <v>B</v>
      </c>
      <c r="G2792" s="110">
        <f ca="1">SUMIF($A:E,$A2792,K:K)</f>
        <v>0</v>
      </c>
      <c r="H2792" s="97" t="s">
        <v>927</v>
      </c>
      <c r="I2792" s="98">
        <v>32</v>
      </c>
      <c r="J2792" s="115">
        <v>32</v>
      </c>
      <c r="K2792" s="143">
        <f t="shared" si="917"/>
        <v>0</v>
      </c>
      <c r="L2792" s="144">
        <f t="shared" si="913"/>
        <v>32</v>
      </c>
      <c r="M2792" s="275">
        <f t="shared" si="918"/>
        <v>96</v>
      </c>
      <c r="N2792" s="98"/>
      <c r="O2792" s="93">
        <f t="shared" si="911"/>
        <v>0</v>
      </c>
      <c r="ON2792" s="100">
        <f t="shared" si="900"/>
        <v>0</v>
      </c>
    </row>
    <row r="2793" spans="1:404" ht="23.25" customHeight="1">
      <c r="A2793" s="97" t="str">
        <f t="shared" si="914"/>
        <v>002A/GLOBAL PALMS -VG-2166-70309-S4-B</v>
      </c>
      <c r="B2793" s="95">
        <v>44671</v>
      </c>
      <c r="C2793" s="97">
        <f t="shared" ca="1" si="915"/>
        <v>-393</v>
      </c>
      <c r="D2793" s="112" t="s">
        <v>2220</v>
      </c>
      <c r="E2793" s="123" t="s">
        <v>1886</v>
      </c>
      <c r="F2793" s="98" t="str">
        <f t="shared" si="916"/>
        <v>B</v>
      </c>
      <c r="G2793" s="110">
        <f ca="1">SUMIF($A:E,$A2793,K:K)</f>
        <v>0</v>
      </c>
      <c r="H2793" s="97" t="s">
        <v>927</v>
      </c>
      <c r="I2793" s="98">
        <v>42</v>
      </c>
      <c r="J2793" s="115">
        <v>42</v>
      </c>
      <c r="K2793" s="143">
        <f t="shared" si="917"/>
        <v>0</v>
      </c>
      <c r="L2793" s="144">
        <f t="shared" si="913"/>
        <v>42</v>
      </c>
      <c r="M2793" s="275">
        <f t="shared" si="918"/>
        <v>168</v>
      </c>
      <c r="N2793" s="98"/>
      <c r="O2793" s="93">
        <f t="shared" si="911"/>
        <v>0</v>
      </c>
      <c r="ON2793" s="100">
        <f t="shared" si="900"/>
        <v>0</v>
      </c>
    </row>
    <row r="2794" spans="1:404" ht="23.25" customHeight="1">
      <c r="A2794" s="97" t="str">
        <f t="shared" si="914"/>
        <v>002A/GLOBAL PALMS -VG-2166-77709-X4-B</v>
      </c>
      <c r="B2794" s="95">
        <v>44671</v>
      </c>
      <c r="C2794" s="97">
        <f t="shared" ca="1" si="915"/>
        <v>-393</v>
      </c>
      <c r="D2794" s="112" t="s">
        <v>2220</v>
      </c>
      <c r="E2794" s="123" t="s">
        <v>1887</v>
      </c>
      <c r="F2794" s="98" t="str">
        <f t="shared" si="916"/>
        <v>B</v>
      </c>
      <c r="G2794" s="110">
        <f ca="1">SUMIF($A:E,$A2794,K:K)</f>
        <v>0</v>
      </c>
      <c r="H2794" s="97" t="s">
        <v>927</v>
      </c>
      <c r="I2794" s="98">
        <v>3272</v>
      </c>
      <c r="J2794" s="115">
        <v>32</v>
      </c>
      <c r="K2794" s="143">
        <f t="shared" si="917"/>
        <v>0</v>
      </c>
      <c r="L2794" s="144">
        <f t="shared" si="913"/>
        <v>32</v>
      </c>
      <c r="M2794" s="275">
        <f t="shared" si="918"/>
        <v>13088</v>
      </c>
      <c r="N2794" s="98"/>
      <c r="O2794" s="93">
        <f t="shared" si="911"/>
        <v>0</v>
      </c>
      <c r="ON2794" s="100">
        <f t="shared" si="900"/>
        <v>0</v>
      </c>
    </row>
    <row r="2795" spans="1:404" ht="23.25" customHeight="1">
      <c r="A2795" s="97" t="str">
        <f t="shared" si="914"/>
        <v>002B/GLOBAL PALMS -VG-2166-01723-S4-B</v>
      </c>
      <c r="B2795" s="95">
        <v>44679</v>
      </c>
      <c r="C2795" s="97">
        <f t="shared" ca="1" si="915"/>
        <v>-385</v>
      </c>
      <c r="D2795" s="112" t="s">
        <v>2225</v>
      </c>
      <c r="E2795" s="123" t="s">
        <v>2226</v>
      </c>
      <c r="F2795" s="98" t="str">
        <f t="shared" si="916"/>
        <v>B</v>
      </c>
      <c r="G2795" s="110">
        <f ca="1">SUMIF($A:E,$A2795,K:K)</f>
        <v>0</v>
      </c>
      <c r="H2795" s="97" t="s">
        <v>927</v>
      </c>
      <c r="I2795" s="98">
        <v>72</v>
      </c>
      <c r="J2795" s="115">
        <v>72</v>
      </c>
      <c r="K2795" s="143">
        <f t="shared" si="917"/>
        <v>0</v>
      </c>
      <c r="L2795" s="144">
        <f t="shared" si="913"/>
        <v>72</v>
      </c>
      <c r="M2795" s="275">
        <f t="shared" si="918"/>
        <v>288</v>
      </c>
      <c r="N2795" s="98"/>
      <c r="O2795" s="93">
        <f t="shared" si="911"/>
        <v>0</v>
      </c>
      <c r="ON2795" s="100">
        <f t="shared" si="900"/>
        <v>0</v>
      </c>
    </row>
    <row r="2796" spans="1:404" ht="23.25" customHeight="1">
      <c r="A2796" s="97" t="str">
        <f t="shared" si="914"/>
        <v>002B/GLOBAL PALMS -VG-2166-06723-S2-B</v>
      </c>
      <c r="B2796" s="95">
        <v>44679</v>
      </c>
      <c r="C2796" s="97">
        <f t="shared" ca="1" si="915"/>
        <v>-385</v>
      </c>
      <c r="D2796" s="112" t="s">
        <v>2225</v>
      </c>
      <c r="E2796" s="123" t="s">
        <v>1226</v>
      </c>
      <c r="F2796" s="98" t="str">
        <f t="shared" si="916"/>
        <v>B</v>
      </c>
      <c r="G2796" s="110">
        <f ca="1">SUMIF($A:E,$A2796,K:K)</f>
        <v>0</v>
      </c>
      <c r="H2796" s="97" t="s">
        <v>927</v>
      </c>
      <c r="I2796" s="98">
        <v>252</v>
      </c>
      <c r="J2796" s="115">
        <v>252</v>
      </c>
      <c r="K2796" s="143">
        <f t="shared" si="917"/>
        <v>0</v>
      </c>
      <c r="L2796" s="144">
        <f t="shared" si="913"/>
        <v>252</v>
      </c>
      <c r="M2796" s="275">
        <f t="shared" si="918"/>
        <v>504</v>
      </c>
      <c r="N2796" s="98"/>
      <c r="O2796" s="93">
        <f t="shared" si="911"/>
        <v>0</v>
      </c>
      <c r="ON2796" s="100">
        <f t="shared" si="900"/>
        <v>0</v>
      </c>
    </row>
    <row r="2797" spans="1:404" ht="23.25" customHeight="1">
      <c r="A2797" s="97" t="str">
        <f t="shared" si="914"/>
        <v>002B/GLOBAL PALMS -VG-2166-12523-B2-B</v>
      </c>
      <c r="B2797" s="95">
        <v>44679</v>
      </c>
      <c r="C2797" s="97">
        <f t="shared" ca="1" si="915"/>
        <v>-385</v>
      </c>
      <c r="D2797" s="112" t="s">
        <v>2225</v>
      </c>
      <c r="E2797" s="123" t="s">
        <v>1021</v>
      </c>
      <c r="F2797" s="98" t="str">
        <f t="shared" si="916"/>
        <v>B</v>
      </c>
      <c r="G2797" s="110">
        <f ca="1">SUMIF($A:E,$A2797,K:K)</f>
        <v>0</v>
      </c>
      <c r="H2797" s="97" t="s">
        <v>927</v>
      </c>
      <c r="I2797" s="98">
        <v>72</v>
      </c>
      <c r="J2797" s="115">
        <v>72</v>
      </c>
      <c r="K2797" s="143">
        <f t="shared" si="917"/>
        <v>0</v>
      </c>
      <c r="L2797" s="144">
        <f t="shared" si="913"/>
        <v>72</v>
      </c>
      <c r="M2797" s="275">
        <f t="shared" si="918"/>
        <v>144</v>
      </c>
      <c r="N2797" s="98"/>
      <c r="O2797" s="93">
        <f t="shared" si="911"/>
        <v>0</v>
      </c>
      <c r="ON2797" s="100">
        <f t="shared" si="900"/>
        <v>0</v>
      </c>
    </row>
    <row r="2798" spans="1:404" ht="23.25" customHeight="1">
      <c r="A2798" s="97" t="str">
        <f t="shared" si="914"/>
        <v>002B/GLOBAL PALMS -VG-2166-77723-X4-B</v>
      </c>
      <c r="B2798" s="95">
        <v>44679</v>
      </c>
      <c r="C2798" s="97">
        <f t="shared" ca="1" si="915"/>
        <v>-385</v>
      </c>
      <c r="D2798" s="112" t="s">
        <v>2225</v>
      </c>
      <c r="E2798" s="123" t="s">
        <v>1932</v>
      </c>
      <c r="F2798" s="92" t="str">
        <f t="shared" si="916"/>
        <v>B</v>
      </c>
      <c r="G2798" s="109">
        <f ca="1">SUMIF($A:E,$A2798,K:K)</f>
        <v>134</v>
      </c>
      <c r="H2798" s="97" t="s">
        <v>927</v>
      </c>
      <c r="I2798" s="98">
        <v>96</v>
      </c>
      <c r="J2798" s="115">
        <v>96</v>
      </c>
      <c r="K2798" s="143">
        <f t="shared" si="917"/>
        <v>134</v>
      </c>
      <c r="L2798" s="144">
        <f t="shared" si="913"/>
        <v>-38</v>
      </c>
      <c r="M2798" s="275">
        <f t="shared" si="918"/>
        <v>384</v>
      </c>
      <c r="N2798" s="98">
        <v>4</v>
      </c>
      <c r="O2798" s="93">
        <f t="shared" si="911"/>
        <v>139.58333333333331</v>
      </c>
      <c r="OA2798" s="100">
        <v>5</v>
      </c>
      <c r="OB2798" s="100">
        <v>9</v>
      </c>
      <c r="OC2798" s="100">
        <v>10</v>
      </c>
      <c r="OD2798" s="100">
        <v>6</v>
      </c>
      <c r="OF2798" s="100">
        <v>1</v>
      </c>
      <c r="OG2798" s="100">
        <v>10</v>
      </c>
      <c r="OH2798" s="100">
        <v>5</v>
      </c>
      <c r="OI2798" s="100">
        <v>5</v>
      </c>
      <c r="OJ2798" s="100">
        <v>5</v>
      </c>
      <c r="OK2798" s="100">
        <v>5</v>
      </c>
      <c r="OM2798" s="100">
        <v>6</v>
      </c>
      <c r="ON2798" s="100">
        <f t="shared" si="900"/>
        <v>67</v>
      </c>
    </row>
    <row r="2799" spans="1:404" ht="23.25" customHeight="1">
      <c r="A2799" s="97" t="str">
        <f t="shared" si="914"/>
        <v>015/TK MAXX-VG-2166-06723-S2-B</v>
      </c>
      <c r="B2799" s="95">
        <v>44693</v>
      </c>
      <c r="C2799" s="97">
        <f t="shared" ca="1" si="915"/>
        <v>-371</v>
      </c>
      <c r="D2799" s="112" t="s">
        <v>2227</v>
      </c>
      <c r="E2799" s="123" t="s">
        <v>1226</v>
      </c>
      <c r="F2799" s="98" t="str">
        <f t="shared" si="916"/>
        <v>B</v>
      </c>
      <c r="G2799" s="110">
        <f ca="1">SUMIF($A:E,$A2799,K:K)</f>
        <v>0</v>
      </c>
      <c r="H2799" s="97" t="s">
        <v>927</v>
      </c>
      <c r="I2799" s="98">
        <v>672</v>
      </c>
      <c r="J2799" s="115">
        <v>672</v>
      </c>
      <c r="K2799" s="143">
        <f t="shared" si="917"/>
        <v>0</v>
      </c>
      <c r="L2799" s="144">
        <f t="shared" ref="L2799:L2800" si="919">J2799-K2799</f>
        <v>672</v>
      </c>
      <c r="M2799" s="275">
        <f t="shared" si="918"/>
        <v>1344</v>
      </c>
      <c r="N2799" s="98"/>
      <c r="O2799" s="93">
        <f t="shared" si="911"/>
        <v>0</v>
      </c>
      <c r="ON2799" s="100">
        <f t="shared" si="900"/>
        <v>0</v>
      </c>
    </row>
    <row r="2800" spans="1:404" ht="23.25" customHeight="1">
      <c r="A2800" s="97" t="str">
        <f t="shared" si="914"/>
        <v>016/TK MAXX-VG-2166-06723-S2-B</v>
      </c>
      <c r="B2800" s="95">
        <v>44693</v>
      </c>
      <c r="C2800" s="97">
        <f t="shared" ca="1" si="915"/>
        <v>-371</v>
      </c>
      <c r="D2800" s="112" t="s">
        <v>2228</v>
      </c>
      <c r="E2800" s="123" t="s">
        <v>1226</v>
      </c>
      <c r="F2800" s="98" t="str">
        <f t="shared" si="916"/>
        <v>B</v>
      </c>
      <c r="G2800" s="110">
        <f ca="1">SUMIF($A:E,$A2800,K:K)</f>
        <v>0</v>
      </c>
      <c r="H2800" s="97" t="s">
        <v>927</v>
      </c>
      <c r="I2800" s="98">
        <v>252</v>
      </c>
      <c r="J2800" s="115">
        <v>252</v>
      </c>
      <c r="K2800" s="143">
        <f t="shared" si="917"/>
        <v>0</v>
      </c>
      <c r="L2800" s="144">
        <f t="shared" si="919"/>
        <v>252</v>
      </c>
      <c r="M2800" s="275">
        <f t="shared" si="918"/>
        <v>504</v>
      </c>
      <c r="N2800" s="98"/>
      <c r="O2800" s="93">
        <f t="shared" si="911"/>
        <v>0</v>
      </c>
      <c r="ON2800" s="100">
        <f t="shared" si="900"/>
        <v>0</v>
      </c>
    </row>
    <row r="2801" spans="1:404" ht="23.25" customHeight="1">
      <c r="A2801" s="97" t="str">
        <f t="shared" si="914"/>
        <v>045/EUROMARKET-VG-2166-52220-02-B4</v>
      </c>
      <c r="B2801" s="95">
        <v>44564</v>
      </c>
      <c r="C2801" s="97">
        <f t="shared" ca="1" si="915"/>
        <v>-500</v>
      </c>
      <c r="D2801" s="112" t="s">
        <v>2229</v>
      </c>
      <c r="E2801" s="123" t="s">
        <v>1651</v>
      </c>
      <c r="F2801" s="98" t="str">
        <f t="shared" si="916"/>
        <v>B4</v>
      </c>
      <c r="G2801" s="110">
        <f ca="1">SUMIF($A:E,$A2801,K:K)</f>
        <v>40</v>
      </c>
      <c r="H2801" s="97" t="s">
        <v>1593</v>
      </c>
      <c r="I2801" s="98">
        <v>40</v>
      </c>
      <c r="J2801" s="115">
        <v>40</v>
      </c>
      <c r="K2801" s="143">
        <f t="shared" si="917"/>
        <v>40</v>
      </c>
      <c r="L2801" s="144">
        <f t="shared" ref="L2801" si="920">J2801-K2801</f>
        <v>0</v>
      </c>
      <c r="M2801" s="275">
        <f t="shared" si="918"/>
        <v>40</v>
      </c>
      <c r="N2801" s="98">
        <v>1</v>
      </c>
      <c r="O2801" s="93">
        <f t="shared" si="911"/>
        <v>100</v>
      </c>
      <c r="MR2801" s="100">
        <v>14</v>
      </c>
      <c r="MT2801" s="100">
        <v>12</v>
      </c>
      <c r="MU2801" s="100">
        <v>6</v>
      </c>
      <c r="MW2801" s="100">
        <v>8</v>
      </c>
      <c r="ON2801" s="100">
        <f t="shared" si="900"/>
        <v>0</v>
      </c>
    </row>
    <row r="2802" spans="1:404" ht="23.25" customHeight="1">
      <c r="A2802" s="97" t="str">
        <f t="shared" si="914"/>
        <v>059/HACA-HK-VG-2166-61312-S3-B</v>
      </c>
      <c r="B2802" s="95">
        <v>44615</v>
      </c>
      <c r="C2802" s="97">
        <f t="shared" ca="1" si="915"/>
        <v>-449</v>
      </c>
      <c r="D2802" s="112" t="s">
        <v>2230</v>
      </c>
      <c r="E2802" s="123" t="s">
        <v>425</v>
      </c>
      <c r="F2802" s="98" t="str">
        <f t="shared" si="916"/>
        <v>B</v>
      </c>
      <c r="G2802" s="110">
        <f ca="1">SUMIF($A:E,$A2802,K:K)</f>
        <v>32</v>
      </c>
      <c r="H2802" s="97" t="s">
        <v>927</v>
      </c>
      <c r="I2802" s="98">
        <v>16</v>
      </c>
      <c r="J2802" s="115">
        <v>16</v>
      </c>
      <c r="K2802" s="143">
        <f t="shared" si="917"/>
        <v>32</v>
      </c>
      <c r="L2802" s="144">
        <f t="shared" ref="L2802:L2810" si="921">J2802-K2802</f>
        <v>-16</v>
      </c>
      <c r="M2802" s="275">
        <f t="shared" si="918"/>
        <v>48</v>
      </c>
      <c r="N2802" s="98">
        <v>2</v>
      </c>
      <c r="O2802" s="93">
        <f t="shared" si="911"/>
        <v>200</v>
      </c>
      <c r="NU2802" s="100">
        <v>1</v>
      </c>
      <c r="NV2802" s="100">
        <v>2</v>
      </c>
      <c r="NY2802" s="100">
        <v>2</v>
      </c>
      <c r="NZ2802" s="100">
        <v>8</v>
      </c>
      <c r="OA2802" s="100">
        <v>3</v>
      </c>
      <c r="ON2802" s="100">
        <f t="shared" si="900"/>
        <v>16</v>
      </c>
    </row>
    <row r="2803" spans="1:404" ht="23.25" customHeight="1">
      <c r="A2803" s="97" t="str">
        <f t="shared" si="914"/>
        <v>060/HACA-HK-VG-2166-51012-S2-B</v>
      </c>
      <c r="B2803" s="95">
        <v>44719</v>
      </c>
      <c r="C2803" s="97">
        <f t="shared" ca="1" si="915"/>
        <v>-345</v>
      </c>
      <c r="D2803" s="112" t="s">
        <v>2231</v>
      </c>
      <c r="E2803" s="123" t="s">
        <v>419</v>
      </c>
      <c r="F2803" s="98" t="str">
        <f t="shared" si="916"/>
        <v>B</v>
      </c>
      <c r="G2803" s="110">
        <f ca="1">SUMIF($A:E,$A2803,K:K)</f>
        <v>0</v>
      </c>
      <c r="H2803" s="97" t="s">
        <v>927</v>
      </c>
      <c r="I2803" s="98">
        <v>30</v>
      </c>
      <c r="J2803" s="115">
        <v>30</v>
      </c>
      <c r="K2803" s="143">
        <f t="shared" si="917"/>
        <v>0</v>
      </c>
      <c r="L2803" s="144">
        <f t="shared" si="921"/>
        <v>30</v>
      </c>
      <c r="M2803" s="275">
        <f t="shared" si="918"/>
        <v>60</v>
      </c>
      <c r="N2803" s="98"/>
      <c r="O2803" s="93">
        <f t="shared" si="911"/>
        <v>0</v>
      </c>
      <c r="ON2803" s="100">
        <f t="shared" si="900"/>
        <v>0</v>
      </c>
    </row>
    <row r="2804" spans="1:404" ht="23.25" customHeight="1">
      <c r="A2804" s="97" t="str">
        <f t="shared" si="914"/>
        <v>060/HACA-HK-VG-2166-51712-S2-B</v>
      </c>
      <c r="B2804" s="95">
        <v>44719</v>
      </c>
      <c r="C2804" s="97">
        <f t="shared" ca="1" si="915"/>
        <v>-345</v>
      </c>
      <c r="D2804" s="112" t="s">
        <v>2231</v>
      </c>
      <c r="E2804" s="123" t="s">
        <v>422</v>
      </c>
      <c r="F2804" s="98" t="str">
        <f t="shared" si="916"/>
        <v>B</v>
      </c>
      <c r="G2804" s="110">
        <f ca="1">SUMIF($A:E,$A2804,K:K)</f>
        <v>0</v>
      </c>
      <c r="H2804" s="97" t="s">
        <v>927</v>
      </c>
      <c r="I2804" s="98">
        <v>36</v>
      </c>
      <c r="J2804" s="115">
        <v>36</v>
      </c>
      <c r="K2804" s="143">
        <f t="shared" si="917"/>
        <v>0</v>
      </c>
      <c r="L2804" s="144">
        <f t="shared" si="921"/>
        <v>36</v>
      </c>
      <c r="M2804" s="275">
        <f t="shared" si="918"/>
        <v>72</v>
      </c>
      <c r="N2804" s="98"/>
      <c r="O2804" s="93">
        <f t="shared" si="911"/>
        <v>0</v>
      </c>
      <c r="ON2804" s="100">
        <f t="shared" si="900"/>
        <v>0</v>
      </c>
    </row>
    <row r="2805" spans="1:404" ht="23.25" customHeight="1">
      <c r="A2805" s="97" t="str">
        <f t="shared" si="914"/>
        <v>060/HACA-HK-VG-2166-61312-B2-B</v>
      </c>
      <c r="B2805" s="95">
        <v>44719</v>
      </c>
      <c r="C2805" s="97">
        <f t="shared" ca="1" si="915"/>
        <v>-345</v>
      </c>
      <c r="D2805" s="112" t="s">
        <v>2231</v>
      </c>
      <c r="E2805" s="123" t="s">
        <v>805</v>
      </c>
      <c r="F2805" s="98" t="str">
        <f t="shared" si="916"/>
        <v>B</v>
      </c>
      <c r="G2805" s="110">
        <f ca="1">SUMIF($A:E,$A2805,K:K)</f>
        <v>0</v>
      </c>
      <c r="H2805" s="97" t="s">
        <v>927</v>
      </c>
      <c r="I2805" s="98">
        <v>90</v>
      </c>
      <c r="J2805" s="115">
        <v>90</v>
      </c>
      <c r="K2805" s="143">
        <f t="shared" si="917"/>
        <v>0</v>
      </c>
      <c r="L2805" s="144">
        <f t="shared" si="921"/>
        <v>90</v>
      </c>
      <c r="M2805" s="275">
        <f t="shared" si="918"/>
        <v>180</v>
      </c>
      <c r="N2805" s="98"/>
      <c r="O2805" s="93">
        <f t="shared" si="911"/>
        <v>0</v>
      </c>
      <c r="ON2805" s="100">
        <f t="shared" si="900"/>
        <v>0</v>
      </c>
    </row>
    <row r="2806" spans="1:404" ht="23.25" customHeight="1">
      <c r="A2806" s="97" t="str">
        <f t="shared" si="914"/>
        <v>060/HACA-HK-VG-2166-61312-S3-B</v>
      </c>
      <c r="B2806" s="95">
        <v>44719</v>
      </c>
      <c r="C2806" s="97">
        <f t="shared" ca="1" si="915"/>
        <v>-345</v>
      </c>
      <c r="D2806" s="112" t="s">
        <v>2231</v>
      </c>
      <c r="E2806" s="123" t="s">
        <v>425</v>
      </c>
      <c r="F2806" s="98" t="str">
        <f t="shared" si="916"/>
        <v>B</v>
      </c>
      <c r="G2806" s="110">
        <f ca="1">SUMIF($A:E,$A2806,K:K)</f>
        <v>0</v>
      </c>
      <c r="H2806" s="97" t="s">
        <v>927</v>
      </c>
      <c r="I2806" s="98">
        <v>64</v>
      </c>
      <c r="J2806" s="115">
        <v>64</v>
      </c>
      <c r="K2806" s="143">
        <f t="shared" si="917"/>
        <v>0</v>
      </c>
      <c r="L2806" s="144">
        <f t="shared" si="921"/>
        <v>64</v>
      </c>
      <c r="M2806" s="275">
        <f t="shared" si="918"/>
        <v>192</v>
      </c>
      <c r="N2806" s="98"/>
      <c r="O2806" s="93">
        <f t="shared" si="911"/>
        <v>0</v>
      </c>
      <c r="ON2806" s="100">
        <f t="shared" si="900"/>
        <v>0</v>
      </c>
    </row>
    <row r="2807" spans="1:404" ht="23.25" customHeight="1">
      <c r="A2807" s="97" t="str">
        <f t="shared" si="914"/>
        <v>060/HACA-HK-VG-2166-77712-L4-B</v>
      </c>
      <c r="B2807" s="95">
        <v>44719</v>
      </c>
      <c r="C2807" s="97">
        <f t="shared" ca="1" si="915"/>
        <v>-345</v>
      </c>
      <c r="D2807" s="112" t="s">
        <v>2231</v>
      </c>
      <c r="E2807" s="123" t="s">
        <v>789</v>
      </c>
      <c r="F2807" s="98" t="str">
        <f t="shared" si="916"/>
        <v>B</v>
      </c>
      <c r="G2807" s="110">
        <f ca="1">SUMIF($A:E,$A2807,K:K)</f>
        <v>0</v>
      </c>
      <c r="H2807" s="97" t="s">
        <v>927</v>
      </c>
      <c r="I2807" s="98">
        <v>24</v>
      </c>
      <c r="J2807" s="115">
        <v>24</v>
      </c>
      <c r="K2807" s="143">
        <f t="shared" si="917"/>
        <v>0</v>
      </c>
      <c r="L2807" s="144">
        <f t="shared" si="921"/>
        <v>24</v>
      </c>
      <c r="M2807" s="275">
        <f t="shared" si="918"/>
        <v>96</v>
      </c>
      <c r="N2807" s="98"/>
      <c r="O2807" s="93">
        <f t="shared" si="911"/>
        <v>0</v>
      </c>
      <c r="ON2807" s="100">
        <f t="shared" si="900"/>
        <v>0</v>
      </c>
    </row>
    <row r="2808" spans="1:404" ht="23.25" customHeight="1">
      <c r="A2808" s="97" t="str">
        <f t="shared" si="914"/>
        <v>060/HACA-HK-VG-2166-77712-X4-B</v>
      </c>
      <c r="B2808" s="95">
        <v>44719</v>
      </c>
      <c r="C2808" s="97">
        <f t="shared" ca="1" si="915"/>
        <v>-345</v>
      </c>
      <c r="D2808" s="112" t="s">
        <v>2231</v>
      </c>
      <c r="E2808" s="123" t="s">
        <v>808</v>
      </c>
      <c r="F2808" s="98" t="str">
        <f t="shared" si="916"/>
        <v>B</v>
      </c>
      <c r="G2808" s="110">
        <f ca="1">SUMIF($A:E,$A2808,K:K)</f>
        <v>0</v>
      </c>
      <c r="H2808" s="97" t="s">
        <v>927</v>
      </c>
      <c r="I2808" s="175">
        <v>64</v>
      </c>
      <c r="J2808" s="115">
        <v>64</v>
      </c>
      <c r="K2808" s="143">
        <f t="shared" si="917"/>
        <v>0</v>
      </c>
      <c r="L2808" s="144">
        <f t="shared" si="921"/>
        <v>64</v>
      </c>
      <c r="M2808" s="275">
        <f t="shared" si="918"/>
        <v>256</v>
      </c>
      <c r="N2808" s="98"/>
      <c r="O2808" s="93">
        <f t="shared" si="911"/>
        <v>0</v>
      </c>
      <c r="ON2808" s="100">
        <f t="shared" si="900"/>
        <v>0</v>
      </c>
    </row>
    <row r="2809" spans="1:404" ht="23.25" customHeight="1">
      <c r="A2809" s="97" t="str">
        <f t="shared" si="914"/>
        <v>015/NOIDIA-2166-67224-01-B</v>
      </c>
      <c r="B2809" s="95">
        <v>44522</v>
      </c>
      <c r="C2809" s="97">
        <f t="shared" ca="1" si="915"/>
        <v>-542</v>
      </c>
      <c r="D2809" s="325" t="s">
        <v>2234</v>
      </c>
      <c r="E2809" s="325" t="s">
        <v>2233</v>
      </c>
      <c r="F2809" s="98" t="str">
        <f t="shared" si="916"/>
        <v>B</v>
      </c>
      <c r="G2809" s="110">
        <f ca="1">SUMIF($A:E,$A2809,K:K)</f>
        <v>2</v>
      </c>
      <c r="H2809" s="97" t="s">
        <v>616</v>
      </c>
      <c r="I2809" s="124">
        <v>16</v>
      </c>
      <c r="J2809" s="99">
        <v>2</v>
      </c>
      <c r="K2809" s="143">
        <f t="shared" si="917"/>
        <v>2</v>
      </c>
      <c r="L2809" s="144">
        <f t="shared" si="921"/>
        <v>0</v>
      </c>
      <c r="M2809" s="275">
        <f t="shared" si="918"/>
        <v>16</v>
      </c>
      <c r="N2809" s="98">
        <v>2</v>
      </c>
      <c r="O2809" s="93">
        <f t="shared" si="911"/>
        <v>100</v>
      </c>
      <c r="LE2809" s="100">
        <v>2</v>
      </c>
      <c r="ON2809" s="100">
        <f t="shared" si="900"/>
        <v>0</v>
      </c>
    </row>
    <row r="2810" spans="1:404" ht="23.25" customHeight="1">
      <c r="A2810" s="97" t="str">
        <f t="shared" si="914"/>
        <v>061B/PTSP-PT-2180-00600-02-B</v>
      </c>
      <c r="B2810" s="95">
        <v>44530</v>
      </c>
      <c r="C2810" s="97">
        <f t="shared" ca="1" si="915"/>
        <v>-534</v>
      </c>
      <c r="D2810" s="96" t="s">
        <v>2236</v>
      </c>
      <c r="E2810" s="94" t="s">
        <v>2097</v>
      </c>
      <c r="F2810" s="98" t="str">
        <f t="shared" si="916"/>
        <v>B</v>
      </c>
      <c r="G2810" s="110">
        <f ca="1">SUMIF($A:E,$A2810,K:K)</f>
        <v>18</v>
      </c>
      <c r="H2810" s="97" t="s">
        <v>508</v>
      </c>
      <c r="I2810" s="124">
        <v>10</v>
      </c>
      <c r="J2810" s="115">
        <v>18</v>
      </c>
      <c r="K2810" s="143">
        <f t="shared" si="917"/>
        <v>18</v>
      </c>
      <c r="L2810" s="144">
        <f t="shared" si="921"/>
        <v>0</v>
      </c>
      <c r="M2810" s="275">
        <f t="shared" si="918"/>
        <v>10</v>
      </c>
      <c r="N2810" s="98">
        <v>2</v>
      </c>
      <c r="O2810" s="93">
        <f t="shared" si="911"/>
        <v>100</v>
      </c>
      <c r="LF2810" s="100">
        <v>5</v>
      </c>
      <c r="LG2810" s="100">
        <v>3</v>
      </c>
      <c r="LJ2810" s="100">
        <v>2</v>
      </c>
      <c r="LK2810" s="100">
        <v>1</v>
      </c>
      <c r="LN2810" s="100">
        <v>7</v>
      </c>
      <c r="ON2810" s="100">
        <f t="shared" si="900"/>
        <v>0</v>
      </c>
    </row>
    <row r="2811" spans="1:404" ht="23.25" customHeight="1">
      <c r="A2811" s="97" t="str">
        <f t="shared" si="914"/>
        <v>078/VG_SR-21(ITIMASIA)66-01711-04-B</v>
      </c>
      <c r="B2811" s="95">
        <v>44524</v>
      </c>
      <c r="C2811" s="97">
        <f t="shared" ca="1" si="915"/>
        <v>-540</v>
      </c>
      <c r="D2811" s="111" t="s">
        <v>2237</v>
      </c>
      <c r="E2811" s="225" t="s">
        <v>2238</v>
      </c>
      <c r="F2811" s="98" t="str">
        <f t="shared" si="916"/>
        <v>B</v>
      </c>
      <c r="G2811" s="110">
        <f ca="1">SUMIF($A:E,$A2811,K:K)</f>
        <v>4</v>
      </c>
      <c r="H2811" s="97" t="s">
        <v>508</v>
      </c>
      <c r="I2811" s="124">
        <v>16</v>
      </c>
      <c r="J2811" s="115">
        <v>4</v>
      </c>
      <c r="K2811" s="143">
        <f t="shared" si="917"/>
        <v>4</v>
      </c>
      <c r="L2811" s="144">
        <f t="shared" ref="L2811:L2822" si="922">J2811-K2811</f>
        <v>0</v>
      </c>
      <c r="M2811" s="275">
        <f t="shared" si="918"/>
        <v>16</v>
      </c>
      <c r="N2811" s="98">
        <v>2</v>
      </c>
      <c r="O2811" s="93">
        <f t="shared" si="911"/>
        <v>100</v>
      </c>
      <c r="LF2811" s="100">
        <v>4</v>
      </c>
      <c r="ON2811" s="100">
        <f t="shared" si="900"/>
        <v>0</v>
      </c>
    </row>
    <row r="2812" spans="1:404" ht="23.25" customHeight="1">
      <c r="A2812" s="97" t="str">
        <f t="shared" si="914"/>
        <v>320/KHBS-2166-12522-03-B</v>
      </c>
      <c r="B2812" s="95">
        <v>44526</v>
      </c>
      <c r="C2812" s="97">
        <f t="shared" ca="1" si="915"/>
        <v>-538</v>
      </c>
      <c r="D2812" s="96" t="s">
        <v>2239</v>
      </c>
      <c r="E2812" s="94" t="s">
        <v>1192</v>
      </c>
      <c r="F2812" s="98" t="str">
        <f t="shared" si="916"/>
        <v>B</v>
      </c>
      <c r="G2812" s="110">
        <f ca="1">SUMIF($A:E,$A2812,K:K)</f>
        <v>3</v>
      </c>
      <c r="H2812" s="97" t="s">
        <v>508</v>
      </c>
      <c r="I2812" s="124">
        <v>45</v>
      </c>
      <c r="J2812" s="115">
        <v>3</v>
      </c>
      <c r="K2812" s="143">
        <f t="shared" si="917"/>
        <v>3</v>
      </c>
      <c r="L2812" s="144">
        <f t="shared" si="922"/>
        <v>0</v>
      </c>
      <c r="M2812" s="275">
        <f t="shared" si="918"/>
        <v>45</v>
      </c>
      <c r="N2812" s="211">
        <v>6</v>
      </c>
      <c r="O2812" s="93">
        <f t="shared" si="911"/>
        <v>100</v>
      </c>
      <c r="LF2812" s="100">
        <v>3</v>
      </c>
      <c r="ON2812" s="100">
        <f t="shared" si="900"/>
        <v>0</v>
      </c>
    </row>
    <row r="2813" spans="1:404" ht="23.25" customHeight="1">
      <c r="A2813" s="97" t="str">
        <f>D2813&amp;E2814</f>
        <v>317/KHBS-21(001/SIERRA-21)68-57700-02-B</v>
      </c>
      <c r="B2813" s="95">
        <v>44525</v>
      </c>
      <c r="C2813" s="97">
        <f t="shared" ref="C2813:C2835" ca="1" si="923">B2813-TODAY()</f>
        <v>-539</v>
      </c>
      <c r="D2813" s="111" t="s">
        <v>2240</v>
      </c>
      <c r="E2813" s="225" t="s">
        <v>1537</v>
      </c>
      <c r="F2813" s="98" t="str">
        <f t="shared" ref="F2813:F2842" si="924">MID(E2813,13,2)</f>
        <v>B</v>
      </c>
      <c r="G2813" s="110">
        <f ca="1">SUMIF($A:E,$A2813,K:K)</f>
        <v>1</v>
      </c>
      <c r="H2813" s="97" t="s">
        <v>508</v>
      </c>
      <c r="I2813" s="124">
        <v>36</v>
      </c>
      <c r="J2813" s="97">
        <v>1</v>
      </c>
      <c r="K2813" s="143">
        <f t="shared" si="917"/>
        <v>1</v>
      </c>
      <c r="L2813" s="144">
        <f t="shared" si="922"/>
        <v>0</v>
      </c>
      <c r="M2813" s="275">
        <f t="shared" si="918"/>
        <v>36</v>
      </c>
      <c r="N2813" s="98">
        <v>4</v>
      </c>
      <c r="O2813" s="93">
        <f t="shared" si="911"/>
        <v>100</v>
      </c>
      <c r="LG2813" s="100">
        <v>1</v>
      </c>
      <c r="ON2813" s="100">
        <f t="shared" si="900"/>
        <v>0</v>
      </c>
    </row>
    <row r="2814" spans="1:404" ht="23.25" customHeight="1">
      <c r="A2814" s="97" t="str">
        <f>D2814&amp;E2814</f>
        <v>077/VG_SR-21( EL)68-57700-02-B</v>
      </c>
      <c r="B2814" s="95">
        <v>44523</v>
      </c>
      <c r="C2814" s="97">
        <f t="shared" ca="1" si="923"/>
        <v>-541</v>
      </c>
      <c r="D2814" s="111" t="s">
        <v>2186</v>
      </c>
      <c r="E2814" s="225" t="s">
        <v>322</v>
      </c>
      <c r="F2814" s="92" t="str">
        <f t="shared" si="924"/>
        <v>B</v>
      </c>
      <c r="G2814" s="109">
        <f ca="1">SUMIF($A:E,$A2814,K:K)</f>
        <v>1</v>
      </c>
      <c r="H2814" s="111" t="s">
        <v>2187</v>
      </c>
      <c r="I2814" s="124">
        <v>32</v>
      </c>
      <c r="J2814" s="115">
        <v>1</v>
      </c>
      <c r="K2814" s="143">
        <f t="shared" si="917"/>
        <v>1</v>
      </c>
      <c r="L2814" s="144">
        <f t="shared" si="922"/>
        <v>0</v>
      </c>
      <c r="M2814" s="275">
        <f t="shared" si="918"/>
        <v>32</v>
      </c>
      <c r="N2814" s="98">
        <v>3</v>
      </c>
      <c r="O2814" s="93">
        <f t="shared" si="911"/>
        <v>100</v>
      </c>
      <c r="LG2814" s="100">
        <v>1</v>
      </c>
      <c r="ON2814" s="100">
        <f t="shared" si="900"/>
        <v>0</v>
      </c>
    </row>
    <row r="2815" spans="1:404" ht="23.25" customHeight="1">
      <c r="A2815" s="97" t="str">
        <f>D2815&amp;E2815</f>
        <v>077/VG_SR-21( EL)68-57700-03-B</v>
      </c>
      <c r="B2815" s="95">
        <v>44523</v>
      </c>
      <c r="C2815" s="97">
        <f t="shared" ca="1" si="923"/>
        <v>-541</v>
      </c>
      <c r="D2815" s="111" t="s">
        <v>2186</v>
      </c>
      <c r="E2815" s="225" t="s">
        <v>323</v>
      </c>
      <c r="F2815" s="92" t="str">
        <f t="shared" si="924"/>
        <v>B</v>
      </c>
      <c r="G2815" s="109">
        <f ca="1">SUMIF($A:E,$A2815,K:K)</f>
        <v>1</v>
      </c>
      <c r="H2815" s="111" t="s">
        <v>2187</v>
      </c>
      <c r="I2815" s="124">
        <v>16</v>
      </c>
      <c r="J2815" s="115">
        <v>1</v>
      </c>
      <c r="K2815" s="143">
        <f t="shared" si="917"/>
        <v>1</v>
      </c>
      <c r="L2815" s="144">
        <f t="shared" si="922"/>
        <v>0</v>
      </c>
      <c r="M2815" s="275">
        <f t="shared" si="918"/>
        <v>16</v>
      </c>
      <c r="N2815" s="98">
        <v>3</v>
      </c>
      <c r="O2815" s="93">
        <f t="shared" si="911"/>
        <v>100</v>
      </c>
      <c r="LG2815" s="100">
        <v>1</v>
      </c>
      <c r="ON2815" s="100">
        <f t="shared" si="900"/>
        <v>0</v>
      </c>
    </row>
    <row r="2816" spans="1:404" ht="23.25" customHeight="1">
      <c r="A2816" s="97" t="str">
        <f>D2816&amp;E2817</f>
        <v>321/KHBS-2166-54100-B2-B</v>
      </c>
      <c r="B2816" s="95">
        <v>44530</v>
      </c>
      <c r="C2816" s="97">
        <f t="shared" ca="1" si="923"/>
        <v>-534</v>
      </c>
      <c r="D2816" s="96" t="s">
        <v>2241</v>
      </c>
      <c r="E2816" s="94" t="s">
        <v>582</v>
      </c>
      <c r="F2816" s="98" t="str">
        <f t="shared" si="924"/>
        <v>B</v>
      </c>
      <c r="G2816" s="110">
        <f ca="1">SUMIF($A:E,$A2816,K:K)</f>
        <v>2</v>
      </c>
      <c r="H2816" s="97" t="s">
        <v>508</v>
      </c>
      <c r="I2816" s="124">
        <v>16</v>
      </c>
      <c r="J2816" s="97">
        <v>2</v>
      </c>
      <c r="K2816" s="143">
        <f t="shared" si="917"/>
        <v>2</v>
      </c>
      <c r="L2816" s="144">
        <f t="shared" si="922"/>
        <v>0</v>
      </c>
      <c r="M2816" s="275">
        <f t="shared" si="918"/>
        <v>32</v>
      </c>
      <c r="N2816" s="98">
        <v>4</v>
      </c>
      <c r="O2816" s="93">
        <f t="shared" si="911"/>
        <v>100</v>
      </c>
      <c r="LI2816" s="100">
        <v>2</v>
      </c>
      <c r="ON2816" s="100">
        <f t="shared" si="900"/>
        <v>0</v>
      </c>
    </row>
    <row r="2817" spans="1:404" ht="23.25" customHeight="1">
      <c r="A2817" s="97" t="str">
        <f t="shared" ref="A2817:A2834" si="925">D2817&amp;E2817</f>
        <v>101_SR-21(SIPLEC)66-54100-B2-B</v>
      </c>
      <c r="B2817" s="95">
        <v>44533</v>
      </c>
      <c r="C2817" s="97">
        <f t="shared" ca="1" si="923"/>
        <v>-531</v>
      </c>
      <c r="D2817" s="96" t="s">
        <v>2243</v>
      </c>
      <c r="E2817" s="94" t="s">
        <v>1564</v>
      </c>
      <c r="F2817" s="98" t="str">
        <f t="shared" si="924"/>
        <v>B</v>
      </c>
      <c r="G2817" s="110">
        <f ca="1">SUMIF($A:E,$A2817,K:K)</f>
        <v>2</v>
      </c>
      <c r="H2817" s="97" t="s">
        <v>2244</v>
      </c>
      <c r="I2817" s="98">
        <v>1</v>
      </c>
      <c r="J2817" s="99">
        <v>1</v>
      </c>
      <c r="K2817" s="143">
        <f t="shared" si="917"/>
        <v>1</v>
      </c>
      <c r="L2817" s="144">
        <f t="shared" si="922"/>
        <v>0</v>
      </c>
      <c r="M2817" s="275">
        <f t="shared" si="918"/>
        <v>2</v>
      </c>
      <c r="N2817" s="98">
        <v>1</v>
      </c>
      <c r="O2817" s="93">
        <f t="shared" si="911"/>
        <v>100</v>
      </c>
      <c r="LM2817" s="100">
        <v>1</v>
      </c>
      <c r="ON2817" s="100">
        <f t="shared" si="900"/>
        <v>0</v>
      </c>
    </row>
    <row r="2818" spans="1:404" ht="23.25" customHeight="1">
      <c r="A2818" s="97" t="str">
        <f t="shared" si="925"/>
        <v>101_SR-21(SIPLEC)66-54100-B2-B</v>
      </c>
      <c r="B2818" s="95">
        <v>44533</v>
      </c>
      <c r="C2818" s="97">
        <f t="shared" ca="1" si="923"/>
        <v>-531</v>
      </c>
      <c r="D2818" s="96" t="s">
        <v>2243</v>
      </c>
      <c r="E2818" s="94" t="s">
        <v>1564</v>
      </c>
      <c r="F2818" s="98" t="str">
        <f t="shared" si="924"/>
        <v>B</v>
      </c>
      <c r="G2818" s="110">
        <f ca="1">SUMIF($A:E,$A2818,K:K)</f>
        <v>2</v>
      </c>
      <c r="H2818" s="97" t="s">
        <v>2244</v>
      </c>
      <c r="I2818" s="98">
        <v>1</v>
      </c>
      <c r="J2818" s="99">
        <v>1</v>
      </c>
      <c r="K2818" s="143">
        <f t="shared" si="917"/>
        <v>1</v>
      </c>
      <c r="L2818" s="144">
        <f t="shared" si="922"/>
        <v>0</v>
      </c>
      <c r="M2818" s="275">
        <f t="shared" si="918"/>
        <v>2</v>
      </c>
      <c r="N2818" s="98">
        <v>1</v>
      </c>
      <c r="O2818" s="93">
        <f t="shared" si="911"/>
        <v>100</v>
      </c>
      <c r="LM2818" s="100">
        <v>1</v>
      </c>
      <c r="ON2818" s="100">
        <f t="shared" si="900"/>
        <v>0</v>
      </c>
    </row>
    <row r="2819" spans="1:404" ht="23.25" customHeight="1">
      <c r="A2819" s="97" t="str">
        <f t="shared" si="925"/>
        <v>101_SR-21(SIPLEC)66-80136-02-B</v>
      </c>
      <c r="B2819" s="95">
        <v>44533</v>
      </c>
      <c r="C2819" s="97">
        <f t="shared" ca="1" si="923"/>
        <v>-531</v>
      </c>
      <c r="D2819" s="96" t="s">
        <v>2243</v>
      </c>
      <c r="E2819" s="94" t="s">
        <v>639</v>
      </c>
      <c r="F2819" s="98" t="str">
        <f t="shared" si="924"/>
        <v>B</v>
      </c>
      <c r="G2819" s="110">
        <f ca="1">SUMIF($A:E,$A2819,K:K)</f>
        <v>2</v>
      </c>
      <c r="H2819" s="97" t="s">
        <v>2244</v>
      </c>
      <c r="I2819" s="98">
        <v>72</v>
      </c>
      <c r="J2819" s="99">
        <v>1</v>
      </c>
      <c r="K2819" s="143">
        <f t="shared" si="917"/>
        <v>1</v>
      </c>
      <c r="L2819" s="144">
        <f t="shared" si="922"/>
        <v>0</v>
      </c>
      <c r="M2819" s="275">
        <f t="shared" si="918"/>
        <v>72</v>
      </c>
      <c r="N2819" s="98">
        <v>1</v>
      </c>
      <c r="O2819" s="93">
        <f t="shared" si="911"/>
        <v>100</v>
      </c>
      <c r="LL2819" s="100">
        <v>1</v>
      </c>
      <c r="ON2819" s="100">
        <f t="shared" si="900"/>
        <v>0</v>
      </c>
    </row>
    <row r="2820" spans="1:404" ht="23.25" customHeight="1">
      <c r="A2820" s="97" t="str">
        <f t="shared" si="925"/>
        <v>101_SR-21(SIPLEC)66-80136-02-B</v>
      </c>
      <c r="B2820" s="95">
        <v>44533</v>
      </c>
      <c r="C2820" s="97">
        <f t="shared" ca="1" si="923"/>
        <v>-531</v>
      </c>
      <c r="D2820" s="96" t="s">
        <v>2243</v>
      </c>
      <c r="E2820" s="94" t="s">
        <v>639</v>
      </c>
      <c r="F2820" s="98" t="str">
        <f t="shared" si="924"/>
        <v>B</v>
      </c>
      <c r="G2820" s="110">
        <f ca="1">SUMIF($A:E,$A2820,K:K)</f>
        <v>2</v>
      </c>
      <c r="H2820" s="97" t="s">
        <v>2244</v>
      </c>
      <c r="I2820" s="98">
        <v>72</v>
      </c>
      <c r="J2820" s="99">
        <v>1</v>
      </c>
      <c r="K2820" s="143">
        <f t="shared" si="917"/>
        <v>1</v>
      </c>
      <c r="L2820" s="144">
        <f t="shared" si="922"/>
        <v>0</v>
      </c>
      <c r="M2820" s="275">
        <f t="shared" si="918"/>
        <v>72</v>
      </c>
      <c r="N2820" s="98">
        <v>1</v>
      </c>
      <c r="O2820" s="93">
        <f t="shared" si="911"/>
        <v>100</v>
      </c>
      <c r="LL2820" s="100">
        <v>1</v>
      </c>
      <c r="ON2820" s="100">
        <f t="shared" ref="ON2820:ON2883" si="926">SUM(NS2820:OM2820)</f>
        <v>0</v>
      </c>
    </row>
    <row r="2821" spans="1:404" ht="23.25" customHeight="1">
      <c r="A2821" s="97" t="str">
        <f t="shared" si="925"/>
        <v>101_SR-21(SIPLEC)66-80036-03-B</v>
      </c>
      <c r="B2821" s="95">
        <v>44533</v>
      </c>
      <c r="C2821" s="97">
        <f t="shared" ca="1" si="923"/>
        <v>-531</v>
      </c>
      <c r="D2821" s="96" t="s">
        <v>2243</v>
      </c>
      <c r="E2821" s="94" t="s">
        <v>638</v>
      </c>
      <c r="F2821" s="98" t="str">
        <f t="shared" si="924"/>
        <v>B</v>
      </c>
      <c r="G2821" s="110">
        <f ca="1">SUMIF($A:E,$A2821,K:K)</f>
        <v>2</v>
      </c>
      <c r="H2821" s="97" t="s">
        <v>2244</v>
      </c>
      <c r="I2821" s="98">
        <v>72</v>
      </c>
      <c r="J2821" s="99">
        <v>1</v>
      </c>
      <c r="K2821" s="143">
        <f t="shared" si="917"/>
        <v>1</v>
      </c>
      <c r="L2821" s="144">
        <f t="shared" si="922"/>
        <v>0</v>
      </c>
      <c r="M2821" s="275">
        <f t="shared" si="918"/>
        <v>72</v>
      </c>
      <c r="N2821" s="98">
        <v>1</v>
      </c>
      <c r="O2821" s="93">
        <f t="shared" si="911"/>
        <v>100</v>
      </c>
      <c r="LL2821" s="100">
        <v>1</v>
      </c>
      <c r="ON2821" s="100">
        <f t="shared" si="926"/>
        <v>0</v>
      </c>
    </row>
    <row r="2822" spans="1:404" ht="23.25" customHeight="1">
      <c r="A2822" s="97" t="str">
        <f t="shared" si="925"/>
        <v>101_SR-21(SIPLEC)66-80036-03-B</v>
      </c>
      <c r="B2822" s="95">
        <v>44533</v>
      </c>
      <c r="C2822" s="97">
        <f t="shared" ca="1" si="923"/>
        <v>-531</v>
      </c>
      <c r="D2822" s="96" t="s">
        <v>2243</v>
      </c>
      <c r="E2822" s="94" t="s">
        <v>638</v>
      </c>
      <c r="F2822" s="98" t="str">
        <f t="shared" si="924"/>
        <v>B</v>
      </c>
      <c r="G2822" s="110">
        <f ca="1">SUMIF($A:E,$A2822,K:K)</f>
        <v>2</v>
      </c>
      <c r="H2822" s="97" t="s">
        <v>2244</v>
      </c>
      <c r="I2822" s="98">
        <v>72</v>
      </c>
      <c r="J2822" s="99">
        <v>1</v>
      </c>
      <c r="K2822" s="143">
        <f t="shared" si="917"/>
        <v>1</v>
      </c>
      <c r="L2822" s="144">
        <f t="shared" si="922"/>
        <v>0</v>
      </c>
      <c r="M2822" s="275">
        <f t="shared" si="918"/>
        <v>72</v>
      </c>
      <c r="N2822" s="98">
        <v>1</v>
      </c>
      <c r="O2822" s="93">
        <f t="shared" si="911"/>
        <v>100</v>
      </c>
      <c r="LL2822" s="100">
        <v>1</v>
      </c>
      <c r="ON2822" s="100">
        <f t="shared" si="926"/>
        <v>0</v>
      </c>
    </row>
    <row r="2823" spans="1:404" ht="23.25" customHeight="1">
      <c r="A2823" s="97" t="str">
        <f t="shared" si="925"/>
        <v>321/KHBS-2166-87400-S1-B</v>
      </c>
      <c r="B2823" s="95">
        <v>44532</v>
      </c>
      <c r="C2823" s="97">
        <f t="shared" ca="1" si="923"/>
        <v>-532</v>
      </c>
      <c r="D2823" s="96" t="s">
        <v>2241</v>
      </c>
      <c r="E2823" s="94" t="s">
        <v>1547</v>
      </c>
      <c r="F2823" s="98" t="str">
        <f t="shared" si="924"/>
        <v>B</v>
      </c>
      <c r="G2823" s="110">
        <f ca="1">SUMIF($A:E,$A2823,K:K)</f>
        <v>1</v>
      </c>
      <c r="H2823" s="97" t="s">
        <v>1593</v>
      </c>
      <c r="I2823" s="98">
        <v>72</v>
      </c>
      <c r="J2823" s="99">
        <v>1</v>
      </c>
      <c r="K2823" s="143">
        <f t="shared" si="917"/>
        <v>1</v>
      </c>
      <c r="L2823" s="144">
        <f t="shared" ref="L2823:L2825" si="927">J2823-K2823</f>
        <v>0</v>
      </c>
      <c r="M2823" s="275">
        <f t="shared" si="918"/>
        <v>72</v>
      </c>
      <c r="N2823" s="98">
        <v>3</v>
      </c>
      <c r="O2823" s="93">
        <f t="shared" si="911"/>
        <v>100</v>
      </c>
      <c r="LL2823" s="100">
        <v>1</v>
      </c>
      <c r="ON2823" s="100">
        <f t="shared" si="926"/>
        <v>0</v>
      </c>
    </row>
    <row r="2824" spans="1:404" ht="23.25" customHeight="1">
      <c r="A2824" s="97" t="str">
        <f t="shared" si="925"/>
        <v>321/KHBS-2168-57700-02-B</v>
      </c>
      <c r="B2824" s="95">
        <v>44532</v>
      </c>
      <c r="C2824" s="97">
        <f t="shared" ca="1" si="923"/>
        <v>-532</v>
      </c>
      <c r="D2824" s="96" t="s">
        <v>2241</v>
      </c>
      <c r="E2824" s="94" t="s">
        <v>322</v>
      </c>
      <c r="F2824" s="98" t="str">
        <f t="shared" si="924"/>
        <v>B</v>
      </c>
      <c r="G2824" s="110">
        <f ca="1">SUMIF($A:E,$A2824,K:K)</f>
        <v>1</v>
      </c>
      <c r="H2824" s="97" t="s">
        <v>1593</v>
      </c>
      <c r="I2824" s="98">
        <v>72</v>
      </c>
      <c r="J2824" s="99">
        <v>1</v>
      </c>
      <c r="K2824" s="143">
        <f t="shared" si="917"/>
        <v>1</v>
      </c>
      <c r="L2824" s="144">
        <f t="shared" si="927"/>
        <v>0</v>
      </c>
      <c r="M2824" s="275">
        <f t="shared" si="918"/>
        <v>72</v>
      </c>
      <c r="N2824" s="98">
        <v>3</v>
      </c>
      <c r="O2824" s="93">
        <f t="shared" si="911"/>
        <v>100</v>
      </c>
      <c r="LM2824" s="100">
        <v>1</v>
      </c>
      <c r="ON2824" s="100">
        <f t="shared" si="926"/>
        <v>0</v>
      </c>
    </row>
    <row r="2825" spans="1:404" ht="23.25" customHeight="1">
      <c r="A2825" s="97" t="str">
        <f t="shared" si="925"/>
        <v>321/KHBS-2168-57700-03-B</v>
      </c>
      <c r="B2825" s="95">
        <v>44532</v>
      </c>
      <c r="C2825" s="97">
        <f t="shared" ca="1" si="923"/>
        <v>-532</v>
      </c>
      <c r="D2825" s="96" t="s">
        <v>2241</v>
      </c>
      <c r="E2825" s="94" t="s">
        <v>323</v>
      </c>
      <c r="F2825" s="98" t="str">
        <f t="shared" si="924"/>
        <v>B</v>
      </c>
      <c r="G2825" s="110">
        <f ca="1">SUMIF($A:E,$A2825,K:K)</f>
        <v>1</v>
      </c>
      <c r="H2825" s="97" t="s">
        <v>1593</v>
      </c>
      <c r="I2825" s="98">
        <v>72</v>
      </c>
      <c r="J2825" s="99">
        <v>1</v>
      </c>
      <c r="K2825" s="143">
        <f t="shared" si="917"/>
        <v>1</v>
      </c>
      <c r="L2825" s="144">
        <f t="shared" si="927"/>
        <v>0</v>
      </c>
      <c r="M2825" s="275">
        <f t="shared" si="918"/>
        <v>72</v>
      </c>
      <c r="N2825" s="98">
        <v>3</v>
      </c>
      <c r="O2825" s="93">
        <f t="shared" si="911"/>
        <v>100</v>
      </c>
      <c r="LM2825" s="100">
        <v>1</v>
      </c>
      <c r="ON2825" s="100">
        <f t="shared" si="926"/>
        <v>0</v>
      </c>
    </row>
    <row r="2826" spans="1:404" ht="23.25" customHeight="1">
      <c r="A2826" s="97" t="str">
        <f t="shared" si="925"/>
        <v>322/KHBS-2166-84100-02-B</v>
      </c>
      <c r="B2826" s="95">
        <v>44532</v>
      </c>
      <c r="C2826" s="97">
        <f t="shared" ca="1" si="923"/>
        <v>-532</v>
      </c>
      <c r="D2826" s="96" t="s">
        <v>2247</v>
      </c>
      <c r="E2826" s="94" t="s">
        <v>668</v>
      </c>
      <c r="F2826" s="98" t="str">
        <f t="shared" si="924"/>
        <v>B</v>
      </c>
      <c r="G2826" s="110">
        <f ca="1">SUMIF($A:E,$A2826,K:K)</f>
        <v>1</v>
      </c>
      <c r="H2826" s="97" t="s">
        <v>1593</v>
      </c>
      <c r="I2826" s="98">
        <v>72</v>
      </c>
      <c r="J2826" s="99">
        <v>1</v>
      </c>
      <c r="K2826" s="143">
        <f t="shared" si="917"/>
        <v>1</v>
      </c>
      <c r="L2826" s="144">
        <f t="shared" ref="L2826" si="928">J2826-K2826</f>
        <v>0</v>
      </c>
      <c r="M2826" s="275">
        <f t="shared" si="918"/>
        <v>72</v>
      </c>
      <c r="N2826" s="98" t="s">
        <v>1776</v>
      </c>
      <c r="O2826" s="93">
        <f t="shared" si="911"/>
        <v>100</v>
      </c>
      <c r="LJ2826" s="100">
        <v>1</v>
      </c>
      <c r="ON2826" s="100">
        <f t="shared" si="926"/>
        <v>0</v>
      </c>
    </row>
    <row r="2827" spans="1:404" ht="23.25" customHeight="1">
      <c r="A2827" s="97" t="str">
        <f t="shared" si="925"/>
        <v>500/POTTERYPOT-VG-2166-02600-01-A</v>
      </c>
      <c r="B2827" s="95">
        <v>44704</v>
      </c>
      <c r="C2827" s="97">
        <f t="shared" ca="1" si="923"/>
        <v>-360</v>
      </c>
      <c r="D2827" s="96" t="s">
        <v>2245</v>
      </c>
      <c r="E2827" s="280" t="s">
        <v>611</v>
      </c>
      <c r="F2827" s="98" t="str">
        <f t="shared" si="924"/>
        <v>A</v>
      </c>
      <c r="G2827" s="110">
        <f ca="1">SUMIF($A:E,$A2827,K:K)</f>
        <v>0</v>
      </c>
      <c r="H2827" s="97" t="s">
        <v>1593</v>
      </c>
      <c r="I2827" s="98">
        <v>16</v>
      </c>
      <c r="J2827" s="99">
        <v>16</v>
      </c>
      <c r="K2827" s="143">
        <f t="shared" si="917"/>
        <v>0</v>
      </c>
      <c r="L2827" s="144">
        <f t="shared" ref="L2827:L2833" si="929">J2827-K2827</f>
        <v>16</v>
      </c>
      <c r="M2827" s="275">
        <f t="shared" si="918"/>
        <v>16</v>
      </c>
      <c r="N2827" s="98"/>
      <c r="O2827" s="93">
        <f t="shared" ref="O2827:O2839" si="930">K2827/J2827*100</f>
        <v>0</v>
      </c>
      <c r="ON2827" s="100">
        <f t="shared" si="926"/>
        <v>0</v>
      </c>
    </row>
    <row r="2828" spans="1:404" ht="23.25" customHeight="1">
      <c r="A2828" s="97" t="str">
        <f t="shared" si="925"/>
        <v>500/POTTERYPOT-VG-2166-02700-01-A</v>
      </c>
      <c r="B2828" s="95">
        <v>44704</v>
      </c>
      <c r="C2828" s="97">
        <f t="shared" ca="1" si="923"/>
        <v>-360</v>
      </c>
      <c r="D2828" s="96" t="s">
        <v>2245</v>
      </c>
      <c r="E2828" s="280" t="s">
        <v>1196</v>
      </c>
      <c r="F2828" s="98" t="str">
        <f t="shared" si="924"/>
        <v>A</v>
      </c>
      <c r="G2828" s="110">
        <f ca="1">SUMIF($A:E,$A2828,K:K)</f>
        <v>0</v>
      </c>
      <c r="H2828" s="97" t="s">
        <v>1593</v>
      </c>
      <c r="I2828" s="98">
        <v>10</v>
      </c>
      <c r="J2828" s="99">
        <v>10</v>
      </c>
      <c r="K2828" s="143">
        <f t="shared" si="917"/>
        <v>0</v>
      </c>
      <c r="L2828" s="144">
        <f t="shared" si="929"/>
        <v>10</v>
      </c>
      <c r="M2828" s="275">
        <f t="shared" si="918"/>
        <v>10</v>
      </c>
      <c r="N2828" s="98"/>
      <c r="O2828" s="93">
        <f t="shared" si="930"/>
        <v>0</v>
      </c>
      <c r="ON2828" s="100">
        <f t="shared" si="926"/>
        <v>0</v>
      </c>
    </row>
    <row r="2829" spans="1:404" ht="23.25" customHeight="1">
      <c r="A2829" s="97" t="str">
        <f t="shared" si="925"/>
        <v>500/POTTERYPOT-VG-2166-03000-01-A</v>
      </c>
      <c r="B2829" s="95">
        <v>44704</v>
      </c>
      <c r="C2829" s="97">
        <f t="shared" ca="1" si="923"/>
        <v>-360</v>
      </c>
      <c r="D2829" s="96" t="s">
        <v>2245</v>
      </c>
      <c r="E2829" s="280" t="s">
        <v>612</v>
      </c>
      <c r="F2829" s="98" t="str">
        <f t="shared" si="924"/>
        <v>A</v>
      </c>
      <c r="G2829" s="110">
        <f ca="1">SUMIF($A:E,$A2829,K:K)</f>
        <v>0</v>
      </c>
      <c r="H2829" s="97" t="s">
        <v>1593</v>
      </c>
      <c r="I2829" s="98">
        <v>16</v>
      </c>
      <c r="J2829" s="99">
        <v>16</v>
      </c>
      <c r="K2829" s="143">
        <f t="shared" si="917"/>
        <v>0</v>
      </c>
      <c r="L2829" s="144">
        <f t="shared" si="929"/>
        <v>16</v>
      </c>
      <c r="M2829" s="275">
        <f t="shared" si="918"/>
        <v>16</v>
      </c>
      <c r="N2829" s="98"/>
      <c r="O2829" s="93">
        <f t="shared" si="930"/>
        <v>0</v>
      </c>
      <c r="ON2829" s="100">
        <f t="shared" si="926"/>
        <v>0</v>
      </c>
    </row>
    <row r="2830" spans="1:404" ht="23.25" customHeight="1">
      <c r="A2830" s="97" t="str">
        <f t="shared" si="925"/>
        <v>500/POTTERYPOT-VG-2166-03000-02-A</v>
      </c>
      <c r="B2830" s="95">
        <v>44704</v>
      </c>
      <c r="C2830" s="97">
        <f t="shared" ca="1" si="923"/>
        <v>-360</v>
      </c>
      <c r="D2830" s="96" t="s">
        <v>2245</v>
      </c>
      <c r="E2830" s="280" t="s">
        <v>686</v>
      </c>
      <c r="F2830" s="98" t="str">
        <f t="shared" si="924"/>
        <v>A</v>
      </c>
      <c r="G2830" s="110">
        <f ca="1">SUMIF($A:E,$A2830,K:K)</f>
        <v>0</v>
      </c>
      <c r="H2830" s="97" t="s">
        <v>1593</v>
      </c>
      <c r="I2830" s="98">
        <v>45</v>
      </c>
      <c r="J2830" s="99">
        <v>45</v>
      </c>
      <c r="K2830" s="143">
        <f t="shared" si="917"/>
        <v>0</v>
      </c>
      <c r="L2830" s="144">
        <f t="shared" si="929"/>
        <v>45</v>
      </c>
      <c r="M2830" s="275">
        <f t="shared" si="918"/>
        <v>45</v>
      </c>
      <c r="N2830" s="98"/>
      <c r="O2830" s="93">
        <f t="shared" si="930"/>
        <v>0</v>
      </c>
      <c r="ON2830" s="100">
        <f t="shared" si="926"/>
        <v>0</v>
      </c>
    </row>
    <row r="2831" spans="1:404" ht="23.25" customHeight="1">
      <c r="A2831" s="97" t="str">
        <f t="shared" si="925"/>
        <v>500/POTTERYPOT-VG-2166-55400-02-A</v>
      </c>
      <c r="B2831" s="95">
        <v>44704</v>
      </c>
      <c r="C2831" s="97">
        <f t="shared" ca="1" si="923"/>
        <v>-360</v>
      </c>
      <c r="D2831" s="96" t="s">
        <v>2245</v>
      </c>
      <c r="E2831" s="280" t="s">
        <v>1198</v>
      </c>
      <c r="F2831" s="98" t="str">
        <f t="shared" si="924"/>
        <v>A</v>
      </c>
      <c r="G2831" s="110">
        <f ca="1">SUMIF($A:E,$A2831,K:K)</f>
        <v>0</v>
      </c>
      <c r="H2831" s="97" t="s">
        <v>1593</v>
      </c>
      <c r="I2831" s="98">
        <v>36</v>
      </c>
      <c r="J2831" s="99">
        <v>36</v>
      </c>
      <c r="K2831" s="143">
        <f t="shared" si="917"/>
        <v>0</v>
      </c>
      <c r="L2831" s="144">
        <f t="shared" si="929"/>
        <v>36</v>
      </c>
      <c r="M2831" s="275">
        <f t="shared" si="918"/>
        <v>36</v>
      </c>
      <c r="N2831" s="98"/>
      <c r="O2831" s="93">
        <f t="shared" si="930"/>
        <v>0</v>
      </c>
      <c r="ON2831" s="100">
        <f t="shared" si="926"/>
        <v>0</v>
      </c>
    </row>
    <row r="2832" spans="1:404" ht="23.25" customHeight="1">
      <c r="A2832" s="97" t="str">
        <f t="shared" si="925"/>
        <v>500/POTTERYPOT-VG-2166-77700-02-A</v>
      </c>
      <c r="B2832" s="95">
        <v>44704</v>
      </c>
      <c r="C2832" s="97">
        <f t="shared" ca="1" si="923"/>
        <v>-360</v>
      </c>
      <c r="D2832" s="96" t="s">
        <v>2245</v>
      </c>
      <c r="E2832" s="280" t="s">
        <v>1199</v>
      </c>
      <c r="F2832" s="98" t="str">
        <f t="shared" si="924"/>
        <v>A</v>
      </c>
      <c r="G2832" s="110">
        <f ca="1">SUMIF($A:E,$A2832,K:K)</f>
        <v>0</v>
      </c>
      <c r="H2832" s="97" t="s">
        <v>1593</v>
      </c>
      <c r="I2832" s="98">
        <v>32</v>
      </c>
      <c r="J2832" s="99">
        <v>32</v>
      </c>
      <c r="K2832" s="143">
        <f t="shared" si="917"/>
        <v>0</v>
      </c>
      <c r="L2832" s="144">
        <f t="shared" si="929"/>
        <v>32</v>
      </c>
      <c r="M2832" s="275">
        <f t="shared" si="918"/>
        <v>32</v>
      </c>
      <c r="N2832" s="98"/>
      <c r="O2832" s="93">
        <f t="shared" si="930"/>
        <v>0</v>
      </c>
      <c r="ON2832" s="100">
        <f t="shared" si="926"/>
        <v>0</v>
      </c>
    </row>
    <row r="2833" spans="1:404" ht="23.25" customHeight="1">
      <c r="A2833" s="97" t="str">
        <f t="shared" si="925"/>
        <v>500/POTTERYPOT-VG-2166-77900-01-A</v>
      </c>
      <c r="B2833" s="95">
        <v>44704</v>
      </c>
      <c r="C2833" s="97">
        <f t="shared" ca="1" si="923"/>
        <v>-360</v>
      </c>
      <c r="D2833" s="96" t="s">
        <v>2245</v>
      </c>
      <c r="E2833" s="280" t="s">
        <v>1200</v>
      </c>
      <c r="F2833" s="98" t="str">
        <f t="shared" si="924"/>
        <v>A</v>
      </c>
      <c r="G2833" s="110">
        <f ca="1">SUMIF($A:E,$A2833,K:K)</f>
        <v>0</v>
      </c>
      <c r="H2833" s="97" t="s">
        <v>1593</v>
      </c>
      <c r="I2833" s="98">
        <v>16</v>
      </c>
      <c r="J2833" s="99">
        <v>16</v>
      </c>
      <c r="K2833" s="143">
        <f t="shared" si="917"/>
        <v>0</v>
      </c>
      <c r="L2833" s="144">
        <f t="shared" si="929"/>
        <v>16</v>
      </c>
      <c r="M2833" s="275">
        <f t="shared" si="918"/>
        <v>16</v>
      </c>
      <c r="N2833" s="98"/>
      <c r="O2833" s="93">
        <f t="shared" si="930"/>
        <v>0</v>
      </c>
      <c r="ON2833" s="100">
        <f t="shared" si="926"/>
        <v>0</v>
      </c>
    </row>
    <row r="2834" spans="1:404" ht="23.25" customHeight="1">
      <c r="A2834" s="97" t="str">
        <f t="shared" si="925"/>
        <v>500/POTTERYPOT-VG-2166-77900-02-A</v>
      </c>
      <c r="B2834" s="95">
        <v>44704</v>
      </c>
      <c r="C2834" s="97">
        <f t="shared" ca="1" si="923"/>
        <v>-360</v>
      </c>
      <c r="D2834" s="96" t="s">
        <v>2245</v>
      </c>
      <c r="E2834" s="280" t="s">
        <v>1591</v>
      </c>
      <c r="F2834" s="98" t="str">
        <f t="shared" si="924"/>
        <v>A</v>
      </c>
      <c r="G2834" s="110">
        <f ca="1">SUMIF($A:E,$A2834,K:K)</f>
        <v>0</v>
      </c>
      <c r="H2834" s="97" t="s">
        <v>1593</v>
      </c>
      <c r="I2834" s="98">
        <v>16</v>
      </c>
      <c r="J2834" s="99">
        <v>16</v>
      </c>
      <c r="K2834" s="143">
        <f t="shared" si="917"/>
        <v>0</v>
      </c>
      <c r="L2834" s="144">
        <f t="shared" ref="L2834" si="931">J2834-K2834</f>
        <v>16</v>
      </c>
      <c r="M2834" s="275">
        <f t="shared" si="918"/>
        <v>16</v>
      </c>
      <c r="N2834" s="98"/>
      <c r="O2834" s="93">
        <f t="shared" si="930"/>
        <v>0</v>
      </c>
      <c r="ON2834" s="100">
        <f t="shared" si="926"/>
        <v>0</v>
      </c>
    </row>
    <row r="2835" spans="1:404" ht="23.25" customHeight="1">
      <c r="A2835" s="97" t="str">
        <f>D2835&amp;E2836</f>
        <v>324/KHBS-2166-79129-L3-B</v>
      </c>
      <c r="B2835" s="95">
        <v>44534</v>
      </c>
      <c r="C2835" s="101">
        <f t="shared" ca="1" si="923"/>
        <v>-530</v>
      </c>
      <c r="D2835" s="96" t="s">
        <v>2256</v>
      </c>
      <c r="E2835" s="94" t="s">
        <v>582</v>
      </c>
      <c r="F2835" s="98" t="str">
        <f t="shared" si="924"/>
        <v>B</v>
      </c>
      <c r="G2835" s="110">
        <f ca="1">SUMIF($A:E,$A2835,K:K)</f>
        <v>2</v>
      </c>
      <c r="H2835" s="97" t="s">
        <v>508</v>
      </c>
      <c r="I2835" s="98">
        <v>72</v>
      </c>
      <c r="J2835" s="99">
        <v>2</v>
      </c>
      <c r="K2835" s="143">
        <f t="shared" si="917"/>
        <v>2</v>
      </c>
      <c r="L2835" s="144">
        <f t="shared" ref="L2835:L2838" si="932">J2835-K2835</f>
        <v>0</v>
      </c>
      <c r="M2835" s="275">
        <f t="shared" si="918"/>
        <v>144</v>
      </c>
      <c r="N2835" s="98">
        <v>4</v>
      </c>
      <c r="O2835" s="93">
        <f t="shared" si="930"/>
        <v>100</v>
      </c>
      <c r="LK2835" s="100">
        <v>2</v>
      </c>
      <c r="ON2835" s="100">
        <f t="shared" si="926"/>
        <v>0</v>
      </c>
    </row>
    <row r="2836" spans="1:404" ht="23.25" customHeight="1">
      <c r="A2836" s="127" t="str">
        <f>D2836&amp;E2837</f>
        <v>324/KHBS-2166-12500-03-B</v>
      </c>
      <c r="B2836" s="126">
        <v>44534</v>
      </c>
      <c r="D2836" s="128" t="s">
        <v>2256</v>
      </c>
      <c r="E2836" s="129" t="s">
        <v>1284</v>
      </c>
      <c r="F2836" s="132" t="str">
        <f t="shared" si="924"/>
        <v>B</v>
      </c>
      <c r="G2836" s="130">
        <f ca="1">SUMIF($A:E,$A2836,K:K)</f>
        <v>2</v>
      </c>
      <c r="H2836" s="127" t="s">
        <v>508</v>
      </c>
      <c r="I2836" s="98">
        <v>72</v>
      </c>
      <c r="J2836" s="131">
        <v>2</v>
      </c>
      <c r="K2836" s="160">
        <f t="shared" si="917"/>
        <v>2</v>
      </c>
      <c r="L2836" s="151">
        <f t="shared" si="932"/>
        <v>0</v>
      </c>
      <c r="M2836" s="275">
        <f t="shared" si="918"/>
        <v>216</v>
      </c>
      <c r="N2836" s="132">
        <v>4</v>
      </c>
      <c r="O2836" s="93">
        <f t="shared" si="930"/>
        <v>100</v>
      </c>
      <c r="LK2836" s="100">
        <v>2</v>
      </c>
      <c r="ON2836" s="100">
        <f t="shared" si="926"/>
        <v>0</v>
      </c>
    </row>
    <row r="2837" spans="1:404" ht="23.25" customHeight="1">
      <c r="A2837" s="97" t="str">
        <f t="shared" ref="A2837:A2843" si="933">D2837&amp;E2837</f>
        <v>326/KHBS-21(005/MARSHALLS-21)66-12500-03-B</v>
      </c>
      <c r="B2837" s="95">
        <v>44538</v>
      </c>
      <c r="C2837" s="97">
        <f t="shared" ref="C2837:C2843" ca="1" si="934">B2837-TODAY()</f>
        <v>-526</v>
      </c>
      <c r="D2837" s="112" t="s">
        <v>2258</v>
      </c>
      <c r="E2837" s="123" t="s">
        <v>1208</v>
      </c>
      <c r="F2837" s="98" t="str">
        <f t="shared" si="924"/>
        <v>B</v>
      </c>
      <c r="G2837" s="110">
        <f ca="1">SUMIF($A:E,$A2837,K:K)</f>
        <v>2</v>
      </c>
      <c r="H2837" s="97" t="s">
        <v>508</v>
      </c>
      <c r="I2837" s="98">
        <v>2</v>
      </c>
      <c r="J2837" s="115">
        <v>2</v>
      </c>
      <c r="K2837" s="143">
        <f t="shared" si="917"/>
        <v>2</v>
      </c>
      <c r="L2837" s="144">
        <f t="shared" si="932"/>
        <v>0</v>
      </c>
      <c r="M2837" s="275">
        <f t="shared" si="918"/>
        <v>2</v>
      </c>
      <c r="N2837" s="98">
        <v>2</v>
      </c>
      <c r="O2837" s="93">
        <f t="shared" si="930"/>
        <v>100</v>
      </c>
      <c r="LP2837" s="100">
        <v>2</v>
      </c>
      <c r="ON2837" s="100">
        <f t="shared" si="926"/>
        <v>0</v>
      </c>
    </row>
    <row r="2838" spans="1:404" ht="23.25" customHeight="1">
      <c r="A2838" s="97" t="str">
        <f t="shared" si="933"/>
        <v>327/KHBS-2168-72500-02-B</v>
      </c>
      <c r="B2838" s="95">
        <v>44540</v>
      </c>
      <c r="C2838" s="97">
        <f t="shared" ca="1" si="934"/>
        <v>-524</v>
      </c>
      <c r="D2838" s="96" t="s">
        <v>2260</v>
      </c>
      <c r="E2838" s="94" t="s">
        <v>514</v>
      </c>
      <c r="F2838" s="98" t="str">
        <f t="shared" si="924"/>
        <v>B</v>
      </c>
      <c r="G2838" s="110">
        <f ca="1">SUMIF($A:E,$A2838,K:K)</f>
        <v>2</v>
      </c>
      <c r="H2838" s="97" t="s">
        <v>508</v>
      </c>
      <c r="I2838" s="98">
        <v>72</v>
      </c>
      <c r="J2838" s="115">
        <v>2</v>
      </c>
      <c r="K2838" s="143">
        <f t="shared" si="917"/>
        <v>2</v>
      </c>
      <c r="L2838" s="144">
        <f t="shared" si="932"/>
        <v>0</v>
      </c>
      <c r="M2838" s="275">
        <f t="shared" si="918"/>
        <v>72</v>
      </c>
      <c r="N2838" s="98">
        <v>1</v>
      </c>
      <c r="O2838" s="93">
        <f t="shared" si="930"/>
        <v>100</v>
      </c>
      <c r="LU2838" s="100">
        <v>2</v>
      </c>
      <c r="ON2838" s="100">
        <f t="shared" si="926"/>
        <v>0</v>
      </c>
    </row>
    <row r="2839" spans="1:404" ht="23.25" customHeight="1">
      <c r="A2839" s="97" t="str">
        <f t="shared" si="933"/>
        <v>328/KHBS-2166-53037-S3-B4</v>
      </c>
      <c r="B2839" s="95">
        <v>44541</v>
      </c>
      <c r="C2839" s="97">
        <f t="shared" ca="1" si="934"/>
        <v>-523</v>
      </c>
      <c r="D2839" s="96" t="s">
        <v>2261</v>
      </c>
      <c r="E2839" s="94" t="s">
        <v>1273</v>
      </c>
      <c r="F2839" s="98" t="str">
        <f t="shared" si="924"/>
        <v>B4</v>
      </c>
      <c r="G2839" s="110">
        <f ca="1">SUMIF($A:E,$A2839,K:K)</f>
        <v>1</v>
      </c>
      <c r="H2839" s="97" t="s">
        <v>508</v>
      </c>
      <c r="I2839" s="98">
        <v>72</v>
      </c>
      <c r="J2839" s="115">
        <v>1</v>
      </c>
      <c r="K2839" s="143">
        <f t="shared" si="917"/>
        <v>1</v>
      </c>
      <c r="L2839" s="144">
        <f t="shared" ref="L2839:L2841" si="935">J2839-K2839</f>
        <v>0</v>
      </c>
      <c r="M2839" s="275">
        <f t="shared" si="918"/>
        <v>216</v>
      </c>
      <c r="N2839" s="98">
        <v>2</v>
      </c>
      <c r="O2839" s="93">
        <f t="shared" si="930"/>
        <v>100</v>
      </c>
      <c r="LQ2839" s="100">
        <v>1</v>
      </c>
      <c r="ON2839" s="100">
        <f t="shared" si="926"/>
        <v>0</v>
      </c>
    </row>
    <row r="2840" spans="1:404" ht="23.25" customHeight="1">
      <c r="A2840" s="97" t="str">
        <f t="shared" si="933"/>
        <v>328/KHBS-2168-83600-S1-A</v>
      </c>
      <c r="B2840" s="95">
        <v>44541</v>
      </c>
      <c r="C2840" s="97">
        <f t="shared" ca="1" si="934"/>
        <v>-523</v>
      </c>
      <c r="D2840" s="96" t="s">
        <v>2261</v>
      </c>
      <c r="E2840" s="94" t="s">
        <v>586</v>
      </c>
      <c r="F2840" s="98" t="str">
        <f t="shared" si="924"/>
        <v>A</v>
      </c>
      <c r="G2840" s="110">
        <f ca="1">SUMIF($A:E,$A2840,K:K)</f>
        <v>1</v>
      </c>
      <c r="H2840" s="97" t="s">
        <v>508</v>
      </c>
      <c r="I2840" s="98">
        <v>72</v>
      </c>
      <c r="J2840" s="115">
        <v>1</v>
      </c>
      <c r="K2840" s="143">
        <f t="shared" si="917"/>
        <v>1</v>
      </c>
      <c r="L2840" s="144">
        <f t="shared" si="935"/>
        <v>0</v>
      </c>
      <c r="M2840" s="275">
        <f t="shared" si="918"/>
        <v>72</v>
      </c>
      <c r="N2840" s="98" t="s">
        <v>1776</v>
      </c>
      <c r="O2840" s="93">
        <f t="shared" ref="O2840:O2847" si="936">K2840/J2840*100</f>
        <v>100</v>
      </c>
      <c r="LP2840" s="100">
        <v>1</v>
      </c>
      <c r="ON2840" s="100">
        <f t="shared" si="926"/>
        <v>0</v>
      </c>
    </row>
    <row r="2841" spans="1:404" ht="23.25" customHeight="1">
      <c r="A2841" s="97" t="str">
        <f t="shared" si="933"/>
        <v>328/KHBS-2166-70300-02-B</v>
      </c>
      <c r="B2841" s="95">
        <v>44541</v>
      </c>
      <c r="C2841" s="97">
        <f t="shared" ca="1" si="934"/>
        <v>-523</v>
      </c>
      <c r="D2841" s="96" t="s">
        <v>2261</v>
      </c>
      <c r="E2841" s="94" t="s">
        <v>47</v>
      </c>
      <c r="F2841" s="98" t="str">
        <f t="shared" si="924"/>
        <v>B</v>
      </c>
      <c r="G2841" s="110">
        <f ca="1">SUMIF($A:E,$A2841,K:K)</f>
        <v>1</v>
      </c>
      <c r="H2841" s="97" t="s">
        <v>2262</v>
      </c>
      <c r="I2841" s="98">
        <v>72</v>
      </c>
      <c r="J2841" s="115">
        <v>1</v>
      </c>
      <c r="K2841" s="143">
        <f t="shared" si="917"/>
        <v>1</v>
      </c>
      <c r="L2841" s="144">
        <f t="shared" si="935"/>
        <v>0</v>
      </c>
      <c r="M2841" s="275">
        <f t="shared" si="918"/>
        <v>72</v>
      </c>
      <c r="N2841" s="98">
        <v>2</v>
      </c>
      <c r="O2841" s="93">
        <f t="shared" si="936"/>
        <v>100</v>
      </c>
      <c r="LZ2841" s="100">
        <v>1</v>
      </c>
      <c r="ON2841" s="100">
        <f t="shared" si="926"/>
        <v>0</v>
      </c>
    </row>
    <row r="2842" spans="1:404" ht="23.25" customHeight="1">
      <c r="A2842" s="97" t="str">
        <f>D2842&amp;E2842</f>
        <v>052T/WESTELM-2166-70300-01-B</v>
      </c>
      <c r="B2842" s="95">
        <v>44615</v>
      </c>
      <c r="C2842" s="97">
        <f t="shared" ca="1" si="934"/>
        <v>-449</v>
      </c>
      <c r="D2842" s="112" t="s">
        <v>2264</v>
      </c>
      <c r="E2842" s="123" t="s">
        <v>531</v>
      </c>
      <c r="F2842" s="132" t="str">
        <f t="shared" si="924"/>
        <v>B</v>
      </c>
      <c r="G2842" s="130">
        <f ca="1">SUMIF($A:E,$A2842,K:K)</f>
        <v>265</v>
      </c>
      <c r="H2842" s="97" t="s">
        <v>508</v>
      </c>
      <c r="I2842" s="98">
        <v>200</v>
      </c>
      <c r="J2842" s="115">
        <v>200</v>
      </c>
      <c r="K2842" s="143">
        <f t="shared" si="917"/>
        <v>265</v>
      </c>
      <c r="L2842" s="144">
        <f t="shared" ref="L2842:L2847" si="937">J2842-K2842</f>
        <v>-65</v>
      </c>
      <c r="M2842" s="275">
        <f t="shared" si="918"/>
        <v>200</v>
      </c>
      <c r="N2842" s="98">
        <v>2</v>
      </c>
      <c r="O2842" s="93">
        <f t="shared" si="936"/>
        <v>132.5</v>
      </c>
      <c r="MH2842" s="100">
        <v>10</v>
      </c>
      <c r="MK2842" s="100">
        <v>4</v>
      </c>
      <c r="ML2842" s="100">
        <v>10</v>
      </c>
      <c r="MN2842" s="100">
        <v>14</v>
      </c>
      <c r="MO2842" s="100">
        <v>5</v>
      </c>
      <c r="MP2842" s="100">
        <v>5</v>
      </c>
      <c r="MQ2842" s="100">
        <v>4</v>
      </c>
      <c r="MR2842" s="100">
        <v>1</v>
      </c>
      <c r="MS2842" s="100">
        <v>5</v>
      </c>
      <c r="MT2842" s="100">
        <v>6</v>
      </c>
      <c r="MU2842" s="100">
        <v>4</v>
      </c>
      <c r="MW2842" s="100">
        <v>5</v>
      </c>
      <c r="MX2842" s="100">
        <v>10</v>
      </c>
      <c r="MY2842" s="100">
        <v>5</v>
      </c>
      <c r="MZ2842" s="100">
        <v>5</v>
      </c>
      <c r="NA2842" s="100">
        <v>5</v>
      </c>
      <c r="ND2842" s="100">
        <v>5</v>
      </c>
      <c r="NE2842" s="100">
        <v>4</v>
      </c>
      <c r="NF2842" s="100">
        <v>5</v>
      </c>
      <c r="NG2842" s="100">
        <v>4</v>
      </c>
      <c r="NI2842" s="100">
        <v>5</v>
      </c>
      <c r="NK2842" s="100">
        <v>6</v>
      </c>
      <c r="NL2842" s="100">
        <v>4</v>
      </c>
      <c r="NM2842" s="100">
        <v>4</v>
      </c>
      <c r="NS2842" s="100">
        <v>4</v>
      </c>
      <c r="NT2842" s="100">
        <v>9</v>
      </c>
      <c r="NU2842" s="100">
        <v>5</v>
      </c>
      <c r="NV2842" s="100">
        <v>3</v>
      </c>
      <c r="NY2842" s="100">
        <v>7</v>
      </c>
      <c r="NZ2842" s="100">
        <v>7</v>
      </c>
      <c r="OA2842" s="100">
        <v>5</v>
      </c>
      <c r="OB2842" s="100">
        <v>5</v>
      </c>
      <c r="OC2842" s="100">
        <v>4</v>
      </c>
      <c r="OD2842" s="100">
        <v>5</v>
      </c>
      <c r="OF2842" s="100">
        <v>4</v>
      </c>
      <c r="OG2842" s="100">
        <v>5</v>
      </c>
      <c r="OI2842" s="100">
        <v>2</v>
      </c>
      <c r="ON2842" s="100">
        <f t="shared" si="926"/>
        <v>65</v>
      </c>
    </row>
    <row r="2843" spans="1:404" ht="23.25" customHeight="1">
      <c r="A2843" s="97" t="str">
        <f t="shared" si="933"/>
        <v>052T/WESTELM-2166-70300-02-B</v>
      </c>
      <c r="B2843" s="95">
        <v>44615</v>
      </c>
      <c r="C2843" s="97">
        <f t="shared" ca="1" si="934"/>
        <v>-449</v>
      </c>
      <c r="D2843" s="112" t="s">
        <v>2264</v>
      </c>
      <c r="E2843" s="123" t="s">
        <v>47</v>
      </c>
      <c r="F2843" s="198" t="str">
        <f t="shared" ref="F2843:F2872" si="938">MID(E2843,13,2)</f>
        <v>B</v>
      </c>
      <c r="G2843" s="110">
        <f ca="1">SUMIF($A:E,$A2843,K:K)</f>
        <v>241</v>
      </c>
      <c r="H2843" s="97" t="s">
        <v>508</v>
      </c>
      <c r="I2843" s="98">
        <v>72</v>
      </c>
      <c r="J2843" s="115">
        <v>241</v>
      </c>
      <c r="K2843" s="143">
        <f t="shared" si="917"/>
        <v>241</v>
      </c>
      <c r="L2843" s="144">
        <f t="shared" si="937"/>
        <v>0</v>
      </c>
      <c r="M2843" s="275">
        <f t="shared" si="918"/>
        <v>72</v>
      </c>
      <c r="N2843" s="98">
        <v>1</v>
      </c>
      <c r="O2843" s="93">
        <f t="shared" si="936"/>
        <v>100</v>
      </c>
      <c r="LW2843" s="100">
        <v>20</v>
      </c>
      <c r="LX2843" s="100">
        <v>22</v>
      </c>
      <c r="LY2843" s="100">
        <v>33</v>
      </c>
      <c r="LZ2843" s="100">
        <v>20</v>
      </c>
      <c r="MB2843" s="100">
        <v>14</v>
      </c>
      <c r="MD2843" s="100">
        <v>35</v>
      </c>
      <c r="ME2843" s="100">
        <v>16</v>
      </c>
      <c r="MF2843" s="100">
        <v>21</v>
      </c>
      <c r="MG2843" s="100">
        <v>32</v>
      </c>
      <c r="MH2843" s="100">
        <v>18</v>
      </c>
      <c r="MK2843" s="100">
        <v>10</v>
      </c>
      <c r="ON2843" s="100">
        <f t="shared" si="926"/>
        <v>0</v>
      </c>
    </row>
    <row r="2844" spans="1:404" ht="23.25" customHeight="1">
      <c r="A2844" s="97" t="s">
        <v>2381</v>
      </c>
      <c r="B2844" s="95">
        <v>44615</v>
      </c>
      <c r="C2844" s="97">
        <v>55</v>
      </c>
      <c r="D2844" s="112" t="s">
        <v>2264</v>
      </c>
      <c r="E2844" s="123" t="s">
        <v>639</v>
      </c>
      <c r="F2844" s="98" t="str">
        <f t="shared" si="938"/>
        <v>B</v>
      </c>
      <c r="G2844" s="110">
        <f ca="1">SUMIF($A:E,$A2844,K:K)</f>
        <v>558</v>
      </c>
      <c r="H2844" s="97" t="s">
        <v>508</v>
      </c>
      <c r="I2844" s="98">
        <v>440</v>
      </c>
      <c r="J2844" s="115">
        <v>300</v>
      </c>
      <c r="K2844" s="143">
        <f t="shared" si="917"/>
        <v>346</v>
      </c>
      <c r="L2844" s="144">
        <f t="shared" si="937"/>
        <v>-46</v>
      </c>
      <c r="M2844" s="275">
        <f t="shared" si="918"/>
        <v>440</v>
      </c>
      <c r="N2844" s="98">
        <v>1</v>
      </c>
      <c r="O2844" s="93">
        <f t="shared" si="936"/>
        <v>115.33333333333333</v>
      </c>
      <c r="MM2844" s="100">
        <v>4</v>
      </c>
      <c r="MN2844" s="100">
        <v>12</v>
      </c>
      <c r="MO2844" s="100">
        <v>14</v>
      </c>
      <c r="MP2844" s="100">
        <v>10</v>
      </c>
      <c r="MQ2844" s="100">
        <v>20</v>
      </c>
      <c r="MR2844" s="100">
        <v>5</v>
      </c>
      <c r="MS2844" s="100">
        <v>20</v>
      </c>
      <c r="MT2844" s="100">
        <v>4</v>
      </c>
      <c r="MW2844" s="100">
        <v>21</v>
      </c>
      <c r="MX2844" s="100">
        <v>14</v>
      </c>
      <c r="MY2844" s="100">
        <v>1</v>
      </c>
      <c r="MZ2844" s="100">
        <v>7</v>
      </c>
      <c r="NA2844" s="100">
        <v>7</v>
      </c>
      <c r="ND2844" s="100">
        <v>12</v>
      </c>
      <c r="NE2844" s="100">
        <v>5</v>
      </c>
      <c r="NF2844" s="100">
        <v>9</v>
      </c>
      <c r="NG2844" s="100">
        <v>16</v>
      </c>
      <c r="NI2844" s="100">
        <v>16</v>
      </c>
      <c r="NK2844" s="100">
        <v>12</v>
      </c>
      <c r="NL2844" s="100">
        <v>18</v>
      </c>
      <c r="NM2844" s="100">
        <v>7</v>
      </c>
      <c r="NN2844" s="100">
        <v>20</v>
      </c>
      <c r="NS2844" s="100">
        <v>15</v>
      </c>
      <c r="NU2844" s="100">
        <v>4</v>
      </c>
      <c r="NY2844" s="100">
        <v>15</v>
      </c>
      <c r="NZ2844" s="100">
        <v>12</v>
      </c>
      <c r="ON2844" s="100">
        <f t="shared" si="926"/>
        <v>46</v>
      </c>
    </row>
    <row r="2845" spans="1:404" ht="23.25" customHeight="1">
      <c r="A2845" s="97" t="str">
        <f>D2845&amp;E2845</f>
        <v>052T/WESTELM-2166-80136-02-B</v>
      </c>
      <c r="B2845" s="95">
        <v>44615</v>
      </c>
      <c r="C2845" s="97">
        <f t="shared" ref="C2845:C2874" ca="1" si="939">B2845-TODAY()</f>
        <v>-449</v>
      </c>
      <c r="D2845" s="112" t="s">
        <v>2264</v>
      </c>
      <c r="E2845" s="123" t="s">
        <v>639</v>
      </c>
      <c r="F2845" s="198" t="str">
        <f t="shared" si="938"/>
        <v>B</v>
      </c>
      <c r="G2845" s="110">
        <f ca="1">SUMIF($A:E,$A2845,K:K)</f>
        <v>558</v>
      </c>
      <c r="H2845" s="97" t="s">
        <v>508</v>
      </c>
      <c r="I2845" s="98">
        <v>140</v>
      </c>
      <c r="J2845" s="115">
        <v>140</v>
      </c>
      <c r="K2845" s="143">
        <f t="shared" si="917"/>
        <v>212</v>
      </c>
      <c r="L2845" s="144">
        <f t="shared" si="937"/>
        <v>-72</v>
      </c>
      <c r="M2845" s="275">
        <f t="shared" si="918"/>
        <v>140</v>
      </c>
      <c r="N2845" s="98">
        <v>2</v>
      </c>
      <c r="O2845" s="93">
        <f t="shared" si="936"/>
        <v>151.42857142857142</v>
      </c>
      <c r="NG2845" s="100">
        <v>7</v>
      </c>
      <c r="NI2845" s="100">
        <v>12</v>
      </c>
      <c r="NK2845" s="100">
        <v>13</v>
      </c>
      <c r="NL2845" s="100">
        <v>16</v>
      </c>
      <c r="NM2845" s="100">
        <v>11</v>
      </c>
      <c r="NN2845" s="100">
        <v>9</v>
      </c>
      <c r="NS2845" s="100">
        <v>11</v>
      </c>
      <c r="NT2845" s="100">
        <v>8</v>
      </c>
      <c r="NU2845" s="100">
        <v>10</v>
      </c>
      <c r="NV2845" s="100">
        <v>9</v>
      </c>
      <c r="NY2845" s="100">
        <v>14</v>
      </c>
      <c r="NZ2845" s="100">
        <v>18</v>
      </c>
      <c r="OA2845" s="100">
        <v>2</v>
      </c>
      <c r="ON2845" s="100">
        <f t="shared" si="926"/>
        <v>72</v>
      </c>
    </row>
    <row r="2846" spans="1:404" ht="23.25" customHeight="1">
      <c r="A2846" s="97" t="str">
        <f t="shared" ref="A2846:A2877" si="940">D2846&amp;E2846</f>
        <v>049/POTTERYBARN-VG-2166-84016-02-B</v>
      </c>
      <c r="B2846" s="95">
        <v>44555</v>
      </c>
      <c r="C2846" s="97">
        <f t="shared" ca="1" si="939"/>
        <v>-509</v>
      </c>
      <c r="D2846" s="112" t="s">
        <v>2267</v>
      </c>
      <c r="E2846" s="123" t="s">
        <v>1165</v>
      </c>
      <c r="F2846" s="98" t="str">
        <f t="shared" si="938"/>
        <v>B</v>
      </c>
      <c r="G2846" s="110">
        <f ca="1">SUMIF($A:E,$A2846,K:K)</f>
        <v>30</v>
      </c>
      <c r="H2846" s="97" t="s">
        <v>508</v>
      </c>
      <c r="I2846" s="98">
        <v>30</v>
      </c>
      <c r="J2846" s="99">
        <v>30</v>
      </c>
      <c r="K2846" s="143">
        <f t="shared" si="917"/>
        <v>30</v>
      </c>
      <c r="L2846" s="144">
        <f t="shared" si="937"/>
        <v>0</v>
      </c>
      <c r="M2846" s="275">
        <f t="shared" ref="M2846:M2909" si="941">IF(OR(MID(E2846,10,1)="0",MID(E2846,10,1)="F"),I2846,IF(OR(,MID(E2846,10,1)="S",MID(E2846,10,1)="L",MID(E2846,10,1)="B",MID(E2846,10,1)="X"),MID(E2846,11,1)*I2846,0))</f>
        <v>30</v>
      </c>
      <c r="N2846" s="98">
        <v>2</v>
      </c>
      <c r="O2846" s="93">
        <f t="shared" si="936"/>
        <v>100</v>
      </c>
      <c r="MQ2846" s="100">
        <v>6</v>
      </c>
      <c r="MR2846" s="100">
        <v>5</v>
      </c>
      <c r="MS2846" s="100">
        <v>6</v>
      </c>
      <c r="MT2846" s="100">
        <v>6</v>
      </c>
      <c r="MU2846" s="100">
        <v>7</v>
      </c>
      <c r="ON2846" s="100">
        <f t="shared" si="926"/>
        <v>0</v>
      </c>
    </row>
    <row r="2847" spans="1:404" ht="23.25" customHeight="1">
      <c r="A2847" s="97" t="str">
        <f t="shared" si="940"/>
        <v>049/POTTERYBARN-VG-2166-84016-03-B</v>
      </c>
      <c r="B2847" s="95">
        <v>44555</v>
      </c>
      <c r="C2847" s="97">
        <f t="shared" ca="1" si="939"/>
        <v>-509</v>
      </c>
      <c r="D2847" s="112" t="s">
        <v>2267</v>
      </c>
      <c r="E2847" s="123" t="s">
        <v>1166</v>
      </c>
      <c r="F2847" s="98" t="str">
        <f t="shared" si="938"/>
        <v>B</v>
      </c>
      <c r="G2847" s="110">
        <f ca="1">SUMIF($A:E,$A2847,K:K)</f>
        <v>30</v>
      </c>
      <c r="H2847" s="97" t="s">
        <v>508</v>
      </c>
      <c r="I2847" s="98">
        <v>30</v>
      </c>
      <c r="J2847" s="99">
        <v>30</v>
      </c>
      <c r="K2847" s="143">
        <f t="shared" si="917"/>
        <v>30</v>
      </c>
      <c r="L2847" s="144">
        <f t="shared" si="937"/>
        <v>0</v>
      </c>
      <c r="M2847" s="275">
        <f t="shared" si="941"/>
        <v>30</v>
      </c>
      <c r="N2847" s="98">
        <v>2</v>
      </c>
      <c r="O2847" s="93">
        <f t="shared" si="936"/>
        <v>100</v>
      </c>
      <c r="MQ2847" s="100">
        <v>15</v>
      </c>
      <c r="MR2847" s="100">
        <v>4</v>
      </c>
      <c r="MS2847" s="100">
        <v>3</v>
      </c>
      <c r="MT2847" s="100">
        <v>6</v>
      </c>
      <c r="MU2847" s="100">
        <v>2</v>
      </c>
      <c r="ON2847" s="100">
        <f t="shared" si="926"/>
        <v>0</v>
      </c>
    </row>
    <row r="2848" spans="1:404" ht="21" customHeight="1">
      <c r="A2848" s="127" t="str">
        <f t="shared" si="940"/>
        <v>326/KHBS-21( 002/MES-21) 68-75616-01-B</v>
      </c>
      <c r="B2848" s="126">
        <v>44540</v>
      </c>
      <c r="C2848" s="127">
        <f t="shared" ca="1" si="939"/>
        <v>-524</v>
      </c>
      <c r="D2848" s="208" t="s">
        <v>2268</v>
      </c>
      <c r="E2848" s="226" t="s">
        <v>2269</v>
      </c>
      <c r="F2848" s="132" t="str">
        <f t="shared" si="938"/>
        <v>-B</v>
      </c>
      <c r="G2848" s="130">
        <f ca="1">SUMIF($A:E,$A2848,K:K)</f>
        <v>1</v>
      </c>
      <c r="H2848" s="127" t="s">
        <v>508</v>
      </c>
      <c r="I2848" s="98">
        <v>72</v>
      </c>
      <c r="J2848" s="131">
        <v>1</v>
      </c>
      <c r="K2848" s="160">
        <f t="shared" ref="K2848:K2911" si="942">SUM(P2848:BBC2848)</f>
        <v>1</v>
      </c>
      <c r="L2848" s="151">
        <f t="shared" ref="L2848" si="943">J2848-K2848</f>
        <v>0</v>
      </c>
      <c r="M2848" s="275">
        <f t="shared" si="941"/>
        <v>0</v>
      </c>
      <c r="N2848" s="132">
        <v>2</v>
      </c>
      <c r="O2848" s="228">
        <f t="shared" ref="O2848:O2853" si="944">K2848/J2848*100</f>
        <v>100</v>
      </c>
      <c r="LT2848" s="100">
        <v>1</v>
      </c>
      <c r="ON2848" s="100">
        <f t="shared" si="926"/>
        <v>0</v>
      </c>
    </row>
    <row r="2849" spans="1:404" ht="23.25" customHeight="1">
      <c r="A2849" s="97" t="str">
        <f t="shared" si="940"/>
        <v>005/WESTELM-VG_SR-2166-80036-01-B</v>
      </c>
      <c r="B2849" s="95">
        <v>44547</v>
      </c>
      <c r="C2849" s="97">
        <f t="shared" ca="1" si="939"/>
        <v>-517</v>
      </c>
      <c r="D2849" s="112" t="s">
        <v>2274</v>
      </c>
      <c r="E2849" s="123" t="s">
        <v>894</v>
      </c>
      <c r="F2849" s="98" t="str">
        <f t="shared" si="938"/>
        <v>B</v>
      </c>
      <c r="G2849" s="110">
        <f ca="1">SUMIF($A:E,$A2849,K:K)</f>
        <v>3</v>
      </c>
      <c r="H2849" s="112" t="s">
        <v>1941</v>
      </c>
      <c r="I2849" s="98">
        <v>72</v>
      </c>
      <c r="J2849" s="115">
        <v>3</v>
      </c>
      <c r="K2849" s="160">
        <f t="shared" si="942"/>
        <v>3</v>
      </c>
      <c r="L2849" s="151">
        <f t="shared" ref="L2849:L2858" si="945">J2849-K2849</f>
        <v>0</v>
      </c>
      <c r="M2849" s="275">
        <f t="shared" si="941"/>
        <v>72</v>
      </c>
      <c r="N2849" s="132">
        <v>1</v>
      </c>
      <c r="O2849" s="93">
        <f t="shared" si="944"/>
        <v>100</v>
      </c>
      <c r="MB2849" s="100">
        <v>2</v>
      </c>
      <c r="MF2849" s="100">
        <v>1</v>
      </c>
      <c r="ON2849" s="100">
        <f t="shared" si="926"/>
        <v>0</v>
      </c>
    </row>
    <row r="2850" spans="1:404" ht="23.25" customHeight="1">
      <c r="A2850" s="97" t="str">
        <f t="shared" si="940"/>
        <v>005/WESTELM-VG_SR-2166-80036-03-B</v>
      </c>
      <c r="B2850" s="95">
        <v>44547</v>
      </c>
      <c r="C2850" s="97">
        <f t="shared" ca="1" si="939"/>
        <v>-517</v>
      </c>
      <c r="D2850" s="112" t="s">
        <v>2274</v>
      </c>
      <c r="E2850" s="123" t="s">
        <v>638</v>
      </c>
      <c r="F2850" s="98" t="str">
        <f t="shared" si="938"/>
        <v>B</v>
      </c>
      <c r="G2850" s="110">
        <f ca="1">SUMIF($A:E,$A2850,K:K)</f>
        <v>3</v>
      </c>
      <c r="H2850" s="112" t="s">
        <v>1941</v>
      </c>
      <c r="I2850" s="98">
        <v>72</v>
      </c>
      <c r="J2850" s="115">
        <v>3</v>
      </c>
      <c r="K2850" s="160">
        <f t="shared" si="942"/>
        <v>3</v>
      </c>
      <c r="L2850" s="151">
        <f t="shared" si="945"/>
        <v>0</v>
      </c>
      <c r="M2850" s="275">
        <f t="shared" si="941"/>
        <v>72</v>
      </c>
      <c r="N2850" s="132">
        <v>1</v>
      </c>
      <c r="O2850" s="93">
        <f t="shared" si="944"/>
        <v>100</v>
      </c>
      <c r="MB2850" s="100">
        <v>3</v>
      </c>
      <c r="ON2850" s="100">
        <f t="shared" si="926"/>
        <v>0</v>
      </c>
    </row>
    <row r="2851" spans="1:404" ht="23.25" customHeight="1">
      <c r="A2851" s="97" t="str">
        <f t="shared" si="940"/>
        <v>005/WESTELM-VG_SR-2166-80136-02-B</v>
      </c>
      <c r="B2851" s="95">
        <v>44547</v>
      </c>
      <c r="C2851" s="97">
        <f t="shared" ca="1" si="939"/>
        <v>-517</v>
      </c>
      <c r="D2851" s="112" t="s">
        <v>2274</v>
      </c>
      <c r="E2851" s="123" t="s">
        <v>639</v>
      </c>
      <c r="F2851" s="98" t="str">
        <f t="shared" si="938"/>
        <v>B</v>
      </c>
      <c r="G2851" s="110">
        <f ca="1">SUMIF($A:E,$A2851,K:K)</f>
        <v>3</v>
      </c>
      <c r="H2851" s="112" t="s">
        <v>1941</v>
      </c>
      <c r="I2851" s="98">
        <v>72</v>
      </c>
      <c r="J2851" s="115">
        <v>3</v>
      </c>
      <c r="K2851" s="160">
        <f t="shared" si="942"/>
        <v>3</v>
      </c>
      <c r="L2851" s="151">
        <f t="shared" si="945"/>
        <v>0</v>
      </c>
      <c r="M2851" s="275">
        <f t="shared" si="941"/>
        <v>72</v>
      </c>
      <c r="N2851" s="132">
        <v>2</v>
      </c>
      <c r="O2851" s="93">
        <f t="shared" si="944"/>
        <v>100</v>
      </c>
      <c r="MA2851" s="100">
        <v>3</v>
      </c>
      <c r="ON2851" s="100">
        <f t="shared" si="926"/>
        <v>0</v>
      </c>
    </row>
    <row r="2852" spans="1:404" ht="23.25" customHeight="1">
      <c r="A2852" s="97" t="str">
        <f t="shared" si="940"/>
        <v>005/WESTELM-VG_SR-2166-90136-01-B</v>
      </c>
      <c r="B2852" s="95">
        <v>44547</v>
      </c>
      <c r="C2852" s="97">
        <f t="shared" ca="1" si="939"/>
        <v>-517</v>
      </c>
      <c r="D2852" s="112" t="s">
        <v>2274</v>
      </c>
      <c r="E2852" s="123" t="s">
        <v>2275</v>
      </c>
      <c r="F2852" s="98" t="str">
        <f t="shared" si="938"/>
        <v>B</v>
      </c>
      <c r="G2852" s="110">
        <f ca="1">SUMIF($A:E,$A2852,K:K)</f>
        <v>6</v>
      </c>
      <c r="H2852" s="112" t="s">
        <v>2280</v>
      </c>
      <c r="I2852" s="98">
        <v>6</v>
      </c>
      <c r="J2852" s="115">
        <v>6</v>
      </c>
      <c r="K2852" s="160">
        <f t="shared" si="942"/>
        <v>6</v>
      </c>
      <c r="L2852" s="151">
        <f t="shared" si="945"/>
        <v>0</v>
      </c>
      <c r="M2852" s="275">
        <f t="shared" si="941"/>
        <v>6</v>
      </c>
      <c r="N2852" s="132">
        <v>2</v>
      </c>
      <c r="O2852" s="93">
        <f t="shared" si="944"/>
        <v>100</v>
      </c>
      <c r="LY2852" s="100">
        <v>1</v>
      </c>
      <c r="LZ2852" s="100">
        <v>1</v>
      </c>
      <c r="MB2852" s="100">
        <v>3</v>
      </c>
      <c r="MD2852" s="100">
        <v>1</v>
      </c>
      <c r="ON2852" s="100">
        <f t="shared" si="926"/>
        <v>0</v>
      </c>
    </row>
    <row r="2853" spans="1:404" ht="23.25" customHeight="1">
      <c r="A2853" s="97" t="str">
        <f t="shared" si="940"/>
        <v>005/WESTELM-VG_SR-2166-90240-01-B</v>
      </c>
      <c r="B2853" s="95">
        <v>44547</v>
      </c>
      <c r="C2853" s="97">
        <f t="shared" ca="1" si="939"/>
        <v>-517</v>
      </c>
      <c r="D2853" s="112" t="s">
        <v>2274</v>
      </c>
      <c r="E2853" s="123" t="s">
        <v>2276</v>
      </c>
      <c r="F2853" s="98" t="str">
        <f t="shared" si="938"/>
        <v>B</v>
      </c>
      <c r="G2853" s="110">
        <f ca="1">SUMIF($A:E,$A2853,K:K)</f>
        <v>6</v>
      </c>
      <c r="H2853" s="112" t="s">
        <v>2280</v>
      </c>
      <c r="I2853" s="98">
        <v>6</v>
      </c>
      <c r="J2853" s="115">
        <v>6</v>
      </c>
      <c r="K2853" s="160">
        <f t="shared" si="942"/>
        <v>6</v>
      </c>
      <c r="L2853" s="151">
        <f t="shared" si="945"/>
        <v>0</v>
      </c>
      <c r="M2853" s="275">
        <f t="shared" si="941"/>
        <v>6</v>
      </c>
      <c r="N2853" s="132">
        <v>2</v>
      </c>
      <c r="O2853" s="93">
        <f t="shared" si="944"/>
        <v>100</v>
      </c>
      <c r="LY2853" s="100">
        <v>1</v>
      </c>
      <c r="LZ2853" s="100">
        <v>1</v>
      </c>
      <c r="MB2853" s="100">
        <v>1</v>
      </c>
      <c r="MD2853" s="100">
        <v>2</v>
      </c>
      <c r="ME2853" s="100">
        <v>1</v>
      </c>
      <c r="ON2853" s="100">
        <f t="shared" si="926"/>
        <v>0</v>
      </c>
    </row>
    <row r="2854" spans="1:404" ht="23.25" customHeight="1">
      <c r="A2854" s="97" t="str">
        <f t="shared" si="940"/>
        <v>005/WESTELM-VG_SR-2166-90300-S1-A</v>
      </c>
      <c r="B2854" s="95">
        <v>44547</v>
      </c>
      <c r="C2854" s="97">
        <f t="shared" ca="1" si="939"/>
        <v>-517</v>
      </c>
      <c r="D2854" s="112" t="s">
        <v>2274</v>
      </c>
      <c r="E2854" s="123" t="s">
        <v>2277</v>
      </c>
      <c r="F2854" s="98" t="str">
        <f t="shared" si="938"/>
        <v>A</v>
      </c>
      <c r="G2854" s="110">
        <f ca="1">SUMIF($A:E,$A2854,K:K)</f>
        <v>3</v>
      </c>
      <c r="H2854" s="112" t="s">
        <v>2280</v>
      </c>
      <c r="I2854" s="98">
        <v>3</v>
      </c>
      <c r="J2854" s="115">
        <v>3</v>
      </c>
      <c r="K2854" s="160">
        <f t="shared" si="942"/>
        <v>3</v>
      </c>
      <c r="L2854" s="151">
        <f t="shared" si="945"/>
        <v>0</v>
      </c>
      <c r="M2854" s="275">
        <f t="shared" si="941"/>
        <v>3</v>
      </c>
      <c r="N2854" s="132">
        <v>1</v>
      </c>
      <c r="O2854" s="228">
        <f t="shared" ref="O2854:O2879" si="946">K2854/J2854*100</f>
        <v>100</v>
      </c>
      <c r="MB2854" s="100">
        <v>3</v>
      </c>
      <c r="ON2854" s="100">
        <f t="shared" si="926"/>
        <v>0</v>
      </c>
    </row>
    <row r="2855" spans="1:404" ht="23.25" customHeight="1">
      <c r="A2855" s="97" t="str">
        <f t="shared" si="940"/>
        <v>005/WESTELM-VG_SR-2166-90400-S1-A</v>
      </c>
      <c r="B2855" s="95">
        <v>44547</v>
      </c>
      <c r="C2855" s="97">
        <f t="shared" ca="1" si="939"/>
        <v>-517</v>
      </c>
      <c r="D2855" s="112" t="s">
        <v>2274</v>
      </c>
      <c r="E2855" s="123" t="s">
        <v>2278</v>
      </c>
      <c r="F2855" s="98" t="str">
        <f t="shared" si="938"/>
        <v>A</v>
      </c>
      <c r="G2855" s="110">
        <f ca="1">SUMIF($A:E,$A2855,K:K)</f>
        <v>3</v>
      </c>
      <c r="H2855" s="112" t="s">
        <v>2280</v>
      </c>
      <c r="I2855" s="98">
        <v>3</v>
      </c>
      <c r="J2855" s="115">
        <v>3</v>
      </c>
      <c r="K2855" s="160">
        <f t="shared" si="942"/>
        <v>3</v>
      </c>
      <c r="L2855" s="151">
        <f t="shared" si="945"/>
        <v>0</v>
      </c>
      <c r="M2855" s="275">
        <f t="shared" si="941"/>
        <v>3</v>
      </c>
      <c r="N2855" s="132">
        <v>1</v>
      </c>
      <c r="O2855" s="228">
        <f t="shared" si="946"/>
        <v>100</v>
      </c>
      <c r="LZ2855" s="100">
        <v>3</v>
      </c>
      <c r="ON2855" s="100">
        <f t="shared" si="926"/>
        <v>0</v>
      </c>
    </row>
    <row r="2856" spans="1:404" ht="23.25" customHeight="1">
      <c r="A2856" s="97" t="str">
        <f t="shared" si="940"/>
        <v>005/WESTELM-VG_SR-2166-90500-S1-A</v>
      </c>
      <c r="B2856" s="95">
        <v>44547</v>
      </c>
      <c r="C2856" s="97">
        <f t="shared" ca="1" si="939"/>
        <v>-517</v>
      </c>
      <c r="D2856" s="112" t="s">
        <v>2274</v>
      </c>
      <c r="E2856" s="123" t="s">
        <v>2279</v>
      </c>
      <c r="F2856" s="98" t="str">
        <f t="shared" si="938"/>
        <v>A</v>
      </c>
      <c r="G2856" s="110">
        <f ca="1">SUMIF($A:E,$A2856,K:K)</f>
        <v>3</v>
      </c>
      <c r="H2856" s="112" t="s">
        <v>2280</v>
      </c>
      <c r="I2856" s="98">
        <v>3</v>
      </c>
      <c r="J2856" s="115">
        <v>3</v>
      </c>
      <c r="K2856" s="160">
        <f t="shared" si="942"/>
        <v>3</v>
      </c>
      <c r="L2856" s="151">
        <f t="shared" si="945"/>
        <v>0</v>
      </c>
      <c r="M2856" s="275">
        <f t="shared" si="941"/>
        <v>3</v>
      </c>
      <c r="N2856" s="132">
        <v>1</v>
      </c>
      <c r="O2856" s="228">
        <f t="shared" si="946"/>
        <v>100</v>
      </c>
      <c r="LZ2856" s="100">
        <v>3</v>
      </c>
      <c r="ON2856" s="100">
        <f t="shared" si="926"/>
        <v>0</v>
      </c>
    </row>
    <row r="2857" spans="1:404" ht="23.25" customHeight="1">
      <c r="A2857" s="97" t="str">
        <f t="shared" si="940"/>
        <v>050/POTTERYBARN-VG-2166-83800-02-B</v>
      </c>
      <c r="B2857" s="95">
        <v>44567</v>
      </c>
      <c r="C2857" s="97">
        <f t="shared" ca="1" si="939"/>
        <v>-497</v>
      </c>
      <c r="D2857" s="112" t="s">
        <v>2281</v>
      </c>
      <c r="E2857" s="123" t="s">
        <v>670</v>
      </c>
      <c r="F2857" s="98" t="str">
        <f t="shared" si="938"/>
        <v>B</v>
      </c>
      <c r="G2857" s="110">
        <f ca="1">SUMIF($A:E,$A2857,K:K)</f>
        <v>69</v>
      </c>
      <c r="H2857" s="97" t="s">
        <v>508</v>
      </c>
      <c r="I2857" s="98">
        <v>69</v>
      </c>
      <c r="J2857" s="99">
        <v>69</v>
      </c>
      <c r="K2857" s="143">
        <f t="shared" si="942"/>
        <v>69</v>
      </c>
      <c r="L2857" s="144">
        <f t="shared" si="945"/>
        <v>0</v>
      </c>
      <c r="M2857" s="275">
        <f t="shared" si="941"/>
        <v>69</v>
      </c>
      <c r="N2857" s="98">
        <v>2</v>
      </c>
      <c r="O2857" s="93">
        <f t="shared" si="946"/>
        <v>100</v>
      </c>
      <c r="MN2857" s="100">
        <v>8</v>
      </c>
      <c r="MO2857" s="100">
        <v>24</v>
      </c>
      <c r="MQ2857" s="100">
        <v>12</v>
      </c>
      <c r="MR2857" s="100">
        <v>10</v>
      </c>
      <c r="MS2857" s="100">
        <v>10</v>
      </c>
      <c r="MT2857" s="100">
        <v>5</v>
      </c>
      <c r="ON2857" s="100">
        <f t="shared" si="926"/>
        <v>0</v>
      </c>
    </row>
    <row r="2858" spans="1:404" ht="23.25" customHeight="1">
      <c r="A2858" s="97" t="str">
        <f t="shared" si="940"/>
        <v>050/POTTERYBARN-VG-2166-84100-02-B</v>
      </c>
      <c r="B2858" s="95">
        <v>44567</v>
      </c>
      <c r="C2858" s="97">
        <f t="shared" ca="1" si="939"/>
        <v>-497</v>
      </c>
      <c r="D2858" s="112" t="s">
        <v>2281</v>
      </c>
      <c r="E2858" s="123" t="s">
        <v>668</v>
      </c>
      <c r="F2858" s="98" t="str">
        <f t="shared" si="938"/>
        <v>B</v>
      </c>
      <c r="G2858" s="110">
        <f ca="1">SUMIF($A:E,$A2858,K:K)</f>
        <v>107</v>
      </c>
      <c r="H2858" s="97" t="s">
        <v>508</v>
      </c>
      <c r="I2858" s="124">
        <v>107</v>
      </c>
      <c r="J2858" s="99">
        <v>107</v>
      </c>
      <c r="K2858" s="143">
        <f t="shared" si="942"/>
        <v>107</v>
      </c>
      <c r="L2858" s="144">
        <f t="shared" si="945"/>
        <v>0</v>
      </c>
      <c r="M2858" s="275">
        <f t="shared" si="941"/>
        <v>107</v>
      </c>
      <c r="N2858" s="98">
        <v>3</v>
      </c>
      <c r="O2858" s="93">
        <f t="shared" si="946"/>
        <v>100</v>
      </c>
      <c r="ME2858" s="100">
        <v>5</v>
      </c>
      <c r="MF2858" s="100">
        <v>12</v>
      </c>
      <c r="MG2858" s="100">
        <v>12</v>
      </c>
      <c r="MH2858" s="100">
        <v>6</v>
      </c>
      <c r="MK2858" s="100">
        <v>12</v>
      </c>
      <c r="ML2858" s="100">
        <v>12</v>
      </c>
      <c r="MM2858" s="100">
        <v>18</v>
      </c>
      <c r="MO2858" s="100">
        <v>12</v>
      </c>
      <c r="MQ2858" s="100">
        <v>6</v>
      </c>
      <c r="MR2858" s="100">
        <v>12</v>
      </c>
      <c r="ON2858" s="100">
        <f t="shared" si="926"/>
        <v>0</v>
      </c>
    </row>
    <row r="2859" spans="1:404" ht="23.25" customHeight="1">
      <c r="A2859" s="97" t="str">
        <f t="shared" si="940"/>
        <v>014/KHBS_SR-21(002/YAMATEI-VG_SR-21)66-70301-03-B</v>
      </c>
      <c r="B2859" s="95">
        <v>44543</v>
      </c>
      <c r="C2859" s="97">
        <f t="shared" ca="1" si="939"/>
        <v>-521</v>
      </c>
      <c r="D2859" s="112" t="s">
        <v>2283</v>
      </c>
      <c r="E2859" s="123" t="s">
        <v>2154</v>
      </c>
      <c r="F2859" s="98" t="str">
        <f t="shared" si="938"/>
        <v>B</v>
      </c>
      <c r="G2859" s="110">
        <f ca="1">SUMIF($A:E,$A2859,K:K)</f>
        <v>2</v>
      </c>
      <c r="H2859" s="97" t="s">
        <v>508</v>
      </c>
      <c r="I2859" s="124">
        <v>56</v>
      </c>
      <c r="J2859" s="99">
        <v>2</v>
      </c>
      <c r="K2859" s="143">
        <f t="shared" si="942"/>
        <v>2</v>
      </c>
      <c r="L2859" s="144">
        <f t="shared" ref="L2859:L2861" si="947">J2859-K2859</f>
        <v>0</v>
      </c>
      <c r="M2859" s="275">
        <f t="shared" si="941"/>
        <v>56</v>
      </c>
      <c r="N2859" s="98">
        <v>1</v>
      </c>
      <c r="O2859" s="93">
        <f t="shared" si="946"/>
        <v>100</v>
      </c>
      <c r="LU2859" s="100">
        <v>2</v>
      </c>
      <c r="ON2859" s="100">
        <f t="shared" si="926"/>
        <v>0</v>
      </c>
    </row>
    <row r="2860" spans="1:404" ht="23.25" customHeight="1">
      <c r="A2860" s="97" t="str">
        <f t="shared" si="940"/>
        <v>014/KHBS_SR-21(002/YAMATEI-VG_SR-21)66-70301-04-B</v>
      </c>
      <c r="B2860" s="95">
        <v>44543</v>
      </c>
      <c r="C2860" s="97">
        <f t="shared" ca="1" si="939"/>
        <v>-521</v>
      </c>
      <c r="D2860" s="112" t="s">
        <v>2283</v>
      </c>
      <c r="E2860" s="123" t="s">
        <v>2155</v>
      </c>
      <c r="F2860" s="98" t="str">
        <f t="shared" si="938"/>
        <v>B</v>
      </c>
      <c r="G2860" s="110">
        <f ca="1">SUMIF($A:E,$A2860,K:K)</f>
        <v>2</v>
      </c>
      <c r="H2860" s="97" t="s">
        <v>508</v>
      </c>
      <c r="I2860" s="378">
        <v>200</v>
      </c>
      <c r="J2860" s="99">
        <v>2</v>
      </c>
      <c r="K2860" s="143">
        <f t="shared" si="942"/>
        <v>2</v>
      </c>
      <c r="L2860" s="144">
        <f t="shared" si="947"/>
        <v>0</v>
      </c>
      <c r="M2860" s="275">
        <f t="shared" si="941"/>
        <v>200</v>
      </c>
      <c r="N2860" s="98">
        <v>1</v>
      </c>
      <c r="O2860" s="93">
        <f t="shared" si="946"/>
        <v>100</v>
      </c>
      <c r="LU2860" s="100">
        <v>1</v>
      </c>
      <c r="LX2860" s="100">
        <v>1</v>
      </c>
      <c r="ON2860" s="100">
        <f t="shared" si="926"/>
        <v>0</v>
      </c>
    </row>
    <row r="2861" spans="1:404" ht="23.25" customHeight="1">
      <c r="A2861" s="97" t="str">
        <f t="shared" si="940"/>
        <v>061C/PTSP-PT-2180-00600-02-B</v>
      </c>
      <c r="B2861" s="95">
        <v>44545</v>
      </c>
      <c r="C2861" s="97">
        <f t="shared" ca="1" si="939"/>
        <v>-519</v>
      </c>
      <c r="D2861" s="112" t="s">
        <v>2284</v>
      </c>
      <c r="E2861" s="123" t="s">
        <v>2097</v>
      </c>
      <c r="F2861" s="98" t="str">
        <f t="shared" si="938"/>
        <v>B</v>
      </c>
      <c r="G2861" s="110">
        <f ca="1">SUMIF($A:E,$A2861,K:K)</f>
        <v>10</v>
      </c>
      <c r="H2861" s="97" t="s">
        <v>508</v>
      </c>
      <c r="I2861" s="378">
        <v>200</v>
      </c>
      <c r="J2861" s="99">
        <v>10</v>
      </c>
      <c r="K2861" s="143">
        <f t="shared" si="942"/>
        <v>10</v>
      </c>
      <c r="L2861" s="144">
        <f t="shared" si="947"/>
        <v>0</v>
      </c>
      <c r="M2861" s="275">
        <f t="shared" si="941"/>
        <v>200</v>
      </c>
      <c r="N2861" s="98">
        <v>2</v>
      </c>
      <c r="O2861" s="93">
        <f t="shared" si="946"/>
        <v>100</v>
      </c>
      <c r="LU2861" s="100">
        <v>10</v>
      </c>
      <c r="ON2861" s="100">
        <f t="shared" si="926"/>
        <v>0</v>
      </c>
    </row>
    <row r="2862" spans="1:404" ht="23.25" customHeight="1">
      <c r="A2862" s="97" t="str">
        <f t="shared" si="940"/>
        <v>081/VG_SR-21(METRO)66-06422-02-B</v>
      </c>
      <c r="B2862" s="95">
        <v>44540</v>
      </c>
      <c r="C2862" s="97">
        <f t="shared" ca="1" si="939"/>
        <v>-524</v>
      </c>
      <c r="D2862" s="112" t="s">
        <v>2285</v>
      </c>
      <c r="E2862" s="123" t="s">
        <v>1052</v>
      </c>
      <c r="F2862" s="98" t="str">
        <f t="shared" si="938"/>
        <v>B</v>
      </c>
      <c r="G2862" s="110">
        <f ca="1">SUMIF($A:E,$A2862,K:K)</f>
        <v>2</v>
      </c>
      <c r="H2862" s="97" t="s">
        <v>508</v>
      </c>
      <c r="I2862" s="175">
        <v>200</v>
      </c>
      <c r="J2862" s="99">
        <v>1</v>
      </c>
      <c r="K2862" s="143">
        <f t="shared" si="942"/>
        <v>1</v>
      </c>
      <c r="L2862" s="144">
        <f t="shared" ref="L2862:L2864" si="948">J2862-K2862</f>
        <v>0</v>
      </c>
      <c r="M2862" s="275">
        <f t="shared" si="941"/>
        <v>200</v>
      </c>
      <c r="N2862" s="98">
        <v>6</v>
      </c>
      <c r="O2862" s="93">
        <f t="shared" si="946"/>
        <v>100</v>
      </c>
      <c r="LW2862" s="100">
        <v>1</v>
      </c>
      <c r="ON2862" s="100">
        <f t="shared" si="926"/>
        <v>0</v>
      </c>
    </row>
    <row r="2863" spans="1:404" ht="23.25" customHeight="1">
      <c r="A2863" s="97" t="str">
        <f t="shared" si="940"/>
        <v>081/VG_SR-21(METRO)66-06422-02-B</v>
      </c>
      <c r="B2863" s="95">
        <v>44540</v>
      </c>
      <c r="C2863" s="97">
        <f t="shared" ca="1" si="939"/>
        <v>-524</v>
      </c>
      <c r="D2863" s="112" t="s">
        <v>2285</v>
      </c>
      <c r="E2863" s="123" t="s">
        <v>1052</v>
      </c>
      <c r="F2863" s="98" t="str">
        <f t="shared" si="938"/>
        <v>B</v>
      </c>
      <c r="G2863" s="110">
        <f ca="1">SUMIF($A:E,$A2863,K:K)</f>
        <v>2</v>
      </c>
      <c r="H2863" s="97" t="s">
        <v>508</v>
      </c>
      <c r="I2863" s="175">
        <v>41</v>
      </c>
      <c r="J2863" s="99">
        <v>1</v>
      </c>
      <c r="K2863" s="143">
        <f t="shared" si="942"/>
        <v>1</v>
      </c>
      <c r="L2863" s="144">
        <f t="shared" si="948"/>
        <v>0</v>
      </c>
      <c r="M2863" s="275">
        <f t="shared" si="941"/>
        <v>41</v>
      </c>
      <c r="N2863" s="98">
        <v>6</v>
      </c>
      <c r="O2863" s="93">
        <f t="shared" si="946"/>
        <v>100</v>
      </c>
      <c r="LW2863" s="100">
        <v>1</v>
      </c>
      <c r="ON2863" s="100">
        <f t="shared" si="926"/>
        <v>0</v>
      </c>
    </row>
    <row r="2864" spans="1:404" ht="23.25" customHeight="1">
      <c r="A2864" s="97" t="str">
        <f t="shared" si="940"/>
        <v xml:space="preserve"> 001_SR-21( ITIMASIA (THD)66-01729-03-B</v>
      </c>
      <c r="B2864" s="95">
        <v>44540</v>
      </c>
      <c r="C2864" s="97">
        <f t="shared" ca="1" si="939"/>
        <v>-524</v>
      </c>
      <c r="D2864" s="112" t="s">
        <v>2286</v>
      </c>
      <c r="E2864" s="123" t="s">
        <v>1092</v>
      </c>
      <c r="F2864" s="98" t="str">
        <f t="shared" si="938"/>
        <v>B</v>
      </c>
      <c r="G2864" s="110">
        <f ca="1">SUMIF($A:E,$A2864,K:K)</f>
        <v>1</v>
      </c>
      <c r="H2864" s="97" t="s">
        <v>508</v>
      </c>
      <c r="I2864" s="175">
        <v>39</v>
      </c>
      <c r="J2864" s="99">
        <v>1</v>
      </c>
      <c r="K2864" s="143">
        <f t="shared" si="942"/>
        <v>1</v>
      </c>
      <c r="L2864" s="144">
        <f t="shared" si="948"/>
        <v>0</v>
      </c>
      <c r="M2864" s="275">
        <f t="shared" si="941"/>
        <v>39</v>
      </c>
      <c r="N2864" s="98">
        <v>6</v>
      </c>
      <c r="O2864" s="93">
        <f t="shared" si="946"/>
        <v>100</v>
      </c>
      <c r="LW2864" s="100">
        <v>1</v>
      </c>
      <c r="ON2864" s="100">
        <f t="shared" si="926"/>
        <v>0</v>
      </c>
    </row>
    <row r="2865" spans="1:404" ht="23.25" customHeight="1">
      <c r="A2865" s="97" t="str">
        <f t="shared" si="940"/>
        <v>333/KHBS-2166-06723-01-B</v>
      </c>
      <c r="B2865" s="95">
        <v>44540</v>
      </c>
      <c r="C2865" s="97">
        <f t="shared" ca="1" si="939"/>
        <v>-524</v>
      </c>
      <c r="D2865" s="96" t="s">
        <v>2287</v>
      </c>
      <c r="E2865" s="94" t="s">
        <v>2105</v>
      </c>
      <c r="F2865" s="98" t="str">
        <f t="shared" si="938"/>
        <v>B</v>
      </c>
      <c r="G2865" s="110">
        <f ca="1">SUMIF($A:E,$A2865,K:K)</f>
        <v>2</v>
      </c>
      <c r="H2865" s="97" t="s">
        <v>508</v>
      </c>
      <c r="I2865" s="175">
        <v>2</v>
      </c>
      <c r="J2865" s="99">
        <v>2</v>
      </c>
      <c r="K2865" s="143">
        <f t="shared" si="942"/>
        <v>2</v>
      </c>
      <c r="L2865" s="144">
        <f t="shared" ref="L2865:L2868" si="949">J2865-K2865</f>
        <v>0</v>
      </c>
      <c r="M2865" s="275">
        <f t="shared" si="941"/>
        <v>2</v>
      </c>
      <c r="N2865" s="98">
        <v>6</v>
      </c>
      <c r="O2865" s="93">
        <f t="shared" si="946"/>
        <v>100</v>
      </c>
      <c r="MK2865" s="100">
        <v>2</v>
      </c>
      <c r="ON2865" s="100">
        <f t="shared" si="926"/>
        <v>0</v>
      </c>
    </row>
    <row r="2866" spans="1:404" ht="23.25" customHeight="1">
      <c r="A2866" s="97" t="str">
        <f t="shared" si="940"/>
        <v>085/VG_SR-21(WESTELM)66-80036-01-B</v>
      </c>
      <c r="B2866" s="95">
        <v>44550</v>
      </c>
      <c r="C2866" s="97">
        <f t="shared" ca="1" si="939"/>
        <v>-514</v>
      </c>
      <c r="D2866" s="112" t="s">
        <v>2288</v>
      </c>
      <c r="E2866" s="123" t="s">
        <v>894</v>
      </c>
      <c r="F2866" s="98" t="str">
        <f t="shared" si="938"/>
        <v>B</v>
      </c>
      <c r="G2866" s="110">
        <f ca="1">SUMIF($A:E,$A2866,K:K)</f>
        <v>5</v>
      </c>
      <c r="H2866" s="112" t="s">
        <v>2292</v>
      </c>
      <c r="I2866" s="175">
        <v>114</v>
      </c>
      <c r="J2866" s="99">
        <v>5</v>
      </c>
      <c r="K2866" s="143">
        <f t="shared" si="942"/>
        <v>5</v>
      </c>
      <c r="L2866" s="144">
        <f t="shared" si="949"/>
        <v>0</v>
      </c>
      <c r="M2866" s="275">
        <f t="shared" si="941"/>
        <v>114</v>
      </c>
      <c r="N2866" s="98">
        <v>1</v>
      </c>
      <c r="O2866" s="93">
        <f t="shared" si="946"/>
        <v>100</v>
      </c>
      <c r="MF2866" s="100">
        <v>4</v>
      </c>
      <c r="MG2866" s="100">
        <v>1</v>
      </c>
      <c r="ON2866" s="100">
        <f t="shared" si="926"/>
        <v>0</v>
      </c>
    </row>
    <row r="2867" spans="1:404" ht="23.25" customHeight="1">
      <c r="A2867" s="97" t="str">
        <f t="shared" si="940"/>
        <v>085/VG_SR-21(WESTELM)66-80036-03-B</v>
      </c>
      <c r="B2867" s="95">
        <v>44550</v>
      </c>
      <c r="C2867" s="97">
        <f t="shared" ca="1" si="939"/>
        <v>-514</v>
      </c>
      <c r="D2867" s="112" t="s">
        <v>2288</v>
      </c>
      <c r="E2867" s="123" t="s">
        <v>638</v>
      </c>
      <c r="F2867" s="98" t="str">
        <f t="shared" si="938"/>
        <v>B</v>
      </c>
      <c r="G2867" s="110">
        <f ca="1">SUMIF($A:E,$A2867,K:K)</f>
        <v>5</v>
      </c>
      <c r="H2867" s="112" t="s">
        <v>2292</v>
      </c>
      <c r="I2867" s="175">
        <v>78</v>
      </c>
      <c r="J2867" s="99">
        <v>5</v>
      </c>
      <c r="K2867" s="143">
        <f t="shared" si="942"/>
        <v>5</v>
      </c>
      <c r="L2867" s="144">
        <f t="shared" si="949"/>
        <v>0</v>
      </c>
      <c r="M2867" s="275">
        <f t="shared" si="941"/>
        <v>78</v>
      </c>
      <c r="N2867" s="98">
        <v>1</v>
      </c>
      <c r="O2867" s="93">
        <f t="shared" si="946"/>
        <v>100</v>
      </c>
      <c r="MD2867" s="100">
        <v>2</v>
      </c>
      <c r="ME2867" s="100">
        <v>2</v>
      </c>
      <c r="MF2867" s="100">
        <v>1</v>
      </c>
      <c r="ON2867" s="100">
        <f t="shared" si="926"/>
        <v>0</v>
      </c>
    </row>
    <row r="2868" spans="1:404" ht="23.25" customHeight="1">
      <c r="A2868" s="97" t="str">
        <f t="shared" si="940"/>
        <v>085/VG_SR-21(WESTELM)66-80136-02-B</v>
      </c>
      <c r="B2868" s="95">
        <v>44550</v>
      </c>
      <c r="C2868" s="97">
        <f t="shared" ca="1" si="939"/>
        <v>-514</v>
      </c>
      <c r="D2868" s="112" t="s">
        <v>2288</v>
      </c>
      <c r="E2868" s="123" t="s">
        <v>639</v>
      </c>
      <c r="F2868" s="98" t="str">
        <f t="shared" si="938"/>
        <v>B</v>
      </c>
      <c r="G2868" s="110">
        <f ca="1">SUMIF($A:E,$A2868,K:K)</f>
        <v>5</v>
      </c>
      <c r="H2868" s="112" t="s">
        <v>2292</v>
      </c>
      <c r="I2868" s="236">
        <v>157</v>
      </c>
      <c r="J2868" s="99">
        <v>5</v>
      </c>
      <c r="K2868" s="143">
        <f t="shared" si="942"/>
        <v>5</v>
      </c>
      <c r="L2868" s="144">
        <f t="shared" si="949"/>
        <v>0</v>
      </c>
      <c r="M2868" s="275">
        <f t="shared" si="941"/>
        <v>157</v>
      </c>
      <c r="N2868" s="98">
        <v>1</v>
      </c>
      <c r="O2868" s="93">
        <f t="shared" si="946"/>
        <v>100</v>
      </c>
      <c r="MF2868" s="100">
        <v>5</v>
      </c>
      <c r="ON2868" s="100">
        <f t="shared" si="926"/>
        <v>0</v>
      </c>
    </row>
    <row r="2869" spans="1:404" ht="23.25" customHeight="1">
      <c r="A2869" s="97" t="str">
        <f t="shared" si="940"/>
        <v>085/VG_SR-21(WESTELM)66-90300-S1-B</v>
      </c>
      <c r="B2869" s="95">
        <v>44550</v>
      </c>
      <c r="C2869" s="97">
        <f t="shared" ca="1" si="939"/>
        <v>-514</v>
      </c>
      <c r="D2869" s="112" t="s">
        <v>2288</v>
      </c>
      <c r="E2869" s="123" t="s">
        <v>2289</v>
      </c>
      <c r="F2869" s="98" t="str">
        <f t="shared" si="938"/>
        <v>B</v>
      </c>
      <c r="G2869" s="110">
        <f ca="1">SUMIF($A:E,$A2869,K:K)</f>
        <v>5</v>
      </c>
      <c r="H2869" s="112" t="s">
        <v>2292</v>
      </c>
      <c r="I2869" s="98">
        <v>5</v>
      </c>
      <c r="J2869" s="99">
        <v>5</v>
      </c>
      <c r="K2869" s="143">
        <f t="shared" si="942"/>
        <v>5</v>
      </c>
      <c r="L2869" s="144">
        <f t="shared" ref="L2869:L2872" si="950">J2869-K2869</f>
        <v>0</v>
      </c>
      <c r="M2869" s="275">
        <f t="shared" si="941"/>
        <v>5</v>
      </c>
      <c r="N2869" s="98">
        <v>1</v>
      </c>
      <c r="O2869" s="93">
        <f t="shared" si="946"/>
        <v>100</v>
      </c>
      <c r="ME2869" s="100">
        <v>1</v>
      </c>
      <c r="MF2869" s="100">
        <v>4</v>
      </c>
      <c r="ON2869" s="100">
        <f t="shared" si="926"/>
        <v>0</v>
      </c>
    </row>
    <row r="2870" spans="1:404" ht="23.25" customHeight="1">
      <c r="A2870" s="97" t="str">
        <f t="shared" si="940"/>
        <v>085/VG_SR-21(WESTELM)66-90400-S1-B</v>
      </c>
      <c r="B2870" s="95">
        <v>44550</v>
      </c>
      <c r="C2870" s="97">
        <f t="shared" ca="1" si="939"/>
        <v>-514</v>
      </c>
      <c r="D2870" s="112" t="s">
        <v>2288</v>
      </c>
      <c r="E2870" s="123" t="s">
        <v>2290</v>
      </c>
      <c r="F2870" s="98" t="str">
        <f t="shared" si="938"/>
        <v>B</v>
      </c>
      <c r="G2870" s="110">
        <f ca="1">SUMIF($A:E,$A2870,K:K)</f>
        <v>5</v>
      </c>
      <c r="H2870" s="112" t="s">
        <v>2292</v>
      </c>
      <c r="I2870" s="98">
        <v>5</v>
      </c>
      <c r="J2870" s="99">
        <v>5</v>
      </c>
      <c r="K2870" s="143">
        <f t="shared" si="942"/>
        <v>5</v>
      </c>
      <c r="L2870" s="144">
        <f t="shared" si="950"/>
        <v>0</v>
      </c>
      <c r="M2870" s="275">
        <f t="shared" si="941"/>
        <v>5</v>
      </c>
      <c r="N2870" s="98">
        <v>1</v>
      </c>
      <c r="O2870" s="93">
        <f t="shared" si="946"/>
        <v>100</v>
      </c>
      <c r="ME2870" s="100">
        <v>2</v>
      </c>
      <c r="MF2870" s="100">
        <v>3</v>
      </c>
      <c r="ON2870" s="100">
        <f t="shared" si="926"/>
        <v>0</v>
      </c>
    </row>
    <row r="2871" spans="1:404" ht="23.25" customHeight="1">
      <c r="A2871" s="97" t="str">
        <f t="shared" si="940"/>
        <v>085/VG_SR-21(WESTELM)66-90500-S1-B</v>
      </c>
      <c r="B2871" s="95">
        <v>44550</v>
      </c>
      <c r="C2871" s="97">
        <f t="shared" ca="1" si="939"/>
        <v>-514</v>
      </c>
      <c r="D2871" s="112" t="s">
        <v>2288</v>
      </c>
      <c r="E2871" s="123" t="s">
        <v>2291</v>
      </c>
      <c r="F2871" s="98" t="str">
        <f t="shared" si="938"/>
        <v>B</v>
      </c>
      <c r="G2871" s="110">
        <f ca="1">SUMIF($A:E,$A2871,K:K)</f>
        <v>5</v>
      </c>
      <c r="H2871" s="112" t="s">
        <v>2292</v>
      </c>
      <c r="I2871" s="98">
        <v>5</v>
      </c>
      <c r="J2871" s="99">
        <v>5</v>
      </c>
      <c r="K2871" s="143">
        <f t="shared" si="942"/>
        <v>5</v>
      </c>
      <c r="L2871" s="144">
        <f t="shared" si="950"/>
        <v>0</v>
      </c>
      <c r="M2871" s="275">
        <f t="shared" si="941"/>
        <v>5</v>
      </c>
      <c r="N2871" s="98">
        <v>1</v>
      </c>
      <c r="O2871" s="93">
        <f t="shared" si="946"/>
        <v>100</v>
      </c>
      <c r="ME2871" s="100">
        <v>1</v>
      </c>
      <c r="MF2871" s="100">
        <v>4</v>
      </c>
      <c r="ON2871" s="100">
        <f t="shared" si="926"/>
        <v>0</v>
      </c>
    </row>
    <row r="2872" spans="1:404" ht="23.25" customHeight="1">
      <c r="A2872" s="97" t="str">
        <f t="shared" si="940"/>
        <v>331/KHBS-2166-06700-01-B</v>
      </c>
      <c r="B2872" s="95">
        <v>44546</v>
      </c>
      <c r="C2872" s="97">
        <f t="shared" ca="1" si="939"/>
        <v>-518</v>
      </c>
      <c r="D2872" s="96" t="s">
        <v>2293</v>
      </c>
      <c r="E2872" s="94" t="s">
        <v>625</v>
      </c>
      <c r="F2872" s="98" t="str">
        <f t="shared" si="938"/>
        <v>B</v>
      </c>
      <c r="G2872" s="110">
        <f ca="1">SUMIF($A:E,$A2872,K:K)</f>
        <v>57</v>
      </c>
      <c r="H2872" s="97" t="s">
        <v>1593</v>
      </c>
      <c r="I2872" s="98">
        <v>72</v>
      </c>
      <c r="J2872" s="99">
        <v>57</v>
      </c>
      <c r="K2872" s="143">
        <f t="shared" si="942"/>
        <v>57</v>
      </c>
      <c r="L2872" s="144">
        <f t="shared" si="950"/>
        <v>0</v>
      </c>
      <c r="M2872" s="275">
        <f t="shared" si="941"/>
        <v>72</v>
      </c>
      <c r="N2872" s="98">
        <v>4</v>
      </c>
      <c r="O2872" s="93">
        <f t="shared" si="946"/>
        <v>100</v>
      </c>
      <c r="MD2872" s="100">
        <v>57</v>
      </c>
      <c r="ON2872" s="100">
        <f t="shared" si="926"/>
        <v>0</v>
      </c>
    </row>
    <row r="2873" spans="1:404" ht="23.25" customHeight="1">
      <c r="A2873" s="97" t="str">
        <f t="shared" si="940"/>
        <v>331/KHBS-2166-06700-02-B</v>
      </c>
      <c r="B2873" s="95">
        <v>44546</v>
      </c>
      <c r="C2873" s="97">
        <f t="shared" ca="1" si="939"/>
        <v>-518</v>
      </c>
      <c r="D2873" s="96" t="s">
        <v>2293</v>
      </c>
      <c r="E2873" s="94" t="s">
        <v>605</v>
      </c>
      <c r="F2873" s="98" t="str">
        <f t="shared" ref="F2873:F2895" si="951">MID(E2873,13,2)</f>
        <v>B</v>
      </c>
      <c r="G2873" s="110">
        <f ca="1">SUMIF($A:E,$A2873,K:K)</f>
        <v>8</v>
      </c>
      <c r="H2873" s="97" t="s">
        <v>1593</v>
      </c>
      <c r="I2873" s="98">
        <v>72</v>
      </c>
      <c r="J2873" s="99">
        <v>8</v>
      </c>
      <c r="K2873" s="143">
        <f t="shared" si="942"/>
        <v>8</v>
      </c>
      <c r="L2873" s="144">
        <f t="shared" ref="L2873" si="952">J2873-K2873</f>
        <v>0</v>
      </c>
      <c r="M2873" s="275">
        <f t="shared" si="941"/>
        <v>72</v>
      </c>
      <c r="N2873" s="98">
        <v>4</v>
      </c>
      <c r="O2873" s="93">
        <f t="shared" si="946"/>
        <v>100</v>
      </c>
      <c r="MD2873" s="100">
        <v>8</v>
      </c>
      <c r="ON2873" s="100">
        <f t="shared" si="926"/>
        <v>0</v>
      </c>
    </row>
    <row r="2874" spans="1:404" ht="23.25" customHeight="1">
      <c r="A2874" s="97" t="str">
        <f t="shared" si="940"/>
        <v>333/KHBS-2166-12500-03-B</v>
      </c>
      <c r="B2874" s="95">
        <v>44545</v>
      </c>
      <c r="C2874" s="97">
        <f t="shared" ca="1" si="939"/>
        <v>-519</v>
      </c>
      <c r="D2874" s="96" t="s">
        <v>2287</v>
      </c>
      <c r="E2874" s="94" t="s">
        <v>1208</v>
      </c>
      <c r="F2874" s="98" t="str">
        <f t="shared" si="951"/>
        <v>B</v>
      </c>
      <c r="G2874" s="110">
        <f ca="1">SUMIF($A:E,$A2874,K:K)</f>
        <v>1</v>
      </c>
      <c r="H2874" s="97" t="s">
        <v>1593</v>
      </c>
      <c r="I2874" s="98">
        <v>1</v>
      </c>
      <c r="J2874" s="99">
        <v>1</v>
      </c>
      <c r="K2874" s="143">
        <f t="shared" si="942"/>
        <v>1</v>
      </c>
      <c r="L2874" s="144">
        <f t="shared" ref="L2874:L2880" si="953">J2874-K2874</f>
        <v>0</v>
      </c>
      <c r="M2874" s="275">
        <f t="shared" si="941"/>
        <v>1</v>
      </c>
      <c r="N2874" s="211">
        <v>1</v>
      </c>
      <c r="O2874" s="93">
        <f t="shared" si="946"/>
        <v>100</v>
      </c>
      <c r="LZ2874" s="100">
        <v>1</v>
      </c>
      <c r="ON2874" s="100">
        <f t="shared" si="926"/>
        <v>0</v>
      </c>
    </row>
    <row r="2875" spans="1:404" ht="23.25" customHeight="1">
      <c r="A2875" s="97" t="str">
        <f t="shared" si="940"/>
        <v>333/KHBS-2166-01729-04-B</v>
      </c>
      <c r="B2875" s="95">
        <v>44545</v>
      </c>
      <c r="C2875" s="97">
        <f t="shared" ref="C2875:C2906" ca="1" si="954">B2875-TODAY()</f>
        <v>-519</v>
      </c>
      <c r="D2875" s="96" t="s">
        <v>2287</v>
      </c>
      <c r="E2875" s="94" t="s">
        <v>1093</v>
      </c>
      <c r="F2875" s="98" t="str">
        <f t="shared" si="951"/>
        <v>B</v>
      </c>
      <c r="G2875" s="110">
        <f ca="1">SUMIF($A:E,$A2875,K:K)</f>
        <v>1</v>
      </c>
      <c r="H2875" s="97" t="s">
        <v>1593</v>
      </c>
      <c r="I2875" s="98">
        <v>72</v>
      </c>
      <c r="J2875" s="99">
        <v>1</v>
      </c>
      <c r="K2875" s="143">
        <f t="shared" si="942"/>
        <v>1</v>
      </c>
      <c r="L2875" s="144">
        <f t="shared" si="953"/>
        <v>0</v>
      </c>
      <c r="M2875" s="275">
        <f t="shared" si="941"/>
        <v>72</v>
      </c>
      <c r="N2875" s="211">
        <v>3</v>
      </c>
      <c r="O2875" s="93">
        <f t="shared" si="946"/>
        <v>100</v>
      </c>
      <c r="LZ2875" s="100">
        <v>1</v>
      </c>
      <c r="ON2875" s="100">
        <f t="shared" si="926"/>
        <v>0</v>
      </c>
    </row>
    <row r="2876" spans="1:404" ht="23.25" customHeight="1">
      <c r="A2876" s="97" t="str">
        <f t="shared" si="940"/>
        <v>333/KHBS-2166-84837-01-B4</v>
      </c>
      <c r="B2876" s="95">
        <v>44545</v>
      </c>
      <c r="C2876" s="97">
        <f t="shared" ca="1" si="954"/>
        <v>-519</v>
      </c>
      <c r="D2876" s="96" t="s">
        <v>2287</v>
      </c>
      <c r="E2876" s="94" t="s">
        <v>2242</v>
      </c>
      <c r="F2876" s="98" t="str">
        <f t="shared" si="951"/>
        <v>B4</v>
      </c>
      <c r="G2876" s="110">
        <f ca="1">SUMIF($A:E,$A2876,K:K)</f>
        <v>1</v>
      </c>
      <c r="H2876" s="97" t="s">
        <v>1593</v>
      </c>
      <c r="I2876" s="98">
        <v>72</v>
      </c>
      <c r="J2876" s="99">
        <v>1</v>
      </c>
      <c r="K2876" s="143">
        <f t="shared" si="942"/>
        <v>1</v>
      </c>
      <c r="L2876" s="144">
        <f t="shared" si="953"/>
        <v>0</v>
      </c>
      <c r="M2876" s="275">
        <f t="shared" si="941"/>
        <v>72</v>
      </c>
      <c r="N2876" s="211">
        <v>3</v>
      </c>
      <c r="O2876" s="93">
        <f t="shared" si="946"/>
        <v>100</v>
      </c>
      <c r="LZ2876" s="100">
        <v>1</v>
      </c>
      <c r="ON2876" s="100">
        <f t="shared" si="926"/>
        <v>0</v>
      </c>
    </row>
    <row r="2877" spans="1:404" ht="23.25" customHeight="1">
      <c r="A2877" s="97" t="str">
        <f t="shared" si="940"/>
        <v>333/KHBS-2166-85037-02-B4</v>
      </c>
      <c r="B2877" s="95">
        <v>44545</v>
      </c>
      <c r="C2877" s="97">
        <f t="shared" ca="1" si="954"/>
        <v>-519</v>
      </c>
      <c r="D2877" s="96" t="s">
        <v>2287</v>
      </c>
      <c r="E2877" s="94" t="s">
        <v>2294</v>
      </c>
      <c r="F2877" s="98" t="str">
        <f t="shared" si="951"/>
        <v>B4</v>
      </c>
      <c r="G2877" s="110">
        <f ca="1">SUMIF($A:E,$A2877,K:K)</f>
        <v>1</v>
      </c>
      <c r="H2877" s="97" t="s">
        <v>1593</v>
      </c>
      <c r="I2877" s="98">
        <v>72</v>
      </c>
      <c r="J2877" s="99">
        <v>1</v>
      </c>
      <c r="K2877" s="143">
        <f t="shared" si="942"/>
        <v>1</v>
      </c>
      <c r="L2877" s="144">
        <f t="shared" si="953"/>
        <v>0</v>
      </c>
      <c r="M2877" s="275">
        <f t="shared" si="941"/>
        <v>72</v>
      </c>
      <c r="N2877" s="211">
        <v>3</v>
      </c>
      <c r="O2877" s="93">
        <f t="shared" si="946"/>
        <v>100</v>
      </c>
      <c r="LZ2877" s="100">
        <v>1</v>
      </c>
      <c r="ON2877" s="100">
        <f t="shared" si="926"/>
        <v>0</v>
      </c>
    </row>
    <row r="2878" spans="1:404" ht="23.25" customHeight="1">
      <c r="A2878" s="97" t="str">
        <f t="shared" ref="A2878:A2909" si="955">D2878&amp;E2878</f>
        <v>333/KHBS-2166-39629-03-B</v>
      </c>
      <c r="B2878" s="95">
        <v>44545</v>
      </c>
      <c r="C2878" s="97">
        <f t="shared" ca="1" si="954"/>
        <v>-519</v>
      </c>
      <c r="D2878" s="96" t="s">
        <v>2287</v>
      </c>
      <c r="E2878" s="94" t="s">
        <v>1111</v>
      </c>
      <c r="F2878" s="98" t="str">
        <f t="shared" si="951"/>
        <v>B</v>
      </c>
      <c r="G2878" s="110">
        <f ca="1">SUMIF($A:E,$A2878,K:K)</f>
        <v>1</v>
      </c>
      <c r="H2878" s="97" t="s">
        <v>1593</v>
      </c>
      <c r="I2878" s="98">
        <v>72</v>
      </c>
      <c r="J2878" s="99">
        <v>1</v>
      </c>
      <c r="K2878" s="143">
        <f t="shared" si="942"/>
        <v>1</v>
      </c>
      <c r="L2878" s="144">
        <f t="shared" si="953"/>
        <v>0</v>
      </c>
      <c r="M2878" s="275">
        <f t="shared" si="941"/>
        <v>72</v>
      </c>
      <c r="N2878" s="211">
        <v>4</v>
      </c>
      <c r="O2878" s="93">
        <f t="shared" si="946"/>
        <v>100</v>
      </c>
      <c r="LW2878" s="100">
        <v>1</v>
      </c>
      <c r="ON2878" s="100">
        <f t="shared" si="926"/>
        <v>0</v>
      </c>
    </row>
    <row r="2879" spans="1:404" ht="23.25" customHeight="1">
      <c r="A2879" s="97" t="str">
        <f t="shared" si="955"/>
        <v>333/KHBS-2166-53037-03-B4</v>
      </c>
      <c r="B2879" s="95">
        <v>44545</v>
      </c>
      <c r="C2879" s="97">
        <f t="shared" ca="1" si="954"/>
        <v>-519</v>
      </c>
      <c r="D2879" s="96" t="s">
        <v>2287</v>
      </c>
      <c r="E2879" s="94" t="s">
        <v>2295</v>
      </c>
      <c r="F2879" s="98" t="str">
        <f t="shared" si="951"/>
        <v>B4</v>
      </c>
      <c r="G2879" s="110">
        <f ca="1">SUMIF($A:E,$A2879,K:K)</f>
        <v>4</v>
      </c>
      <c r="H2879" s="97" t="s">
        <v>1593</v>
      </c>
      <c r="I2879" s="98">
        <v>72</v>
      </c>
      <c r="J2879" s="99">
        <v>4</v>
      </c>
      <c r="K2879" s="143">
        <f t="shared" si="942"/>
        <v>4</v>
      </c>
      <c r="L2879" s="144">
        <f t="shared" si="953"/>
        <v>0</v>
      </c>
      <c r="M2879" s="275">
        <f t="shared" si="941"/>
        <v>72</v>
      </c>
      <c r="N2879" s="98">
        <v>2</v>
      </c>
      <c r="O2879" s="93">
        <f t="shared" si="946"/>
        <v>100</v>
      </c>
      <c r="ME2879" s="100">
        <v>1</v>
      </c>
      <c r="MF2879" s="100">
        <v>3</v>
      </c>
      <c r="ON2879" s="100">
        <f t="shared" si="926"/>
        <v>0</v>
      </c>
    </row>
    <row r="2880" spans="1:404" ht="23.25" customHeight="1">
      <c r="A2880" s="97" t="str">
        <f t="shared" si="955"/>
        <v>332/KHBS-2168-70200-02-01</v>
      </c>
      <c r="B2880" s="95">
        <v>44546</v>
      </c>
      <c r="C2880" s="97">
        <f t="shared" ca="1" si="954"/>
        <v>-518</v>
      </c>
      <c r="D2880" s="96" t="s">
        <v>2296</v>
      </c>
      <c r="E2880" s="94" t="s">
        <v>2297</v>
      </c>
      <c r="F2880" s="98" t="str">
        <f t="shared" si="951"/>
        <v>01</v>
      </c>
      <c r="G2880" s="110">
        <f ca="1">SUMIF($A:E,$A2880,K:K)</f>
        <v>1</v>
      </c>
      <c r="H2880" s="97" t="s">
        <v>1988</v>
      </c>
      <c r="I2880" s="98">
        <v>72</v>
      </c>
      <c r="J2880" s="99">
        <v>1</v>
      </c>
      <c r="K2880" s="143">
        <f t="shared" si="942"/>
        <v>1</v>
      </c>
      <c r="L2880" s="144">
        <f t="shared" si="953"/>
        <v>0</v>
      </c>
      <c r="M2880" s="275">
        <f t="shared" si="941"/>
        <v>72</v>
      </c>
      <c r="N2880" s="98" t="s">
        <v>1776</v>
      </c>
      <c r="O2880" s="93">
        <f t="shared" ref="O2880:O2887" si="956">K2880/J2880*100</f>
        <v>100</v>
      </c>
      <c r="LY2880" s="100">
        <v>1</v>
      </c>
      <c r="ON2880" s="100">
        <f t="shared" si="926"/>
        <v>0</v>
      </c>
    </row>
    <row r="2881" spans="1:404" ht="23.25" customHeight="1">
      <c r="A2881" s="97" t="str">
        <f t="shared" si="955"/>
        <v>002/AHOME-VG_SR-2166-02601-02-B</v>
      </c>
      <c r="B2881" s="95">
        <v>44552</v>
      </c>
      <c r="C2881" s="97">
        <f t="shared" ca="1" si="954"/>
        <v>-512</v>
      </c>
      <c r="D2881" s="112" t="s">
        <v>2298</v>
      </c>
      <c r="E2881" s="123" t="s">
        <v>2299</v>
      </c>
      <c r="F2881" s="98" t="str">
        <f t="shared" si="951"/>
        <v>B</v>
      </c>
      <c r="G2881" s="110">
        <f ca="1">SUMIF($A:E,$A2881,K:K)</f>
        <v>1</v>
      </c>
      <c r="H2881" s="97" t="s">
        <v>508</v>
      </c>
      <c r="I2881" s="98">
        <v>1</v>
      </c>
      <c r="J2881" s="99">
        <v>1</v>
      </c>
      <c r="K2881" s="143">
        <f t="shared" si="942"/>
        <v>1</v>
      </c>
      <c r="L2881" s="144">
        <f t="shared" ref="L2881:L2882" si="957">J2881-K2881</f>
        <v>0</v>
      </c>
      <c r="M2881" s="275">
        <f t="shared" si="941"/>
        <v>1</v>
      </c>
      <c r="N2881" s="98">
        <v>3</v>
      </c>
      <c r="O2881" s="93">
        <f t="shared" si="956"/>
        <v>100</v>
      </c>
      <c r="MF2881" s="100">
        <v>1</v>
      </c>
      <c r="ON2881" s="100">
        <f t="shared" si="926"/>
        <v>0</v>
      </c>
    </row>
    <row r="2882" spans="1:404" ht="23.25" customHeight="1">
      <c r="A2882" s="97" t="str">
        <f t="shared" si="955"/>
        <v>002/AHOME-VG_SR-2166-02601-03-B</v>
      </c>
      <c r="B2882" s="95">
        <v>44552</v>
      </c>
      <c r="C2882" s="97">
        <f t="shared" ca="1" si="954"/>
        <v>-512</v>
      </c>
      <c r="D2882" s="112" t="s">
        <v>2298</v>
      </c>
      <c r="E2882" s="123" t="s">
        <v>2300</v>
      </c>
      <c r="F2882" s="98" t="str">
        <f t="shared" si="951"/>
        <v>B</v>
      </c>
      <c r="G2882" s="110">
        <f ca="1">SUMIF($A:E,$A2882,K:K)</f>
        <v>2</v>
      </c>
      <c r="H2882" s="97" t="s">
        <v>508</v>
      </c>
      <c r="I2882" s="98">
        <v>2</v>
      </c>
      <c r="J2882" s="99">
        <v>2</v>
      </c>
      <c r="K2882" s="143">
        <f t="shared" si="942"/>
        <v>2</v>
      </c>
      <c r="L2882" s="144">
        <f t="shared" si="957"/>
        <v>0</v>
      </c>
      <c r="M2882" s="275">
        <f t="shared" si="941"/>
        <v>2</v>
      </c>
      <c r="N2882" s="98">
        <v>3</v>
      </c>
      <c r="O2882" s="93">
        <f t="shared" si="956"/>
        <v>100</v>
      </c>
      <c r="MF2882" s="100">
        <v>1</v>
      </c>
      <c r="MN2882" s="100">
        <v>1</v>
      </c>
      <c r="ON2882" s="100">
        <f t="shared" si="926"/>
        <v>0</v>
      </c>
    </row>
    <row r="2883" spans="1:404" ht="23.25" customHeight="1">
      <c r="A2883" s="97" t="str">
        <f t="shared" si="955"/>
        <v>067T/WESTELM-2166-70300-02-B</v>
      </c>
      <c r="B2883" s="95">
        <v>44660</v>
      </c>
      <c r="C2883" s="97">
        <f t="shared" ca="1" si="954"/>
        <v>-404</v>
      </c>
      <c r="D2883" s="96" t="s">
        <v>2301</v>
      </c>
      <c r="E2883" s="94" t="s">
        <v>47</v>
      </c>
      <c r="F2883" s="98" t="str">
        <f t="shared" si="951"/>
        <v>B</v>
      </c>
      <c r="G2883" s="110">
        <f ca="1">SUMIF($A:E,$A2883,K:K)</f>
        <v>112</v>
      </c>
      <c r="H2883" s="97" t="s">
        <v>508</v>
      </c>
      <c r="I2883" s="98">
        <v>56</v>
      </c>
      <c r="J2883" s="99">
        <v>56</v>
      </c>
      <c r="K2883" s="143">
        <f t="shared" si="942"/>
        <v>112</v>
      </c>
      <c r="L2883" s="144">
        <f t="shared" ref="L2883" si="958">J2883-K2883</f>
        <v>-56</v>
      </c>
      <c r="M2883" s="275">
        <f t="shared" si="941"/>
        <v>56</v>
      </c>
      <c r="N2883" s="98">
        <v>2</v>
      </c>
      <c r="O2883" s="93">
        <f t="shared" si="956"/>
        <v>200</v>
      </c>
      <c r="NS2883" s="100">
        <v>9</v>
      </c>
      <c r="NT2883" s="100">
        <v>9</v>
      </c>
      <c r="NU2883" s="100">
        <v>13</v>
      </c>
      <c r="NV2883" s="100">
        <v>18</v>
      </c>
      <c r="NY2883" s="100">
        <v>7</v>
      </c>
      <c r="ON2883" s="100">
        <f t="shared" si="926"/>
        <v>56</v>
      </c>
    </row>
    <row r="2884" spans="1:404" ht="23.25" customHeight="1">
      <c r="A2884" s="97" t="str">
        <f t="shared" si="955"/>
        <v>057T/WESTELM-2166-80036-01-B</v>
      </c>
      <c r="B2884" s="95">
        <v>44619</v>
      </c>
      <c r="C2884" s="97">
        <f t="shared" ca="1" si="954"/>
        <v>-445</v>
      </c>
      <c r="D2884" s="112" t="s">
        <v>2302</v>
      </c>
      <c r="E2884" s="123" t="s">
        <v>894</v>
      </c>
      <c r="F2884" s="98" t="str">
        <f t="shared" si="951"/>
        <v>B</v>
      </c>
      <c r="G2884" s="110">
        <f ca="1">SUMIF($A:E,$A2884,K:K)</f>
        <v>289</v>
      </c>
      <c r="H2884" s="97" t="s">
        <v>508</v>
      </c>
      <c r="I2884" s="175">
        <v>200</v>
      </c>
      <c r="J2884" s="115">
        <v>200</v>
      </c>
      <c r="K2884" s="143">
        <f t="shared" si="942"/>
        <v>289</v>
      </c>
      <c r="L2884" s="144">
        <f t="shared" ref="L2884:L2894" si="959">J2884-K2884</f>
        <v>-89</v>
      </c>
      <c r="M2884" s="275">
        <f t="shared" si="941"/>
        <v>200</v>
      </c>
      <c r="N2884" s="98">
        <v>1</v>
      </c>
      <c r="O2884" s="93">
        <f t="shared" si="956"/>
        <v>144.5</v>
      </c>
      <c r="MT2884" s="100">
        <v>1</v>
      </c>
      <c r="MU2884" s="100">
        <v>5</v>
      </c>
      <c r="MW2884" s="100">
        <v>7</v>
      </c>
      <c r="MX2884" s="100">
        <v>11</v>
      </c>
      <c r="MY2884" s="100">
        <v>3</v>
      </c>
      <c r="NA2884" s="100">
        <v>6</v>
      </c>
      <c r="ND2884" s="100">
        <v>12</v>
      </c>
      <c r="NE2884" s="100">
        <v>8</v>
      </c>
      <c r="NF2884" s="100">
        <v>7</v>
      </c>
      <c r="NI2884" s="100">
        <v>14</v>
      </c>
      <c r="NK2884" s="100">
        <v>7</v>
      </c>
      <c r="NL2884" s="100">
        <v>8</v>
      </c>
      <c r="NM2884" s="100">
        <v>7</v>
      </c>
      <c r="NN2884" s="100">
        <v>13</v>
      </c>
      <c r="NS2884" s="100">
        <v>5</v>
      </c>
      <c r="NU2884" s="100">
        <v>14</v>
      </c>
      <c r="NY2884" s="100">
        <v>7</v>
      </c>
      <c r="OA2884" s="100">
        <v>7</v>
      </c>
      <c r="OB2884" s="100">
        <v>13</v>
      </c>
      <c r="OC2884" s="100">
        <v>1</v>
      </c>
      <c r="OD2884" s="100">
        <v>7</v>
      </c>
      <c r="OF2884" s="100">
        <v>6</v>
      </c>
      <c r="OG2884" s="100">
        <v>4</v>
      </c>
      <c r="OH2884" s="100">
        <v>1</v>
      </c>
      <c r="OI2884" s="100">
        <v>8</v>
      </c>
      <c r="OJ2884" s="100">
        <v>8</v>
      </c>
      <c r="OK2884" s="100">
        <v>9</v>
      </c>
      <c r="ON2884" s="100">
        <f t="shared" ref="ON2884:ON2947" si="960">SUM(NS2884:OM2884)</f>
        <v>90</v>
      </c>
    </row>
    <row r="2885" spans="1:404" ht="23.25" customHeight="1">
      <c r="A2885" s="97" t="str">
        <f t="shared" si="955"/>
        <v>057T/WESTELM-2166-80036-03-B</v>
      </c>
      <c r="B2885" s="95">
        <v>44619</v>
      </c>
      <c r="C2885" s="97">
        <f t="shared" ca="1" si="954"/>
        <v>-445</v>
      </c>
      <c r="D2885" s="111" t="s">
        <v>2302</v>
      </c>
      <c r="E2885" s="225" t="s">
        <v>638</v>
      </c>
      <c r="F2885" s="98" t="str">
        <f t="shared" si="951"/>
        <v>B</v>
      </c>
      <c r="G2885" s="110">
        <f ca="1">SUMIF($A:E,$A2885,K:K)</f>
        <v>326</v>
      </c>
      <c r="H2885" s="97" t="s">
        <v>508</v>
      </c>
      <c r="I2885" s="175">
        <v>200</v>
      </c>
      <c r="J2885" s="115">
        <v>200</v>
      </c>
      <c r="K2885" s="143">
        <f t="shared" si="942"/>
        <v>326</v>
      </c>
      <c r="L2885" s="144">
        <f t="shared" si="959"/>
        <v>-126</v>
      </c>
      <c r="M2885" s="275">
        <f t="shared" si="941"/>
        <v>200</v>
      </c>
      <c r="N2885" s="98">
        <v>3</v>
      </c>
      <c r="O2885" s="93">
        <f t="shared" si="956"/>
        <v>163</v>
      </c>
      <c r="NA2885" s="100">
        <v>12</v>
      </c>
      <c r="ND2885" s="100">
        <v>16</v>
      </c>
      <c r="NE2885" s="100">
        <v>18</v>
      </c>
      <c r="NI2885" s="100">
        <v>12</v>
      </c>
      <c r="NK2885" s="100">
        <v>13</v>
      </c>
      <c r="NN2885" s="100">
        <v>3</v>
      </c>
      <c r="NS2885" s="100">
        <v>9</v>
      </c>
      <c r="NT2885" s="100">
        <v>17</v>
      </c>
      <c r="NV2885" s="100">
        <v>13</v>
      </c>
      <c r="NY2885" s="100">
        <v>30</v>
      </c>
      <c r="NZ2885" s="100">
        <v>12</v>
      </c>
      <c r="OB2885" s="100">
        <v>12</v>
      </c>
      <c r="OC2885" s="100">
        <v>12</v>
      </c>
      <c r="OF2885" s="100">
        <v>12</v>
      </c>
      <c r="OG2885" s="100">
        <v>9</v>
      </c>
      <c r="ON2885" s="100">
        <f t="shared" si="960"/>
        <v>126</v>
      </c>
    </row>
    <row r="2886" spans="1:404" ht="23.25" customHeight="1">
      <c r="A2886" s="97" t="str">
        <f t="shared" si="955"/>
        <v>058T/WESTELM-2166-80036-03-B</v>
      </c>
      <c r="B2886" s="95">
        <v>44628</v>
      </c>
      <c r="C2886" s="97">
        <f t="shared" ca="1" si="954"/>
        <v>-436</v>
      </c>
      <c r="D2886" s="112" t="s">
        <v>2303</v>
      </c>
      <c r="E2886" s="123" t="s">
        <v>638</v>
      </c>
      <c r="F2886" s="98" t="str">
        <f t="shared" si="951"/>
        <v>B</v>
      </c>
      <c r="G2886" s="110">
        <f ca="1">SUMIF($A:E,$A2886,K:K)</f>
        <v>72</v>
      </c>
      <c r="H2886" s="97" t="s">
        <v>508</v>
      </c>
      <c r="I2886" s="175">
        <v>41</v>
      </c>
      <c r="J2886" s="115">
        <v>41</v>
      </c>
      <c r="K2886" s="143">
        <f t="shared" si="942"/>
        <v>72</v>
      </c>
      <c r="L2886" s="144">
        <f t="shared" si="959"/>
        <v>-31</v>
      </c>
      <c r="M2886" s="275">
        <f t="shared" si="941"/>
        <v>41</v>
      </c>
      <c r="N2886" s="98">
        <v>3</v>
      </c>
      <c r="O2886" s="93">
        <f t="shared" si="956"/>
        <v>175.60975609756099</v>
      </c>
      <c r="OG2886" s="100">
        <v>1</v>
      </c>
      <c r="OH2886" s="100">
        <v>17</v>
      </c>
      <c r="OI2886" s="100">
        <v>3</v>
      </c>
      <c r="OJ2886" s="100">
        <v>11</v>
      </c>
      <c r="OK2886" s="100">
        <v>4</v>
      </c>
      <c r="ON2886" s="100">
        <f t="shared" si="960"/>
        <v>36</v>
      </c>
    </row>
    <row r="2887" spans="1:404" ht="23.25" customHeight="1">
      <c r="A2887" s="97" t="str">
        <f t="shared" si="955"/>
        <v>058T/WESTELM-2166-80136-02-B</v>
      </c>
      <c r="B2887" s="95">
        <v>44628</v>
      </c>
      <c r="C2887" s="97">
        <f t="shared" ca="1" si="954"/>
        <v>-436</v>
      </c>
      <c r="D2887" s="112" t="s">
        <v>2303</v>
      </c>
      <c r="E2887" s="123" t="s">
        <v>639</v>
      </c>
      <c r="F2887" s="98" t="str">
        <f t="shared" si="951"/>
        <v>B</v>
      </c>
      <c r="G2887" s="110">
        <f ca="1">SUMIF($A:E,$A2887,K:K)</f>
        <v>0</v>
      </c>
      <c r="H2887" s="97" t="s">
        <v>508</v>
      </c>
      <c r="I2887" s="175">
        <v>39</v>
      </c>
      <c r="J2887" s="115">
        <v>39</v>
      </c>
      <c r="K2887" s="143">
        <f t="shared" si="942"/>
        <v>0</v>
      </c>
      <c r="L2887" s="144">
        <f t="shared" si="959"/>
        <v>39</v>
      </c>
      <c r="M2887" s="275">
        <f t="shared" si="941"/>
        <v>39</v>
      </c>
      <c r="N2887" s="98">
        <v>1</v>
      </c>
      <c r="O2887" s="93">
        <f t="shared" si="956"/>
        <v>0</v>
      </c>
      <c r="ON2887" s="100">
        <f t="shared" si="960"/>
        <v>0</v>
      </c>
    </row>
    <row r="2888" spans="1:404" ht="23.25" customHeight="1">
      <c r="A2888" s="97" t="str">
        <f t="shared" si="955"/>
        <v>059T/WESTELM-2166-90300-S1-A</v>
      </c>
      <c r="B2888" s="95">
        <v>44645</v>
      </c>
      <c r="C2888" s="97">
        <f t="shared" ca="1" si="954"/>
        <v>-419</v>
      </c>
      <c r="D2888" s="112" t="s">
        <v>2304</v>
      </c>
      <c r="E2888" s="279" t="s">
        <v>2277</v>
      </c>
      <c r="F2888" s="98" t="str">
        <f t="shared" si="951"/>
        <v>A</v>
      </c>
      <c r="G2888" s="110">
        <f ca="1">SUMIF($A:E,$A2888,K:K)</f>
        <v>100</v>
      </c>
      <c r="H2888" s="97" t="s">
        <v>508</v>
      </c>
      <c r="I2888" s="175">
        <v>50</v>
      </c>
      <c r="J2888" s="115">
        <v>50</v>
      </c>
      <c r="K2888" s="143">
        <f t="shared" si="942"/>
        <v>100</v>
      </c>
      <c r="L2888" s="144">
        <f t="shared" si="959"/>
        <v>-50</v>
      </c>
      <c r="M2888" s="275">
        <f t="shared" si="941"/>
        <v>50</v>
      </c>
      <c r="N2888" s="98">
        <v>2</v>
      </c>
      <c r="O2888" s="93">
        <f t="shared" ref="O2888:O2947" si="961">K2888/J2888*100</f>
        <v>200</v>
      </c>
      <c r="OG2888" s="100">
        <v>3</v>
      </c>
      <c r="OH2888" s="100">
        <v>9</v>
      </c>
      <c r="OI2888" s="100">
        <v>10</v>
      </c>
      <c r="OJ2888" s="100">
        <v>11</v>
      </c>
      <c r="OM2888" s="100">
        <v>17</v>
      </c>
      <c r="ON2888" s="100">
        <f t="shared" si="960"/>
        <v>50</v>
      </c>
    </row>
    <row r="2889" spans="1:404" ht="23.25" customHeight="1">
      <c r="A2889" s="97" t="str">
        <f t="shared" si="955"/>
        <v>059T/WESTELM-2166-90400-S1-A</v>
      </c>
      <c r="B2889" s="95">
        <v>44645</v>
      </c>
      <c r="C2889" s="97">
        <f t="shared" ca="1" si="954"/>
        <v>-419</v>
      </c>
      <c r="D2889" s="112" t="s">
        <v>2304</v>
      </c>
      <c r="E2889" s="279" t="s">
        <v>2278</v>
      </c>
      <c r="F2889" s="98" t="str">
        <f t="shared" si="951"/>
        <v>A</v>
      </c>
      <c r="G2889" s="110">
        <f ca="1">SUMIF($A:E,$A2889,K:K)</f>
        <v>50</v>
      </c>
      <c r="H2889" s="97" t="s">
        <v>508</v>
      </c>
      <c r="I2889" s="98">
        <v>114</v>
      </c>
      <c r="J2889" s="115">
        <v>114</v>
      </c>
      <c r="K2889" s="143">
        <f t="shared" si="942"/>
        <v>50</v>
      </c>
      <c r="L2889" s="144">
        <f t="shared" si="959"/>
        <v>64</v>
      </c>
      <c r="M2889" s="275">
        <f t="shared" si="941"/>
        <v>114</v>
      </c>
      <c r="N2889" s="98">
        <v>2</v>
      </c>
      <c r="O2889" s="93">
        <f t="shared" si="961"/>
        <v>43.859649122807014</v>
      </c>
      <c r="OJ2889" s="100">
        <v>5</v>
      </c>
      <c r="OM2889" s="100">
        <v>20</v>
      </c>
      <c r="ON2889" s="100">
        <f t="shared" si="960"/>
        <v>25</v>
      </c>
    </row>
    <row r="2890" spans="1:404" ht="23.25" customHeight="1">
      <c r="A2890" s="97" t="str">
        <f t="shared" si="955"/>
        <v>059T/WESTELM-2166-90500-S1-A</v>
      </c>
      <c r="B2890" s="95">
        <v>44645</v>
      </c>
      <c r="C2890" s="97">
        <f t="shared" ca="1" si="954"/>
        <v>-419</v>
      </c>
      <c r="D2890" s="112" t="s">
        <v>2304</v>
      </c>
      <c r="E2890" s="279" t="s">
        <v>2279</v>
      </c>
      <c r="F2890" s="98" t="str">
        <f t="shared" si="951"/>
        <v>A</v>
      </c>
      <c r="G2890" s="110">
        <f ca="1">SUMIF($A:E,$A2890,K:K)</f>
        <v>64</v>
      </c>
      <c r="H2890" s="97" t="s">
        <v>508</v>
      </c>
      <c r="I2890" s="98">
        <v>78</v>
      </c>
      <c r="J2890" s="115">
        <v>78</v>
      </c>
      <c r="K2890" s="143">
        <f t="shared" si="942"/>
        <v>64</v>
      </c>
      <c r="L2890" s="144">
        <f t="shared" si="959"/>
        <v>14</v>
      </c>
      <c r="M2890" s="275">
        <f t="shared" si="941"/>
        <v>78</v>
      </c>
      <c r="N2890" s="98">
        <v>1</v>
      </c>
      <c r="O2890" s="93">
        <f t="shared" si="961"/>
        <v>82.051282051282044</v>
      </c>
      <c r="OI2890" s="100">
        <v>2</v>
      </c>
      <c r="OJ2890" s="100">
        <v>3</v>
      </c>
      <c r="OK2890" s="100">
        <v>20</v>
      </c>
      <c r="OM2890" s="100">
        <v>7</v>
      </c>
      <c r="ON2890" s="100">
        <f t="shared" si="960"/>
        <v>32</v>
      </c>
    </row>
    <row r="2891" spans="1:404" ht="23.25" customHeight="1">
      <c r="A2891" s="138" t="str">
        <f t="shared" si="955"/>
        <v>062T/WESTELM-2166-70300-02-B</v>
      </c>
      <c r="B2891" s="95">
        <v>44618</v>
      </c>
      <c r="C2891" s="138">
        <f t="shared" ca="1" si="954"/>
        <v>-446</v>
      </c>
      <c r="D2891" s="112" t="s">
        <v>2305</v>
      </c>
      <c r="E2891" s="123" t="s">
        <v>47</v>
      </c>
      <c r="F2891" s="98" t="str">
        <f t="shared" si="951"/>
        <v>B</v>
      </c>
      <c r="G2891" s="110">
        <f ca="1">SUMIF($A:E,$A2891,K:K)</f>
        <v>157</v>
      </c>
      <c r="H2891" s="97" t="s">
        <v>508</v>
      </c>
      <c r="I2891" s="98">
        <v>157</v>
      </c>
      <c r="J2891" s="115">
        <v>157</v>
      </c>
      <c r="K2891" s="143">
        <f t="shared" si="942"/>
        <v>157</v>
      </c>
      <c r="L2891" s="144">
        <f t="shared" si="959"/>
        <v>0</v>
      </c>
      <c r="M2891" s="275">
        <f t="shared" si="941"/>
        <v>157</v>
      </c>
      <c r="N2891" s="98">
        <v>2</v>
      </c>
      <c r="O2891" s="93">
        <f t="shared" si="961"/>
        <v>100</v>
      </c>
      <c r="MO2891" s="100">
        <v>7</v>
      </c>
      <c r="MP2891" s="100">
        <v>15</v>
      </c>
      <c r="MQ2891" s="100">
        <v>9</v>
      </c>
      <c r="MR2891" s="100">
        <v>8</v>
      </c>
      <c r="MS2891" s="100">
        <v>14</v>
      </c>
      <c r="MT2891" s="100">
        <v>15</v>
      </c>
      <c r="MU2891" s="100">
        <v>18</v>
      </c>
      <c r="MW2891" s="100">
        <v>23</v>
      </c>
      <c r="MX2891" s="100">
        <v>2</v>
      </c>
      <c r="MY2891" s="100">
        <v>18</v>
      </c>
      <c r="MZ2891" s="100">
        <v>9</v>
      </c>
      <c r="NA2891" s="100">
        <v>18</v>
      </c>
      <c r="ND2891" s="100">
        <v>1</v>
      </c>
      <c r="ON2891" s="100">
        <f t="shared" si="960"/>
        <v>0</v>
      </c>
    </row>
    <row r="2892" spans="1:404" ht="23.25" customHeight="1">
      <c r="A2892" s="97" t="str">
        <f t="shared" si="955"/>
        <v>062T/WESTELM-2166-70300-03-B</v>
      </c>
      <c r="B2892" s="95">
        <v>44618</v>
      </c>
      <c r="C2892" s="97">
        <f t="shared" ca="1" si="954"/>
        <v>-446</v>
      </c>
      <c r="D2892" s="112" t="s">
        <v>2305</v>
      </c>
      <c r="E2892" s="123" t="s">
        <v>25</v>
      </c>
      <c r="F2892" s="98" t="str">
        <f t="shared" si="951"/>
        <v>B</v>
      </c>
      <c r="G2892" s="110">
        <f ca="1">SUMIF($A:E,$A2892,K:K)</f>
        <v>429</v>
      </c>
      <c r="H2892" s="97" t="s">
        <v>508</v>
      </c>
      <c r="I2892" s="98">
        <v>254</v>
      </c>
      <c r="J2892" s="115">
        <v>254</v>
      </c>
      <c r="K2892" s="143">
        <f t="shared" si="942"/>
        <v>429</v>
      </c>
      <c r="L2892" s="144">
        <f t="shared" si="959"/>
        <v>-175</v>
      </c>
      <c r="M2892" s="275">
        <f t="shared" si="941"/>
        <v>254</v>
      </c>
      <c r="N2892" s="98">
        <v>1</v>
      </c>
      <c r="O2892" s="93">
        <f t="shared" si="961"/>
        <v>168.89763779527561</v>
      </c>
      <c r="NK2892" s="100">
        <v>2</v>
      </c>
      <c r="NL2892" s="100">
        <v>38</v>
      </c>
      <c r="NM2892" s="100">
        <v>29</v>
      </c>
      <c r="NN2892" s="100">
        <v>10</v>
      </c>
      <c r="NS2892" s="100">
        <v>32</v>
      </c>
      <c r="NU2892" s="100">
        <v>10</v>
      </c>
      <c r="NV2892" s="100">
        <v>20</v>
      </c>
      <c r="NZ2892" s="100">
        <v>14</v>
      </c>
      <c r="OA2892" s="100">
        <v>23</v>
      </c>
      <c r="OB2892" s="100">
        <v>19</v>
      </c>
      <c r="OC2892" s="100">
        <v>1</v>
      </c>
      <c r="OD2892" s="100">
        <v>37</v>
      </c>
      <c r="OF2892" s="100">
        <v>19</v>
      </c>
      <c r="ON2892" s="100">
        <f t="shared" si="960"/>
        <v>175</v>
      </c>
    </row>
    <row r="2893" spans="1:404" ht="23.25" customHeight="1">
      <c r="A2893" s="97" t="s">
        <v>2454</v>
      </c>
      <c r="B2893" s="95">
        <v>44625</v>
      </c>
      <c r="C2893" s="97">
        <v>46</v>
      </c>
      <c r="D2893" s="112" t="s">
        <v>2306</v>
      </c>
      <c r="E2893" s="259" t="s">
        <v>47</v>
      </c>
      <c r="F2893" s="133" t="s">
        <v>561</v>
      </c>
      <c r="G2893" s="140">
        <v>15</v>
      </c>
      <c r="H2893" s="138" t="s">
        <v>508</v>
      </c>
      <c r="I2893" s="98">
        <v>310</v>
      </c>
      <c r="J2893" s="115">
        <v>160</v>
      </c>
      <c r="K2893" s="143">
        <f t="shared" si="942"/>
        <v>176</v>
      </c>
      <c r="L2893" s="144">
        <f t="shared" si="959"/>
        <v>-16</v>
      </c>
      <c r="M2893" s="98">
        <v>2</v>
      </c>
      <c r="N2893" s="98">
        <v>1</v>
      </c>
      <c r="O2893" s="93">
        <f t="shared" si="961"/>
        <v>110.00000000000001</v>
      </c>
      <c r="NK2893" s="100">
        <v>55</v>
      </c>
      <c r="NL2893" s="100">
        <v>44</v>
      </c>
      <c r="NM2893" s="100">
        <v>23</v>
      </c>
      <c r="NN2893" s="100">
        <v>22</v>
      </c>
      <c r="NS2893" s="100">
        <v>16</v>
      </c>
      <c r="ON2893" s="100">
        <f t="shared" si="960"/>
        <v>16</v>
      </c>
    </row>
    <row r="2894" spans="1:404" ht="23.25" customHeight="1">
      <c r="A2894" s="97" t="str">
        <f t="shared" si="955"/>
        <v>063T/WESTELM-2166-70300-02-B</v>
      </c>
      <c r="B2894" s="95">
        <v>44625</v>
      </c>
      <c r="C2894" s="97">
        <f t="shared" ca="1" si="954"/>
        <v>-439</v>
      </c>
      <c r="D2894" s="112" t="s">
        <v>2306</v>
      </c>
      <c r="E2894" s="259" t="s">
        <v>47</v>
      </c>
      <c r="F2894" s="133" t="str">
        <f t="shared" si="951"/>
        <v>B</v>
      </c>
      <c r="G2894" s="140">
        <f ca="1">SUMIF($A:E,$A2894,K:K)</f>
        <v>333</v>
      </c>
      <c r="H2894" s="138" t="s">
        <v>508</v>
      </c>
      <c r="I2894" s="98">
        <v>310</v>
      </c>
      <c r="J2894" s="115">
        <f>310-J2893</f>
        <v>150</v>
      </c>
      <c r="K2894" s="143">
        <f t="shared" si="942"/>
        <v>157</v>
      </c>
      <c r="L2894" s="144">
        <f t="shared" si="959"/>
        <v>-7</v>
      </c>
      <c r="M2894" s="275">
        <f t="shared" si="941"/>
        <v>310</v>
      </c>
      <c r="N2894" s="98">
        <v>2</v>
      </c>
      <c r="O2894" s="93">
        <f t="shared" si="961"/>
        <v>104.66666666666666</v>
      </c>
      <c r="ND2894" s="100">
        <v>15</v>
      </c>
      <c r="NE2894" s="100">
        <v>9</v>
      </c>
      <c r="NF2894" s="100">
        <v>14</v>
      </c>
      <c r="NG2894" s="100">
        <v>16</v>
      </c>
      <c r="NI2894" s="100">
        <v>24</v>
      </c>
      <c r="NK2894" s="100">
        <v>18</v>
      </c>
      <c r="NL2894" s="100">
        <v>12</v>
      </c>
      <c r="NM2894" s="100">
        <v>17</v>
      </c>
      <c r="NN2894" s="100">
        <v>18</v>
      </c>
      <c r="NS2894" s="100">
        <v>7</v>
      </c>
      <c r="ON2894" s="100">
        <f t="shared" si="960"/>
        <v>7</v>
      </c>
    </row>
    <row r="2895" spans="1:404" ht="23.25" customHeight="1">
      <c r="A2895" s="97" t="str">
        <f t="shared" si="955"/>
        <v>063T/WESTELM-2166-70300-03-B</v>
      </c>
      <c r="B2895" s="95">
        <v>44625</v>
      </c>
      <c r="C2895" s="97">
        <f t="shared" ca="1" si="954"/>
        <v>-439</v>
      </c>
      <c r="D2895" s="112" t="s">
        <v>2306</v>
      </c>
      <c r="E2895" s="123" t="s">
        <v>25</v>
      </c>
      <c r="F2895" s="98" t="str">
        <f t="shared" si="951"/>
        <v>B</v>
      </c>
      <c r="G2895" s="110">
        <f ca="1">SUMIF($A:E,$A2895,K:K)</f>
        <v>166</v>
      </c>
      <c r="H2895" s="97" t="s">
        <v>508</v>
      </c>
      <c r="I2895" s="98">
        <v>166</v>
      </c>
      <c r="J2895" s="115">
        <v>166</v>
      </c>
      <c r="K2895" s="143">
        <f t="shared" si="942"/>
        <v>166</v>
      </c>
      <c r="L2895" s="144">
        <f t="shared" ref="L2895:L2897" si="962">J2895-K2895</f>
        <v>0</v>
      </c>
      <c r="M2895" s="275">
        <f t="shared" si="941"/>
        <v>166</v>
      </c>
      <c r="N2895" s="98">
        <v>6</v>
      </c>
      <c r="O2895" s="93">
        <f t="shared" si="961"/>
        <v>100</v>
      </c>
      <c r="MT2895" s="100">
        <v>28</v>
      </c>
      <c r="MU2895" s="100">
        <v>30</v>
      </c>
      <c r="MW2895" s="100">
        <v>2</v>
      </c>
      <c r="MX2895" s="100">
        <v>39</v>
      </c>
      <c r="MY2895" s="100">
        <v>14</v>
      </c>
      <c r="MZ2895" s="100">
        <v>6</v>
      </c>
      <c r="NA2895" s="100">
        <v>41</v>
      </c>
      <c r="ND2895" s="100">
        <v>6</v>
      </c>
      <c r="ON2895" s="100">
        <f t="shared" si="960"/>
        <v>0</v>
      </c>
    </row>
    <row r="2896" spans="1:404" ht="23.25" customHeight="1">
      <c r="A2896" s="97" t="str">
        <f t="shared" si="955"/>
        <v>065T/WESTELM-2166-70300-02-B</v>
      </c>
      <c r="B2896" s="95">
        <v>44645</v>
      </c>
      <c r="C2896" s="97">
        <f t="shared" ca="1" si="954"/>
        <v>-419</v>
      </c>
      <c r="D2896" s="112" t="s">
        <v>2307</v>
      </c>
      <c r="E2896" s="123" t="s">
        <v>47</v>
      </c>
      <c r="F2896" s="98" t="s">
        <v>561</v>
      </c>
      <c r="G2896" s="110">
        <v>0</v>
      </c>
      <c r="H2896" s="97" t="s">
        <v>508</v>
      </c>
      <c r="I2896" s="175">
        <v>119</v>
      </c>
      <c r="J2896" s="115">
        <v>119</v>
      </c>
      <c r="K2896" s="143">
        <f t="shared" si="942"/>
        <v>238</v>
      </c>
      <c r="L2896" s="144">
        <f t="shared" si="962"/>
        <v>-119</v>
      </c>
      <c r="M2896" s="275">
        <f t="shared" si="941"/>
        <v>119</v>
      </c>
      <c r="N2896" s="98">
        <v>1</v>
      </c>
      <c r="O2896" s="93">
        <f t="shared" si="961"/>
        <v>200</v>
      </c>
      <c r="NS2896" s="100">
        <v>5</v>
      </c>
      <c r="NT2896" s="100">
        <v>21</v>
      </c>
      <c r="NU2896" s="100">
        <v>12</v>
      </c>
      <c r="NV2896" s="100">
        <v>22</v>
      </c>
      <c r="NY2896" s="100">
        <v>20</v>
      </c>
      <c r="NZ2896" s="100">
        <v>1</v>
      </c>
      <c r="OA2896" s="100">
        <v>13</v>
      </c>
      <c r="OB2896" s="100">
        <v>21</v>
      </c>
      <c r="OC2896" s="100">
        <v>4</v>
      </c>
      <c r="ON2896" s="100">
        <f t="shared" si="960"/>
        <v>119</v>
      </c>
    </row>
    <row r="2897" spans="1:404" ht="23.25" customHeight="1">
      <c r="A2897" s="97" t="str">
        <f t="shared" si="955"/>
        <v>065T/WESTELM-2166-70300-03-B</v>
      </c>
      <c r="B2897" s="95">
        <v>44645</v>
      </c>
      <c r="C2897" s="97">
        <f t="shared" ca="1" si="954"/>
        <v>-419</v>
      </c>
      <c r="D2897" s="112" t="s">
        <v>2307</v>
      </c>
      <c r="E2897" s="123" t="s">
        <v>25</v>
      </c>
      <c r="F2897" s="98" t="s">
        <v>561</v>
      </c>
      <c r="G2897" s="110">
        <v>0</v>
      </c>
      <c r="H2897" s="97" t="s">
        <v>508</v>
      </c>
      <c r="I2897" s="175">
        <v>267</v>
      </c>
      <c r="J2897" s="115">
        <v>267</v>
      </c>
      <c r="K2897" s="143">
        <f t="shared" si="942"/>
        <v>267</v>
      </c>
      <c r="L2897" s="144">
        <f t="shared" si="962"/>
        <v>0</v>
      </c>
      <c r="M2897" s="275">
        <f t="shared" si="941"/>
        <v>267</v>
      </c>
      <c r="N2897" s="98">
        <v>6</v>
      </c>
      <c r="O2897" s="93">
        <f t="shared" si="961"/>
        <v>100</v>
      </c>
      <c r="ND2897" s="100">
        <v>52</v>
      </c>
      <c r="NE2897" s="100">
        <v>60</v>
      </c>
      <c r="NF2897" s="100">
        <v>34</v>
      </c>
      <c r="NG2897" s="100">
        <v>25</v>
      </c>
      <c r="NI2897" s="100">
        <v>24</v>
      </c>
      <c r="NK2897" s="100">
        <v>23</v>
      </c>
      <c r="NL2897" s="100">
        <v>49</v>
      </c>
      <c r="ON2897" s="100">
        <f t="shared" si="960"/>
        <v>0</v>
      </c>
    </row>
    <row r="2898" spans="1:404" ht="23.25" customHeight="1">
      <c r="A2898" s="97" t="str">
        <f t="shared" si="955"/>
        <v>004/CANADIAN-VG-2166-39629-S3-B</v>
      </c>
      <c r="B2898" s="95">
        <v>44642</v>
      </c>
      <c r="C2898" s="97">
        <f t="shared" ca="1" si="954"/>
        <v>-422</v>
      </c>
      <c r="D2898" s="112" t="s">
        <v>2308</v>
      </c>
      <c r="E2898" s="123" t="s">
        <v>1288</v>
      </c>
      <c r="F2898" s="98" t="s">
        <v>561</v>
      </c>
      <c r="G2898" s="110">
        <v>0</v>
      </c>
      <c r="H2898" s="97" t="s">
        <v>508</v>
      </c>
      <c r="I2898" s="378">
        <v>30</v>
      </c>
      <c r="J2898" s="227">
        <v>30</v>
      </c>
      <c r="K2898" s="143">
        <f t="shared" si="942"/>
        <v>36</v>
      </c>
      <c r="L2898" s="144">
        <f t="shared" ref="L2898:L2906" si="963">J2898-K2898</f>
        <v>-6</v>
      </c>
      <c r="M2898" s="275">
        <f t="shared" si="941"/>
        <v>90</v>
      </c>
      <c r="N2898" s="98">
        <v>6</v>
      </c>
      <c r="O2898" s="93">
        <f t="shared" si="961"/>
        <v>120</v>
      </c>
      <c r="MY2898" s="100">
        <v>7</v>
      </c>
      <c r="NI2898" s="100">
        <v>9</v>
      </c>
      <c r="NL2898" s="100">
        <v>3</v>
      </c>
      <c r="NN2898" s="100">
        <v>5</v>
      </c>
      <c r="NU2898" s="100">
        <v>6</v>
      </c>
      <c r="ON2898" s="100">
        <f t="shared" si="960"/>
        <v>6</v>
      </c>
    </row>
    <row r="2899" spans="1:404" ht="23.25" customHeight="1">
      <c r="A2899" s="97" t="str">
        <f t="shared" si="955"/>
        <v>004/CANADIAN-VG-2166-52237-S2-B4</v>
      </c>
      <c r="B2899" s="95">
        <v>44642</v>
      </c>
      <c r="C2899" s="97">
        <f t="shared" ca="1" si="954"/>
        <v>-422</v>
      </c>
      <c r="D2899" s="112" t="s">
        <v>2308</v>
      </c>
      <c r="E2899" s="123" t="s">
        <v>1043</v>
      </c>
      <c r="F2899" s="98" t="s">
        <v>561</v>
      </c>
      <c r="G2899" s="110">
        <v>0</v>
      </c>
      <c r="H2899" s="97" t="s">
        <v>508</v>
      </c>
      <c r="I2899" s="378">
        <v>12</v>
      </c>
      <c r="J2899" s="227">
        <v>12</v>
      </c>
      <c r="K2899" s="143">
        <f t="shared" si="942"/>
        <v>19</v>
      </c>
      <c r="L2899" s="144">
        <f t="shared" si="963"/>
        <v>-7</v>
      </c>
      <c r="M2899" s="275">
        <f t="shared" si="941"/>
        <v>24</v>
      </c>
      <c r="N2899" s="98">
        <v>1</v>
      </c>
      <c r="O2899" s="93">
        <f t="shared" si="961"/>
        <v>158.33333333333331</v>
      </c>
      <c r="MU2899" s="100">
        <v>5</v>
      </c>
      <c r="OA2899" s="100">
        <v>4</v>
      </c>
      <c r="OB2899" s="100">
        <v>3</v>
      </c>
      <c r="ON2899" s="100">
        <f t="shared" si="960"/>
        <v>7</v>
      </c>
    </row>
    <row r="2900" spans="1:404" ht="23.25" customHeight="1">
      <c r="A2900" s="97" t="str">
        <f t="shared" si="955"/>
        <v>004/CANADIAN-VG-2166-55137-S2-B4</v>
      </c>
      <c r="B2900" s="95">
        <v>44642</v>
      </c>
      <c r="C2900" s="97">
        <f t="shared" ca="1" si="954"/>
        <v>-422</v>
      </c>
      <c r="D2900" s="112" t="s">
        <v>2308</v>
      </c>
      <c r="E2900" s="123" t="s">
        <v>1101</v>
      </c>
      <c r="F2900" s="98" t="s">
        <v>561</v>
      </c>
      <c r="G2900" s="110">
        <v>0</v>
      </c>
      <c r="H2900" s="97" t="s">
        <v>508</v>
      </c>
      <c r="I2900" s="378">
        <v>36</v>
      </c>
      <c r="J2900" s="227">
        <v>36</v>
      </c>
      <c r="K2900" s="143">
        <f t="shared" si="942"/>
        <v>72</v>
      </c>
      <c r="L2900" s="144">
        <f t="shared" si="963"/>
        <v>-36</v>
      </c>
      <c r="M2900" s="275">
        <f t="shared" si="941"/>
        <v>72</v>
      </c>
      <c r="N2900" s="98">
        <v>6</v>
      </c>
      <c r="O2900" s="93">
        <f t="shared" si="961"/>
        <v>200</v>
      </c>
      <c r="OG2900" s="100">
        <v>2</v>
      </c>
      <c r="OH2900" s="100">
        <v>34</v>
      </c>
      <c r="ON2900" s="100">
        <f t="shared" si="960"/>
        <v>36</v>
      </c>
    </row>
    <row r="2901" spans="1:404" ht="23.25" customHeight="1">
      <c r="A2901" s="97" t="str">
        <f t="shared" si="955"/>
        <v>004/CANADIAN-VG-2166-55429-S3-B</v>
      </c>
      <c r="B2901" s="95">
        <v>44642</v>
      </c>
      <c r="C2901" s="97">
        <f t="shared" ca="1" si="954"/>
        <v>-422</v>
      </c>
      <c r="D2901" s="112" t="s">
        <v>2308</v>
      </c>
      <c r="E2901" s="123" t="s">
        <v>1280</v>
      </c>
      <c r="F2901" s="98" t="s">
        <v>561</v>
      </c>
      <c r="G2901" s="110">
        <v>0</v>
      </c>
      <c r="H2901" s="97" t="s">
        <v>508</v>
      </c>
      <c r="I2901" s="378">
        <v>12</v>
      </c>
      <c r="J2901" s="227">
        <v>12</v>
      </c>
      <c r="K2901" s="143">
        <f t="shared" si="942"/>
        <v>12</v>
      </c>
      <c r="L2901" s="144">
        <f t="shared" si="963"/>
        <v>0</v>
      </c>
      <c r="M2901" s="275">
        <f t="shared" si="941"/>
        <v>36</v>
      </c>
      <c r="N2901" s="98">
        <v>1</v>
      </c>
      <c r="O2901" s="93">
        <f t="shared" si="961"/>
        <v>100</v>
      </c>
      <c r="MU2901" s="100">
        <v>3</v>
      </c>
      <c r="NA2901" s="100">
        <v>4</v>
      </c>
      <c r="ND2901" s="100">
        <v>2</v>
      </c>
      <c r="NF2901" s="100">
        <v>3</v>
      </c>
      <c r="ON2901" s="100">
        <f t="shared" si="960"/>
        <v>0</v>
      </c>
    </row>
    <row r="2902" spans="1:404" ht="23.25" customHeight="1">
      <c r="A2902" s="97" t="str">
        <f t="shared" si="955"/>
        <v>004/CANADIAN-VG-2166-61310-S3-B</v>
      </c>
      <c r="B2902" s="95">
        <v>44642</v>
      </c>
      <c r="C2902" s="97">
        <f t="shared" ca="1" si="954"/>
        <v>-422</v>
      </c>
      <c r="D2902" s="112" t="s">
        <v>2308</v>
      </c>
      <c r="E2902" s="123" t="s">
        <v>1365</v>
      </c>
      <c r="F2902" s="92" t="str">
        <f t="shared" ref="F2902" si="964">MID(E2902,13,2)</f>
        <v>B</v>
      </c>
      <c r="G2902" s="109">
        <f ca="1">SUMIF($A:E,$A2902,K:K)</f>
        <v>64</v>
      </c>
      <c r="H2902" s="97" t="s">
        <v>508</v>
      </c>
      <c r="I2902" s="175">
        <v>32</v>
      </c>
      <c r="J2902" s="115">
        <v>32</v>
      </c>
      <c r="K2902" s="143">
        <f t="shared" si="942"/>
        <v>64</v>
      </c>
      <c r="L2902" s="144">
        <f t="shared" si="963"/>
        <v>-32</v>
      </c>
      <c r="M2902" s="275">
        <f t="shared" si="941"/>
        <v>96</v>
      </c>
      <c r="N2902" s="98">
        <v>4</v>
      </c>
      <c r="O2902" s="93">
        <f t="shared" si="961"/>
        <v>200</v>
      </c>
      <c r="OA2902" s="100">
        <v>6</v>
      </c>
      <c r="OF2902" s="100">
        <v>4</v>
      </c>
      <c r="OG2902" s="100">
        <v>11</v>
      </c>
      <c r="OH2902" s="100">
        <v>6</v>
      </c>
      <c r="OI2902" s="100">
        <v>3</v>
      </c>
      <c r="OJ2902" s="100">
        <v>2</v>
      </c>
      <c r="ON2902" s="100">
        <f t="shared" si="960"/>
        <v>32</v>
      </c>
    </row>
    <row r="2903" spans="1:404" ht="23.25" customHeight="1">
      <c r="A2903" s="97" t="str">
        <f t="shared" si="955"/>
        <v>004/CANADIAN-VG-2166-61337-S3-B4</v>
      </c>
      <c r="B2903" s="95">
        <v>44642</v>
      </c>
      <c r="C2903" s="97">
        <f t="shared" ca="1" si="954"/>
        <v>-422</v>
      </c>
      <c r="D2903" s="112" t="s">
        <v>2308</v>
      </c>
      <c r="E2903" s="123" t="s">
        <v>1044</v>
      </c>
      <c r="F2903" s="98" t="s">
        <v>561</v>
      </c>
      <c r="G2903" s="110">
        <v>0</v>
      </c>
      <c r="H2903" s="97" t="s">
        <v>508</v>
      </c>
      <c r="I2903" s="175">
        <v>16</v>
      </c>
      <c r="J2903" s="115">
        <v>16</v>
      </c>
      <c r="K2903" s="143">
        <f t="shared" si="942"/>
        <v>32</v>
      </c>
      <c r="L2903" s="144">
        <f t="shared" si="963"/>
        <v>-16</v>
      </c>
      <c r="M2903" s="275">
        <f t="shared" si="941"/>
        <v>48</v>
      </c>
      <c r="N2903" s="98">
        <v>2</v>
      </c>
      <c r="O2903" s="93">
        <f t="shared" si="961"/>
        <v>200</v>
      </c>
      <c r="NT2903" s="100">
        <v>6</v>
      </c>
      <c r="NU2903" s="100">
        <v>2</v>
      </c>
      <c r="NV2903" s="100">
        <v>8</v>
      </c>
      <c r="ON2903" s="100">
        <f t="shared" si="960"/>
        <v>16</v>
      </c>
    </row>
    <row r="2904" spans="1:404" ht="23.25" customHeight="1">
      <c r="A2904" s="97" t="str">
        <f t="shared" si="955"/>
        <v>004/CANADIAN-VG-2166-77710-X1-B</v>
      </c>
      <c r="B2904" s="95">
        <v>44642</v>
      </c>
      <c r="C2904" s="97">
        <f t="shared" ca="1" si="954"/>
        <v>-422</v>
      </c>
      <c r="D2904" s="112" t="s">
        <v>2308</v>
      </c>
      <c r="E2904" s="123" t="s">
        <v>1366</v>
      </c>
      <c r="F2904" s="98" t="s">
        <v>561</v>
      </c>
      <c r="G2904" s="110">
        <v>0</v>
      </c>
      <c r="H2904" s="97" t="s">
        <v>508</v>
      </c>
      <c r="I2904" s="175">
        <v>32</v>
      </c>
      <c r="J2904" s="115">
        <v>32</v>
      </c>
      <c r="K2904" s="143">
        <f t="shared" si="942"/>
        <v>64</v>
      </c>
      <c r="L2904" s="144">
        <f t="shared" si="963"/>
        <v>-32</v>
      </c>
      <c r="M2904" s="275">
        <f t="shared" si="941"/>
        <v>32</v>
      </c>
      <c r="N2904" s="98">
        <v>4</v>
      </c>
      <c r="O2904" s="93">
        <f t="shared" si="961"/>
        <v>200</v>
      </c>
      <c r="NS2904" s="100">
        <v>1</v>
      </c>
      <c r="NT2904" s="100">
        <v>5</v>
      </c>
      <c r="NU2904" s="100">
        <v>5</v>
      </c>
      <c r="NV2904" s="100">
        <v>10</v>
      </c>
      <c r="NY2904" s="100">
        <v>10</v>
      </c>
      <c r="NZ2904" s="100">
        <v>1</v>
      </c>
      <c r="ON2904" s="100">
        <f t="shared" si="960"/>
        <v>32</v>
      </c>
    </row>
    <row r="2905" spans="1:404" ht="23.25" customHeight="1">
      <c r="A2905" s="97" t="str">
        <f t="shared" si="955"/>
        <v>004/CANADIAN-VG-2166-77729-X4-B</v>
      </c>
      <c r="B2905" s="95">
        <v>44642</v>
      </c>
      <c r="C2905" s="97">
        <f t="shared" ca="1" si="954"/>
        <v>-422</v>
      </c>
      <c r="D2905" s="112" t="s">
        <v>2308</v>
      </c>
      <c r="E2905" s="123" t="s">
        <v>2309</v>
      </c>
      <c r="F2905" s="98" t="s">
        <v>561</v>
      </c>
      <c r="G2905" s="110">
        <v>0</v>
      </c>
      <c r="H2905" s="97" t="s">
        <v>508</v>
      </c>
      <c r="I2905" s="175">
        <v>16</v>
      </c>
      <c r="J2905" s="115">
        <v>16</v>
      </c>
      <c r="K2905" s="143">
        <f t="shared" si="942"/>
        <v>32</v>
      </c>
      <c r="L2905" s="144">
        <f t="shared" si="963"/>
        <v>-16</v>
      </c>
      <c r="M2905" s="275">
        <f t="shared" si="941"/>
        <v>64</v>
      </c>
      <c r="N2905" s="98">
        <v>2</v>
      </c>
      <c r="O2905" s="93">
        <f t="shared" si="961"/>
        <v>200</v>
      </c>
      <c r="NU2905" s="100">
        <v>1</v>
      </c>
      <c r="NY2905" s="100">
        <v>1</v>
      </c>
      <c r="NZ2905" s="100">
        <v>2</v>
      </c>
      <c r="OA2905" s="100">
        <v>1</v>
      </c>
      <c r="OC2905" s="100">
        <v>1</v>
      </c>
      <c r="OD2905" s="100">
        <v>1</v>
      </c>
      <c r="OF2905" s="100">
        <v>1</v>
      </c>
      <c r="OG2905" s="100">
        <v>2</v>
      </c>
      <c r="OH2905" s="100">
        <v>1</v>
      </c>
      <c r="OI2905" s="100">
        <v>1</v>
      </c>
      <c r="OJ2905" s="100">
        <v>1</v>
      </c>
      <c r="OK2905" s="100">
        <v>1</v>
      </c>
      <c r="OM2905" s="100">
        <v>2</v>
      </c>
      <c r="ON2905" s="100">
        <f t="shared" si="960"/>
        <v>16</v>
      </c>
    </row>
    <row r="2906" spans="1:404" ht="23.25" customHeight="1">
      <c r="A2906" s="97" t="str">
        <f t="shared" si="955"/>
        <v>004/CANADIAN-VG-2166-84129-B2-B</v>
      </c>
      <c r="B2906" s="95">
        <v>44642</v>
      </c>
      <c r="C2906" s="97">
        <f t="shared" ca="1" si="954"/>
        <v>-422</v>
      </c>
      <c r="D2906" s="112" t="s">
        <v>2308</v>
      </c>
      <c r="E2906" s="123" t="s">
        <v>2310</v>
      </c>
      <c r="F2906" s="98" t="s">
        <v>561</v>
      </c>
      <c r="G2906" s="110">
        <v>0</v>
      </c>
      <c r="H2906" s="97" t="s">
        <v>508</v>
      </c>
      <c r="I2906" s="175">
        <v>12</v>
      </c>
      <c r="J2906" s="115">
        <v>12</v>
      </c>
      <c r="K2906" s="143">
        <f t="shared" si="942"/>
        <v>0</v>
      </c>
      <c r="L2906" s="144">
        <f t="shared" si="963"/>
        <v>12</v>
      </c>
      <c r="M2906" s="275">
        <f t="shared" si="941"/>
        <v>24</v>
      </c>
      <c r="N2906" s="98"/>
      <c r="O2906" s="93">
        <f t="shared" si="961"/>
        <v>0</v>
      </c>
      <c r="ON2906" s="100">
        <f t="shared" si="960"/>
        <v>0</v>
      </c>
    </row>
    <row r="2907" spans="1:404" ht="23.25" customHeight="1">
      <c r="A2907" s="97" t="str">
        <f t="shared" si="955"/>
        <v xml:space="preserve"> 143/NY/PP-USA-VG-2166-02700-01-A1(phen)</v>
      </c>
      <c r="B2907" s="95">
        <v>44713</v>
      </c>
      <c r="C2907" s="97">
        <f t="shared" ref="C2907:C2938" ca="1" si="965">B2907-TODAY()</f>
        <v>-351</v>
      </c>
      <c r="D2907" s="112" t="s">
        <v>2311</v>
      </c>
      <c r="E2907" s="279" t="s">
        <v>427</v>
      </c>
      <c r="F2907" s="98" t="s">
        <v>561</v>
      </c>
      <c r="G2907" s="110">
        <v>0</v>
      </c>
      <c r="H2907" s="97" t="s">
        <v>508</v>
      </c>
      <c r="I2907" s="175">
        <v>10</v>
      </c>
      <c r="J2907" s="115">
        <v>10</v>
      </c>
      <c r="K2907" s="143">
        <f t="shared" si="942"/>
        <v>0</v>
      </c>
      <c r="L2907" s="144">
        <f t="shared" ref="L2907:L2912" si="966">J2907-K2907</f>
        <v>10</v>
      </c>
      <c r="M2907" s="275">
        <f t="shared" si="941"/>
        <v>10</v>
      </c>
      <c r="N2907" s="98"/>
      <c r="O2907" s="93">
        <f t="shared" si="961"/>
        <v>0</v>
      </c>
      <c r="ON2907" s="100">
        <f t="shared" si="960"/>
        <v>0</v>
      </c>
    </row>
    <row r="2908" spans="1:404" ht="23.25" customHeight="1">
      <c r="A2908" s="97" t="str">
        <f t="shared" si="955"/>
        <v xml:space="preserve"> 143/NY/PP-USA-VG-2166-03000-01-A1(phen)</v>
      </c>
      <c r="B2908" s="95">
        <v>44713</v>
      </c>
      <c r="C2908" s="97">
        <f t="shared" ca="1" si="965"/>
        <v>-351</v>
      </c>
      <c r="D2908" s="112" t="s">
        <v>2311</v>
      </c>
      <c r="E2908" s="279" t="s">
        <v>428</v>
      </c>
      <c r="F2908" s="98" t="s">
        <v>561</v>
      </c>
      <c r="G2908" s="110">
        <v>0</v>
      </c>
      <c r="H2908" s="97" t="s">
        <v>508</v>
      </c>
      <c r="I2908" s="175">
        <v>24</v>
      </c>
      <c r="J2908" s="115">
        <v>24</v>
      </c>
      <c r="K2908" s="143">
        <f t="shared" si="942"/>
        <v>0</v>
      </c>
      <c r="L2908" s="144">
        <f t="shared" si="966"/>
        <v>24</v>
      </c>
      <c r="M2908" s="275">
        <f t="shared" si="941"/>
        <v>24</v>
      </c>
      <c r="N2908" s="98"/>
      <c r="O2908" s="93">
        <f t="shared" si="961"/>
        <v>0</v>
      </c>
      <c r="ON2908" s="100">
        <f t="shared" si="960"/>
        <v>0</v>
      </c>
    </row>
    <row r="2909" spans="1:404" ht="23.25" customHeight="1">
      <c r="A2909" s="97" t="str">
        <f t="shared" si="955"/>
        <v xml:space="preserve"> 143/NY/PP-USA-VG-2166-03000-02-A1(phen)</v>
      </c>
      <c r="B2909" s="95">
        <v>44713</v>
      </c>
      <c r="C2909" s="97">
        <f t="shared" ca="1" si="965"/>
        <v>-351</v>
      </c>
      <c r="D2909" s="112" t="s">
        <v>2311</v>
      </c>
      <c r="E2909" s="279" t="s">
        <v>429</v>
      </c>
      <c r="F2909" s="98" t="s">
        <v>561</v>
      </c>
      <c r="G2909" s="110">
        <v>0</v>
      </c>
      <c r="H2909" s="97" t="s">
        <v>508</v>
      </c>
      <c r="I2909" s="175">
        <v>24</v>
      </c>
      <c r="J2909" s="115">
        <v>24</v>
      </c>
      <c r="K2909" s="143">
        <f t="shared" si="942"/>
        <v>0</v>
      </c>
      <c r="L2909" s="144">
        <f t="shared" si="966"/>
        <v>24</v>
      </c>
      <c r="M2909" s="275">
        <f t="shared" si="941"/>
        <v>24</v>
      </c>
      <c r="N2909" s="98"/>
      <c r="O2909" s="93">
        <f t="shared" si="961"/>
        <v>0</v>
      </c>
      <c r="ON2909" s="100">
        <f t="shared" si="960"/>
        <v>0</v>
      </c>
    </row>
    <row r="2910" spans="1:404" ht="23.25" customHeight="1">
      <c r="A2910" s="97" t="str">
        <f t="shared" ref="A2910:A2942" si="967">D2910&amp;E2910</f>
        <v xml:space="preserve"> 143/NY/PP-USA-VG-2166-02600-01-A</v>
      </c>
      <c r="B2910" s="95">
        <v>44713</v>
      </c>
      <c r="C2910" s="97">
        <f t="shared" ca="1" si="965"/>
        <v>-351</v>
      </c>
      <c r="D2910" s="112" t="s">
        <v>2311</v>
      </c>
      <c r="E2910" s="279" t="s">
        <v>611</v>
      </c>
      <c r="F2910" s="98" t="s">
        <v>561</v>
      </c>
      <c r="G2910" s="110">
        <v>0</v>
      </c>
      <c r="H2910" s="97" t="s">
        <v>508</v>
      </c>
      <c r="I2910" s="175">
        <v>32</v>
      </c>
      <c r="J2910" s="115">
        <v>32</v>
      </c>
      <c r="K2910" s="143">
        <f t="shared" si="942"/>
        <v>0</v>
      </c>
      <c r="L2910" s="144">
        <f t="shared" si="966"/>
        <v>32</v>
      </c>
      <c r="M2910" s="275">
        <f t="shared" ref="M2910:M2973" si="968">IF(OR(MID(E2910,10,1)="0",MID(E2910,10,1)="F"),I2910,IF(OR(,MID(E2910,10,1)="S",MID(E2910,10,1)="L",MID(E2910,10,1)="B",MID(E2910,10,1)="X"),MID(E2910,11,1)*I2910,0))</f>
        <v>32</v>
      </c>
      <c r="N2910" s="98"/>
      <c r="O2910" s="93">
        <f t="shared" si="961"/>
        <v>0</v>
      </c>
      <c r="ON2910" s="100">
        <f t="shared" si="960"/>
        <v>0</v>
      </c>
    </row>
    <row r="2911" spans="1:404" ht="23.25" customHeight="1">
      <c r="A2911" s="97" t="str">
        <f t="shared" si="967"/>
        <v xml:space="preserve"> 143/NY/PP-USA-VG-2166-02700-01-A</v>
      </c>
      <c r="B2911" s="95">
        <v>44713</v>
      </c>
      <c r="C2911" s="97">
        <f t="shared" ca="1" si="965"/>
        <v>-351</v>
      </c>
      <c r="D2911" s="112" t="s">
        <v>2311</v>
      </c>
      <c r="E2911" s="279" t="s">
        <v>1196</v>
      </c>
      <c r="F2911" s="98" t="s">
        <v>561</v>
      </c>
      <c r="G2911" s="110">
        <v>0</v>
      </c>
      <c r="H2911" s="97" t="s">
        <v>508</v>
      </c>
      <c r="I2911" s="175">
        <v>10</v>
      </c>
      <c r="J2911" s="115">
        <v>10</v>
      </c>
      <c r="K2911" s="143">
        <f t="shared" si="942"/>
        <v>0</v>
      </c>
      <c r="L2911" s="144">
        <f t="shared" si="966"/>
        <v>10</v>
      </c>
      <c r="M2911" s="275">
        <f t="shared" si="968"/>
        <v>10</v>
      </c>
      <c r="N2911" s="98"/>
      <c r="O2911" s="93">
        <f t="shared" si="961"/>
        <v>0</v>
      </c>
      <c r="ON2911" s="100">
        <f t="shared" si="960"/>
        <v>0</v>
      </c>
    </row>
    <row r="2912" spans="1:404" ht="23.25" customHeight="1">
      <c r="A2912" s="97" t="str">
        <f t="shared" si="967"/>
        <v xml:space="preserve"> 143/NY/PP-USA-VG-2166-03000-01-A</v>
      </c>
      <c r="B2912" s="95">
        <v>44713</v>
      </c>
      <c r="C2912" s="97">
        <f t="shared" ca="1" si="965"/>
        <v>-351</v>
      </c>
      <c r="D2912" s="112" t="s">
        <v>2311</v>
      </c>
      <c r="E2912" s="279" t="s">
        <v>612</v>
      </c>
      <c r="F2912" s="98" t="s">
        <v>561</v>
      </c>
      <c r="G2912" s="110">
        <v>0</v>
      </c>
      <c r="H2912" s="97" t="s">
        <v>508</v>
      </c>
      <c r="I2912" s="175">
        <v>24</v>
      </c>
      <c r="J2912" s="115">
        <v>24</v>
      </c>
      <c r="K2912" s="143">
        <f t="shared" ref="K2912:K2975" si="969">SUM(P2912:BBC2912)</f>
        <v>0</v>
      </c>
      <c r="L2912" s="144">
        <f t="shared" si="966"/>
        <v>24</v>
      </c>
      <c r="M2912" s="275">
        <f t="shared" si="968"/>
        <v>24</v>
      </c>
      <c r="N2912" s="98"/>
      <c r="O2912" s="93">
        <f t="shared" si="961"/>
        <v>0</v>
      </c>
      <c r="ON2912" s="100">
        <f t="shared" si="960"/>
        <v>0</v>
      </c>
    </row>
    <row r="2913" spans="1:404" ht="23.25" customHeight="1">
      <c r="A2913" s="97" t="str">
        <f t="shared" si="967"/>
        <v xml:space="preserve"> 143/NY/PP-USA-VG-2166-03000-02-A</v>
      </c>
      <c r="B2913" s="95">
        <v>44713</v>
      </c>
      <c r="C2913" s="97">
        <f t="shared" ca="1" si="965"/>
        <v>-351</v>
      </c>
      <c r="D2913" s="112" t="s">
        <v>2311</v>
      </c>
      <c r="E2913" s="279" t="s">
        <v>686</v>
      </c>
      <c r="F2913" s="98" t="s">
        <v>561</v>
      </c>
      <c r="G2913" s="110">
        <v>0</v>
      </c>
      <c r="H2913" s="97" t="s">
        <v>508</v>
      </c>
      <c r="I2913" s="175">
        <v>24</v>
      </c>
      <c r="J2913" s="115">
        <v>24</v>
      </c>
      <c r="K2913" s="143">
        <f t="shared" si="969"/>
        <v>0</v>
      </c>
      <c r="L2913" s="144">
        <f t="shared" ref="L2913:L2943" si="970">J2913-K2913</f>
        <v>24</v>
      </c>
      <c r="M2913" s="275">
        <f t="shared" si="968"/>
        <v>24</v>
      </c>
      <c r="N2913" s="98"/>
      <c r="O2913" s="93">
        <f t="shared" si="961"/>
        <v>0</v>
      </c>
      <c r="ON2913" s="100">
        <f t="shared" si="960"/>
        <v>0</v>
      </c>
    </row>
    <row r="2914" spans="1:404" ht="23.25" customHeight="1">
      <c r="A2914" s="97" t="str">
        <f t="shared" si="967"/>
        <v xml:space="preserve"> 143/NY/PP-USA-VG-2166-54100-01-A</v>
      </c>
      <c r="B2914" s="95">
        <v>44713</v>
      </c>
      <c r="C2914" s="97">
        <f t="shared" ca="1" si="965"/>
        <v>-351</v>
      </c>
      <c r="D2914" s="112" t="s">
        <v>2311</v>
      </c>
      <c r="E2914" s="279" t="s">
        <v>1197</v>
      </c>
      <c r="F2914" s="98" t="s">
        <v>561</v>
      </c>
      <c r="G2914" s="110">
        <v>0</v>
      </c>
      <c r="H2914" s="97" t="s">
        <v>508</v>
      </c>
      <c r="I2914" s="175">
        <v>12</v>
      </c>
      <c r="J2914" s="115">
        <v>12</v>
      </c>
      <c r="K2914" s="143">
        <f t="shared" si="969"/>
        <v>0</v>
      </c>
      <c r="L2914" s="144">
        <f t="shared" si="970"/>
        <v>12</v>
      </c>
      <c r="M2914" s="275">
        <f t="shared" si="968"/>
        <v>12</v>
      </c>
      <c r="N2914" s="98"/>
      <c r="O2914" s="93">
        <f t="shared" si="961"/>
        <v>0</v>
      </c>
      <c r="ON2914" s="100">
        <f t="shared" si="960"/>
        <v>0</v>
      </c>
    </row>
    <row r="2915" spans="1:404" ht="23.25" customHeight="1">
      <c r="A2915" s="97" t="str">
        <f t="shared" si="967"/>
        <v xml:space="preserve"> 143/NY/PP-USA-VG-2166-55400-02-A</v>
      </c>
      <c r="B2915" s="95">
        <v>44713</v>
      </c>
      <c r="C2915" s="97">
        <f t="shared" ca="1" si="965"/>
        <v>-351</v>
      </c>
      <c r="D2915" s="112" t="s">
        <v>2311</v>
      </c>
      <c r="E2915" s="279" t="s">
        <v>1198</v>
      </c>
      <c r="F2915" s="98" t="s">
        <v>561</v>
      </c>
      <c r="G2915" s="110">
        <v>0</v>
      </c>
      <c r="H2915" s="97" t="s">
        <v>508</v>
      </c>
      <c r="I2915" s="175">
        <v>12</v>
      </c>
      <c r="J2915" s="115">
        <v>12</v>
      </c>
      <c r="K2915" s="143">
        <f t="shared" si="969"/>
        <v>0</v>
      </c>
      <c r="L2915" s="144">
        <f t="shared" si="970"/>
        <v>12</v>
      </c>
      <c r="M2915" s="275">
        <f t="shared" si="968"/>
        <v>12</v>
      </c>
      <c r="N2915" s="98"/>
      <c r="O2915" s="93">
        <f t="shared" si="961"/>
        <v>0</v>
      </c>
      <c r="ON2915" s="100">
        <f t="shared" si="960"/>
        <v>0</v>
      </c>
    </row>
    <row r="2916" spans="1:404" ht="23.25" customHeight="1">
      <c r="A2916" s="127" t="str">
        <f t="shared" si="967"/>
        <v xml:space="preserve"> 143/NY/PP-USA-VG-2166-77700-02-A</v>
      </c>
      <c r="B2916" s="126">
        <v>44713</v>
      </c>
      <c r="C2916" s="127">
        <f t="shared" ca="1" si="965"/>
        <v>-351</v>
      </c>
      <c r="D2916" s="208" t="s">
        <v>2311</v>
      </c>
      <c r="E2916" s="282" t="s">
        <v>1199</v>
      </c>
      <c r="F2916" s="132" t="s">
        <v>561</v>
      </c>
      <c r="G2916" s="130">
        <v>0</v>
      </c>
      <c r="H2916" s="127" t="s">
        <v>508</v>
      </c>
      <c r="I2916" s="203">
        <v>48</v>
      </c>
      <c r="J2916" s="134">
        <v>48</v>
      </c>
      <c r="K2916" s="143">
        <f t="shared" si="969"/>
        <v>0</v>
      </c>
      <c r="L2916" s="144">
        <f t="shared" si="970"/>
        <v>48</v>
      </c>
      <c r="M2916" s="275">
        <f t="shared" si="968"/>
        <v>48</v>
      </c>
      <c r="N2916" s="132"/>
      <c r="O2916" s="93">
        <f t="shared" si="961"/>
        <v>0</v>
      </c>
      <c r="ON2916" s="100">
        <f t="shared" si="960"/>
        <v>0</v>
      </c>
    </row>
    <row r="2917" spans="1:404" ht="23.25" customHeight="1">
      <c r="A2917" s="127" t="str">
        <f t="shared" si="967"/>
        <v>008/YAMATEI-VG-2166-00605-01-B</v>
      </c>
      <c r="B2917" s="95">
        <v>44706</v>
      </c>
      <c r="C2917" s="97">
        <f t="shared" ca="1" si="965"/>
        <v>-358</v>
      </c>
      <c r="D2917" s="112" t="s">
        <v>2312</v>
      </c>
      <c r="E2917" s="123" t="s">
        <v>2313</v>
      </c>
      <c r="F2917" s="98" t="s">
        <v>561</v>
      </c>
      <c r="G2917" s="110">
        <v>0</v>
      </c>
      <c r="H2917" s="97" t="s">
        <v>601</v>
      </c>
      <c r="I2917" s="175">
        <v>72</v>
      </c>
      <c r="J2917" s="115">
        <v>72</v>
      </c>
      <c r="K2917" s="143">
        <f t="shared" si="969"/>
        <v>0</v>
      </c>
      <c r="L2917" s="144">
        <f t="shared" si="970"/>
        <v>72</v>
      </c>
      <c r="M2917" s="275">
        <f t="shared" si="968"/>
        <v>72</v>
      </c>
      <c r="N2917" s="98"/>
      <c r="O2917" s="93">
        <f t="shared" si="961"/>
        <v>0</v>
      </c>
      <c r="ON2917" s="100">
        <f t="shared" si="960"/>
        <v>0</v>
      </c>
    </row>
    <row r="2918" spans="1:404" ht="23.25" customHeight="1">
      <c r="A2918" s="127" t="str">
        <f t="shared" si="967"/>
        <v>008/YAMATEI-VG-2166-01705-01-B</v>
      </c>
      <c r="B2918" s="95">
        <v>44706</v>
      </c>
      <c r="C2918" s="97">
        <f t="shared" ca="1" si="965"/>
        <v>-358</v>
      </c>
      <c r="D2918" s="112" t="s">
        <v>2312</v>
      </c>
      <c r="E2918" s="123" t="s">
        <v>2314</v>
      </c>
      <c r="F2918" s="98" t="s">
        <v>561</v>
      </c>
      <c r="G2918" s="110">
        <v>0</v>
      </c>
      <c r="H2918" s="97" t="s">
        <v>601</v>
      </c>
      <c r="I2918" s="175">
        <v>48</v>
      </c>
      <c r="J2918" s="115">
        <v>48</v>
      </c>
      <c r="K2918" s="143">
        <f t="shared" si="969"/>
        <v>0</v>
      </c>
      <c r="L2918" s="144">
        <f t="shared" si="970"/>
        <v>48</v>
      </c>
      <c r="M2918" s="275">
        <f t="shared" si="968"/>
        <v>48</v>
      </c>
      <c r="N2918" s="98"/>
      <c r="O2918" s="93">
        <f t="shared" si="961"/>
        <v>0</v>
      </c>
      <c r="ON2918" s="100">
        <f t="shared" si="960"/>
        <v>0</v>
      </c>
    </row>
    <row r="2919" spans="1:404" ht="23.25" customHeight="1">
      <c r="A2919" s="127" t="str">
        <f t="shared" si="967"/>
        <v>008/YAMATEI-VG-2166-01705-03-B</v>
      </c>
      <c r="B2919" s="95">
        <v>44706</v>
      </c>
      <c r="C2919" s="97">
        <f t="shared" ca="1" si="965"/>
        <v>-358</v>
      </c>
      <c r="D2919" s="112" t="s">
        <v>2312</v>
      </c>
      <c r="E2919" s="123" t="s">
        <v>2315</v>
      </c>
      <c r="F2919" s="98" t="s">
        <v>561</v>
      </c>
      <c r="G2919" s="110">
        <v>0</v>
      </c>
      <c r="H2919" s="97" t="s">
        <v>601</v>
      </c>
      <c r="I2919" s="175">
        <v>108</v>
      </c>
      <c r="J2919" s="115">
        <v>108</v>
      </c>
      <c r="K2919" s="143">
        <f t="shared" si="969"/>
        <v>0</v>
      </c>
      <c r="L2919" s="144">
        <f t="shared" si="970"/>
        <v>108</v>
      </c>
      <c r="M2919" s="275">
        <f t="shared" si="968"/>
        <v>108</v>
      </c>
      <c r="N2919" s="98"/>
      <c r="O2919" s="93">
        <f t="shared" si="961"/>
        <v>0</v>
      </c>
      <c r="ON2919" s="100">
        <f t="shared" si="960"/>
        <v>0</v>
      </c>
    </row>
    <row r="2920" spans="1:404" ht="23.25" customHeight="1">
      <c r="A2920" s="127" t="str">
        <f t="shared" si="967"/>
        <v>008/YAMATEI-VG-2166-01705-B2-B</v>
      </c>
      <c r="B2920" s="95">
        <v>44706</v>
      </c>
      <c r="C2920" s="97">
        <f t="shared" ca="1" si="965"/>
        <v>-358</v>
      </c>
      <c r="D2920" s="112" t="s">
        <v>2312</v>
      </c>
      <c r="E2920" s="123" t="s">
        <v>2316</v>
      </c>
      <c r="F2920" s="98" t="s">
        <v>561</v>
      </c>
      <c r="G2920" s="110">
        <v>0</v>
      </c>
      <c r="H2920" s="97" t="s">
        <v>601</v>
      </c>
      <c r="I2920" s="175">
        <v>72</v>
      </c>
      <c r="J2920" s="115">
        <v>72</v>
      </c>
      <c r="K2920" s="143">
        <f t="shared" si="969"/>
        <v>0</v>
      </c>
      <c r="L2920" s="144">
        <f t="shared" si="970"/>
        <v>72</v>
      </c>
      <c r="M2920" s="275">
        <f t="shared" si="968"/>
        <v>144</v>
      </c>
      <c r="N2920" s="98"/>
      <c r="O2920" s="93">
        <f t="shared" si="961"/>
        <v>0</v>
      </c>
      <c r="ON2920" s="100">
        <f t="shared" si="960"/>
        <v>0</v>
      </c>
    </row>
    <row r="2921" spans="1:404" ht="23.25" customHeight="1">
      <c r="A2921" s="127" t="str">
        <f t="shared" si="967"/>
        <v>008/YAMATEI-VG-2166-02605-03-B</v>
      </c>
      <c r="B2921" s="95">
        <v>44706</v>
      </c>
      <c r="C2921" s="97">
        <f t="shared" ca="1" si="965"/>
        <v>-358</v>
      </c>
      <c r="D2921" s="112" t="s">
        <v>2312</v>
      </c>
      <c r="E2921" s="123" t="s">
        <v>2180</v>
      </c>
      <c r="F2921" s="98" t="s">
        <v>561</v>
      </c>
      <c r="G2921" s="110">
        <v>0</v>
      </c>
      <c r="H2921" s="97" t="s">
        <v>601</v>
      </c>
      <c r="I2921" s="175">
        <v>84</v>
      </c>
      <c r="J2921" s="115">
        <v>84</v>
      </c>
      <c r="K2921" s="143">
        <f t="shared" si="969"/>
        <v>0</v>
      </c>
      <c r="L2921" s="144">
        <f t="shared" si="970"/>
        <v>84</v>
      </c>
      <c r="M2921" s="275">
        <f t="shared" si="968"/>
        <v>84</v>
      </c>
      <c r="N2921" s="98"/>
      <c r="O2921" s="93">
        <f t="shared" si="961"/>
        <v>0</v>
      </c>
      <c r="ON2921" s="100">
        <f t="shared" si="960"/>
        <v>0</v>
      </c>
    </row>
    <row r="2922" spans="1:404" ht="23.25" customHeight="1">
      <c r="A2922" s="127" t="str">
        <f t="shared" si="967"/>
        <v>008/YAMATEI-VG-2166-02605-S3-B</v>
      </c>
      <c r="B2922" s="95">
        <v>44706</v>
      </c>
      <c r="C2922" s="97">
        <f t="shared" ca="1" si="965"/>
        <v>-358</v>
      </c>
      <c r="D2922" s="112" t="s">
        <v>2312</v>
      </c>
      <c r="E2922" s="123" t="s">
        <v>2317</v>
      </c>
      <c r="F2922" s="98" t="s">
        <v>561</v>
      </c>
      <c r="G2922" s="110">
        <v>0</v>
      </c>
      <c r="H2922" s="97" t="s">
        <v>601</v>
      </c>
      <c r="I2922" s="175">
        <v>16</v>
      </c>
      <c r="J2922" s="115">
        <v>16</v>
      </c>
      <c r="K2922" s="143">
        <f t="shared" si="969"/>
        <v>0</v>
      </c>
      <c r="L2922" s="144">
        <f t="shared" si="970"/>
        <v>16</v>
      </c>
      <c r="M2922" s="275">
        <f t="shared" si="968"/>
        <v>48</v>
      </c>
      <c r="N2922" s="98"/>
      <c r="O2922" s="93">
        <f t="shared" si="961"/>
        <v>0</v>
      </c>
      <c r="ON2922" s="100">
        <f t="shared" si="960"/>
        <v>0</v>
      </c>
    </row>
    <row r="2923" spans="1:404" ht="23.25" customHeight="1">
      <c r="A2923" s="127" t="str">
        <f t="shared" si="967"/>
        <v>008/YAMATEI-VG-2166-02717-02-B</v>
      </c>
      <c r="B2923" s="95">
        <v>44706</v>
      </c>
      <c r="C2923" s="97">
        <f t="shared" ca="1" si="965"/>
        <v>-358</v>
      </c>
      <c r="D2923" s="112" t="s">
        <v>2312</v>
      </c>
      <c r="E2923" s="123" t="s">
        <v>1576</v>
      </c>
      <c r="F2923" s="98" t="s">
        <v>561</v>
      </c>
      <c r="G2923" s="110">
        <v>0</v>
      </c>
      <c r="H2923" s="97" t="s">
        <v>601</v>
      </c>
      <c r="I2923" s="175">
        <v>31</v>
      </c>
      <c r="J2923" s="115">
        <v>31</v>
      </c>
      <c r="K2923" s="143">
        <f t="shared" si="969"/>
        <v>39</v>
      </c>
      <c r="L2923" s="144">
        <f t="shared" si="970"/>
        <v>-8</v>
      </c>
      <c r="M2923" s="275">
        <f t="shared" si="968"/>
        <v>31</v>
      </c>
      <c r="N2923" s="98">
        <v>4</v>
      </c>
      <c r="O2923" s="93">
        <f t="shared" si="961"/>
        <v>125.80645161290323</v>
      </c>
      <c r="NG2923" s="100">
        <v>4</v>
      </c>
      <c r="NI2923" s="100">
        <v>4</v>
      </c>
      <c r="NK2923" s="100">
        <v>4</v>
      </c>
      <c r="NL2923" s="100">
        <v>2</v>
      </c>
      <c r="NM2923" s="100">
        <v>3</v>
      </c>
      <c r="NN2923" s="100">
        <v>6</v>
      </c>
      <c r="NS2923" s="100">
        <v>4</v>
      </c>
      <c r="NU2923" s="100">
        <v>3</v>
      </c>
      <c r="NY2923" s="100">
        <v>1</v>
      </c>
      <c r="ON2923" s="100">
        <f t="shared" si="960"/>
        <v>8</v>
      </c>
    </row>
    <row r="2924" spans="1:404" ht="23.25" customHeight="1">
      <c r="A2924" s="127" t="str">
        <f t="shared" si="967"/>
        <v>008/YAMATEI-VG-2166-07300-S1-B</v>
      </c>
      <c r="B2924" s="95">
        <v>44706</v>
      </c>
      <c r="C2924" s="97">
        <f t="shared" ca="1" si="965"/>
        <v>-358</v>
      </c>
      <c r="D2924" s="112" t="s">
        <v>2312</v>
      </c>
      <c r="E2924" s="123" t="s">
        <v>816</v>
      </c>
      <c r="F2924" s="98" t="s">
        <v>561</v>
      </c>
      <c r="G2924" s="110">
        <v>0</v>
      </c>
      <c r="H2924" s="97" t="s">
        <v>601</v>
      </c>
      <c r="I2924" s="175">
        <v>150</v>
      </c>
      <c r="J2924" s="115">
        <v>150</v>
      </c>
      <c r="K2924" s="143">
        <f t="shared" si="969"/>
        <v>0</v>
      </c>
      <c r="L2924" s="144">
        <f t="shared" si="970"/>
        <v>150</v>
      </c>
      <c r="M2924" s="275">
        <f t="shared" si="968"/>
        <v>150</v>
      </c>
      <c r="N2924" s="98"/>
      <c r="O2924" s="93">
        <f t="shared" si="961"/>
        <v>0</v>
      </c>
      <c r="ON2924" s="100">
        <f t="shared" si="960"/>
        <v>0</v>
      </c>
    </row>
    <row r="2925" spans="1:404" ht="23.25" customHeight="1">
      <c r="A2925" s="127" t="str">
        <f t="shared" si="967"/>
        <v>008/YAMATEI-VG-2166-07400-S1-B</v>
      </c>
      <c r="B2925" s="95">
        <v>44706</v>
      </c>
      <c r="C2925" s="97">
        <f t="shared" ca="1" si="965"/>
        <v>-358</v>
      </c>
      <c r="D2925" s="112" t="s">
        <v>2312</v>
      </c>
      <c r="E2925" s="123" t="s">
        <v>1577</v>
      </c>
      <c r="F2925" s="98" t="s">
        <v>561</v>
      </c>
      <c r="G2925" s="110">
        <v>0</v>
      </c>
      <c r="H2925" s="97" t="s">
        <v>601</v>
      </c>
      <c r="I2925" s="175">
        <v>52</v>
      </c>
      <c r="J2925" s="115">
        <v>52</v>
      </c>
      <c r="K2925" s="143">
        <f t="shared" si="969"/>
        <v>0</v>
      </c>
      <c r="L2925" s="144">
        <f t="shared" si="970"/>
        <v>52</v>
      </c>
      <c r="M2925" s="275">
        <f t="shared" si="968"/>
        <v>52</v>
      </c>
      <c r="N2925" s="98"/>
      <c r="O2925" s="93">
        <f t="shared" si="961"/>
        <v>0</v>
      </c>
      <c r="ON2925" s="100">
        <f t="shared" si="960"/>
        <v>0</v>
      </c>
    </row>
    <row r="2926" spans="1:404" ht="23.25" customHeight="1">
      <c r="A2926" s="127" t="str">
        <f t="shared" si="967"/>
        <v>008/YAMATEI-VG-2166-54105-02-B</v>
      </c>
      <c r="B2926" s="95">
        <v>44706</v>
      </c>
      <c r="C2926" s="97">
        <f t="shared" ca="1" si="965"/>
        <v>-358</v>
      </c>
      <c r="D2926" s="112" t="s">
        <v>2312</v>
      </c>
      <c r="E2926" s="123" t="s">
        <v>2318</v>
      </c>
      <c r="F2926" s="98" t="s">
        <v>561</v>
      </c>
      <c r="G2926" s="110">
        <v>0</v>
      </c>
      <c r="H2926" s="97" t="s">
        <v>601</v>
      </c>
      <c r="I2926" s="175">
        <v>88</v>
      </c>
      <c r="J2926" s="115">
        <v>88</v>
      </c>
      <c r="K2926" s="143">
        <f t="shared" si="969"/>
        <v>0</v>
      </c>
      <c r="L2926" s="144">
        <f t="shared" si="970"/>
        <v>88</v>
      </c>
      <c r="M2926" s="275">
        <f t="shared" si="968"/>
        <v>88</v>
      </c>
      <c r="N2926" s="98"/>
      <c r="O2926" s="93">
        <f t="shared" si="961"/>
        <v>0</v>
      </c>
      <c r="ON2926" s="100">
        <f t="shared" si="960"/>
        <v>0</v>
      </c>
    </row>
    <row r="2927" spans="1:404" ht="23.25" customHeight="1">
      <c r="A2927" s="127" t="str">
        <f t="shared" si="967"/>
        <v>008/YAMATEI-VG-2166-55405-01-B</v>
      </c>
      <c r="B2927" s="95">
        <v>44706</v>
      </c>
      <c r="C2927" s="97">
        <f t="shared" ca="1" si="965"/>
        <v>-358</v>
      </c>
      <c r="D2927" s="112" t="s">
        <v>2312</v>
      </c>
      <c r="E2927" s="123" t="s">
        <v>2319</v>
      </c>
      <c r="F2927" s="98" t="s">
        <v>561</v>
      </c>
      <c r="G2927" s="110">
        <v>0</v>
      </c>
      <c r="H2927" s="97" t="s">
        <v>601</v>
      </c>
      <c r="I2927" s="175">
        <v>12</v>
      </c>
      <c r="J2927" s="115">
        <v>12</v>
      </c>
      <c r="K2927" s="143">
        <f t="shared" si="969"/>
        <v>0</v>
      </c>
      <c r="L2927" s="144">
        <f t="shared" si="970"/>
        <v>12</v>
      </c>
      <c r="M2927" s="275">
        <f t="shared" si="968"/>
        <v>12</v>
      </c>
      <c r="N2927" s="98"/>
      <c r="O2927" s="93">
        <f t="shared" si="961"/>
        <v>0</v>
      </c>
      <c r="ON2927" s="100">
        <f t="shared" si="960"/>
        <v>0</v>
      </c>
    </row>
    <row r="2928" spans="1:404" ht="23.25" customHeight="1">
      <c r="A2928" s="127" t="str">
        <f t="shared" si="967"/>
        <v>008/YAMATEI-VG-2166-55405-03-B</v>
      </c>
      <c r="B2928" s="95">
        <v>44706</v>
      </c>
      <c r="C2928" s="97">
        <f t="shared" ca="1" si="965"/>
        <v>-358</v>
      </c>
      <c r="D2928" s="112" t="s">
        <v>2312</v>
      </c>
      <c r="E2928" s="123" t="s">
        <v>2320</v>
      </c>
      <c r="F2928" s="98" t="s">
        <v>561</v>
      </c>
      <c r="G2928" s="110">
        <v>0</v>
      </c>
      <c r="H2928" s="97" t="s">
        <v>601</v>
      </c>
      <c r="I2928" s="175">
        <v>90</v>
      </c>
      <c r="J2928" s="115">
        <v>90</v>
      </c>
      <c r="K2928" s="143">
        <f t="shared" si="969"/>
        <v>0</v>
      </c>
      <c r="L2928" s="144">
        <f t="shared" si="970"/>
        <v>90</v>
      </c>
      <c r="M2928" s="275">
        <f t="shared" si="968"/>
        <v>90</v>
      </c>
      <c r="N2928" s="98"/>
      <c r="O2928" s="93">
        <f t="shared" si="961"/>
        <v>0</v>
      </c>
      <c r="ON2928" s="100">
        <f t="shared" si="960"/>
        <v>0</v>
      </c>
    </row>
    <row r="2929" spans="1:404" ht="23.25" customHeight="1">
      <c r="A2929" s="127" t="str">
        <f t="shared" si="967"/>
        <v>008/YAMATEI-VG-2166-55405-B2-B</v>
      </c>
      <c r="B2929" s="95">
        <v>44706</v>
      </c>
      <c r="C2929" s="97">
        <f t="shared" ca="1" si="965"/>
        <v>-358</v>
      </c>
      <c r="D2929" s="112" t="s">
        <v>2312</v>
      </c>
      <c r="E2929" s="123" t="s">
        <v>2321</v>
      </c>
      <c r="F2929" s="98" t="s">
        <v>561</v>
      </c>
      <c r="G2929" s="110">
        <v>0</v>
      </c>
      <c r="H2929" s="97" t="s">
        <v>601</v>
      </c>
      <c r="I2929" s="175">
        <v>24</v>
      </c>
      <c r="J2929" s="115">
        <v>24</v>
      </c>
      <c r="K2929" s="143">
        <f t="shared" si="969"/>
        <v>0</v>
      </c>
      <c r="L2929" s="144">
        <f t="shared" si="970"/>
        <v>24</v>
      </c>
      <c r="M2929" s="275">
        <f t="shared" si="968"/>
        <v>48</v>
      </c>
      <c r="N2929" s="98"/>
      <c r="O2929" s="93">
        <f t="shared" si="961"/>
        <v>0</v>
      </c>
      <c r="ON2929" s="100">
        <f t="shared" si="960"/>
        <v>0</v>
      </c>
    </row>
    <row r="2930" spans="1:404" ht="23.25" customHeight="1">
      <c r="A2930" s="127" t="str">
        <f t="shared" si="967"/>
        <v>008/YAMATEI-VG-2166-55405-L2-B</v>
      </c>
      <c r="B2930" s="95">
        <v>44706</v>
      </c>
      <c r="C2930" s="97">
        <f t="shared" ca="1" si="965"/>
        <v>-358</v>
      </c>
      <c r="D2930" s="112" t="s">
        <v>2312</v>
      </c>
      <c r="E2930" s="123" t="s">
        <v>2322</v>
      </c>
      <c r="F2930" s="98" t="s">
        <v>561</v>
      </c>
      <c r="G2930" s="110">
        <v>0</v>
      </c>
      <c r="H2930" s="97" t="s">
        <v>601</v>
      </c>
      <c r="I2930" s="175">
        <v>24</v>
      </c>
      <c r="J2930" s="115">
        <v>24</v>
      </c>
      <c r="K2930" s="143">
        <f t="shared" si="969"/>
        <v>0</v>
      </c>
      <c r="L2930" s="144">
        <f t="shared" si="970"/>
        <v>24</v>
      </c>
      <c r="M2930" s="275">
        <f t="shared" si="968"/>
        <v>48</v>
      </c>
      <c r="N2930" s="98"/>
      <c r="O2930" s="93">
        <f t="shared" si="961"/>
        <v>0</v>
      </c>
      <c r="ON2930" s="100">
        <f t="shared" si="960"/>
        <v>0</v>
      </c>
    </row>
    <row r="2931" spans="1:404" ht="23.25" customHeight="1">
      <c r="A2931" s="127" t="str">
        <f t="shared" si="967"/>
        <v>008/YAMATEI-VG-2166-55409-B2-B</v>
      </c>
      <c r="B2931" s="95">
        <v>44706</v>
      </c>
      <c r="C2931" s="97">
        <f t="shared" ca="1" si="965"/>
        <v>-358</v>
      </c>
      <c r="D2931" s="112" t="s">
        <v>2312</v>
      </c>
      <c r="E2931" s="123" t="s">
        <v>2323</v>
      </c>
      <c r="F2931" s="98" t="s">
        <v>561</v>
      </c>
      <c r="G2931" s="110">
        <v>0</v>
      </c>
      <c r="H2931" s="97" t="s">
        <v>601</v>
      </c>
      <c r="I2931" s="175">
        <v>24</v>
      </c>
      <c r="J2931" s="115">
        <v>24</v>
      </c>
      <c r="K2931" s="143">
        <f t="shared" si="969"/>
        <v>0</v>
      </c>
      <c r="L2931" s="144">
        <f t="shared" si="970"/>
        <v>24</v>
      </c>
      <c r="M2931" s="275">
        <f t="shared" si="968"/>
        <v>48</v>
      </c>
      <c r="N2931" s="98"/>
      <c r="O2931" s="93">
        <f t="shared" si="961"/>
        <v>0</v>
      </c>
      <c r="ON2931" s="100">
        <f t="shared" si="960"/>
        <v>0</v>
      </c>
    </row>
    <row r="2932" spans="1:404" ht="23.25" customHeight="1">
      <c r="A2932" s="127" t="str">
        <f t="shared" si="967"/>
        <v>008/YAMATEI-VG-2166-65109-02-B</v>
      </c>
      <c r="B2932" s="95">
        <v>44706</v>
      </c>
      <c r="C2932" s="97">
        <f t="shared" ca="1" si="965"/>
        <v>-358</v>
      </c>
      <c r="D2932" s="112" t="s">
        <v>2312</v>
      </c>
      <c r="E2932" s="123" t="s">
        <v>1582</v>
      </c>
      <c r="F2932" s="98" t="s">
        <v>561</v>
      </c>
      <c r="G2932" s="110">
        <v>0</v>
      </c>
      <c r="H2932" s="97" t="s">
        <v>601</v>
      </c>
      <c r="I2932" s="175">
        <v>30</v>
      </c>
      <c r="J2932" s="115">
        <v>30</v>
      </c>
      <c r="K2932" s="143">
        <f t="shared" si="969"/>
        <v>0</v>
      </c>
      <c r="L2932" s="144">
        <f t="shared" si="970"/>
        <v>30</v>
      </c>
      <c r="M2932" s="275">
        <f t="shared" si="968"/>
        <v>30</v>
      </c>
      <c r="N2932" s="98"/>
      <c r="O2932" s="93">
        <f t="shared" si="961"/>
        <v>0</v>
      </c>
      <c r="ON2932" s="100">
        <f t="shared" si="960"/>
        <v>0</v>
      </c>
    </row>
    <row r="2933" spans="1:404" ht="23.25" customHeight="1">
      <c r="A2933" s="127" t="str">
        <f t="shared" si="967"/>
        <v>008/YAMATEI-VG-2166-70305-01-B</v>
      </c>
      <c r="B2933" s="95">
        <v>44706</v>
      </c>
      <c r="C2933" s="97">
        <f t="shared" ca="1" si="965"/>
        <v>-358</v>
      </c>
      <c r="D2933" s="112" t="s">
        <v>2312</v>
      </c>
      <c r="E2933" s="123" t="s">
        <v>2324</v>
      </c>
      <c r="F2933" s="98" t="s">
        <v>561</v>
      </c>
      <c r="G2933" s="110">
        <v>0</v>
      </c>
      <c r="H2933" s="97" t="s">
        <v>601</v>
      </c>
      <c r="I2933" s="175">
        <v>18</v>
      </c>
      <c r="J2933" s="115">
        <v>18</v>
      </c>
      <c r="K2933" s="143">
        <f t="shared" si="969"/>
        <v>0</v>
      </c>
      <c r="L2933" s="144">
        <f t="shared" si="970"/>
        <v>18</v>
      </c>
      <c r="M2933" s="275">
        <f t="shared" si="968"/>
        <v>18</v>
      </c>
      <c r="N2933" s="98"/>
      <c r="O2933" s="93">
        <f t="shared" si="961"/>
        <v>0</v>
      </c>
      <c r="ON2933" s="100">
        <f t="shared" si="960"/>
        <v>0</v>
      </c>
    </row>
    <row r="2934" spans="1:404" ht="23.25" customHeight="1">
      <c r="A2934" s="127" t="str">
        <f t="shared" si="967"/>
        <v>008/YAMATEI-VG-2166-70305-03-B</v>
      </c>
      <c r="B2934" s="95">
        <v>44706</v>
      </c>
      <c r="C2934" s="97">
        <f t="shared" ca="1" si="965"/>
        <v>-358</v>
      </c>
      <c r="D2934" s="112" t="s">
        <v>2312</v>
      </c>
      <c r="E2934" s="123" t="s">
        <v>2325</v>
      </c>
      <c r="F2934" s="98" t="s">
        <v>561</v>
      </c>
      <c r="G2934" s="110">
        <v>0</v>
      </c>
      <c r="H2934" s="97" t="s">
        <v>601</v>
      </c>
      <c r="I2934" s="175">
        <v>240</v>
      </c>
      <c r="J2934" s="115">
        <v>240</v>
      </c>
      <c r="K2934" s="143">
        <f t="shared" si="969"/>
        <v>0</v>
      </c>
      <c r="L2934" s="144">
        <f t="shared" si="970"/>
        <v>240</v>
      </c>
      <c r="M2934" s="275">
        <f t="shared" si="968"/>
        <v>240</v>
      </c>
      <c r="N2934" s="98"/>
      <c r="O2934" s="93">
        <f t="shared" si="961"/>
        <v>0</v>
      </c>
      <c r="ON2934" s="100">
        <f t="shared" si="960"/>
        <v>0</v>
      </c>
    </row>
    <row r="2935" spans="1:404" ht="23.25" customHeight="1">
      <c r="A2935" s="127" t="str">
        <f t="shared" si="967"/>
        <v>008/YAMATEI-VG-2166-70305-04-B</v>
      </c>
      <c r="B2935" s="95">
        <v>44706</v>
      </c>
      <c r="C2935" s="97">
        <f t="shared" ca="1" si="965"/>
        <v>-358</v>
      </c>
      <c r="D2935" s="112" t="s">
        <v>2312</v>
      </c>
      <c r="E2935" s="123" t="s">
        <v>2326</v>
      </c>
      <c r="F2935" s="98" t="s">
        <v>561</v>
      </c>
      <c r="G2935" s="110">
        <v>0</v>
      </c>
      <c r="H2935" s="97" t="s">
        <v>601</v>
      </c>
      <c r="I2935" s="175">
        <v>63</v>
      </c>
      <c r="J2935" s="115">
        <v>63</v>
      </c>
      <c r="K2935" s="143">
        <f t="shared" si="969"/>
        <v>0</v>
      </c>
      <c r="L2935" s="144">
        <f t="shared" si="970"/>
        <v>63</v>
      </c>
      <c r="M2935" s="275">
        <f t="shared" si="968"/>
        <v>63</v>
      </c>
      <c r="N2935" s="98"/>
      <c r="O2935" s="93">
        <f t="shared" si="961"/>
        <v>0</v>
      </c>
      <c r="ON2935" s="100">
        <f t="shared" si="960"/>
        <v>0</v>
      </c>
    </row>
    <row r="2936" spans="1:404" ht="23.25" customHeight="1">
      <c r="A2936" s="127" t="str">
        <f t="shared" si="967"/>
        <v>008/YAMATEI-VG-2166-70305-B2-B</v>
      </c>
      <c r="B2936" s="95">
        <v>44706</v>
      </c>
      <c r="C2936" s="97">
        <f t="shared" ca="1" si="965"/>
        <v>-358</v>
      </c>
      <c r="D2936" s="112" t="s">
        <v>2312</v>
      </c>
      <c r="E2936" s="123" t="s">
        <v>2327</v>
      </c>
      <c r="F2936" s="98" t="s">
        <v>561</v>
      </c>
      <c r="G2936" s="110">
        <v>0</v>
      </c>
      <c r="H2936" s="97" t="s">
        <v>601</v>
      </c>
      <c r="I2936" s="175">
        <v>780</v>
      </c>
      <c r="J2936" s="115">
        <v>780</v>
      </c>
      <c r="K2936" s="143">
        <f t="shared" si="969"/>
        <v>0</v>
      </c>
      <c r="L2936" s="144">
        <f t="shared" si="970"/>
        <v>780</v>
      </c>
      <c r="M2936" s="275">
        <f t="shared" si="968"/>
        <v>1560</v>
      </c>
      <c r="N2936" s="98"/>
      <c r="O2936" s="93">
        <f t="shared" si="961"/>
        <v>0</v>
      </c>
      <c r="ON2936" s="100">
        <f t="shared" si="960"/>
        <v>0</v>
      </c>
    </row>
    <row r="2937" spans="1:404" ht="23.25" customHeight="1">
      <c r="A2937" s="127" t="str">
        <f t="shared" si="967"/>
        <v>008/YAMATEI-VG-2166-70305-L2-B</v>
      </c>
      <c r="B2937" s="95">
        <v>44706</v>
      </c>
      <c r="C2937" s="97">
        <f t="shared" ca="1" si="965"/>
        <v>-358</v>
      </c>
      <c r="D2937" s="112" t="s">
        <v>2312</v>
      </c>
      <c r="E2937" s="123" t="s">
        <v>2328</v>
      </c>
      <c r="F2937" s="98" t="s">
        <v>561</v>
      </c>
      <c r="G2937" s="110">
        <v>0</v>
      </c>
      <c r="H2937" s="97" t="s">
        <v>601</v>
      </c>
      <c r="I2937" s="175">
        <v>24</v>
      </c>
      <c r="J2937" s="115">
        <v>24</v>
      </c>
      <c r="K2937" s="143">
        <f t="shared" si="969"/>
        <v>0</v>
      </c>
      <c r="L2937" s="144">
        <f t="shared" si="970"/>
        <v>24</v>
      </c>
      <c r="M2937" s="275">
        <f t="shared" si="968"/>
        <v>48</v>
      </c>
      <c r="N2937" s="98"/>
      <c r="O2937" s="93">
        <f t="shared" si="961"/>
        <v>0</v>
      </c>
      <c r="ON2937" s="100">
        <f t="shared" si="960"/>
        <v>0</v>
      </c>
    </row>
    <row r="2938" spans="1:404" ht="23.25" customHeight="1">
      <c r="A2938" s="127" t="str">
        <f t="shared" si="967"/>
        <v>008/YAMATEI-VG-2166-70309-03-B</v>
      </c>
      <c r="B2938" s="95">
        <v>44706</v>
      </c>
      <c r="C2938" s="97">
        <f t="shared" ca="1" si="965"/>
        <v>-358</v>
      </c>
      <c r="D2938" s="112" t="s">
        <v>2312</v>
      </c>
      <c r="E2938" s="123" t="s">
        <v>1587</v>
      </c>
      <c r="F2938" s="98" t="s">
        <v>561</v>
      </c>
      <c r="G2938" s="110">
        <v>0</v>
      </c>
      <c r="H2938" s="97" t="s">
        <v>601</v>
      </c>
      <c r="I2938" s="175">
        <v>240</v>
      </c>
      <c r="J2938" s="115">
        <v>240</v>
      </c>
      <c r="K2938" s="143">
        <f t="shared" si="969"/>
        <v>0</v>
      </c>
      <c r="L2938" s="144">
        <f t="shared" si="970"/>
        <v>240</v>
      </c>
      <c r="M2938" s="275">
        <f t="shared" si="968"/>
        <v>240</v>
      </c>
      <c r="N2938" s="98"/>
      <c r="O2938" s="93">
        <f t="shared" si="961"/>
        <v>0</v>
      </c>
      <c r="ON2938" s="100">
        <f t="shared" si="960"/>
        <v>0</v>
      </c>
    </row>
    <row r="2939" spans="1:404" ht="23.25" customHeight="1">
      <c r="A2939" s="127" t="str">
        <f t="shared" si="967"/>
        <v>008/YAMATEI-VG-2166-70309-04-B</v>
      </c>
      <c r="B2939" s="95">
        <v>44706</v>
      </c>
      <c r="C2939" s="97">
        <f t="shared" ref="C2939:C2970" ca="1" si="971">B2939-TODAY()</f>
        <v>-358</v>
      </c>
      <c r="D2939" s="112" t="s">
        <v>2312</v>
      </c>
      <c r="E2939" s="123" t="s">
        <v>2329</v>
      </c>
      <c r="F2939" s="98" t="s">
        <v>561</v>
      </c>
      <c r="G2939" s="110">
        <v>0</v>
      </c>
      <c r="H2939" s="97" t="s">
        <v>601</v>
      </c>
      <c r="I2939" s="175">
        <v>126</v>
      </c>
      <c r="J2939" s="115">
        <v>126</v>
      </c>
      <c r="K2939" s="143">
        <f t="shared" si="969"/>
        <v>0</v>
      </c>
      <c r="L2939" s="144">
        <f t="shared" si="970"/>
        <v>126</v>
      </c>
      <c r="M2939" s="275">
        <f t="shared" si="968"/>
        <v>126</v>
      </c>
      <c r="N2939" s="98"/>
      <c r="O2939" s="93">
        <f t="shared" si="961"/>
        <v>0</v>
      </c>
      <c r="ON2939" s="100">
        <f t="shared" si="960"/>
        <v>0</v>
      </c>
    </row>
    <row r="2940" spans="1:404" ht="23.25" customHeight="1">
      <c r="A2940" s="127" t="str">
        <f t="shared" si="967"/>
        <v>008/YAMATEI-VG-2166-70309-B2-B</v>
      </c>
      <c r="B2940" s="95">
        <v>44706</v>
      </c>
      <c r="C2940" s="97">
        <f t="shared" ca="1" si="971"/>
        <v>-358</v>
      </c>
      <c r="D2940" s="112" t="s">
        <v>2312</v>
      </c>
      <c r="E2940" s="123" t="s">
        <v>1588</v>
      </c>
      <c r="F2940" s="98" t="s">
        <v>561</v>
      </c>
      <c r="G2940" s="110">
        <v>0</v>
      </c>
      <c r="H2940" s="97" t="s">
        <v>601</v>
      </c>
      <c r="I2940" s="175">
        <v>60</v>
      </c>
      <c r="J2940" s="115">
        <v>60</v>
      </c>
      <c r="K2940" s="143">
        <f t="shared" si="969"/>
        <v>0</v>
      </c>
      <c r="L2940" s="144">
        <f t="shared" si="970"/>
        <v>60</v>
      </c>
      <c r="M2940" s="275">
        <f t="shared" si="968"/>
        <v>120</v>
      </c>
      <c r="N2940" s="98"/>
      <c r="O2940" s="93">
        <f t="shared" si="961"/>
        <v>0</v>
      </c>
      <c r="ON2940" s="100">
        <f t="shared" si="960"/>
        <v>0</v>
      </c>
    </row>
    <row r="2941" spans="1:404" ht="23.25" customHeight="1">
      <c r="A2941" s="127" t="str">
        <f t="shared" si="967"/>
        <v>008/YAMATEI-VG-2166-77905-03-B</v>
      </c>
      <c r="B2941" s="95">
        <v>44706</v>
      </c>
      <c r="C2941" s="97">
        <f t="shared" ca="1" si="971"/>
        <v>-358</v>
      </c>
      <c r="D2941" s="112" t="s">
        <v>2312</v>
      </c>
      <c r="E2941" s="123" t="s">
        <v>2330</v>
      </c>
      <c r="F2941" s="98" t="s">
        <v>561</v>
      </c>
      <c r="G2941" s="110">
        <v>0</v>
      </c>
      <c r="H2941" s="97" t="s">
        <v>601</v>
      </c>
      <c r="I2941" s="175">
        <v>108</v>
      </c>
      <c r="J2941" s="115">
        <v>108</v>
      </c>
      <c r="K2941" s="143">
        <f t="shared" si="969"/>
        <v>0</v>
      </c>
      <c r="L2941" s="144">
        <f t="shared" si="970"/>
        <v>108</v>
      </c>
      <c r="M2941" s="275">
        <f t="shared" si="968"/>
        <v>108</v>
      </c>
      <c r="N2941" s="98"/>
      <c r="O2941" s="93">
        <f t="shared" si="961"/>
        <v>0</v>
      </c>
      <c r="ON2941" s="100">
        <f t="shared" si="960"/>
        <v>0</v>
      </c>
    </row>
    <row r="2942" spans="1:404" ht="23.25" customHeight="1">
      <c r="A2942" s="127" t="str">
        <f t="shared" si="967"/>
        <v>008/YAMATEI-VG-2168-57717-02-B</v>
      </c>
      <c r="B2942" s="126">
        <v>44706</v>
      </c>
      <c r="C2942" s="97">
        <f t="shared" ca="1" si="971"/>
        <v>-358</v>
      </c>
      <c r="D2942" s="208" t="s">
        <v>2312</v>
      </c>
      <c r="E2942" s="226" t="s">
        <v>2331</v>
      </c>
      <c r="F2942" s="132" t="s">
        <v>561</v>
      </c>
      <c r="G2942" s="130">
        <v>0</v>
      </c>
      <c r="H2942" s="97" t="s">
        <v>601</v>
      </c>
      <c r="I2942" s="175">
        <v>30</v>
      </c>
      <c r="J2942" s="115">
        <v>30</v>
      </c>
      <c r="K2942" s="143">
        <f t="shared" si="969"/>
        <v>0</v>
      </c>
      <c r="L2942" s="144">
        <f t="shared" si="970"/>
        <v>30</v>
      </c>
      <c r="M2942" s="275">
        <f t="shared" si="968"/>
        <v>30</v>
      </c>
      <c r="N2942" s="98"/>
      <c r="O2942" s="93">
        <f t="shared" si="961"/>
        <v>0</v>
      </c>
      <c r="ON2942" s="100">
        <f t="shared" si="960"/>
        <v>0</v>
      </c>
    </row>
    <row r="2943" spans="1:404" ht="23.25" customHeight="1">
      <c r="A2943" s="97" t="s">
        <v>2073</v>
      </c>
      <c r="B2943" s="95">
        <v>44572</v>
      </c>
      <c r="C2943" s="97">
        <f t="shared" ca="1" si="971"/>
        <v>-492</v>
      </c>
      <c r="D2943" s="96" t="s">
        <v>2333</v>
      </c>
      <c r="E2943" s="94" t="s">
        <v>28</v>
      </c>
      <c r="F2943" s="98" t="s">
        <v>561</v>
      </c>
      <c r="G2943" s="110">
        <v>0</v>
      </c>
      <c r="H2943" s="97" t="s">
        <v>1593</v>
      </c>
      <c r="I2943" s="124">
        <v>770</v>
      </c>
      <c r="J2943" s="99">
        <v>770</v>
      </c>
      <c r="K2943" s="143">
        <f t="shared" si="969"/>
        <v>770</v>
      </c>
      <c r="L2943" s="144">
        <f t="shared" si="970"/>
        <v>0</v>
      </c>
      <c r="M2943" s="275">
        <f t="shared" si="968"/>
        <v>770</v>
      </c>
      <c r="N2943" s="211">
        <v>6</v>
      </c>
      <c r="O2943" s="93">
        <f t="shared" si="961"/>
        <v>100</v>
      </c>
      <c r="MG2943" s="100">
        <v>102</v>
      </c>
      <c r="MH2943" s="100">
        <v>58</v>
      </c>
      <c r="MK2943" s="100">
        <v>25</v>
      </c>
      <c r="ML2943" s="100">
        <v>79</v>
      </c>
      <c r="MM2943" s="100">
        <v>51</v>
      </c>
      <c r="MN2943" s="100">
        <v>74</v>
      </c>
      <c r="MO2943" s="100">
        <v>48</v>
      </c>
      <c r="MP2943" s="100">
        <v>30</v>
      </c>
      <c r="MR2943" s="100">
        <v>47</v>
      </c>
      <c r="MS2943" s="100">
        <v>46</v>
      </c>
      <c r="MT2943" s="100">
        <v>46</v>
      </c>
      <c r="MU2943" s="100">
        <v>76</v>
      </c>
      <c r="MW2943" s="100">
        <v>2</v>
      </c>
      <c r="MX2943" s="100">
        <v>54</v>
      </c>
      <c r="MZ2943" s="100">
        <v>2</v>
      </c>
      <c r="NA2943" s="100">
        <v>17</v>
      </c>
      <c r="NF2943" s="100">
        <v>13</v>
      </c>
      <c r="ON2943" s="100">
        <f t="shared" si="960"/>
        <v>0</v>
      </c>
    </row>
    <row r="2944" spans="1:404" ht="23.25" customHeight="1">
      <c r="A2944" s="97" t="str">
        <f t="shared" ref="A2944:A2970" si="972">D2944&amp;E2944</f>
        <v>330/KHBS-21(005/MARSHALLS-21)66-12500-B2-B</v>
      </c>
      <c r="B2944" s="95">
        <v>44545</v>
      </c>
      <c r="C2944" s="97">
        <f t="shared" ca="1" si="971"/>
        <v>-519</v>
      </c>
      <c r="D2944" s="111" t="s">
        <v>2334</v>
      </c>
      <c r="E2944" s="225" t="s">
        <v>1229</v>
      </c>
      <c r="F2944" s="98" t="str">
        <f t="shared" ref="F2944:F2970" si="973">MID(E2944,13,2)</f>
        <v>B</v>
      </c>
      <c r="G2944" s="110">
        <f ca="1">SUMIF($A:E,$A2944,K:K)</f>
        <v>2</v>
      </c>
      <c r="H2944" s="97" t="s">
        <v>1593</v>
      </c>
      <c r="I2944" s="98">
        <v>2</v>
      </c>
      <c r="J2944" s="99">
        <v>2</v>
      </c>
      <c r="K2944" s="143">
        <f t="shared" si="969"/>
        <v>2</v>
      </c>
      <c r="L2944" s="144">
        <f t="shared" ref="L2944:L2956" si="974">J2944-K2944</f>
        <v>0</v>
      </c>
      <c r="M2944" s="275">
        <f t="shared" si="968"/>
        <v>4</v>
      </c>
      <c r="N2944" s="211">
        <v>1</v>
      </c>
      <c r="O2944" s="93">
        <f t="shared" si="961"/>
        <v>100</v>
      </c>
      <c r="LZ2944" s="100">
        <v>2</v>
      </c>
      <c r="ON2944" s="100">
        <f t="shared" si="960"/>
        <v>0</v>
      </c>
    </row>
    <row r="2945" spans="1:404" ht="23.25" customHeight="1">
      <c r="A2945" s="97" t="str">
        <f t="shared" si="972"/>
        <v>031T/EUROMARKET-2166-81220-S1-B4</v>
      </c>
      <c r="B2945" s="95">
        <v>44564</v>
      </c>
      <c r="C2945" s="97">
        <f t="shared" ca="1" si="971"/>
        <v>-500</v>
      </c>
      <c r="D2945" s="112" t="s">
        <v>2335</v>
      </c>
      <c r="E2945" s="123" t="s">
        <v>1897</v>
      </c>
      <c r="F2945" s="98" t="str">
        <f t="shared" si="973"/>
        <v>B4</v>
      </c>
      <c r="G2945" s="110">
        <f ca="1">SUMIF($A:E,$A2945,K:K)</f>
        <v>86</v>
      </c>
      <c r="H2945" s="97" t="s">
        <v>1593</v>
      </c>
      <c r="I2945" s="175">
        <v>86</v>
      </c>
      <c r="J2945" s="115">
        <f>90-4</f>
        <v>86</v>
      </c>
      <c r="K2945" s="143">
        <f t="shared" si="969"/>
        <v>86</v>
      </c>
      <c r="L2945" s="144">
        <f t="shared" si="974"/>
        <v>0</v>
      </c>
      <c r="M2945" s="275">
        <f t="shared" si="968"/>
        <v>86</v>
      </c>
      <c r="N2945" s="98">
        <v>3</v>
      </c>
      <c r="O2945" s="93">
        <f t="shared" si="961"/>
        <v>100</v>
      </c>
      <c r="MG2945" s="100">
        <v>5</v>
      </c>
      <c r="MH2945" s="100">
        <v>9</v>
      </c>
      <c r="MK2945" s="100">
        <v>10</v>
      </c>
      <c r="ML2945" s="100">
        <v>10</v>
      </c>
      <c r="MM2945" s="100">
        <v>17</v>
      </c>
      <c r="MN2945" s="100">
        <v>3</v>
      </c>
      <c r="MO2945" s="100">
        <v>14</v>
      </c>
      <c r="MP2945" s="100">
        <v>3</v>
      </c>
      <c r="MQ2945" s="100">
        <v>8</v>
      </c>
      <c r="MR2945" s="100">
        <v>7</v>
      </c>
      <c r="ON2945" s="100">
        <f t="shared" si="960"/>
        <v>0</v>
      </c>
    </row>
    <row r="2946" spans="1:404" ht="23.25" customHeight="1">
      <c r="A2946" s="97" t="str">
        <f t="shared" si="972"/>
        <v>031T/EUROMARKET-2166-87400-S1-B</v>
      </c>
      <c r="B2946" s="95">
        <v>44564</v>
      </c>
      <c r="C2946" s="97">
        <f t="shared" ca="1" si="971"/>
        <v>-500</v>
      </c>
      <c r="D2946" s="112" t="s">
        <v>2335</v>
      </c>
      <c r="E2946" s="123" t="s">
        <v>1547</v>
      </c>
      <c r="F2946" s="98" t="str">
        <f t="shared" si="973"/>
        <v>B</v>
      </c>
      <c r="G2946" s="110">
        <f ca="1">SUMIF($A:E,$A2946,K:K)</f>
        <v>12</v>
      </c>
      <c r="H2946" s="97" t="s">
        <v>1593</v>
      </c>
      <c r="I2946" s="175">
        <v>150</v>
      </c>
      <c r="J2946" s="115">
        <v>12</v>
      </c>
      <c r="K2946" s="143">
        <f t="shared" si="969"/>
        <v>12</v>
      </c>
      <c r="L2946" s="144">
        <f t="shared" si="974"/>
        <v>0</v>
      </c>
      <c r="M2946" s="275">
        <f t="shared" si="968"/>
        <v>150</v>
      </c>
      <c r="N2946" s="98">
        <v>3</v>
      </c>
      <c r="O2946" s="93">
        <f t="shared" si="961"/>
        <v>100</v>
      </c>
      <c r="MD2946" s="100">
        <v>7</v>
      </c>
      <c r="ME2946" s="100">
        <v>5</v>
      </c>
      <c r="ON2946" s="100">
        <f t="shared" si="960"/>
        <v>0</v>
      </c>
    </row>
    <row r="2947" spans="1:404" ht="23.25" customHeight="1">
      <c r="A2947" s="97" t="str">
        <f t="shared" si="972"/>
        <v>031T/EUROMARKET-2166-87600-S1-B</v>
      </c>
      <c r="B2947" s="95">
        <v>44564</v>
      </c>
      <c r="C2947" s="97">
        <f t="shared" ca="1" si="971"/>
        <v>-500</v>
      </c>
      <c r="D2947" s="112" t="s">
        <v>2335</v>
      </c>
      <c r="E2947" s="123" t="s">
        <v>1549</v>
      </c>
      <c r="F2947" s="98" t="str">
        <f t="shared" si="973"/>
        <v>B</v>
      </c>
      <c r="G2947" s="110">
        <f ca="1">SUMIF($A:E,$A2947,K:K)</f>
        <v>12</v>
      </c>
      <c r="H2947" s="97" t="s">
        <v>1593</v>
      </c>
      <c r="I2947" s="175">
        <v>188</v>
      </c>
      <c r="J2947" s="115">
        <v>12</v>
      </c>
      <c r="K2947" s="143">
        <f t="shared" si="969"/>
        <v>12</v>
      </c>
      <c r="L2947" s="144">
        <f t="shared" si="974"/>
        <v>0</v>
      </c>
      <c r="M2947" s="275">
        <f t="shared" si="968"/>
        <v>188</v>
      </c>
      <c r="N2947" s="98">
        <v>1</v>
      </c>
      <c r="O2947" s="93">
        <f t="shared" si="961"/>
        <v>100</v>
      </c>
      <c r="MG2947" s="100">
        <v>3</v>
      </c>
      <c r="MH2947" s="100">
        <v>8</v>
      </c>
      <c r="MK2947" s="100">
        <v>1</v>
      </c>
      <c r="ON2947" s="100">
        <f t="shared" si="960"/>
        <v>0</v>
      </c>
    </row>
    <row r="2948" spans="1:404" ht="23.25" customHeight="1">
      <c r="A2948" s="97" t="str">
        <f t="shared" si="972"/>
        <v>030T/EUROMARKET-2166-87400-S1-B</v>
      </c>
      <c r="B2948" s="95">
        <v>44588</v>
      </c>
      <c r="C2948" s="97">
        <f t="shared" ca="1" si="971"/>
        <v>-476</v>
      </c>
      <c r="D2948" s="112" t="s">
        <v>2336</v>
      </c>
      <c r="E2948" s="123" t="s">
        <v>1547</v>
      </c>
      <c r="F2948" s="98" t="str">
        <f t="shared" si="973"/>
        <v>B</v>
      </c>
      <c r="G2948" s="110">
        <f ca="1">SUMIF($A:E,$A2948,K:K)</f>
        <v>150</v>
      </c>
      <c r="H2948" s="97" t="s">
        <v>1593</v>
      </c>
      <c r="I2948" s="203">
        <v>120</v>
      </c>
      <c r="J2948" s="115">
        <v>150</v>
      </c>
      <c r="K2948" s="143">
        <f t="shared" si="969"/>
        <v>150</v>
      </c>
      <c r="L2948" s="144">
        <f t="shared" si="974"/>
        <v>0</v>
      </c>
      <c r="M2948" s="275">
        <f t="shared" si="968"/>
        <v>120</v>
      </c>
      <c r="N2948" s="98">
        <v>3</v>
      </c>
      <c r="O2948" s="93">
        <f t="shared" ref="O2948:O2964" si="975">K2948/J2948*100</f>
        <v>100</v>
      </c>
      <c r="MS2948" s="100">
        <v>13</v>
      </c>
      <c r="MT2948" s="100">
        <v>10</v>
      </c>
      <c r="MU2948" s="100">
        <v>10</v>
      </c>
      <c r="MW2948" s="100">
        <v>20</v>
      </c>
      <c r="MX2948" s="100">
        <v>10</v>
      </c>
      <c r="MY2948" s="100">
        <v>20</v>
      </c>
      <c r="MZ2948" s="100">
        <v>20</v>
      </c>
      <c r="ND2948" s="100">
        <v>10</v>
      </c>
      <c r="NE2948" s="100">
        <v>10</v>
      </c>
      <c r="NF2948" s="100">
        <v>10</v>
      </c>
      <c r="NK2948" s="100">
        <v>17</v>
      </c>
      <c r="ON2948" s="100">
        <f t="shared" ref="ON2948:ON3011" si="976">SUM(NS2948:OM2948)</f>
        <v>0</v>
      </c>
    </row>
    <row r="2949" spans="1:404" ht="23.25" customHeight="1">
      <c r="A2949" s="97" t="str">
        <f t="shared" si="972"/>
        <v>030T/EUROMARKET-2166-87500-S1-B</v>
      </c>
      <c r="B2949" s="95">
        <v>44588</v>
      </c>
      <c r="C2949" s="97">
        <f t="shared" ca="1" si="971"/>
        <v>-476</v>
      </c>
      <c r="D2949" s="112" t="s">
        <v>2336</v>
      </c>
      <c r="E2949" s="123" t="s">
        <v>1548</v>
      </c>
      <c r="F2949" s="98" t="str">
        <f t="shared" si="973"/>
        <v>B</v>
      </c>
      <c r="G2949" s="110">
        <f ca="1">SUMIF($A:E,$A2949,K:K)</f>
        <v>188</v>
      </c>
      <c r="H2949" s="97" t="s">
        <v>1593</v>
      </c>
      <c r="I2949" s="175">
        <v>188</v>
      </c>
      <c r="J2949" s="115">
        <v>188</v>
      </c>
      <c r="K2949" s="143">
        <f t="shared" si="969"/>
        <v>188</v>
      </c>
      <c r="L2949" s="144">
        <f t="shared" si="974"/>
        <v>0</v>
      </c>
      <c r="M2949" s="275">
        <f t="shared" si="968"/>
        <v>188</v>
      </c>
      <c r="N2949" s="98" t="s">
        <v>1776</v>
      </c>
      <c r="O2949" s="93">
        <f t="shared" si="975"/>
        <v>100</v>
      </c>
      <c r="MW2949" s="100">
        <v>16</v>
      </c>
      <c r="MX2949" s="100">
        <v>29</v>
      </c>
      <c r="MY2949" s="100">
        <v>29</v>
      </c>
      <c r="MZ2949" s="100">
        <v>29</v>
      </c>
      <c r="NA2949" s="100">
        <v>30</v>
      </c>
      <c r="ND2949" s="100">
        <v>18</v>
      </c>
      <c r="NE2949" s="100">
        <v>28</v>
      </c>
      <c r="NF2949" s="100">
        <v>9</v>
      </c>
      <c r="ON2949" s="100">
        <f t="shared" si="976"/>
        <v>0</v>
      </c>
    </row>
    <row r="2950" spans="1:404" ht="23.25" customHeight="1">
      <c r="A2950" s="127" t="str">
        <f t="shared" si="972"/>
        <v>030T/EUROMARKET-2166-87600-S1-B</v>
      </c>
      <c r="B2950" s="95">
        <v>44588</v>
      </c>
      <c r="C2950" s="97">
        <f t="shared" ca="1" si="971"/>
        <v>-476</v>
      </c>
      <c r="D2950" s="112" t="s">
        <v>2336</v>
      </c>
      <c r="E2950" s="123" t="s">
        <v>1549</v>
      </c>
      <c r="F2950" s="98" t="str">
        <f t="shared" si="973"/>
        <v>B</v>
      </c>
      <c r="G2950" s="110">
        <f ca="1">SUMIF($A:E,$A2950,K:K)</f>
        <v>120</v>
      </c>
      <c r="H2950" s="97" t="s">
        <v>1593</v>
      </c>
      <c r="I2950" s="175">
        <v>120</v>
      </c>
      <c r="J2950" s="115">
        <v>120</v>
      </c>
      <c r="K2950" s="143">
        <f t="shared" si="969"/>
        <v>120</v>
      </c>
      <c r="L2950" s="144">
        <f t="shared" si="974"/>
        <v>0</v>
      </c>
      <c r="M2950" s="275">
        <f t="shared" si="968"/>
        <v>120</v>
      </c>
      <c r="N2950" s="98">
        <v>2</v>
      </c>
      <c r="O2950" s="93">
        <f t="shared" si="975"/>
        <v>100</v>
      </c>
      <c r="MQ2950" s="100">
        <v>1</v>
      </c>
      <c r="MR2950" s="100">
        <v>8</v>
      </c>
      <c r="MS2950" s="100">
        <v>8</v>
      </c>
      <c r="MT2950" s="100">
        <v>4</v>
      </c>
      <c r="MU2950" s="100">
        <v>8</v>
      </c>
      <c r="MW2950" s="100">
        <v>6</v>
      </c>
      <c r="MX2950" s="100">
        <v>6</v>
      </c>
      <c r="MY2950" s="100">
        <v>8</v>
      </c>
      <c r="MZ2950" s="100">
        <v>8</v>
      </c>
      <c r="NA2950" s="100">
        <v>7</v>
      </c>
      <c r="ND2950" s="100">
        <v>8</v>
      </c>
      <c r="NE2950" s="100">
        <v>8</v>
      </c>
      <c r="NF2950" s="100">
        <v>7</v>
      </c>
      <c r="NG2950" s="100">
        <v>9</v>
      </c>
      <c r="NI2950" s="100">
        <v>8</v>
      </c>
      <c r="NK2950" s="100">
        <v>6</v>
      </c>
      <c r="NL2950" s="100">
        <v>7</v>
      </c>
      <c r="NM2950" s="100">
        <v>3</v>
      </c>
      <c r="ON2950" s="100">
        <f t="shared" si="976"/>
        <v>0</v>
      </c>
    </row>
    <row r="2951" spans="1:404" ht="23.25" customHeight="1">
      <c r="A2951" s="97" t="str">
        <f t="shared" si="972"/>
        <v>001/INTRATUIN-2166-34609-S1-B</v>
      </c>
      <c r="B2951" s="95">
        <v>44592</v>
      </c>
      <c r="C2951" s="97">
        <f t="shared" ca="1" si="971"/>
        <v>-472</v>
      </c>
      <c r="D2951" s="112" t="s">
        <v>1375</v>
      </c>
      <c r="E2951" s="123" t="s">
        <v>1376</v>
      </c>
      <c r="F2951" s="98" t="str">
        <f t="shared" si="973"/>
        <v>B</v>
      </c>
      <c r="G2951" s="110">
        <f ca="1">SUMIF($A:E,$A2951,K:K)</f>
        <v>92</v>
      </c>
      <c r="H2951" s="97" t="s">
        <v>601</v>
      </c>
      <c r="I2951" s="175">
        <v>49</v>
      </c>
      <c r="J2951" s="115">
        <v>49</v>
      </c>
      <c r="K2951" s="143">
        <f t="shared" si="969"/>
        <v>92</v>
      </c>
      <c r="L2951" s="144">
        <f t="shared" si="974"/>
        <v>-43</v>
      </c>
      <c r="M2951" s="275">
        <f t="shared" si="968"/>
        <v>49</v>
      </c>
      <c r="N2951" s="98">
        <v>1</v>
      </c>
      <c r="O2951" s="93">
        <f t="shared" si="975"/>
        <v>187.75510204081633</v>
      </c>
      <c r="NN2951" s="100">
        <v>6</v>
      </c>
      <c r="NS2951" s="100">
        <v>11</v>
      </c>
      <c r="NT2951" s="100">
        <v>3</v>
      </c>
      <c r="NU2951" s="100">
        <v>12</v>
      </c>
      <c r="NV2951" s="100">
        <v>3</v>
      </c>
      <c r="NZ2951" s="100">
        <v>6</v>
      </c>
      <c r="OB2951" s="100">
        <v>8</v>
      </c>
      <c r="ON2951" s="100">
        <f t="shared" si="976"/>
        <v>43</v>
      </c>
    </row>
    <row r="2952" spans="1:404" ht="23.25" customHeight="1">
      <c r="A2952" s="97" t="str">
        <f t="shared" si="972"/>
        <v>002/ALFRESCO HOME-2166-34709-S1-B</v>
      </c>
      <c r="B2952" s="95">
        <v>44592</v>
      </c>
      <c r="C2952" s="97">
        <f t="shared" ca="1" si="971"/>
        <v>-472</v>
      </c>
      <c r="D2952" s="112" t="s">
        <v>2337</v>
      </c>
      <c r="E2952" s="123" t="s">
        <v>2338</v>
      </c>
      <c r="F2952" s="98" t="str">
        <f t="shared" si="973"/>
        <v>B</v>
      </c>
      <c r="G2952" s="110">
        <f ca="1">SUMIF($A:E,$A2952,K:K)</f>
        <v>66</v>
      </c>
      <c r="H2952" s="97" t="s">
        <v>1593</v>
      </c>
      <c r="I2952" s="175">
        <v>60</v>
      </c>
      <c r="J2952" s="115">
        <v>60</v>
      </c>
      <c r="K2952" s="143">
        <f t="shared" si="969"/>
        <v>66</v>
      </c>
      <c r="L2952" s="144">
        <f t="shared" si="974"/>
        <v>-6</v>
      </c>
      <c r="M2952" s="275">
        <f t="shared" si="968"/>
        <v>60</v>
      </c>
      <c r="N2952" s="98">
        <v>3</v>
      </c>
      <c r="O2952" s="93">
        <f t="shared" si="975"/>
        <v>110.00000000000001</v>
      </c>
      <c r="MO2952" s="100">
        <v>5</v>
      </c>
      <c r="MP2952" s="100">
        <v>8</v>
      </c>
      <c r="MR2952" s="100">
        <v>8</v>
      </c>
      <c r="MS2952" s="100">
        <v>4</v>
      </c>
      <c r="MT2952" s="100">
        <v>11</v>
      </c>
      <c r="MU2952" s="100">
        <v>5</v>
      </c>
      <c r="MW2952" s="100">
        <v>1</v>
      </c>
      <c r="MX2952" s="100">
        <v>6</v>
      </c>
      <c r="MY2952" s="100">
        <v>3</v>
      </c>
      <c r="MZ2952" s="100">
        <v>2</v>
      </c>
      <c r="NF2952" s="100">
        <v>1</v>
      </c>
      <c r="NV2952" s="100">
        <v>6</v>
      </c>
      <c r="ON2952" s="100">
        <f t="shared" si="976"/>
        <v>6</v>
      </c>
    </row>
    <row r="2953" spans="1:404" ht="23.25" customHeight="1">
      <c r="A2953" s="97" t="str">
        <f t="shared" si="972"/>
        <v>002/ALFRESCO HOME-2166-55409-L2-B</v>
      </c>
      <c r="B2953" s="95">
        <v>44592</v>
      </c>
      <c r="C2953" s="97">
        <f t="shared" ca="1" si="971"/>
        <v>-472</v>
      </c>
      <c r="D2953" s="112" t="s">
        <v>2337</v>
      </c>
      <c r="E2953" s="123" t="s">
        <v>2339</v>
      </c>
      <c r="F2953" s="98" t="str">
        <f t="shared" si="973"/>
        <v>B</v>
      </c>
      <c r="G2953" s="110">
        <f ca="1">SUMIF($A:E,$A2953,K:K)</f>
        <v>96</v>
      </c>
      <c r="H2953" s="97" t="s">
        <v>1593</v>
      </c>
      <c r="I2953" s="175">
        <v>60</v>
      </c>
      <c r="J2953" s="115">
        <v>60</v>
      </c>
      <c r="K2953" s="143">
        <f t="shared" si="969"/>
        <v>96</v>
      </c>
      <c r="L2953" s="144">
        <f t="shared" si="974"/>
        <v>-36</v>
      </c>
      <c r="M2953" s="275">
        <f t="shared" si="968"/>
        <v>120</v>
      </c>
      <c r="N2953" s="98">
        <v>3</v>
      </c>
      <c r="O2953" s="93">
        <f t="shared" si="975"/>
        <v>160</v>
      </c>
      <c r="MX2953" s="100">
        <v>2</v>
      </c>
      <c r="MY2953" s="100">
        <v>1</v>
      </c>
      <c r="NF2953" s="100">
        <v>2</v>
      </c>
      <c r="NI2953" s="100">
        <v>4</v>
      </c>
      <c r="NK2953" s="100">
        <v>4</v>
      </c>
      <c r="NL2953" s="100">
        <v>2</v>
      </c>
      <c r="NM2953" s="100">
        <v>9</v>
      </c>
      <c r="NS2953" s="100">
        <v>16</v>
      </c>
      <c r="NT2953" s="100">
        <v>8</v>
      </c>
      <c r="NU2953" s="100">
        <v>7</v>
      </c>
      <c r="NV2953" s="100">
        <v>5</v>
      </c>
      <c r="ON2953" s="100">
        <f t="shared" si="976"/>
        <v>36</v>
      </c>
    </row>
    <row r="2954" spans="1:404" ht="23.25" customHeight="1">
      <c r="A2954" s="97" t="str">
        <f t="shared" si="972"/>
        <v>002/ALFRESCO HOME-2166-65109-L2-B</v>
      </c>
      <c r="B2954" s="95">
        <v>44592</v>
      </c>
      <c r="C2954" s="97">
        <f t="shared" ca="1" si="971"/>
        <v>-472</v>
      </c>
      <c r="D2954" s="112" t="s">
        <v>2337</v>
      </c>
      <c r="E2954" s="123" t="s">
        <v>1931</v>
      </c>
      <c r="F2954" s="98" t="str">
        <f t="shared" si="973"/>
        <v>B</v>
      </c>
      <c r="G2954" s="110">
        <f ca="1">SUMIF($A:E,$A2954,K:K)</f>
        <v>36</v>
      </c>
      <c r="H2954" s="97" t="s">
        <v>1593</v>
      </c>
      <c r="I2954" s="175">
        <v>36</v>
      </c>
      <c r="J2954" s="115">
        <v>36</v>
      </c>
      <c r="K2954" s="143">
        <f t="shared" si="969"/>
        <v>36</v>
      </c>
      <c r="L2954" s="144">
        <f t="shared" si="974"/>
        <v>0</v>
      </c>
      <c r="M2954" s="275">
        <f t="shared" si="968"/>
        <v>72</v>
      </c>
      <c r="N2954" s="98">
        <v>4</v>
      </c>
      <c r="O2954" s="93">
        <f t="shared" si="975"/>
        <v>100</v>
      </c>
      <c r="MQ2954" s="100">
        <v>3</v>
      </c>
      <c r="MR2954" s="100">
        <v>3</v>
      </c>
      <c r="MS2954" s="100">
        <v>2</v>
      </c>
      <c r="MT2954" s="100">
        <v>2</v>
      </c>
      <c r="MU2954" s="100">
        <v>3</v>
      </c>
      <c r="MW2954" s="100">
        <v>3</v>
      </c>
      <c r="MX2954" s="100">
        <v>2</v>
      </c>
      <c r="MY2954" s="100">
        <v>5</v>
      </c>
      <c r="MZ2954" s="100">
        <v>5</v>
      </c>
      <c r="NG2954" s="100">
        <v>7</v>
      </c>
      <c r="NK2954" s="100">
        <v>1</v>
      </c>
      <c r="ON2954" s="100">
        <f t="shared" si="976"/>
        <v>0</v>
      </c>
    </row>
    <row r="2955" spans="1:404" ht="23.25" customHeight="1">
      <c r="A2955" s="97" t="str">
        <f t="shared" si="972"/>
        <v>002/ALFRESCO HOME-2166-75716-01-B</v>
      </c>
      <c r="B2955" s="95">
        <v>44592</v>
      </c>
      <c r="C2955" s="97">
        <f t="shared" ca="1" si="971"/>
        <v>-472</v>
      </c>
      <c r="D2955" s="112" t="s">
        <v>2337</v>
      </c>
      <c r="E2955" s="123" t="s">
        <v>707</v>
      </c>
      <c r="F2955" s="98" t="str">
        <f t="shared" si="973"/>
        <v>B</v>
      </c>
      <c r="G2955" s="110">
        <f ca="1">SUMIF($A:E,$A2955,K:K)</f>
        <v>20</v>
      </c>
      <c r="H2955" s="97" t="s">
        <v>1593</v>
      </c>
      <c r="I2955" s="175">
        <v>20</v>
      </c>
      <c r="J2955" s="115">
        <v>20</v>
      </c>
      <c r="K2955" s="143">
        <f t="shared" si="969"/>
        <v>20</v>
      </c>
      <c r="L2955" s="144">
        <f t="shared" si="974"/>
        <v>0</v>
      </c>
      <c r="M2955" s="275">
        <f t="shared" si="968"/>
        <v>20</v>
      </c>
      <c r="N2955" s="98">
        <v>3</v>
      </c>
      <c r="O2955" s="93">
        <f t="shared" si="975"/>
        <v>100</v>
      </c>
      <c r="MP2955" s="100">
        <v>11</v>
      </c>
      <c r="MR2955" s="100">
        <v>6</v>
      </c>
      <c r="MS2955" s="100">
        <v>2</v>
      </c>
      <c r="ND2955" s="100">
        <v>1</v>
      </c>
      <c r="ON2955" s="100">
        <f t="shared" si="976"/>
        <v>0</v>
      </c>
    </row>
    <row r="2956" spans="1:404" ht="23.25" customHeight="1">
      <c r="A2956" s="97" t="str">
        <f t="shared" si="972"/>
        <v>002/ALFRESCO HOME-2166-77723-X4-B</v>
      </c>
      <c r="B2956" s="95">
        <v>44592</v>
      </c>
      <c r="C2956" s="97">
        <f t="shared" ca="1" si="971"/>
        <v>-472</v>
      </c>
      <c r="D2956" s="112" t="s">
        <v>2337</v>
      </c>
      <c r="E2956" s="123" t="s">
        <v>1932</v>
      </c>
      <c r="F2956" s="98" t="str">
        <f t="shared" si="973"/>
        <v>B</v>
      </c>
      <c r="G2956" s="110">
        <f ca="1">SUMIF($A:E,$A2956,K:K)</f>
        <v>64</v>
      </c>
      <c r="H2956" s="97" t="s">
        <v>1593</v>
      </c>
      <c r="I2956" s="175">
        <v>64</v>
      </c>
      <c r="J2956" s="115">
        <v>64</v>
      </c>
      <c r="K2956" s="143">
        <f t="shared" si="969"/>
        <v>64</v>
      </c>
      <c r="L2956" s="144">
        <f t="shared" si="974"/>
        <v>0</v>
      </c>
      <c r="M2956" s="275">
        <f t="shared" si="968"/>
        <v>256</v>
      </c>
      <c r="N2956" s="98">
        <v>4</v>
      </c>
      <c r="O2956" s="93">
        <f t="shared" si="975"/>
        <v>100</v>
      </c>
      <c r="MQ2956" s="100">
        <v>9</v>
      </c>
      <c r="MS2956" s="100">
        <v>6</v>
      </c>
      <c r="MT2956" s="100">
        <v>3</v>
      </c>
      <c r="MU2956" s="100">
        <v>6</v>
      </c>
      <c r="MW2956" s="100">
        <v>6</v>
      </c>
      <c r="MX2956" s="100">
        <v>6</v>
      </c>
      <c r="MY2956" s="100">
        <v>6</v>
      </c>
      <c r="MZ2956" s="100">
        <v>6</v>
      </c>
      <c r="NA2956" s="100">
        <v>6</v>
      </c>
      <c r="ND2956" s="100">
        <v>6</v>
      </c>
      <c r="NE2956" s="100">
        <v>4</v>
      </c>
      <c r="ON2956" s="100">
        <f t="shared" si="976"/>
        <v>0</v>
      </c>
    </row>
    <row r="2957" spans="1:404" ht="23.25" customHeight="1">
      <c r="A2957" s="97" t="str">
        <f t="shared" si="972"/>
        <v>002/ALFRESCO HOME-2166-79516-02-B</v>
      </c>
      <c r="B2957" s="95">
        <v>44592</v>
      </c>
      <c r="C2957" s="97">
        <f t="shared" ca="1" si="971"/>
        <v>-472</v>
      </c>
      <c r="D2957" s="112" t="s">
        <v>2337</v>
      </c>
      <c r="E2957" s="123" t="s">
        <v>710</v>
      </c>
      <c r="F2957" s="98" t="str">
        <f t="shared" si="973"/>
        <v>B</v>
      </c>
      <c r="G2957" s="110">
        <f ca="1">SUMIF($A:E,$A2957,K:K)</f>
        <v>38</v>
      </c>
      <c r="H2957" s="97" t="s">
        <v>1593</v>
      </c>
      <c r="I2957" s="175">
        <v>32</v>
      </c>
      <c r="J2957" s="115">
        <v>32</v>
      </c>
      <c r="K2957" s="143">
        <f t="shared" si="969"/>
        <v>38</v>
      </c>
      <c r="L2957" s="144">
        <f t="shared" ref="L2957:L2959" si="977">J2957-K2957</f>
        <v>-6</v>
      </c>
      <c r="M2957" s="275">
        <f t="shared" si="968"/>
        <v>32</v>
      </c>
      <c r="N2957" s="98">
        <v>3</v>
      </c>
      <c r="O2957" s="93">
        <f t="shared" si="975"/>
        <v>118.75</v>
      </c>
      <c r="MP2957" s="100">
        <v>3</v>
      </c>
      <c r="MR2957" s="100">
        <v>1</v>
      </c>
      <c r="MS2957" s="100">
        <v>2</v>
      </c>
      <c r="MT2957" s="100">
        <v>3</v>
      </c>
      <c r="MW2957" s="100">
        <v>2</v>
      </c>
      <c r="MX2957" s="100">
        <v>1</v>
      </c>
      <c r="MY2957" s="100">
        <v>1</v>
      </c>
      <c r="MZ2957" s="100">
        <v>3</v>
      </c>
      <c r="NA2957" s="100">
        <v>1</v>
      </c>
      <c r="ND2957" s="100">
        <v>2</v>
      </c>
      <c r="NF2957" s="100">
        <v>1</v>
      </c>
      <c r="NI2957" s="100">
        <v>1</v>
      </c>
      <c r="NK2957" s="100">
        <v>1</v>
      </c>
      <c r="NL2957" s="100">
        <v>1</v>
      </c>
      <c r="NM2957" s="100">
        <v>3</v>
      </c>
      <c r="NS2957" s="100">
        <v>3</v>
      </c>
      <c r="NT2957" s="100">
        <v>1</v>
      </c>
      <c r="NZ2957" s="100">
        <v>2</v>
      </c>
      <c r="ON2957" s="100">
        <f t="shared" si="976"/>
        <v>6</v>
      </c>
    </row>
    <row r="2958" spans="1:404" ht="23.25" customHeight="1">
      <c r="A2958" s="97" t="str">
        <f t="shared" si="972"/>
        <v>002/ALFRESCO HOME-2168-75916-02-B</v>
      </c>
      <c r="B2958" s="95">
        <v>44592</v>
      </c>
      <c r="C2958" s="97">
        <f t="shared" ca="1" si="971"/>
        <v>-472</v>
      </c>
      <c r="D2958" s="112" t="s">
        <v>2337</v>
      </c>
      <c r="E2958" s="123" t="s">
        <v>1933</v>
      </c>
      <c r="F2958" s="98" t="str">
        <f t="shared" si="973"/>
        <v>B</v>
      </c>
      <c r="G2958" s="110">
        <f ca="1">SUMIF($A:E,$A2958,K:K)</f>
        <v>50</v>
      </c>
      <c r="H2958" s="97" t="s">
        <v>1593</v>
      </c>
      <c r="I2958" s="175">
        <v>48</v>
      </c>
      <c r="J2958" s="115">
        <v>48</v>
      </c>
      <c r="K2958" s="143">
        <f t="shared" si="969"/>
        <v>50</v>
      </c>
      <c r="L2958" s="144">
        <f t="shared" si="977"/>
        <v>-2</v>
      </c>
      <c r="M2958" s="275">
        <f t="shared" si="968"/>
        <v>48</v>
      </c>
      <c r="N2958" s="98">
        <v>3</v>
      </c>
      <c r="O2958" s="93">
        <f t="shared" si="975"/>
        <v>104.16666666666667</v>
      </c>
      <c r="MM2958" s="100">
        <v>1</v>
      </c>
      <c r="MO2958" s="100">
        <v>8</v>
      </c>
      <c r="MP2958" s="100">
        <v>2</v>
      </c>
      <c r="MR2958" s="100">
        <v>7</v>
      </c>
      <c r="MS2958" s="100">
        <v>1</v>
      </c>
      <c r="MT2958" s="100">
        <v>4</v>
      </c>
      <c r="MW2958" s="100">
        <v>7</v>
      </c>
      <c r="MX2958" s="100">
        <v>1</v>
      </c>
      <c r="MY2958" s="100">
        <v>1</v>
      </c>
      <c r="MZ2958" s="100">
        <v>2</v>
      </c>
      <c r="NA2958" s="100">
        <v>4</v>
      </c>
      <c r="ND2958" s="100">
        <v>3</v>
      </c>
      <c r="NE2958" s="100">
        <v>5</v>
      </c>
      <c r="NT2958" s="100">
        <v>2</v>
      </c>
      <c r="ON2958" s="100">
        <f t="shared" si="976"/>
        <v>2</v>
      </c>
    </row>
    <row r="2959" spans="1:404" ht="23.25" customHeight="1">
      <c r="A2959" s="97" t="str">
        <f t="shared" si="972"/>
        <v>001/ALFRESCO HOME-2168-75916-02-B</v>
      </c>
      <c r="B2959" s="95">
        <v>44557</v>
      </c>
      <c r="C2959" s="97">
        <f t="shared" ca="1" si="971"/>
        <v>-507</v>
      </c>
      <c r="D2959" s="112" t="s">
        <v>1188</v>
      </c>
      <c r="E2959" s="123" t="s">
        <v>1933</v>
      </c>
      <c r="F2959" s="98" t="str">
        <f t="shared" si="973"/>
        <v>B</v>
      </c>
      <c r="G2959" s="110">
        <f ca="1">SUMIF($A:E,$A2959,K:K)</f>
        <v>32</v>
      </c>
      <c r="H2959" s="97" t="s">
        <v>1593</v>
      </c>
      <c r="I2959" s="175">
        <v>56</v>
      </c>
      <c r="J2959" s="115">
        <v>32</v>
      </c>
      <c r="K2959" s="143">
        <f t="shared" si="969"/>
        <v>32</v>
      </c>
      <c r="L2959" s="144">
        <f t="shared" si="977"/>
        <v>0</v>
      </c>
      <c r="M2959" s="275">
        <f t="shared" si="968"/>
        <v>56</v>
      </c>
      <c r="N2959" s="98">
        <v>3</v>
      </c>
      <c r="O2959" s="93">
        <f t="shared" si="975"/>
        <v>100</v>
      </c>
      <c r="ME2959" s="100">
        <v>9</v>
      </c>
      <c r="MG2959" s="100">
        <v>6</v>
      </c>
      <c r="MH2959" s="100">
        <v>2</v>
      </c>
      <c r="ML2959" s="100">
        <v>8</v>
      </c>
      <c r="MM2959" s="100">
        <v>7</v>
      </c>
      <c r="ON2959" s="100">
        <f t="shared" si="976"/>
        <v>0</v>
      </c>
    </row>
    <row r="2960" spans="1:404" ht="23.25" customHeight="1">
      <c r="A2960" s="97" t="str">
        <f t="shared" si="972"/>
        <v>005/ALFRESCO HOME-VG-2166-65109-L2-B</v>
      </c>
      <c r="B2960" s="95">
        <v>44683</v>
      </c>
      <c r="C2960" s="97">
        <f t="shared" ca="1" si="971"/>
        <v>-381</v>
      </c>
      <c r="D2960" s="112" t="s">
        <v>2340</v>
      </c>
      <c r="E2960" s="123" t="s">
        <v>1931</v>
      </c>
      <c r="F2960" s="98" t="str">
        <f t="shared" si="973"/>
        <v>B</v>
      </c>
      <c r="G2960" s="110">
        <f ca="1">SUMIF($A:E,$A2960,K:K)</f>
        <v>0</v>
      </c>
      <c r="H2960" s="97" t="s">
        <v>1593</v>
      </c>
      <c r="I2960" s="175">
        <v>64</v>
      </c>
      <c r="J2960" s="115">
        <v>32</v>
      </c>
      <c r="K2960" s="143">
        <f t="shared" si="969"/>
        <v>0</v>
      </c>
      <c r="L2960" s="144">
        <f t="shared" ref="L2960:L2966" si="978">J2960-K2960</f>
        <v>32</v>
      </c>
      <c r="M2960" s="275">
        <f t="shared" si="968"/>
        <v>128</v>
      </c>
      <c r="N2960" s="98"/>
      <c r="O2960" s="93">
        <f t="shared" si="975"/>
        <v>0</v>
      </c>
      <c r="ON2960" s="100">
        <f t="shared" si="976"/>
        <v>0</v>
      </c>
    </row>
    <row r="2961" spans="1:404" ht="23.25" customHeight="1">
      <c r="A2961" s="97" t="str">
        <f t="shared" si="972"/>
        <v>005/ALFRESCO HOME-VG-2166-75716-01-B</v>
      </c>
      <c r="B2961" s="95">
        <v>44683</v>
      </c>
      <c r="C2961" s="97">
        <f t="shared" ca="1" si="971"/>
        <v>-381</v>
      </c>
      <c r="D2961" s="112" t="s">
        <v>2340</v>
      </c>
      <c r="E2961" s="123" t="s">
        <v>707</v>
      </c>
      <c r="F2961" s="98" t="str">
        <f t="shared" si="973"/>
        <v>B</v>
      </c>
      <c r="G2961" s="110">
        <f ca="1">SUMIF($A:E,$A2961,K:K)</f>
        <v>0</v>
      </c>
      <c r="H2961" s="97" t="s">
        <v>1593</v>
      </c>
      <c r="I2961" s="175">
        <v>200</v>
      </c>
      <c r="J2961" s="115">
        <v>48</v>
      </c>
      <c r="K2961" s="143">
        <f t="shared" si="969"/>
        <v>0</v>
      </c>
      <c r="L2961" s="144">
        <f t="shared" si="978"/>
        <v>48</v>
      </c>
      <c r="M2961" s="275">
        <f t="shared" si="968"/>
        <v>200</v>
      </c>
      <c r="N2961" s="98"/>
      <c r="O2961" s="93">
        <f t="shared" si="975"/>
        <v>0</v>
      </c>
      <c r="ON2961" s="100">
        <f t="shared" si="976"/>
        <v>0</v>
      </c>
    </row>
    <row r="2962" spans="1:404" ht="23.25" customHeight="1">
      <c r="A2962" s="97" t="str">
        <f t="shared" si="972"/>
        <v>005/ALFRESCO HOME-VG-2166-79516-02-B</v>
      </c>
      <c r="B2962" s="95">
        <v>44683</v>
      </c>
      <c r="C2962" s="97">
        <f t="shared" ca="1" si="971"/>
        <v>-381</v>
      </c>
      <c r="D2962" s="112" t="s">
        <v>2340</v>
      </c>
      <c r="E2962" s="123" t="s">
        <v>710</v>
      </c>
      <c r="F2962" s="98" t="str">
        <f t="shared" si="973"/>
        <v>B</v>
      </c>
      <c r="G2962" s="110">
        <f ca="1">SUMIF($A:E,$A2962,K:K)</f>
        <v>0</v>
      </c>
      <c r="H2962" s="97" t="s">
        <v>1593</v>
      </c>
      <c r="I2962" s="175">
        <v>200</v>
      </c>
      <c r="J2962" s="115">
        <v>56</v>
      </c>
      <c r="K2962" s="143">
        <f t="shared" si="969"/>
        <v>0</v>
      </c>
      <c r="L2962" s="144">
        <f t="shared" si="978"/>
        <v>56</v>
      </c>
      <c r="M2962" s="275">
        <f t="shared" si="968"/>
        <v>200</v>
      </c>
      <c r="N2962" s="98"/>
      <c r="O2962" s="93">
        <f t="shared" si="975"/>
        <v>0</v>
      </c>
      <c r="ON2962" s="100">
        <f t="shared" si="976"/>
        <v>0</v>
      </c>
    </row>
    <row r="2963" spans="1:404" ht="23.25" customHeight="1">
      <c r="A2963" s="97" t="str">
        <f t="shared" si="972"/>
        <v>005/ALFRESCO HOME-VG-2168-75916-02-B</v>
      </c>
      <c r="B2963" s="95">
        <v>44683</v>
      </c>
      <c r="C2963" s="97">
        <f t="shared" ca="1" si="971"/>
        <v>-381</v>
      </c>
      <c r="D2963" s="112" t="s">
        <v>2340</v>
      </c>
      <c r="E2963" s="123" t="s">
        <v>1933</v>
      </c>
      <c r="F2963" s="98" t="str">
        <f t="shared" si="973"/>
        <v>B</v>
      </c>
      <c r="G2963" s="110">
        <f ca="1">SUMIF($A:E,$A2963,K:K)</f>
        <v>0</v>
      </c>
      <c r="H2963" s="97" t="s">
        <v>1593</v>
      </c>
      <c r="I2963" s="175">
        <v>491</v>
      </c>
      <c r="J2963" s="115">
        <v>64</v>
      </c>
      <c r="K2963" s="143">
        <f t="shared" si="969"/>
        <v>0</v>
      </c>
      <c r="L2963" s="144">
        <f t="shared" si="978"/>
        <v>64</v>
      </c>
      <c r="M2963" s="275">
        <f t="shared" si="968"/>
        <v>491</v>
      </c>
      <c r="N2963" s="98"/>
      <c r="O2963" s="93">
        <f t="shared" si="975"/>
        <v>0</v>
      </c>
      <c r="ON2963" s="100">
        <f t="shared" si="976"/>
        <v>0</v>
      </c>
    </row>
    <row r="2964" spans="1:404" ht="23.25" customHeight="1">
      <c r="A2964" s="97" t="str">
        <f t="shared" si="972"/>
        <v>334/KHBS-21(005/MARSHALLS-21)66-06700-S2-B</v>
      </c>
      <c r="B2964" s="95">
        <v>44546</v>
      </c>
      <c r="C2964" s="97">
        <f t="shared" ca="1" si="971"/>
        <v>-518</v>
      </c>
      <c r="D2964" s="111" t="s">
        <v>2344</v>
      </c>
      <c r="E2964" s="225" t="s">
        <v>582</v>
      </c>
      <c r="F2964" s="198" t="str">
        <f t="shared" si="973"/>
        <v>B</v>
      </c>
      <c r="G2964" s="110">
        <f ca="1">SUMIF($A:E,$A2964,K:K)</f>
        <v>2</v>
      </c>
      <c r="H2964" s="97" t="s">
        <v>1593</v>
      </c>
      <c r="I2964" s="175">
        <v>300</v>
      </c>
      <c r="J2964" s="99">
        <v>2</v>
      </c>
      <c r="K2964" s="143">
        <f t="shared" si="969"/>
        <v>2</v>
      </c>
      <c r="L2964" s="144">
        <f t="shared" si="978"/>
        <v>0</v>
      </c>
      <c r="M2964" s="275">
        <f t="shared" si="968"/>
        <v>600</v>
      </c>
      <c r="N2964" s="98">
        <v>4</v>
      </c>
      <c r="O2964" s="93">
        <f t="shared" si="975"/>
        <v>100</v>
      </c>
      <c r="MD2964" s="100">
        <v>2</v>
      </c>
      <c r="ON2964" s="100">
        <f t="shared" si="976"/>
        <v>0</v>
      </c>
    </row>
    <row r="2965" spans="1:404" ht="23.25" customHeight="1">
      <c r="A2965" s="97" t="str">
        <f t="shared" si="972"/>
        <v>335/KHBS-21 66-79028-01-B</v>
      </c>
      <c r="B2965" s="95">
        <v>44555</v>
      </c>
      <c r="C2965" s="97">
        <f t="shared" ca="1" si="971"/>
        <v>-509</v>
      </c>
      <c r="D2965" s="96" t="s">
        <v>2347</v>
      </c>
      <c r="E2965" s="123" t="s">
        <v>2166</v>
      </c>
      <c r="F2965" s="98" t="str">
        <f t="shared" si="973"/>
        <v>-B</v>
      </c>
      <c r="G2965" s="110">
        <f ca="1">SUMIF($A:E,$A2965,K:K)</f>
        <v>4</v>
      </c>
      <c r="H2965" s="318" t="s">
        <v>616</v>
      </c>
      <c r="I2965" s="175">
        <v>4</v>
      </c>
      <c r="J2965" s="99">
        <v>4</v>
      </c>
      <c r="K2965" s="143">
        <f t="shared" si="969"/>
        <v>4</v>
      </c>
      <c r="L2965" s="144">
        <f t="shared" si="978"/>
        <v>0</v>
      </c>
      <c r="M2965" s="275">
        <f t="shared" si="968"/>
        <v>0</v>
      </c>
      <c r="N2965" s="98">
        <v>4</v>
      </c>
      <c r="O2965" s="93">
        <f t="shared" ref="O2965:O2972" si="979">K2965/J2965*100</f>
        <v>100</v>
      </c>
      <c r="ME2965" s="100">
        <v>4</v>
      </c>
      <c r="ON2965" s="100">
        <f t="shared" si="976"/>
        <v>0</v>
      </c>
    </row>
    <row r="2966" spans="1:404" ht="23.25" customHeight="1">
      <c r="A2966" s="97" t="str">
        <f t="shared" si="972"/>
        <v>335/KHBS-2166-05300-01-B</v>
      </c>
      <c r="B2966" s="95">
        <v>44555</v>
      </c>
      <c r="C2966" s="97">
        <f t="shared" ca="1" si="971"/>
        <v>-509</v>
      </c>
      <c r="D2966" s="96" t="s">
        <v>2347</v>
      </c>
      <c r="E2966" s="94" t="s">
        <v>942</v>
      </c>
      <c r="F2966" s="98" t="str">
        <f t="shared" si="973"/>
        <v>B</v>
      </c>
      <c r="G2966" s="110">
        <f ca="1">SUMIF($A:E,$A2966,K:K)</f>
        <v>1</v>
      </c>
      <c r="H2966" s="318" t="s">
        <v>616</v>
      </c>
      <c r="I2966" s="98">
        <v>72</v>
      </c>
      <c r="J2966" s="99">
        <v>1</v>
      </c>
      <c r="K2966" s="143">
        <f t="shared" si="969"/>
        <v>1</v>
      </c>
      <c r="L2966" s="144">
        <f t="shared" si="978"/>
        <v>0</v>
      </c>
      <c r="M2966" s="275">
        <f t="shared" si="968"/>
        <v>72</v>
      </c>
      <c r="N2966" s="98">
        <v>2</v>
      </c>
      <c r="O2966" s="93">
        <f t="shared" si="979"/>
        <v>100</v>
      </c>
      <c r="ME2966" s="100">
        <v>1</v>
      </c>
      <c r="ON2966" s="100">
        <f t="shared" si="976"/>
        <v>0</v>
      </c>
    </row>
    <row r="2967" spans="1:404" ht="23.25" customHeight="1">
      <c r="A2967" s="97" t="str">
        <f t="shared" si="972"/>
        <v>070_SR-21 Mullally (Costco)66-90006-S1-B</v>
      </c>
      <c r="B2967" s="95">
        <v>44558</v>
      </c>
      <c r="C2967" s="97">
        <f t="shared" ca="1" si="971"/>
        <v>-506</v>
      </c>
      <c r="D2967" s="96" t="s">
        <v>2348</v>
      </c>
      <c r="E2967" s="94" t="s">
        <v>2349</v>
      </c>
      <c r="F2967" s="98" t="str">
        <f t="shared" si="973"/>
        <v>B</v>
      </c>
      <c r="G2967" s="110">
        <f ca="1">SUMIF($A:E,$A2967,K:K)</f>
        <v>28</v>
      </c>
      <c r="H2967" s="318" t="s">
        <v>616</v>
      </c>
      <c r="I2967" s="98">
        <v>28</v>
      </c>
      <c r="J2967" s="99">
        <v>28</v>
      </c>
      <c r="K2967" s="143">
        <f t="shared" si="969"/>
        <v>28</v>
      </c>
      <c r="L2967" s="144">
        <f t="shared" ref="L2967:L2975" si="980">J2967-K2967</f>
        <v>0</v>
      </c>
      <c r="M2967" s="275">
        <f t="shared" si="968"/>
        <v>28</v>
      </c>
      <c r="N2967" s="98">
        <v>2</v>
      </c>
      <c r="O2967" s="93">
        <f t="shared" si="979"/>
        <v>100</v>
      </c>
      <c r="MF2967" s="100">
        <v>28</v>
      </c>
      <c r="ON2967" s="100">
        <f t="shared" si="976"/>
        <v>0</v>
      </c>
    </row>
    <row r="2968" spans="1:404" ht="23.25" customHeight="1">
      <c r="A2968" s="97" t="s">
        <v>2531</v>
      </c>
      <c r="B2968" s="95">
        <v>44619</v>
      </c>
      <c r="C2968" s="97">
        <v>12</v>
      </c>
      <c r="D2968" s="112" t="s">
        <v>2302</v>
      </c>
      <c r="E2968" s="123" t="s">
        <v>639</v>
      </c>
      <c r="F2968" s="98" t="s">
        <v>561</v>
      </c>
      <c r="G2968" s="110">
        <v>0</v>
      </c>
      <c r="H2968" s="318" t="s">
        <v>616</v>
      </c>
      <c r="I2968" s="98">
        <v>200</v>
      </c>
      <c r="J2968" s="115">
        <v>100</v>
      </c>
      <c r="K2968" s="143">
        <f t="shared" si="969"/>
        <v>200</v>
      </c>
      <c r="L2968" s="144">
        <f t="shared" si="980"/>
        <v>-100</v>
      </c>
      <c r="M2968" s="98"/>
      <c r="N2968" s="98">
        <v>1</v>
      </c>
      <c r="O2968" s="93">
        <f t="shared" si="979"/>
        <v>200</v>
      </c>
      <c r="OA2968" s="100">
        <v>16</v>
      </c>
      <c r="OB2968" s="100">
        <v>14</v>
      </c>
      <c r="OC2968" s="100">
        <v>14</v>
      </c>
      <c r="OF2968" s="100">
        <v>25</v>
      </c>
      <c r="OG2968" s="100">
        <v>12</v>
      </c>
      <c r="OH2968" s="100">
        <v>14</v>
      </c>
      <c r="OI2968" s="100">
        <v>5</v>
      </c>
      <c r="ON2968" s="100">
        <f t="shared" si="976"/>
        <v>100</v>
      </c>
    </row>
    <row r="2969" spans="1:404" ht="23.25" customHeight="1">
      <c r="A2969" s="97" t="str">
        <f t="shared" si="972"/>
        <v>057T/WESTELM-2166-80136-02-B</v>
      </c>
      <c r="B2969" s="95">
        <v>44619</v>
      </c>
      <c r="C2969" s="97">
        <f t="shared" ca="1" si="971"/>
        <v>-445</v>
      </c>
      <c r="D2969" s="112" t="s">
        <v>2302</v>
      </c>
      <c r="E2969" s="123" t="s">
        <v>639</v>
      </c>
      <c r="F2969" s="98" t="str">
        <f t="shared" si="973"/>
        <v>B</v>
      </c>
      <c r="G2969" s="110">
        <f ca="1">SUMIF($A:E,$A2969,K:K)</f>
        <v>400</v>
      </c>
      <c r="H2969" s="318" t="s">
        <v>616</v>
      </c>
      <c r="I2969" s="98">
        <v>200</v>
      </c>
      <c r="J2969" s="115">
        <f>200-J2968</f>
        <v>100</v>
      </c>
      <c r="K2969" s="143">
        <f t="shared" si="969"/>
        <v>200</v>
      </c>
      <c r="L2969" s="144">
        <f t="shared" si="980"/>
        <v>-100</v>
      </c>
      <c r="M2969" s="275">
        <f t="shared" si="968"/>
        <v>200</v>
      </c>
      <c r="N2969" s="98">
        <v>2</v>
      </c>
      <c r="O2969" s="93">
        <f t="shared" si="979"/>
        <v>200</v>
      </c>
      <c r="OA2969" s="100">
        <v>4</v>
      </c>
      <c r="OB2969" s="100">
        <v>13</v>
      </c>
      <c r="OC2969" s="100">
        <v>12</v>
      </c>
      <c r="OD2969" s="100">
        <v>6</v>
      </c>
      <c r="OF2969" s="100">
        <v>12</v>
      </c>
      <c r="OG2969" s="100">
        <v>15</v>
      </c>
      <c r="OH2969" s="100">
        <v>11</v>
      </c>
      <c r="OI2969" s="100">
        <v>11</v>
      </c>
      <c r="OJ2969" s="100">
        <v>15</v>
      </c>
      <c r="OK2969" s="100">
        <v>1</v>
      </c>
      <c r="ON2969" s="100">
        <f t="shared" si="976"/>
        <v>100</v>
      </c>
    </row>
    <row r="2970" spans="1:404" ht="23.25" customHeight="1">
      <c r="A2970" s="97" t="str">
        <f t="shared" si="972"/>
        <v>057T/WESTELM-2166-90136-01-B</v>
      </c>
      <c r="B2970" s="95">
        <v>44619</v>
      </c>
      <c r="C2970" s="97">
        <f t="shared" ca="1" si="971"/>
        <v>-445</v>
      </c>
      <c r="D2970" s="112" t="s">
        <v>2302</v>
      </c>
      <c r="E2970" s="123" t="s">
        <v>2275</v>
      </c>
      <c r="F2970" s="98" t="str">
        <f t="shared" si="973"/>
        <v>B</v>
      </c>
      <c r="G2970" s="110">
        <f ca="1">SUMIF($A:E,$A2970,K:K)</f>
        <v>715</v>
      </c>
      <c r="H2970" s="318" t="s">
        <v>616</v>
      </c>
      <c r="I2970" s="98">
        <v>491</v>
      </c>
      <c r="J2970" s="115">
        <v>491</v>
      </c>
      <c r="K2970" s="143">
        <f t="shared" si="969"/>
        <v>715</v>
      </c>
      <c r="L2970" s="144">
        <f t="shared" si="980"/>
        <v>-224</v>
      </c>
      <c r="M2970" s="275">
        <f t="shared" si="968"/>
        <v>491</v>
      </c>
      <c r="N2970" s="98">
        <v>3</v>
      </c>
      <c r="O2970" s="93">
        <f t="shared" si="979"/>
        <v>145.62118126272912</v>
      </c>
      <c r="MO2970" s="100">
        <v>1</v>
      </c>
      <c r="MP2970" s="100">
        <v>5</v>
      </c>
      <c r="MQ2970" s="100">
        <v>6</v>
      </c>
      <c r="MR2970" s="100">
        <v>9</v>
      </c>
      <c r="MS2970" s="100">
        <v>10</v>
      </c>
      <c r="MT2970" s="100">
        <v>23</v>
      </c>
      <c r="MW2970" s="100">
        <v>16</v>
      </c>
      <c r="MX2970" s="100">
        <v>7</v>
      </c>
      <c r="MY2970" s="100">
        <v>12</v>
      </c>
      <c r="NA2970" s="100">
        <v>16</v>
      </c>
      <c r="ND2970" s="100">
        <v>18</v>
      </c>
      <c r="NE2970" s="100">
        <v>16</v>
      </c>
      <c r="NF2970" s="100">
        <v>14</v>
      </c>
      <c r="NG2970" s="100">
        <v>32</v>
      </c>
      <c r="NI2970" s="100">
        <v>16</v>
      </c>
      <c r="NK2970" s="100">
        <v>14</v>
      </c>
      <c r="NL2970" s="100">
        <v>11</v>
      </c>
      <c r="NM2970" s="100">
        <v>15</v>
      </c>
      <c r="NS2970" s="100">
        <v>24</v>
      </c>
      <c r="NT2970" s="100">
        <v>7</v>
      </c>
      <c r="NU2970" s="100">
        <v>7</v>
      </c>
      <c r="NV2970" s="100">
        <v>15</v>
      </c>
      <c r="NY2970" s="100">
        <v>22</v>
      </c>
      <c r="NZ2970" s="100">
        <v>18</v>
      </c>
      <c r="OA2970" s="100">
        <v>12</v>
      </c>
      <c r="OB2970" s="100">
        <v>17</v>
      </c>
      <c r="OC2970" s="100">
        <v>13</v>
      </c>
      <c r="OD2970" s="100">
        <v>16</v>
      </c>
      <c r="OF2970" s="100">
        <v>16</v>
      </c>
      <c r="OG2970" s="100">
        <v>8</v>
      </c>
      <c r="OH2970" s="100">
        <v>15</v>
      </c>
      <c r="OJ2970" s="100">
        <v>17</v>
      </c>
      <c r="OK2970" s="100">
        <v>30</v>
      </c>
      <c r="ON2970" s="100">
        <f t="shared" si="976"/>
        <v>237</v>
      </c>
    </row>
    <row r="2971" spans="1:404" ht="23.25" customHeight="1">
      <c r="A2971" s="97" t="s">
        <v>2358</v>
      </c>
      <c r="B2971" s="95">
        <v>44619</v>
      </c>
      <c r="C2971" s="97">
        <v>62</v>
      </c>
      <c r="D2971" s="112" t="s">
        <v>2302</v>
      </c>
      <c r="E2971" s="123" t="s">
        <v>2276</v>
      </c>
      <c r="F2971" s="98" t="s">
        <v>561</v>
      </c>
      <c r="G2971" s="110">
        <f ca="1">SUMIF($A:E,$A2971,K:K)</f>
        <v>863</v>
      </c>
      <c r="H2971" s="318" t="s">
        <v>616</v>
      </c>
      <c r="I2971" s="98">
        <v>597</v>
      </c>
      <c r="J2971" s="115">
        <v>300</v>
      </c>
      <c r="K2971" s="143">
        <f t="shared" si="969"/>
        <v>446</v>
      </c>
      <c r="L2971" s="144">
        <f t="shared" si="980"/>
        <v>-146</v>
      </c>
      <c r="M2971" s="275">
        <f t="shared" si="968"/>
        <v>597</v>
      </c>
      <c r="N2971" s="98">
        <v>2</v>
      </c>
      <c r="O2971" s="93">
        <f t="shared" si="979"/>
        <v>148.66666666666666</v>
      </c>
      <c r="ML2971" s="100">
        <v>2</v>
      </c>
      <c r="MM2971" s="100">
        <v>2</v>
      </c>
      <c r="MN2971" s="100">
        <v>2</v>
      </c>
      <c r="MO2971" s="100">
        <v>2</v>
      </c>
      <c r="MP2971" s="100">
        <v>3</v>
      </c>
      <c r="MQ2971" s="100">
        <v>2</v>
      </c>
      <c r="MR2971" s="100">
        <v>5</v>
      </c>
      <c r="MT2971" s="100">
        <v>6</v>
      </c>
      <c r="MU2971" s="100">
        <v>5</v>
      </c>
      <c r="MW2971" s="100">
        <v>6</v>
      </c>
      <c r="MX2971" s="100">
        <v>5</v>
      </c>
      <c r="MZ2971" s="100">
        <v>6</v>
      </c>
      <c r="NA2971" s="100">
        <v>3</v>
      </c>
      <c r="ND2971" s="100">
        <v>9</v>
      </c>
      <c r="NE2971" s="100">
        <v>5</v>
      </c>
      <c r="NF2971" s="100">
        <v>1</v>
      </c>
      <c r="NG2971" s="100">
        <v>15</v>
      </c>
      <c r="NI2971" s="100">
        <v>5</v>
      </c>
      <c r="NK2971" s="100">
        <v>1</v>
      </c>
      <c r="NL2971" s="100">
        <v>4</v>
      </c>
      <c r="NM2971" s="100">
        <v>8</v>
      </c>
      <c r="NN2971" s="100">
        <v>1</v>
      </c>
      <c r="NT2971" s="100">
        <v>9</v>
      </c>
      <c r="NU2971" s="100">
        <v>15</v>
      </c>
      <c r="NV2971" s="100">
        <v>9</v>
      </c>
      <c r="NY2971" s="100">
        <v>10</v>
      </c>
      <c r="NZ2971" s="100">
        <v>14</v>
      </c>
      <c r="OA2971" s="100">
        <v>15</v>
      </c>
      <c r="OB2971" s="100">
        <v>10</v>
      </c>
      <c r="OC2971" s="100">
        <v>12</v>
      </c>
      <c r="OD2971" s="100">
        <v>11</v>
      </c>
      <c r="OG2971" s="100">
        <v>3</v>
      </c>
      <c r="OH2971" s="100">
        <v>14</v>
      </c>
      <c r="OI2971" s="100">
        <v>6</v>
      </c>
      <c r="OJ2971" s="100">
        <v>19</v>
      </c>
      <c r="OK2971" s="100">
        <v>15</v>
      </c>
      <c r="OM2971" s="100">
        <v>12</v>
      </c>
      <c r="ON2971" s="100">
        <f t="shared" si="976"/>
        <v>174</v>
      </c>
    </row>
    <row r="2972" spans="1:404" ht="23.25" customHeight="1">
      <c r="A2972" s="97" t="str">
        <f t="shared" ref="A2972:A2986" si="981">D2972&amp;E2972</f>
        <v>057T/WESTELM-2166-90240-01-B</v>
      </c>
      <c r="B2972" s="95">
        <v>44619</v>
      </c>
      <c r="C2972" s="97">
        <f t="shared" ref="C2972:C2986" ca="1" si="982">B2972-TODAY()</f>
        <v>-445</v>
      </c>
      <c r="D2972" s="112" t="s">
        <v>2302</v>
      </c>
      <c r="E2972" s="123" t="s">
        <v>2276</v>
      </c>
      <c r="F2972" s="98" t="str">
        <f t="shared" ref="F2972:F2986" si="983">MID(E2972,13,2)</f>
        <v>B</v>
      </c>
      <c r="G2972" s="110">
        <f ca="1">SUMIF($A:E,$A2972,K:K)</f>
        <v>863</v>
      </c>
      <c r="H2972" s="318" t="s">
        <v>616</v>
      </c>
      <c r="I2972" s="98">
        <v>297</v>
      </c>
      <c r="J2972" s="115">
        <f>597-J2971</f>
        <v>297</v>
      </c>
      <c r="K2972" s="143">
        <f t="shared" si="969"/>
        <v>417</v>
      </c>
      <c r="L2972" s="144">
        <f t="shared" si="980"/>
        <v>-120</v>
      </c>
      <c r="M2972" s="275">
        <f t="shared" si="968"/>
        <v>297</v>
      </c>
      <c r="N2972" s="98">
        <v>1</v>
      </c>
      <c r="O2972" s="93">
        <f t="shared" si="979"/>
        <v>140.40404040404039</v>
      </c>
      <c r="MN2972" s="100">
        <v>4</v>
      </c>
      <c r="MP2972" s="100">
        <v>4</v>
      </c>
      <c r="MQ2972" s="100">
        <v>5</v>
      </c>
      <c r="MR2972" s="100">
        <v>8</v>
      </c>
      <c r="MS2972" s="100">
        <v>5</v>
      </c>
      <c r="MU2972" s="100">
        <v>10</v>
      </c>
      <c r="MX2972" s="100">
        <v>18</v>
      </c>
      <c r="MZ2972" s="100">
        <v>7</v>
      </c>
      <c r="NA2972" s="100">
        <v>4</v>
      </c>
      <c r="NE2972" s="100">
        <v>4</v>
      </c>
      <c r="NF2972" s="100">
        <v>7</v>
      </c>
      <c r="NG2972" s="100">
        <v>10</v>
      </c>
      <c r="NI2972" s="100">
        <v>7</v>
      </c>
      <c r="NK2972" s="100">
        <v>6</v>
      </c>
      <c r="NL2972" s="100">
        <v>5</v>
      </c>
      <c r="NM2972" s="100">
        <v>9</v>
      </c>
      <c r="NN2972" s="100">
        <v>8</v>
      </c>
      <c r="NS2972" s="100">
        <v>6</v>
      </c>
      <c r="NT2972" s="100">
        <v>1</v>
      </c>
      <c r="NU2972" s="100">
        <v>4</v>
      </c>
      <c r="NV2972" s="100">
        <v>7</v>
      </c>
      <c r="NY2972" s="100">
        <v>12</v>
      </c>
      <c r="NZ2972" s="100">
        <v>9</v>
      </c>
      <c r="OA2972" s="100">
        <v>13</v>
      </c>
      <c r="OB2972" s="100">
        <v>12</v>
      </c>
      <c r="OC2972" s="100">
        <v>8</v>
      </c>
      <c r="OF2972" s="100">
        <v>10</v>
      </c>
      <c r="OG2972" s="100">
        <v>3</v>
      </c>
      <c r="OH2972" s="100">
        <v>21</v>
      </c>
      <c r="OI2972" s="100">
        <v>3</v>
      </c>
      <c r="OJ2972" s="100">
        <v>10</v>
      </c>
      <c r="OK2972" s="100">
        <v>16</v>
      </c>
      <c r="OM2972" s="100">
        <v>13</v>
      </c>
      <c r="ON2972" s="100">
        <f t="shared" si="976"/>
        <v>148</v>
      </c>
    </row>
    <row r="2973" spans="1:404" ht="23.25" customHeight="1">
      <c r="A2973" s="97" t="str">
        <f t="shared" si="981"/>
        <v>057T/WESTELM-2166-90300-S1-A</v>
      </c>
      <c r="B2973" s="95">
        <v>44619</v>
      </c>
      <c r="C2973" s="97">
        <f t="shared" ca="1" si="982"/>
        <v>-445</v>
      </c>
      <c r="D2973" s="112" t="s">
        <v>2302</v>
      </c>
      <c r="E2973" s="279" t="s">
        <v>2277</v>
      </c>
      <c r="F2973" s="98" t="str">
        <f t="shared" si="983"/>
        <v>A</v>
      </c>
      <c r="G2973" s="110">
        <f ca="1">SUMIF($A:E,$A2973,K:K)</f>
        <v>308</v>
      </c>
      <c r="H2973" s="318" t="s">
        <v>616</v>
      </c>
      <c r="I2973" s="98">
        <v>200</v>
      </c>
      <c r="J2973" s="115">
        <v>200</v>
      </c>
      <c r="K2973" s="143">
        <f t="shared" si="969"/>
        <v>308</v>
      </c>
      <c r="L2973" s="144">
        <f t="shared" si="980"/>
        <v>-108</v>
      </c>
      <c r="M2973" s="275">
        <f t="shared" si="968"/>
        <v>200</v>
      </c>
      <c r="N2973" s="98">
        <v>2</v>
      </c>
      <c r="O2973" s="93">
        <f t="shared" ref="O2973:O2979" si="984">K2973/J2973*100</f>
        <v>154</v>
      </c>
      <c r="MQ2973" s="100">
        <v>11</v>
      </c>
      <c r="MU2973" s="100">
        <v>4</v>
      </c>
      <c r="MW2973" s="100">
        <v>5</v>
      </c>
      <c r="MX2973" s="100">
        <v>5</v>
      </c>
      <c r="MY2973" s="100">
        <v>5</v>
      </c>
      <c r="MZ2973" s="100">
        <v>5</v>
      </c>
      <c r="NA2973" s="100">
        <v>5</v>
      </c>
      <c r="ND2973" s="100">
        <v>5</v>
      </c>
      <c r="NE2973" s="100">
        <v>5</v>
      </c>
      <c r="NF2973" s="100">
        <v>4</v>
      </c>
      <c r="NG2973" s="100">
        <v>4</v>
      </c>
      <c r="NL2973" s="100">
        <v>18</v>
      </c>
      <c r="NM2973" s="100">
        <v>12</v>
      </c>
      <c r="NN2973" s="100">
        <v>4</v>
      </c>
      <c r="NS2973" s="100">
        <v>9</v>
      </c>
      <c r="NT2973" s="100">
        <v>10</v>
      </c>
      <c r="NU2973" s="100">
        <v>8</v>
      </c>
      <c r="NV2973" s="100">
        <v>19</v>
      </c>
      <c r="NZ2973" s="100">
        <v>11</v>
      </c>
      <c r="OA2973" s="100">
        <v>10</v>
      </c>
      <c r="OB2973" s="100">
        <v>10</v>
      </c>
      <c r="OC2973" s="100">
        <v>10</v>
      </c>
      <c r="OD2973" s="100">
        <v>10</v>
      </c>
      <c r="OF2973" s="100">
        <v>10</v>
      </c>
      <c r="OG2973" s="100">
        <v>1</v>
      </c>
      <c r="ON2973" s="100">
        <f t="shared" si="976"/>
        <v>108</v>
      </c>
    </row>
    <row r="2974" spans="1:404" ht="23.25" customHeight="1">
      <c r="A2974" s="97" t="str">
        <f t="shared" si="981"/>
        <v>057T/WESTELM-2166-90400-S1-A</v>
      </c>
      <c r="B2974" s="95">
        <v>44619</v>
      </c>
      <c r="C2974" s="97">
        <f t="shared" ca="1" si="982"/>
        <v>-445</v>
      </c>
      <c r="D2974" s="112" t="s">
        <v>2302</v>
      </c>
      <c r="E2974" s="279" t="s">
        <v>2278</v>
      </c>
      <c r="F2974" s="98" t="str">
        <f t="shared" si="983"/>
        <v>A</v>
      </c>
      <c r="G2974" s="110">
        <f ca="1">SUMIF($A:E,$A2974,K:K)</f>
        <v>386</v>
      </c>
      <c r="H2974" s="318" t="s">
        <v>616</v>
      </c>
      <c r="I2974" s="98">
        <v>250</v>
      </c>
      <c r="J2974" s="115">
        <v>250</v>
      </c>
      <c r="K2974" s="143">
        <f t="shared" si="969"/>
        <v>386</v>
      </c>
      <c r="L2974" s="144">
        <f t="shared" si="980"/>
        <v>-136</v>
      </c>
      <c r="M2974" s="275">
        <f t="shared" ref="M2974:M3039" si="985">IF(OR(MID(E2974,10,1)="0",MID(E2974,10,1)="F"),I2974,IF(OR(,MID(E2974,10,1)="S",MID(E2974,10,1)="L",MID(E2974,10,1)="B",MID(E2974,10,1)="X"),MID(E2974,11,1)*I2974,0))</f>
        <v>250</v>
      </c>
      <c r="N2974" s="98">
        <v>2</v>
      </c>
      <c r="O2974" s="93">
        <f t="shared" si="984"/>
        <v>154.4</v>
      </c>
      <c r="MM2974" s="100">
        <v>2</v>
      </c>
      <c r="MR2974" s="100">
        <v>16</v>
      </c>
      <c r="MS2974" s="100">
        <v>5</v>
      </c>
      <c r="MT2974" s="100">
        <v>5</v>
      </c>
      <c r="MU2974" s="100">
        <v>5</v>
      </c>
      <c r="MW2974" s="100">
        <v>4</v>
      </c>
      <c r="MX2974" s="100">
        <v>5</v>
      </c>
      <c r="MY2974" s="100">
        <v>5</v>
      </c>
      <c r="MZ2974" s="100">
        <v>6</v>
      </c>
      <c r="NA2974" s="100">
        <v>5</v>
      </c>
      <c r="ND2974" s="100">
        <v>4</v>
      </c>
      <c r="NE2974" s="100">
        <v>4</v>
      </c>
      <c r="NF2974" s="100">
        <v>6</v>
      </c>
      <c r="NG2974" s="100">
        <v>9</v>
      </c>
      <c r="NL2974" s="100">
        <v>14</v>
      </c>
      <c r="NM2974" s="100">
        <v>10</v>
      </c>
      <c r="NN2974" s="100">
        <v>9</v>
      </c>
      <c r="NS2974" s="100">
        <v>6</v>
      </c>
      <c r="NT2974" s="100">
        <v>10</v>
      </c>
      <c r="NU2974" s="100">
        <v>10</v>
      </c>
      <c r="NV2974" s="100">
        <v>15</v>
      </c>
      <c r="NZ2974" s="100">
        <v>15</v>
      </c>
      <c r="OA2974" s="100">
        <v>10</v>
      </c>
      <c r="OB2974" s="100">
        <v>10</v>
      </c>
      <c r="OC2974" s="100">
        <v>10</v>
      </c>
      <c r="OD2974" s="100">
        <v>7</v>
      </c>
      <c r="OF2974" s="100">
        <v>13</v>
      </c>
      <c r="OG2974" s="100">
        <v>5</v>
      </c>
      <c r="OH2974" s="100">
        <v>8</v>
      </c>
      <c r="OI2974" s="100">
        <v>10</v>
      </c>
      <c r="OJ2974" s="100">
        <v>7</v>
      </c>
      <c r="ON2974" s="100">
        <f t="shared" si="976"/>
        <v>136</v>
      </c>
    </row>
    <row r="2975" spans="1:404" ht="23.25" customHeight="1">
      <c r="A2975" s="97" t="str">
        <f t="shared" si="981"/>
        <v>057T/WESTELM-2166-90500-S1-A</v>
      </c>
      <c r="B2975" s="95">
        <v>44619</v>
      </c>
      <c r="C2975" s="97">
        <f t="shared" ca="1" si="982"/>
        <v>-445</v>
      </c>
      <c r="D2975" s="112" t="s">
        <v>2302</v>
      </c>
      <c r="E2975" s="279" t="s">
        <v>2279</v>
      </c>
      <c r="F2975" s="98" t="str">
        <f t="shared" si="983"/>
        <v>A</v>
      </c>
      <c r="G2975" s="110">
        <f ca="1">SUMIF($A:E,$A2975,K:K)</f>
        <v>286</v>
      </c>
      <c r="H2975" s="318" t="s">
        <v>616</v>
      </c>
      <c r="I2975" s="98">
        <v>200</v>
      </c>
      <c r="J2975" s="115">
        <v>200</v>
      </c>
      <c r="K2975" s="143">
        <f t="shared" si="969"/>
        <v>286</v>
      </c>
      <c r="L2975" s="144">
        <f t="shared" si="980"/>
        <v>-86</v>
      </c>
      <c r="M2975" s="275">
        <f t="shared" si="985"/>
        <v>200</v>
      </c>
      <c r="N2975" s="98">
        <v>1</v>
      </c>
      <c r="O2975" s="93">
        <f t="shared" si="984"/>
        <v>143</v>
      </c>
      <c r="ML2975" s="100">
        <v>1</v>
      </c>
      <c r="MM2975" s="100">
        <v>1</v>
      </c>
      <c r="MO2975" s="100">
        <v>2</v>
      </c>
      <c r="MQ2975" s="100">
        <v>8</v>
      </c>
      <c r="MR2975" s="100">
        <v>6</v>
      </c>
      <c r="MT2975" s="100">
        <v>9</v>
      </c>
      <c r="MU2975" s="100">
        <v>5</v>
      </c>
      <c r="MW2975" s="100">
        <v>2</v>
      </c>
      <c r="MY2975" s="100">
        <v>9</v>
      </c>
      <c r="MZ2975" s="100">
        <v>5</v>
      </c>
      <c r="NA2975" s="100">
        <v>3</v>
      </c>
      <c r="ND2975" s="100">
        <v>4</v>
      </c>
      <c r="NE2975" s="100">
        <v>7</v>
      </c>
      <c r="NF2975" s="100">
        <v>2</v>
      </c>
      <c r="NG2975" s="100">
        <v>8</v>
      </c>
      <c r="NI2975" s="100">
        <v>13</v>
      </c>
      <c r="NK2975" s="100">
        <v>5</v>
      </c>
      <c r="NL2975" s="100">
        <v>6</v>
      </c>
      <c r="NM2975" s="100">
        <v>11</v>
      </c>
      <c r="NN2975" s="100">
        <v>7</v>
      </c>
      <c r="NS2975" s="100">
        <v>7</v>
      </c>
      <c r="NT2975" s="100">
        <v>8</v>
      </c>
      <c r="NV2975" s="100">
        <v>12</v>
      </c>
      <c r="NY2975" s="100">
        <v>8</v>
      </c>
      <c r="NZ2975" s="100">
        <v>3</v>
      </c>
      <c r="OA2975" s="100">
        <v>9</v>
      </c>
      <c r="OB2975" s="100">
        <v>4</v>
      </c>
      <c r="OC2975" s="100">
        <v>7</v>
      </c>
      <c r="OF2975" s="100">
        <v>11</v>
      </c>
      <c r="OH2975" s="100">
        <v>15</v>
      </c>
      <c r="OI2975" s="100">
        <v>2</v>
      </c>
      <c r="ON2975" s="100">
        <f t="shared" si="976"/>
        <v>86</v>
      </c>
    </row>
    <row r="2976" spans="1:404" ht="23.25" customHeight="1">
      <c r="A2976" s="97" t="str">
        <f t="shared" si="981"/>
        <v>001T/MULLALLY-VG-21(đ1)66-90006-S1-B</v>
      </c>
      <c r="B2976" s="95">
        <v>44581</v>
      </c>
      <c r="C2976" s="97">
        <f t="shared" ca="1" si="982"/>
        <v>-483</v>
      </c>
      <c r="D2976" s="112" t="s">
        <v>2350</v>
      </c>
      <c r="E2976" s="123" t="s">
        <v>2349</v>
      </c>
      <c r="F2976" s="98" t="str">
        <f t="shared" si="983"/>
        <v>B</v>
      </c>
      <c r="G2976" s="110">
        <f ca="1">SUMIF($A:E,$A2976,K:K)</f>
        <v>540</v>
      </c>
      <c r="H2976" s="318" t="s">
        <v>2352</v>
      </c>
      <c r="I2976" s="98">
        <v>540</v>
      </c>
      <c r="J2976" s="99">
        <v>300</v>
      </c>
      <c r="K2976" s="143">
        <f t="shared" ref="K2976:K3039" si="986">SUM(P2976:BBC2976)</f>
        <v>300</v>
      </c>
      <c r="L2976" s="144">
        <f t="shared" ref="L2976:L2978" si="987">J2976-K2976</f>
        <v>0</v>
      </c>
      <c r="M2976" s="275">
        <f t="shared" si="985"/>
        <v>540</v>
      </c>
      <c r="N2976" s="98">
        <v>1</v>
      </c>
      <c r="O2976" s="93">
        <f t="shared" si="984"/>
        <v>100</v>
      </c>
      <c r="MH2976" s="100">
        <v>2</v>
      </c>
      <c r="MK2976" s="100">
        <v>4</v>
      </c>
      <c r="ML2976" s="100">
        <v>15</v>
      </c>
      <c r="MM2976" s="100">
        <v>22</v>
      </c>
      <c r="MO2976" s="100">
        <v>20</v>
      </c>
      <c r="MP2976" s="100">
        <v>16</v>
      </c>
      <c r="MQ2976" s="100">
        <v>27</v>
      </c>
      <c r="MR2976" s="100">
        <v>35</v>
      </c>
      <c r="MT2976" s="100">
        <v>30</v>
      </c>
      <c r="MU2976" s="100">
        <v>5</v>
      </c>
      <c r="MW2976" s="100">
        <v>8</v>
      </c>
      <c r="MX2976" s="100">
        <v>27</v>
      </c>
      <c r="MY2976" s="100">
        <v>63</v>
      </c>
      <c r="MZ2976" s="100">
        <v>26</v>
      </c>
      <c r="ON2976" s="100">
        <f t="shared" si="976"/>
        <v>0</v>
      </c>
    </row>
    <row r="2977" spans="1:404" ht="23.25" customHeight="1">
      <c r="A2977" s="97" t="str">
        <f t="shared" si="981"/>
        <v>001T/MULLALLY-VG-21(đ1)66-90006-S1-B</v>
      </c>
      <c r="B2977" s="95">
        <v>44581</v>
      </c>
      <c r="C2977" s="97">
        <f t="shared" ca="1" si="982"/>
        <v>-483</v>
      </c>
      <c r="D2977" s="112" t="s">
        <v>2350</v>
      </c>
      <c r="E2977" s="123" t="s">
        <v>2349</v>
      </c>
      <c r="F2977" s="98" t="str">
        <f t="shared" si="983"/>
        <v>B</v>
      </c>
      <c r="G2977" s="110">
        <f ca="1">SUMIF($A:E,$A2977,K:K)</f>
        <v>540</v>
      </c>
      <c r="H2977" s="318" t="s">
        <v>2352</v>
      </c>
      <c r="I2977" s="98">
        <v>540</v>
      </c>
      <c r="J2977" s="99">
        <v>240</v>
      </c>
      <c r="K2977" s="143">
        <f t="shared" si="986"/>
        <v>240</v>
      </c>
      <c r="L2977" s="144">
        <f t="shared" si="987"/>
        <v>0</v>
      </c>
      <c r="M2977" s="275">
        <f t="shared" si="985"/>
        <v>540</v>
      </c>
      <c r="N2977" s="98">
        <v>2</v>
      </c>
      <c r="O2977" s="93">
        <f t="shared" si="984"/>
        <v>100</v>
      </c>
      <c r="MP2977" s="100">
        <f>27+6</f>
        <v>33</v>
      </c>
      <c r="MQ2977" s="100">
        <v>12</v>
      </c>
      <c r="MR2977" s="100">
        <v>22</v>
      </c>
      <c r="MS2977" s="100">
        <v>9</v>
      </c>
      <c r="MT2977" s="100">
        <v>14</v>
      </c>
      <c r="MU2977" s="100">
        <v>16</v>
      </c>
      <c r="MW2977" s="100">
        <v>4</v>
      </c>
      <c r="MX2977" s="100">
        <v>55</v>
      </c>
      <c r="MY2977" s="100">
        <v>14</v>
      </c>
      <c r="MZ2977" s="100">
        <v>30</v>
      </c>
      <c r="ND2977" s="100">
        <v>31</v>
      </c>
      <c r="ON2977" s="100">
        <f t="shared" si="976"/>
        <v>0</v>
      </c>
    </row>
    <row r="2978" spans="1:404" ht="23.25" customHeight="1">
      <c r="A2978" s="97" t="str">
        <f t="shared" si="981"/>
        <v>001T/MULLALLY-VG-21(đ2)66-90006-S1-B</v>
      </c>
      <c r="B2978" s="95">
        <v>44606</v>
      </c>
      <c r="C2978" s="97">
        <f t="shared" ca="1" si="982"/>
        <v>-458</v>
      </c>
      <c r="D2978" s="112" t="s">
        <v>2351</v>
      </c>
      <c r="E2978" s="123" t="s">
        <v>2349</v>
      </c>
      <c r="F2978" s="98" t="str">
        <f t="shared" si="983"/>
        <v>B</v>
      </c>
      <c r="G2978" s="110">
        <f ca="1">SUMIF($A:E,$A2978,K:K)</f>
        <v>731</v>
      </c>
      <c r="H2978" s="318" t="s">
        <v>2352</v>
      </c>
      <c r="I2978" s="98">
        <v>540</v>
      </c>
      <c r="J2978" s="99">
        <v>540</v>
      </c>
      <c r="K2978" s="143">
        <f t="shared" si="986"/>
        <v>731</v>
      </c>
      <c r="L2978" s="144">
        <f t="shared" si="987"/>
        <v>-191</v>
      </c>
      <c r="M2978" s="275">
        <f t="shared" si="985"/>
        <v>540</v>
      </c>
      <c r="N2978" s="98">
        <v>1</v>
      </c>
      <c r="O2978" s="93">
        <f t="shared" si="984"/>
        <v>135.37037037037035</v>
      </c>
      <c r="MZ2978" s="100">
        <v>30</v>
      </c>
      <c r="NA2978" s="100">
        <v>21</v>
      </c>
      <c r="ND2978" s="100">
        <v>34</v>
      </c>
      <c r="NE2978" s="100">
        <v>37</v>
      </c>
      <c r="NF2978" s="100">
        <v>16</v>
      </c>
      <c r="NG2978" s="100">
        <v>41</v>
      </c>
      <c r="NI2978" s="100">
        <v>22</v>
      </c>
      <c r="NK2978" s="100">
        <v>41</v>
      </c>
      <c r="NL2978" s="100">
        <v>33</v>
      </c>
      <c r="NM2978" s="100">
        <v>27</v>
      </c>
      <c r="NN2978" s="100">
        <v>47</v>
      </c>
      <c r="NS2978" s="100">
        <v>31</v>
      </c>
      <c r="NT2978" s="100">
        <v>28</v>
      </c>
      <c r="NU2978" s="100">
        <v>42</v>
      </c>
      <c r="NV2978" s="100">
        <v>13</v>
      </c>
      <c r="NY2978" s="100">
        <v>48</v>
      </c>
      <c r="NZ2978" s="100">
        <v>29</v>
      </c>
      <c r="ON2978" s="100">
        <f t="shared" si="976"/>
        <v>191</v>
      </c>
    </row>
    <row r="2979" spans="1:404" ht="23.25" customHeight="1">
      <c r="A2979" s="97" t="str">
        <f t="shared" si="981"/>
        <v>009/CLARIUS-21(đợt 3)66-80400-B2-B</v>
      </c>
      <c r="B2979" s="95">
        <v>44603</v>
      </c>
      <c r="C2979" s="97">
        <f t="shared" ca="1" si="982"/>
        <v>-461</v>
      </c>
      <c r="D2979" s="112" t="s">
        <v>2353</v>
      </c>
      <c r="E2979" s="123" t="s">
        <v>1128</v>
      </c>
      <c r="F2979" s="98" t="str">
        <f t="shared" si="983"/>
        <v>B</v>
      </c>
      <c r="G2979" s="110">
        <f ca="1">SUMIF($A:E,$A2979,K:K)</f>
        <v>91</v>
      </c>
      <c r="H2979" s="318" t="s">
        <v>507</v>
      </c>
      <c r="I2979" s="98">
        <v>64</v>
      </c>
      <c r="J2979" s="115">
        <v>64</v>
      </c>
      <c r="K2979" s="143">
        <f t="shared" si="986"/>
        <v>91</v>
      </c>
      <c r="L2979" s="144">
        <f t="shared" ref="L2979:L2982" si="988">J2979-K2979</f>
        <v>-27</v>
      </c>
      <c r="M2979" s="275">
        <f t="shared" si="985"/>
        <v>128</v>
      </c>
      <c r="N2979" s="98">
        <v>1</v>
      </c>
      <c r="O2979" s="93">
        <f t="shared" si="984"/>
        <v>142.1875</v>
      </c>
      <c r="MN2979" s="100">
        <v>6</v>
      </c>
      <c r="MO2979" s="100">
        <v>6</v>
      </c>
      <c r="MQ2979" s="100">
        <v>6</v>
      </c>
      <c r="MR2979" s="100">
        <v>1</v>
      </c>
      <c r="MS2979" s="100">
        <v>10</v>
      </c>
      <c r="MT2979" s="100">
        <v>3</v>
      </c>
      <c r="NL2979" s="100">
        <v>3</v>
      </c>
      <c r="NN2979" s="100">
        <v>2</v>
      </c>
      <c r="NS2979" s="100">
        <v>8</v>
      </c>
      <c r="NT2979" s="100">
        <v>4</v>
      </c>
      <c r="NU2979" s="100">
        <v>12</v>
      </c>
      <c r="NV2979" s="100">
        <v>3</v>
      </c>
      <c r="ON2979" s="100">
        <f t="shared" si="976"/>
        <v>27</v>
      </c>
    </row>
    <row r="2980" spans="1:404" ht="23.25" customHeight="1">
      <c r="A2980" s="97" t="str">
        <f t="shared" si="981"/>
        <v>009/CLARIUS-21(đợt 3)66-80400-B2-B2</v>
      </c>
      <c r="B2980" s="95">
        <v>44607</v>
      </c>
      <c r="C2980" s="97">
        <f t="shared" ca="1" si="982"/>
        <v>-457</v>
      </c>
      <c r="D2980" s="285" t="s">
        <v>2353</v>
      </c>
      <c r="E2980" s="279" t="s">
        <v>1129</v>
      </c>
      <c r="F2980" s="98" t="str">
        <f t="shared" si="983"/>
        <v>B2</v>
      </c>
      <c r="G2980" s="110">
        <f ca="1">SUMIF($A:E,$A2980,K:K)</f>
        <v>32</v>
      </c>
      <c r="H2980" s="318" t="s">
        <v>507</v>
      </c>
      <c r="I2980" s="98">
        <v>32</v>
      </c>
      <c r="J2980" s="115">
        <v>32</v>
      </c>
      <c r="K2980" s="143">
        <f t="shared" si="986"/>
        <v>32</v>
      </c>
      <c r="L2980" s="144">
        <f t="shared" si="988"/>
        <v>0</v>
      </c>
      <c r="M2980" s="275">
        <f t="shared" si="985"/>
        <v>64</v>
      </c>
      <c r="N2980" s="98">
        <v>1</v>
      </c>
      <c r="O2980" s="93">
        <f t="shared" ref="O2980:O2997" si="989">K2980/J2980*100</f>
        <v>100</v>
      </c>
      <c r="MT2980" s="100">
        <v>3</v>
      </c>
      <c r="MU2980" s="100">
        <v>2</v>
      </c>
      <c r="MW2980" s="100">
        <v>5</v>
      </c>
      <c r="MX2980" s="100">
        <v>7</v>
      </c>
      <c r="MY2980" s="100">
        <v>3</v>
      </c>
      <c r="NA2980" s="100">
        <v>3</v>
      </c>
      <c r="ND2980" s="100">
        <v>2</v>
      </c>
      <c r="NE2980" s="100">
        <v>1</v>
      </c>
      <c r="NL2980" s="100">
        <v>6</v>
      </c>
      <c r="ON2980" s="100">
        <f t="shared" si="976"/>
        <v>0</v>
      </c>
    </row>
    <row r="2981" spans="1:404" ht="23.25" customHeight="1">
      <c r="A2981" s="97" t="str">
        <f t="shared" si="981"/>
        <v>009/CLARIUS-21(đợt 3)66-80400-S3-B</v>
      </c>
      <c r="B2981" s="95">
        <v>44607</v>
      </c>
      <c r="C2981" s="97">
        <f t="shared" ca="1" si="982"/>
        <v>-457</v>
      </c>
      <c r="D2981" s="112" t="s">
        <v>2353</v>
      </c>
      <c r="E2981" s="123" t="s">
        <v>1130</v>
      </c>
      <c r="F2981" s="98" t="str">
        <f t="shared" si="983"/>
        <v>B</v>
      </c>
      <c r="G2981" s="110">
        <f ca="1">SUMIF($A:E,$A2981,K:K)</f>
        <v>36</v>
      </c>
      <c r="H2981" s="318" t="s">
        <v>507</v>
      </c>
      <c r="I2981" s="98">
        <v>36</v>
      </c>
      <c r="J2981" s="115">
        <v>36</v>
      </c>
      <c r="K2981" s="143">
        <f t="shared" si="986"/>
        <v>36</v>
      </c>
      <c r="L2981" s="144">
        <f t="shared" si="988"/>
        <v>0</v>
      </c>
      <c r="M2981" s="275">
        <f t="shared" si="985"/>
        <v>108</v>
      </c>
      <c r="N2981" s="98">
        <v>1</v>
      </c>
      <c r="O2981" s="93">
        <f t="shared" si="989"/>
        <v>100</v>
      </c>
      <c r="MO2981" s="100">
        <v>3</v>
      </c>
      <c r="MP2981" s="100">
        <v>4</v>
      </c>
      <c r="MY2981" s="100">
        <v>2</v>
      </c>
      <c r="MZ2981" s="100">
        <v>2</v>
      </c>
      <c r="NA2981" s="100">
        <v>6</v>
      </c>
      <c r="ND2981" s="100">
        <v>6</v>
      </c>
      <c r="NF2981" s="100">
        <v>1</v>
      </c>
      <c r="NI2981" s="100">
        <v>12</v>
      </c>
      <c r="ON2981" s="100">
        <f t="shared" si="976"/>
        <v>0</v>
      </c>
    </row>
    <row r="2982" spans="1:404" ht="23.25" customHeight="1">
      <c r="A2982" s="97" t="s">
        <v>2455</v>
      </c>
      <c r="B2982" s="95">
        <v>44603</v>
      </c>
      <c r="C2982" s="97">
        <f t="shared" ca="1" si="982"/>
        <v>-461</v>
      </c>
      <c r="D2982" s="112" t="s">
        <v>2353</v>
      </c>
      <c r="E2982" s="123" t="s">
        <v>1132</v>
      </c>
      <c r="F2982" s="98" t="s">
        <v>561</v>
      </c>
      <c r="G2982" s="110">
        <v>27</v>
      </c>
      <c r="H2982" s="318" t="s">
        <v>507</v>
      </c>
      <c r="I2982" s="98">
        <v>60</v>
      </c>
      <c r="J2982" s="115">
        <v>30</v>
      </c>
      <c r="K2982" s="143">
        <f t="shared" si="986"/>
        <v>47</v>
      </c>
      <c r="L2982" s="144">
        <f t="shared" si="988"/>
        <v>-17</v>
      </c>
      <c r="M2982" s="98">
        <v>2</v>
      </c>
      <c r="N2982" s="98">
        <v>1</v>
      </c>
      <c r="O2982" s="93">
        <f t="shared" si="989"/>
        <v>156.66666666666666</v>
      </c>
      <c r="NL2982" s="100">
        <v>6</v>
      </c>
      <c r="NM2982" s="100">
        <v>6</v>
      </c>
      <c r="NN2982" s="100">
        <v>1</v>
      </c>
      <c r="NS2982" s="100">
        <v>6</v>
      </c>
      <c r="NU2982" s="100">
        <v>11</v>
      </c>
      <c r="ON2982" s="100">
        <f t="shared" si="976"/>
        <v>17</v>
      </c>
    </row>
    <row r="2983" spans="1:404" ht="23.25" customHeight="1">
      <c r="A2983" s="97" t="str">
        <f t="shared" si="981"/>
        <v>009/CLARIUS-21(đợt 3)66-82500-B2-B</v>
      </c>
      <c r="B2983" s="95">
        <v>44607</v>
      </c>
      <c r="C2983" s="97">
        <f t="shared" ca="1" si="982"/>
        <v>-457</v>
      </c>
      <c r="D2983" s="112" t="s">
        <v>2353</v>
      </c>
      <c r="E2983" s="123" t="s">
        <v>1132</v>
      </c>
      <c r="F2983" s="98" t="str">
        <f t="shared" si="983"/>
        <v>B</v>
      </c>
      <c r="G2983" s="110">
        <f ca="1">SUMIF($A:E,$A2983,K:K)</f>
        <v>80</v>
      </c>
      <c r="H2983" s="318" t="s">
        <v>507</v>
      </c>
      <c r="I2983" s="98">
        <v>60</v>
      </c>
      <c r="J2983" s="115">
        <v>30</v>
      </c>
      <c r="K2983" s="143">
        <f t="shared" si="986"/>
        <v>33</v>
      </c>
      <c r="L2983" s="144">
        <f t="shared" ref="L2983:L2985" si="990">J2983-K2983</f>
        <v>-3</v>
      </c>
      <c r="M2983" s="275">
        <f t="shared" si="985"/>
        <v>120</v>
      </c>
      <c r="N2983" s="98">
        <v>2</v>
      </c>
      <c r="O2983" s="93">
        <f t="shared" si="989"/>
        <v>110.00000000000001</v>
      </c>
      <c r="MP2983" s="100">
        <v>4</v>
      </c>
      <c r="MQ2983" s="100">
        <v>2</v>
      </c>
      <c r="MR2983" s="100">
        <v>2</v>
      </c>
      <c r="MS2983" s="100">
        <v>4</v>
      </c>
      <c r="MT2983" s="100">
        <v>2</v>
      </c>
      <c r="MU2983" s="100">
        <v>5</v>
      </c>
      <c r="MX2983" s="100">
        <v>4</v>
      </c>
      <c r="MY2983" s="100">
        <v>2</v>
      </c>
      <c r="ND2983" s="100">
        <v>2</v>
      </c>
      <c r="NS2983" s="100">
        <v>3</v>
      </c>
      <c r="ON2983" s="100">
        <f t="shared" si="976"/>
        <v>3</v>
      </c>
    </row>
    <row r="2984" spans="1:404" ht="23.25" customHeight="1">
      <c r="A2984" s="97" t="s">
        <v>2396</v>
      </c>
      <c r="B2984" s="95">
        <v>44607</v>
      </c>
      <c r="C2984" s="97">
        <v>42</v>
      </c>
      <c r="D2984" s="112" t="s">
        <v>2353</v>
      </c>
      <c r="E2984" s="123" t="s">
        <v>2022</v>
      </c>
      <c r="F2984" s="98" t="s">
        <v>561</v>
      </c>
      <c r="G2984" s="110">
        <v>3</v>
      </c>
      <c r="H2984" s="318" t="s">
        <v>2397</v>
      </c>
      <c r="I2984" s="98">
        <v>42</v>
      </c>
      <c r="J2984" s="115">
        <v>42</v>
      </c>
      <c r="K2984" s="143">
        <f t="shared" si="986"/>
        <v>47</v>
      </c>
      <c r="L2984" s="144">
        <f t="shared" si="990"/>
        <v>-5</v>
      </c>
      <c r="M2984" s="275">
        <f t="shared" si="985"/>
        <v>42</v>
      </c>
      <c r="N2984" s="98">
        <v>3</v>
      </c>
      <c r="O2984" s="93">
        <f t="shared" si="989"/>
        <v>111.90476190476191</v>
      </c>
      <c r="MP2984" s="100">
        <v>3</v>
      </c>
      <c r="MQ2984" s="100">
        <v>4</v>
      </c>
      <c r="MR2984" s="100">
        <v>2</v>
      </c>
      <c r="MS2984" s="100">
        <v>2</v>
      </c>
      <c r="MT2984" s="100">
        <v>3</v>
      </c>
      <c r="MW2984" s="100">
        <v>1</v>
      </c>
      <c r="MX2984" s="100">
        <v>4</v>
      </c>
      <c r="MZ2984" s="100">
        <v>2</v>
      </c>
      <c r="ND2984" s="100">
        <v>4</v>
      </c>
      <c r="NF2984" s="100">
        <v>2</v>
      </c>
      <c r="NG2984" s="100">
        <v>2</v>
      </c>
      <c r="NI2984" s="100">
        <v>4</v>
      </c>
      <c r="NL2984" s="100">
        <v>2</v>
      </c>
      <c r="NM2984" s="100">
        <v>2</v>
      </c>
      <c r="NS2984" s="100">
        <v>2</v>
      </c>
      <c r="NT2984" s="100">
        <v>3</v>
      </c>
      <c r="ON2984" s="100">
        <f t="shared" si="976"/>
        <v>5</v>
      </c>
    </row>
    <row r="2985" spans="1:404" ht="23.25" customHeight="1">
      <c r="A2985" s="97" t="str">
        <f t="shared" si="981"/>
        <v>009/CLARIUS-21(đợt 3)66-82624-02-B</v>
      </c>
      <c r="B2985" s="95">
        <v>44607</v>
      </c>
      <c r="C2985" s="97">
        <f t="shared" ca="1" si="982"/>
        <v>-457</v>
      </c>
      <c r="D2985" s="112" t="s">
        <v>2353</v>
      </c>
      <c r="E2985" s="123" t="s">
        <v>2016</v>
      </c>
      <c r="F2985" s="92" t="str">
        <f t="shared" ref="F2985" si="991">MID(E2985,13,2)</f>
        <v>B</v>
      </c>
      <c r="G2985" s="109">
        <f ca="1">SUMIF($A:E,$A2985,K:K)</f>
        <v>94</v>
      </c>
      <c r="H2985" s="318" t="s">
        <v>507</v>
      </c>
      <c r="I2985" s="98">
        <v>42</v>
      </c>
      <c r="J2985" s="115">
        <v>42</v>
      </c>
      <c r="K2985" s="143">
        <f t="shared" si="986"/>
        <v>47</v>
      </c>
      <c r="L2985" s="144">
        <f t="shared" si="990"/>
        <v>-5</v>
      </c>
      <c r="M2985" s="275">
        <f t="shared" si="985"/>
        <v>42</v>
      </c>
      <c r="N2985" s="98">
        <v>3</v>
      </c>
      <c r="O2985" s="93">
        <f t="shared" si="989"/>
        <v>111.90476190476191</v>
      </c>
      <c r="MP2985" s="100">
        <v>3</v>
      </c>
      <c r="MR2985" s="100">
        <v>6</v>
      </c>
      <c r="MS2985" s="100">
        <v>2</v>
      </c>
      <c r="MT2985" s="100">
        <v>3</v>
      </c>
      <c r="MW2985" s="100">
        <v>1</v>
      </c>
      <c r="MX2985" s="100">
        <v>4</v>
      </c>
      <c r="MZ2985" s="100">
        <v>2</v>
      </c>
      <c r="ND2985" s="100">
        <v>4</v>
      </c>
      <c r="NF2985" s="100">
        <v>2</v>
      </c>
      <c r="NG2985" s="100">
        <v>2</v>
      </c>
      <c r="NI2985" s="100">
        <v>4</v>
      </c>
      <c r="NL2985" s="100">
        <v>2</v>
      </c>
      <c r="NM2985" s="100">
        <v>2</v>
      </c>
      <c r="NS2985" s="100">
        <v>2</v>
      </c>
      <c r="NT2985" s="100">
        <v>3</v>
      </c>
      <c r="ON2985" s="100">
        <f t="shared" si="976"/>
        <v>5</v>
      </c>
    </row>
    <row r="2986" spans="1:404" ht="23.25" customHeight="1">
      <c r="A2986" s="97" t="str">
        <f t="shared" si="981"/>
        <v>009/CLARIUS-21(đợt 3)66-82500-01-A1(phen)</v>
      </c>
      <c r="B2986" s="95">
        <v>44607</v>
      </c>
      <c r="C2986" s="97">
        <f t="shared" ca="1" si="982"/>
        <v>-457</v>
      </c>
      <c r="D2986" s="319" t="s">
        <v>2353</v>
      </c>
      <c r="E2986" s="123" t="s">
        <v>2019</v>
      </c>
      <c r="F2986" s="132" t="str">
        <f t="shared" si="983"/>
        <v>A1</v>
      </c>
      <c r="G2986" s="130">
        <f ca="1">SUMIF($A:E,$A2986,K:K)</f>
        <v>123</v>
      </c>
      <c r="H2986" s="112" t="s">
        <v>2028</v>
      </c>
      <c r="I2986" s="98">
        <v>120</v>
      </c>
      <c r="J2986" s="115">
        <v>120</v>
      </c>
      <c r="K2986" s="143">
        <f t="shared" si="986"/>
        <v>123</v>
      </c>
      <c r="L2986" s="144">
        <f t="shared" ref="L2986" si="992">J2986-K2986</f>
        <v>-3</v>
      </c>
      <c r="M2986" s="275">
        <f t="shared" si="985"/>
        <v>120</v>
      </c>
      <c r="N2986" s="98">
        <v>2</v>
      </c>
      <c r="O2986" s="93">
        <f t="shared" si="989"/>
        <v>102.49999999999999</v>
      </c>
      <c r="MK2986" s="100">
        <v>4</v>
      </c>
      <c r="ML2986" s="100">
        <v>2</v>
      </c>
      <c r="MN2986" s="100">
        <v>3</v>
      </c>
      <c r="MO2986" s="100">
        <v>4</v>
      </c>
      <c r="MP2986" s="100">
        <v>5</v>
      </c>
      <c r="MR2986" s="100">
        <v>4</v>
      </c>
      <c r="MS2986" s="100">
        <v>4</v>
      </c>
      <c r="MT2986" s="100">
        <v>2</v>
      </c>
      <c r="MU2986" s="100">
        <v>4</v>
      </c>
      <c r="MX2986" s="100">
        <v>10</v>
      </c>
      <c r="MY2986" s="100">
        <v>6</v>
      </c>
      <c r="MZ2986" s="100">
        <v>4</v>
      </c>
      <c r="NA2986" s="100">
        <v>4</v>
      </c>
      <c r="ND2986" s="100">
        <v>8</v>
      </c>
      <c r="NE2986" s="100">
        <v>4</v>
      </c>
      <c r="NG2986" s="100">
        <v>8</v>
      </c>
      <c r="NI2986" s="100">
        <v>6</v>
      </c>
      <c r="NK2986" s="100">
        <v>7</v>
      </c>
      <c r="NM2986" s="100">
        <v>9</v>
      </c>
      <c r="NN2986" s="100">
        <v>19</v>
      </c>
      <c r="NS2986" s="100">
        <v>3</v>
      </c>
      <c r="ON2986" s="100">
        <f t="shared" si="976"/>
        <v>3</v>
      </c>
    </row>
    <row r="2987" spans="1:404" ht="23.25" customHeight="1">
      <c r="A2987" s="97" t="s">
        <v>2373</v>
      </c>
      <c r="B2987" s="95">
        <v>44607</v>
      </c>
      <c r="C2987" s="97">
        <v>49</v>
      </c>
      <c r="D2987" s="319" t="s">
        <v>2353</v>
      </c>
      <c r="E2987" s="123" t="s">
        <v>2020</v>
      </c>
      <c r="F2987" s="132" t="s">
        <v>1770</v>
      </c>
      <c r="G2987" s="130">
        <v>4</v>
      </c>
      <c r="H2987" s="112" t="s">
        <v>2028</v>
      </c>
      <c r="I2987" s="98">
        <v>30</v>
      </c>
      <c r="J2987" s="115">
        <v>30</v>
      </c>
      <c r="K2987" s="143">
        <f t="shared" si="986"/>
        <v>30</v>
      </c>
      <c r="L2987" s="144">
        <f t="shared" ref="L2987:L2989" si="993">J2987-K2987</f>
        <v>0</v>
      </c>
      <c r="M2987" s="275">
        <f t="shared" si="985"/>
        <v>30</v>
      </c>
      <c r="N2987" s="98">
        <v>3</v>
      </c>
      <c r="O2987" s="93">
        <f t="shared" si="989"/>
        <v>100</v>
      </c>
      <c r="MO2987" s="100">
        <v>1</v>
      </c>
      <c r="MP2987" s="100">
        <v>9</v>
      </c>
      <c r="MS2987" s="100">
        <v>2</v>
      </c>
      <c r="MT2987" s="100">
        <v>6</v>
      </c>
      <c r="MX2987" s="100">
        <v>12</v>
      </c>
      <c r="ON2987" s="100">
        <f t="shared" si="976"/>
        <v>0</v>
      </c>
    </row>
    <row r="2988" spans="1:404" ht="23.25" customHeight="1">
      <c r="A2988" s="97" t="s">
        <v>2373</v>
      </c>
      <c r="B2988" s="95">
        <v>44603</v>
      </c>
      <c r="C2988" s="97">
        <f t="shared" ref="C2988:C3053" ca="1" si="994">B2988-TODAY()</f>
        <v>-461</v>
      </c>
      <c r="D2988" s="319" t="s">
        <v>2353</v>
      </c>
      <c r="E2988" s="123" t="s">
        <v>2020</v>
      </c>
      <c r="F2988" s="132" t="s">
        <v>1770</v>
      </c>
      <c r="G2988" s="130">
        <v>117</v>
      </c>
      <c r="H2988" s="112" t="s">
        <v>2028</v>
      </c>
      <c r="I2988" s="98">
        <v>180</v>
      </c>
      <c r="J2988" s="115">
        <v>30</v>
      </c>
      <c r="K2988" s="143">
        <f t="shared" si="986"/>
        <v>47</v>
      </c>
      <c r="L2988" s="144">
        <f t="shared" si="993"/>
        <v>-17</v>
      </c>
      <c r="M2988" s="98">
        <v>2</v>
      </c>
      <c r="N2988" s="98">
        <v>1</v>
      </c>
      <c r="O2988" s="93">
        <f t="shared" si="989"/>
        <v>156.66666666666666</v>
      </c>
      <c r="NM2988" s="100">
        <v>12</v>
      </c>
      <c r="NN2988" s="100">
        <v>1</v>
      </c>
      <c r="NS2988" s="100">
        <v>6</v>
      </c>
      <c r="NU2988" s="100">
        <v>11</v>
      </c>
      <c r="ON2988" s="100">
        <f t="shared" si="976"/>
        <v>17</v>
      </c>
    </row>
    <row r="2989" spans="1:404" ht="23.25" customHeight="1">
      <c r="A2989" s="97" t="str">
        <f>D2989&amp;E2989</f>
        <v>009/CLARIUS-21(đợt 3)66-82500-02-A1(phen)</v>
      </c>
      <c r="B2989" s="95">
        <v>44607</v>
      </c>
      <c r="C2989" s="97">
        <f t="shared" ca="1" si="994"/>
        <v>-457</v>
      </c>
      <c r="D2989" s="319" t="s">
        <v>2353</v>
      </c>
      <c r="E2989" s="123" t="s">
        <v>2020</v>
      </c>
      <c r="F2989" s="132" t="str">
        <f t="shared" ref="F2989:F3011" si="995">MID(E2989,13,2)</f>
        <v>A1</v>
      </c>
      <c r="G2989" s="130">
        <f ca="1">SUMIF($A:E,$A2989,K:K)</f>
        <v>241</v>
      </c>
      <c r="H2989" s="112" t="s">
        <v>2028</v>
      </c>
      <c r="I2989" s="98">
        <v>180</v>
      </c>
      <c r="J2989" s="115">
        <f>180-J2988</f>
        <v>150</v>
      </c>
      <c r="K2989" s="143">
        <f t="shared" si="986"/>
        <v>164</v>
      </c>
      <c r="L2989" s="144">
        <f t="shared" si="993"/>
        <v>-14</v>
      </c>
      <c r="M2989" s="275">
        <f t="shared" si="985"/>
        <v>180</v>
      </c>
      <c r="N2989" s="98">
        <v>2</v>
      </c>
      <c r="O2989" s="93">
        <v>19</v>
      </c>
      <c r="MK2989" s="100">
        <v>4</v>
      </c>
      <c r="ML2989" s="100">
        <v>2</v>
      </c>
      <c r="MN2989" s="100">
        <v>3</v>
      </c>
      <c r="MO2989" s="100">
        <v>4</v>
      </c>
      <c r="MP2989" s="100">
        <v>9</v>
      </c>
      <c r="MQ2989" s="100">
        <v>6</v>
      </c>
      <c r="MR2989" s="100">
        <v>6</v>
      </c>
      <c r="MS2989" s="100">
        <v>8</v>
      </c>
      <c r="MT2989" s="100">
        <v>4</v>
      </c>
      <c r="MU2989" s="100">
        <v>9</v>
      </c>
      <c r="MX2989" s="100">
        <v>6</v>
      </c>
      <c r="MY2989" s="100">
        <v>4</v>
      </c>
      <c r="MZ2989" s="100">
        <v>4</v>
      </c>
      <c r="NA2989" s="100">
        <v>4</v>
      </c>
      <c r="ND2989" s="100">
        <v>10</v>
      </c>
      <c r="NE2989" s="100">
        <v>4</v>
      </c>
      <c r="NG2989" s="100">
        <v>8</v>
      </c>
      <c r="NI2989" s="100">
        <v>6</v>
      </c>
      <c r="NK2989" s="100">
        <v>7</v>
      </c>
      <c r="NM2989" s="100">
        <v>9</v>
      </c>
      <c r="NN2989" s="100">
        <v>19</v>
      </c>
      <c r="NS2989" s="100">
        <v>14</v>
      </c>
      <c r="ON2989" s="100">
        <f t="shared" si="976"/>
        <v>14</v>
      </c>
    </row>
    <row r="2990" spans="1:404" ht="23.25" customHeight="1">
      <c r="A2990" s="97" t="str">
        <f>D2990&amp;E2990</f>
        <v>009/CLARIUS-21(đợt 3)66-82600-02-A1(phen)</v>
      </c>
      <c r="B2990" s="95">
        <v>44607</v>
      </c>
      <c r="C2990" s="97">
        <f t="shared" ca="1" si="994"/>
        <v>-457</v>
      </c>
      <c r="D2990" s="319" t="s">
        <v>2353</v>
      </c>
      <c r="E2990" s="123" t="s">
        <v>2022</v>
      </c>
      <c r="F2990" s="98" t="str">
        <f t="shared" si="995"/>
        <v>A1</v>
      </c>
      <c r="G2990" s="110">
        <f ca="1">SUMIF($A:E,$A2990,K:K)</f>
        <v>0</v>
      </c>
      <c r="H2990" s="112" t="s">
        <v>2028</v>
      </c>
      <c r="I2990" s="98">
        <v>42</v>
      </c>
      <c r="J2990" s="115">
        <v>42</v>
      </c>
      <c r="K2990" s="143">
        <f t="shared" si="986"/>
        <v>0</v>
      </c>
      <c r="L2990" s="144">
        <f t="shared" ref="L2990" si="996">J2990-K2990</f>
        <v>42</v>
      </c>
      <c r="M2990" s="275">
        <f t="shared" si="985"/>
        <v>42</v>
      </c>
      <c r="N2990" s="98"/>
      <c r="O2990" s="93">
        <f t="shared" si="989"/>
        <v>0</v>
      </c>
      <c r="ON2990" s="100">
        <f t="shared" si="976"/>
        <v>0</v>
      </c>
    </row>
    <row r="2991" spans="1:404" ht="23.25" customHeight="1">
      <c r="A2991" s="127" t="str">
        <f>D2991&amp;E2991</f>
        <v>036T/WESTELM-2166-70300-01-B</v>
      </c>
      <c r="B2991" s="95">
        <v>44554</v>
      </c>
      <c r="C2991" s="97">
        <f t="shared" ca="1" si="994"/>
        <v>-510</v>
      </c>
      <c r="D2991" s="112" t="s">
        <v>1888</v>
      </c>
      <c r="E2991" s="123" t="s">
        <v>531</v>
      </c>
      <c r="F2991" s="98" t="str">
        <f t="shared" si="995"/>
        <v>B</v>
      </c>
      <c r="G2991" s="110">
        <f ca="1">SUMIF($A:E,$A2991,K:K)</f>
        <v>48</v>
      </c>
      <c r="H2991" s="97" t="s">
        <v>1593</v>
      </c>
      <c r="I2991" s="98">
        <v>48</v>
      </c>
      <c r="J2991" s="115">
        <f>50-2</f>
        <v>48</v>
      </c>
      <c r="K2991" s="160">
        <f t="shared" si="986"/>
        <v>48</v>
      </c>
      <c r="L2991" s="151">
        <f t="shared" ref="L2991:L2992" si="997">J2991-K2991</f>
        <v>0</v>
      </c>
      <c r="M2991" s="275">
        <f t="shared" si="985"/>
        <v>48</v>
      </c>
      <c r="N2991" s="98">
        <v>1</v>
      </c>
      <c r="O2991" s="93">
        <f t="shared" si="989"/>
        <v>100</v>
      </c>
      <c r="MF2991" s="100">
        <v>10</v>
      </c>
      <c r="MG2991" s="100">
        <v>5</v>
      </c>
      <c r="MH2991" s="100">
        <v>1</v>
      </c>
      <c r="MK2991" s="100">
        <v>13</v>
      </c>
      <c r="ML2991" s="100">
        <v>8</v>
      </c>
      <c r="MM2991" s="100">
        <v>11</v>
      </c>
      <c r="ON2991" s="100">
        <f t="shared" si="976"/>
        <v>0</v>
      </c>
    </row>
    <row r="2992" spans="1:404" ht="23.25" customHeight="1">
      <c r="A2992" s="127" t="str">
        <f>D2992&amp;E2992</f>
        <v>036T/WESTELM-2166-70300-03-B</v>
      </c>
      <c r="B2992" s="126">
        <v>44554</v>
      </c>
      <c r="C2992" s="97">
        <f t="shared" ca="1" si="994"/>
        <v>-510</v>
      </c>
      <c r="D2992" s="208" t="s">
        <v>1888</v>
      </c>
      <c r="E2992" s="226" t="s">
        <v>25</v>
      </c>
      <c r="F2992" s="132" t="str">
        <f t="shared" si="995"/>
        <v>B</v>
      </c>
      <c r="G2992" s="130">
        <f ca="1">SUMIF($A:E,$A2992,K:K)</f>
        <v>80</v>
      </c>
      <c r="H2992" s="127" t="s">
        <v>1593</v>
      </c>
      <c r="I2992" s="98">
        <v>80</v>
      </c>
      <c r="J2992" s="134">
        <v>80</v>
      </c>
      <c r="K2992" s="160">
        <f t="shared" si="986"/>
        <v>80</v>
      </c>
      <c r="L2992" s="151">
        <f t="shared" si="997"/>
        <v>0</v>
      </c>
      <c r="M2992" s="275">
        <f t="shared" si="985"/>
        <v>80</v>
      </c>
      <c r="N2992" s="132">
        <v>3</v>
      </c>
      <c r="O2992" s="93">
        <f t="shared" si="989"/>
        <v>100</v>
      </c>
      <c r="MH2992" s="100">
        <v>27</v>
      </c>
      <c r="MK2992" s="100">
        <v>2</v>
      </c>
      <c r="ML2992" s="100">
        <v>20</v>
      </c>
      <c r="MM2992" s="100">
        <v>31</v>
      </c>
      <c r="ON2992" s="100">
        <f t="shared" si="976"/>
        <v>0</v>
      </c>
    </row>
    <row r="2993" spans="1:404" ht="23.25" customHeight="1">
      <c r="A2993" s="97" t="str">
        <f>D2993&amp;E2993</f>
        <v>043T/WESTELM-2166-70300-01-B</v>
      </c>
      <c r="B2993" s="95">
        <v>44569</v>
      </c>
      <c r="C2993" s="97">
        <f t="shared" ca="1" si="994"/>
        <v>-495</v>
      </c>
      <c r="D2993" s="112" t="s">
        <v>1922</v>
      </c>
      <c r="E2993" s="123" t="s">
        <v>531</v>
      </c>
      <c r="F2993" s="98" t="str">
        <f t="shared" si="995"/>
        <v>B</v>
      </c>
      <c r="G2993" s="110">
        <f ca="1">SUMIF($A:E,$A2993,K:K)</f>
        <v>44</v>
      </c>
      <c r="H2993" s="97" t="s">
        <v>1593</v>
      </c>
      <c r="I2993" s="98">
        <v>44</v>
      </c>
      <c r="J2993" s="99">
        <v>44</v>
      </c>
      <c r="K2993" s="143">
        <f t="shared" si="986"/>
        <v>44</v>
      </c>
      <c r="L2993" s="144">
        <f>J2993-K2993</f>
        <v>0</v>
      </c>
      <c r="M2993" s="275">
        <f t="shared" si="985"/>
        <v>44</v>
      </c>
      <c r="N2993" s="98">
        <v>1</v>
      </c>
      <c r="O2993" s="93">
        <f t="shared" si="989"/>
        <v>100</v>
      </c>
      <c r="MN2993" s="100">
        <v>10</v>
      </c>
      <c r="MO2993" s="100">
        <v>10</v>
      </c>
      <c r="MP2993" s="100">
        <v>5</v>
      </c>
      <c r="MQ2993" s="100">
        <v>10</v>
      </c>
      <c r="MR2993" s="100">
        <v>9</v>
      </c>
      <c r="ON2993" s="100">
        <f t="shared" si="976"/>
        <v>0</v>
      </c>
    </row>
    <row r="2994" spans="1:404" ht="23.25" customHeight="1">
      <c r="A2994" s="138"/>
      <c r="B2994" s="114">
        <v>44559</v>
      </c>
      <c r="C2994" s="138">
        <f t="shared" ca="1" si="994"/>
        <v>-505</v>
      </c>
      <c r="D2994" s="322" t="s">
        <v>2364</v>
      </c>
      <c r="E2994" s="323" t="s">
        <v>2271</v>
      </c>
      <c r="F2994" s="133" t="str">
        <f t="shared" si="995"/>
        <v>B</v>
      </c>
      <c r="G2994" s="140">
        <f ca="1">SUMIF($A:E,$A2994,K:K)</f>
        <v>4</v>
      </c>
      <c r="H2994" s="379" t="s">
        <v>616</v>
      </c>
      <c r="I2994" s="133">
        <v>1</v>
      </c>
      <c r="J2994" s="240">
        <v>1</v>
      </c>
      <c r="K2994" s="166">
        <f t="shared" si="986"/>
        <v>1</v>
      </c>
      <c r="L2994" s="150">
        <f t="shared" ref="L2994:L3011" si="998">J2994-K2994</f>
        <v>0</v>
      </c>
      <c r="M2994" s="275">
        <f t="shared" si="985"/>
        <v>1</v>
      </c>
      <c r="N2994" s="133">
        <v>4</v>
      </c>
      <c r="O2994" s="93">
        <f t="shared" si="989"/>
        <v>100</v>
      </c>
      <c r="MK2994" s="100">
        <v>1</v>
      </c>
      <c r="ON2994" s="100">
        <f t="shared" si="976"/>
        <v>0</v>
      </c>
    </row>
    <row r="2995" spans="1:404" ht="23.25" customHeight="1">
      <c r="A2995" s="97" t="str">
        <f t="shared" ref="A2995:A2996" si="999">D2995&amp;E2995</f>
        <v>009/CLARIUS-21(đợt 3)66-82500-S3-B</v>
      </c>
      <c r="B2995" s="95">
        <v>44603</v>
      </c>
      <c r="C2995" s="97">
        <f t="shared" ca="1" si="994"/>
        <v>-461</v>
      </c>
      <c r="D2995" s="112" t="s">
        <v>2353</v>
      </c>
      <c r="E2995" s="374" t="s">
        <v>1131</v>
      </c>
      <c r="F2995" s="136" t="str">
        <f t="shared" si="995"/>
        <v>B</v>
      </c>
      <c r="G2995" s="130">
        <f ca="1">SUMIF($A:E,$A2995,K:K)</f>
        <v>125</v>
      </c>
      <c r="H2995" s="318" t="s">
        <v>507</v>
      </c>
      <c r="I2995" s="98">
        <v>120</v>
      </c>
      <c r="J2995" s="99">
        <v>120</v>
      </c>
      <c r="K2995" s="143">
        <f t="shared" si="986"/>
        <v>125</v>
      </c>
      <c r="L2995" s="144">
        <f t="shared" si="998"/>
        <v>-5</v>
      </c>
      <c r="M2995" s="275">
        <f t="shared" si="985"/>
        <v>360</v>
      </c>
      <c r="N2995" s="98">
        <v>2</v>
      </c>
      <c r="O2995" s="93">
        <f t="shared" si="989"/>
        <v>104.16666666666667</v>
      </c>
      <c r="MK2995" s="100">
        <v>4</v>
      </c>
      <c r="ML2995" s="100">
        <v>2</v>
      </c>
      <c r="MN2995" s="100">
        <v>3</v>
      </c>
      <c r="MO2995" s="100">
        <v>4</v>
      </c>
      <c r="MP2995" s="100">
        <v>5</v>
      </c>
      <c r="MQ2995" s="100">
        <v>4</v>
      </c>
      <c r="MR2995" s="100">
        <v>4</v>
      </c>
      <c r="MS2995" s="100">
        <v>4</v>
      </c>
      <c r="MT2995" s="100">
        <v>2</v>
      </c>
      <c r="MU2995" s="100">
        <v>4</v>
      </c>
      <c r="MX2995" s="100">
        <v>6</v>
      </c>
      <c r="MY2995" s="100">
        <v>4</v>
      </c>
      <c r="MZ2995" s="100">
        <v>4</v>
      </c>
      <c r="NA2995" s="100">
        <v>4</v>
      </c>
      <c r="ND2995" s="100">
        <v>8</v>
      </c>
      <c r="NE2995" s="100">
        <v>4</v>
      </c>
      <c r="NG2995" s="100">
        <v>8</v>
      </c>
      <c r="NI2995" s="100">
        <v>6</v>
      </c>
      <c r="NK2995" s="100">
        <v>7</v>
      </c>
      <c r="NM2995" s="100">
        <v>9</v>
      </c>
      <c r="NN2995" s="100">
        <v>19</v>
      </c>
      <c r="NS2995" s="100">
        <v>5</v>
      </c>
      <c r="ON2995" s="100">
        <f t="shared" si="976"/>
        <v>5</v>
      </c>
    </row>
    <row r="2996" spans="1:404" ht="23.25" customHeight="1">
      <c r="A2996" s="97" t="str">
        <f t="shared" si="999"/>
        <v>338/KHBS-21(015T/OBI-21)66-05300-01-B</v>
      </c>
      <c r="B2996" s="95">
        <v>44558</v>
      </c>
      <c r="C2996" s="97">
        <f t="shared" ca="1" si="994"/>
        <v>-506</v>
      </c>
      <c r="D2996" s="111" t="s">
        <v>2365</v>
      </c>
      <c r="E2996" s="225" t="s">
        <v>942</v>
      </c>
      <c r="F2996" s="98" t="str">
        <f t="shared" si="995"/>
        <v>B</v>
      </c>
      <c r="G2996" s="130">
        <f ca="1">SUMIF($A:E,$A2996,K:K)</f>
        <v>1</v>
      </c>
      <c r="H2996" s="97" t="s">
        <v>616</v>
      </c>
      <c r="I2996" s="98">
        <v>72</v>
      </c>
      <c r="J2996" s="99">
        <v>1</v>
      </c>
      <c r="K2996" s="361">
        <f t="shared" si="986"/>
        <v>1</v>
      </c>
      <c r="L2996" s="362">
        <f t="shared" si="998"/>
        <v>0</v>
      </c>
      <c r="M2996" s="275">
        <f t="shared" si="985"/>
        <v>72</v>
      </c>
      <c r="N2996" s="98">
        <v>2</v>
      </c>
      <c r="O2996" s="93">
        <f t="shared" si="989"/>
        <v>100</v>
      </c>
      <c r="MK2996" s="100">
        <v>1</v>
      </c>
      <c r="ON2996" s="100">
        <f t="shared" si="976"/>
        <v>0</v>
      </c>
    </row>
    <row r="2997" spans="1:404" ht="23.25" customHeight="1">
      <c r="A2997" s="97" t="str">
        <f t="shared" ref="A2997:A2998" si="1000">D2997&amp;E2997</f>
        <v>338/KHBS-21(015T/OBI-21)66-05300-02-B</v>
      </c>
      <c r="B2997" s="95">
        <v>44558</v>
      </c>
      <c r="C2997" s="97">
        <f t="shared" ca="1" si="994"/>
        <v>-506</v>
      </c>
      <c r="D2997" s="111" t="s">
        <v>2365</v>
      </c>
      <c r="E2997" s="225" t="s">
        <v>943</v>
      </c>
      <c r="F2997" s="98" t="str">
        <f t="shared" si="995"/>
        <v>B</v>
      </c>
      <c r="G2997" s="130">
        <f ca="1">SUMIF($A:E,$A2997,K:K)</f>
        <v>1</v>
      </c>
      <c r="H2997" s="97" t="s">
        <v>616</v>
      </c>
      <c r="I2997" s="98">
        <v>72</v>
      </c>
      <c r="J2997" s="99">
        <v>1</v>
      </c>
      <c r="K2997" s="361">
        <f t="shared" si="986"/>
        <v>1</v>
      </c>
      <c r="L2997" s="362">
        <f t="shared" ref="L2997" si="1001">J2997-K2997</f>
        <v>0</v>
      </c>
      <c r="M2997" s="275">
        <f t="shared" si="985"/>
        <v>72</v>
      </c>
      <c r="N2997" s="98">
        <v>2</v>
      </c>
      <c r="O2997" s="93">
        <f t="shared" si="989"/>
        <v>100</v>
      </c>
      <c r="MK2997" s="100">
        <v>1</v>
      </c>
      <c r="ON2997" s="100">
        <f t="shared" si="976"/>
        <v>0</v>
      </c>
    </row>
    <row r="2998" spans="1:404" ht="23.25" customHeight="1">
      <c r="A2998" s="138" t="str">
        <f t="shared" si="1000"/>
        <v>463/POTTERYPOT-VG-2166-02600-01-A</v>
      </c>
      <c r="B2998" s="114">
        <v>44731</v>
      </c>
      <c r="C2998" s="138">
        <f t="shared" ca="1" si="994"/>
        <v>-333</v>
      </c>
      <c r="D2998" s="234" t="s">
        <v>2366</v>
      </c>
      <c r="E2998" s="284" t="s">
        <v>611</v>
      </c>
      <c r="F2998" s="133" t="str">
        <f t="shared" si="995"/>
        <v>A</v>
      </c>
      <c r="G2998" s="110">
        <f ca="1">SUMIF($A:E,$A2998,K:K)</f>
        <v>0</v>
      </c>
      <c r="H2998" s="97" t="s">
        <v>507</v>
      </c>
      <c r="I2998" s="175">
        <v>80</v>
      </c>
      <c r="J2998" s="115">
        <v>80</v>
      </c>
      <c r="K2998" s="143">
        <f t="shared" si="986"/>
        <v>0</v>
      </c>
      <c r="L2998" s="144">
        <f t="shared" si="998"/>
        <v>80</v>
      </c>
      <c r="M2998" s="275">
        <f t="shared" si="985"/>
        <v>80</v>
      </c>
      <c r="N2998" s="98"/>
      <c r="O2998" s="93">
        <f t="shared" ref="O2998:O3020" si="1002">K2998/J2998*100</f>
        <v>0</v>
      </c>
      <c r="ON2998" s="100">
        <f t="shared" si="976"/>
        <v>0</v>
      </c>
    </row>
    <row r="2999" spans="1:404" ht="23.25" customHeight="1">
      <c r="A2999" s="97" t="str">
        <f t="shared" ref="A2999:A3012" si="1003">D2999&amp;E2999</f>
        <v>463/POTTERYPOT-VG-2166-02600-02-A</v>
      </c>
      <c r="B2999" s="95">
        <v>44731</v>
      </c>
      <c r="C2999" s="97">
        <f t="shared" ca="1" si="994"/>
        <v>-333</v>
      </c>
      <c r="D2999" s="112" t="s">
        <v>2366</v>
      </c>
      <c r="E2999" s="279" t="s">
        <v>1590</v>
      </c>
      <c r="F2999" s="98" t="str">
        <f t="shared" si="995"/>
        <v>A</v>
      </c>
      <c r="G2999" s="110">
        <f ca="1">SUMIF($A:E,$A2999,K:K)</f>
        <v>0</v>
      </c>
      <c r="H2999" s="97" t="s">
        <v>507</v>
      </c>
      <c r="I2999" s="175">
        <v>80</v>
      </c>
      <c r="J2999" s="115">
        <v>80</v>
      </c>
      <c r="K2999" s="143">
        <f t="shared" si="986"/>
        <v>0</v>
      </c>
      <c r="L2999" s="144">
        <f t="shared" si="998"/>
        <v>80</v>
      </c>
      <c r="M2999" s="275">
        <f t="shared" si="985"/>
        <v>80</v>
      </c>
      <c r="N2999" s="98"/>
      <c r="O2999" s="93">
        <f t="shared" si="1002"/>
        <v>0</v>
      </c>
      <c r="ON2999" s="100">
        <f t="shared" si="976"/>
        <v>0</v>
      </c>
    </row>
    <row r="3000" spans="1:404" ht="23.25" customHeight="1">
      <c r="A3000" s="97" t="str">
        <f t="shared" si="1003"/>
        <v>463/POTTERYPOT-VG-2166-02700-01-A</v>
      </c>
      <c r="B3000" s="95">
        <v>44731</v>
      </c>
      <c r="C3000" s="97">
        <f t="shared" ca="1" si="994"/>
        <v>-333</v>
      </c>
      <c r="D3000" s="112" t="s">
        <v>2366</v>
      </c>
      <c r="E3000" s="279" t="s">
        <v>1196</v>
      </c>
      <c r="F3000" s="98" t="str">
        <f t="shared" si="995"/>
        <v>A</v>
      </c>
      <c r="G3000" s="110">
        <f ca="1">SUMIF($A:E,$A3000,K:K)</f>
        <v>0</v>
      </c>
      <c r="H3000" s="97" t="s">
        <v>507</v>
      </c>
      <c r="I3000" s="175">
        <v>40</v>
      </c>
      <c r="J3000" s="115">
        <v>40</v>
      </c>
      <c r="K3000" s="143">
        <f t="shared" si="986"/>
        <v>0</v>
      </c>
      <c r="L3000" s="144">
        <f t="shared" si="998"/>
        <v>40</v>
      </c>
      <c r="M3000" s="275">
        <f t="shared" si="985"/>
        <v>40</v>
      </c>
      <c r="N3000" s="98"/>
      <c r="O3000" s="93">
        <f t="shared" si="1002"/>
        <v>0</v>
      </c>
      <c r="ON3000" s="100">
        <f t="shared" si="976"/>
        <v>0</v>
      </c>
    </row>
    <row r="3001" spans="1:404" ht="23.25" customHeight="1">
      <c r="A3001" s="97" t="str">
        <f t="shared" si="1003"/>
        <v>463/POTTERYPOT-VG-2166-02700-02-A</v>
      </c>
      <c r="B3001" s="95">
        <v>44731</v>
      </c>
      <c r="C3001" s="97">
        <f t="shared" ca="1" si="994"/>
        <v>-333</v>
      </c>
      <c r="D3001" s="112" t="s">
        <v>2366</v>
      </c>
      <c r="E3001" s="279" t="s">
        <v>2367</v>
      </c>
      <c r="F3001" s="98" t="str">
        <f t="shared" si="995"/>
        <v>A</v>
      </c>
      <c r="G3001" s="110">
        <f ca="1">SUMIF($A:E,$A3001,K:K)</f>
        <v>222</v>
      </c>
      <c r="H3001" s="97" t="s">
        <v>507</v>
      </c>
      <c r="I3001" s="175">
        <v>40</v>
      </c>
      <c r="J3001" s="115">
        <v>40</v>
      </c>
      <c r="K3001" s="143">
        <f t="shared" si="986"/>
        <v>0</v>
      </c>
      <c r="L3001" s="144">
        <f t="shared" si="998"/>
        <v>40</v>
      </c>
      <c r="M3001" s="275">
        <f t="shared" si="985"/>
        <v>40</v>
      </c>
      <c r="N3001" s="98"/>
      <c r="O3001" s="93">
        <f t="shared" si="1002"/>
        <v>0</v>
      </c>
      <c r="ON3001" s="100">
        <f t="shared" si="976"/>
        <v>0</v>
      </c>
    </row>
    <row r="3002" spans="1:404" ht="23.25" customHeight="1">
      <c r="A3002" s="97" t="str">
        <f t="shared" si="1003"/>
        <v>463/POTTERYPOT-VG-2166-03000-01-A</v>
      </c>
      <c r="B3002" s="95">
        <v>44731</v>
      </c>
      <c r="C3002" s="97">
        <f t="shared" ca="1" si="994"/>
        <v>-333</v>
      </c>
      <c r="D3002" s="112" t="s">
        <v>2366</v>
      </c>
      <c r="E3002" s="279" t="s">
        <v>612</v>
      </c>
      <c r="F3002" s="98" t="str">
        <f t="shared" si="995"/>
        <v>A</v>
      </c>
      <c r="G3002" s="110">
        <f ca="1">SUMIF($A:E,$A3002,K:K)</f>
        <v>132</v>
      </c>
      <c r="H3002" s="97" t="s">
        <v>507</v>
      </c>
      <c r="I3002" s="175">
        <v>16</v>
      </c>
      <c r="J3002" s="115">
        <v>16</v>
      </c>
      <c r="K3002" s="143">
        <f t="shared" si="986"/>
        <v>0</v>
      </c>
      <c r="L3002" s="144">
        <f t="shared" si="998"/>
        <v>16</v>
      </c>
      <c r="M3002" s="275">
        <f t="shared" si="985"/>
        <v>16</v>
      </c>
      <c r="N3002" s="98"/>
      <c r="O3002" s="93">
        <f t="shared" si="1002"/>
        <v>0</v>
      </c>
      <c r="ON3002" s="100">
        <f t="shared" si="976"/>
        <v>0</v>
      </c>
    </row>
    <row r="3003" spans="1:404" ht="23.25" customHeight="1">
      <c r="A3003" s="97" t="str">
        <f t="shared" si="1003"/>
        <v>463/POTTERYPOT-VG-2166-03000-02-A</v>
      </c>
      <c r="B3003" s="95">
        <v>44731</v>
      </c>
      <c r="C3003" s="97">
        <f t="shared" ca="1" si="994"/>
        <v>-333</v>
      </c>
      <c r="D3003" s="112" t="s">
        <v>2366</v>
      </c>
      <c r="E3003" s="279" t="s">
        <v>686</v>
      </c>
      <c r="F3003" s="98" t="str">
        <f t="shared" si="995"/>
        <v>A</v>
      </c>
      <c r="G3003" s="110">
        <f ca="1">SUMIF($A:E,$A3003,K:K)</f>
        <v>94</v>
      </c>
      <c r="H3003" s="97" t="s">
        <v>507</v>
      </c>
      <c r="I3003" s="175">
        <v>42</v>
      </c>
      <c r="J3003" s="115">
        <v>42</v>
      </c>
      <c r="K3003" s="143">
        <f t="shared" si="986"/>
        <v>0</v>
      </c>
      <c r="L3003" s="144">
        <f t="shared" si="998"/>
        <v>42</v>
      </c>
      <c r="M3003" s="275">
        <f t="shared" si="985"/>
        <v>42</v>
      </c>
      <c r="N3003" s="98"/>
      <c r="O3003" s="93">
        <f t="shared" si="1002"/>
        <v>0</v>
      </c>
      <c r="ON3003" s="100">
        <f t="shared" si="976"/>
        <v>0</v>
      </c>
    </row>
    <row r="3004" spans="1:404" ht="23.25" customHeight="1">
      <c r="A3004" s="97" t="str">
        <f t="shared" si="1003"/>
        <v>463/POTTERYPOT-VG-2166-54100-01-A</v>
      </c>
      <c r="B3004" s="95">
        <v>44731</v>
      </c>
      <c r="C3004" s="97">
        <f t="shared" ca="1" si="994"/>
        <v>-333</v>
      </c>
      <c r="D3004" s="112" t="s">
        <v>2366</v>
      </c>
      <c r="E3004" s="279" t="s">
        <v>1197</v>
      </c>
      <c r="F3004" s="98" t="str">
        <f t="shared" si="995"/>
        <v>A</v>
      </c>
      <c r="G3004" s="110">
        <f ca="1">SUMIF($A:E,$A3004,K:K)</f>
        <v>8</v>
      </c>
      <c r="H3004" s="97" t="s">
        <v>507</v>
      </c>
      <c r="I3004" s="175">
        <v>72</v>
      </c>
      <c r="J3004" s="115">
        <v>72</v>
      </c>
      <c r="K3004" s="143">
        <f t="shared" si="986"/>
        <v>0</v>
      </c>
      <c r="L3004" s="144">
        <f t="shared" si="998"/>
        <v>72</v>
      </c>
      <c r="M3004" s="275">
        <f t="shared" si="985"/>
        <v>72</v>
      </c>
      <c r="N3004" s="98"/>
      <c r="O3004" s="93">
        <f t="shared" si="1002"/>
        <v>0</v>
      </c>
      <c r="ON3004" s="100">
        <f t="shared" si="976"/>
        <v>0</v>
      </c>
    </row>
    <row r="3005" spans="1:404" ht="23.25" customHeight="1">
      <c r="A3005" s="97" t="str">
        <f t="shared" si="1003"/>
        <v>463/POTTERYPOT-VG-2166-54100-02-A</v>
      </c>
      <c r="B3005" s="95">
        <v>44731</v>
      </c>
      <c r="C3005" s="97">
        <f t="shared" ca="1" si="994"/>
        <v>-333</v>
      </c>
      <c r="D3005" s="112" t="s">
        <v>2366</v>
      </c>
      <c r="E3005" s="279" t="s">
        <v>1515</v>
      </c>
      <c r="F3005" s="98" t="str">
        <f t="shared" si="995"/>
        <v>A</v>
      </c>
      <c r="G3005" s="110">
        <f ca="1">SUMIF($A:E,$A3005,K:K)</f>
        <v>2</v>
      </c>
      <c r="H3005" s="97" t="s">
        <v>507</v>
      </c>
      <c r="I3005" s="175">
        <v>72</v>
      </c>
      <c r="J3005" s="115">
        <v>72</v>
      </c>
      <c r="K3005" s="143">
        <f t="shared" si="986"/>
        <v>0</v>
      </c>
      <c r="L3005" s="144">
        <f t="shared" si="998"/>
        <v>72</v>
      </c>
      <c r="M3005" s="275">
        <f t="shared" si="985"/>
        <v>72</v>
      </c>
      <c r="N3005" s="98"/>
      <c r="O3005" s="93">
        <f t="shared" si="1002"/>
        <v>0</v>
      </c>
      <c r="ON3005" s="100">
        <f t="shared" si="976"/>
        <v>0</v>
      </c>
    </row>
    <row r="3006" spans="1:404" ht="23.25" customHeight="1">
      <c r="A3006" s="97" t="str">
        <f t="shared" si="1003"/>
        <v>463/POTTERYPOT-VG-2166-55400-02-A</v>
      </c>
      <c r="B3006" s="95">
        <v>44731</v>
      </c>
      <c r="C3006" s="97">
        <f t="shared" ca="1" si="994"/>
        <v>-333</v>
      </c>
      <c r="D3006" s="112" t="s">
        <v>2366</v>
      </c>
      <c r="E3006" s="279" t="s">
        <v>1198</v>
      </c>
      <c r="F3006" s="98" t="str">
        <f t="shared" si="995"/>
        <v>A</v>
      </c>
      <c r="G3006" s="110">
        <f ca="1">SUMIF($A:E,$A3006,K:K)</f>
        <v>1</v>
      </c>
      <c r="H3006" s="97" t="s">
        <v>507</v>
      </c>
      <c r="I3006" s="175">
        <v>24</v>
      </c>
      <c r="J3006" s="115">
        <v>24</v>
      </c>
      <c r="K3006" s="143">
        <f t="shared" si="986"/>
        <v>0</v>
      </c>
      <c r="L3006" s="144">
        <f t="shared" si="998"/>
        <v>24</v>
      </c>
      <c r="M3006" s="275">
        <f t="shared" si="985"/>
        <v>24</v>
      </c>
      <c r="N3006" s="98" t="s">
        <v>1776</v>
      </c>
      <c r="O3006" s="93">
        <f t="shared" si="1002"/>
        <v>0</v>
      </c>
      <c r="ON3006" s="100">
        <f t="shared" si="976"/>
        <v>0</v>
      </c>
    </row>
    <row r="3007" spans="1:404" ht="23.25" customHeight="1">
      <c r="A3007" s="97" t="str">
        <f t="shared" si="1003"/>
        <v>463/POTTERYPOT-VG-2166-77700-02-A</v>
      </c>
      <c r="B3007" s="95">
        <v>44731</v>
      </c>
      <c r="C3007" s="97">
        <f t="shared" ca="1" si="994"/>
        <v>-333</v>
      </c>
      <c r="D3007" s="112" t="s">
        <v>2366</v>
      </c>
      <c r="E3007" s="279" t="s">
        <v>1199</v>
      </c>
      <c r="F3007" s="98" t="str">
        <f t="shared" si="995"/>
        <v>A</v>
      </c>
      <c r="G3007" s="110">
        <f ca="1">SUMIF($A:E,$A3007,K:K)</f>
        <v>1</v>
      </c>
      <c r="H3007" s="97" t="s">
        <v>507</v>
      </c>
      <c r="I3007" s="175">
        <v>32</v>
      </c>
      <c r="J3007" s="115">
        <v>32</v>
      </c>
      <c r="K3007" s="143">
        <f t="shared" si="986"/>
        <v>0</v>
      </c>
      <c r="L3007" s="144">
        <f t="shared" si="998"/>
        <v>32</v>
      </c>
      <c r="M3007" s="275">
        <f t="shared" si="985"/>
        <v>32</v>
      </c>
      <c r="N3007" s="98"/>
      <c r="O3007" s="93">
        <f t="shared" si="1002"/>
        <v>0</v>
      </c>
      <c r="ON3007" s="100">
        <f t="shared" si="976"/>
        <v>0</v>
      </c>
    </row>
    <row r="3008" spans="1:404" ht="23.25" customHeight="1">
      <c r="A3008" s="97" t="str">
        <f t="shared" si="1003"/>
        <v>463/POTTERYPOT-VG-2166-77900-01-A</v>
      </c>
      <c r="B3008" s="95">
        <v>44731</v>
      </c>
      <c r="C3008" s="97">
        <f t="shared" ca="1" si="994"/>
        <v>-333</v>
      </c>
      <c r="D3008" s="112" t="s">
        <v>2366</v>
      </c>
      <c r="E3008" s="279" t="s">
        <v>1200</v>
      </c>
      <c r="F3008" s="98" t="str">
        <f t="shared" si="995"/>
        <v>A</v>
      </c>
      <c r="G3008" s="110">
        <f ca="1">SUMIF($A:E,$A3008,K:K)</f>
        <v>1</v>
      </c>
      <c r="H3008" s="97" t="s">
        <v>507</v>
      </c>
      <c r="I3008" s="175">
        <v>32</v>
      </c>
      <c r="J3008" s="115">
        <v>32</v>
      </c>
      <c r="K3008" s="143">
        <f t="shared" si="986"/>
        <v>0</v>
      </c>
      <c r="L3008" s="144">
        <f t="shared" si="998"/>
        <v>32</v>
      </c>
      <c r="M3008" s="275">
        <f t="shared" si="985"/>
        <v>32</v>
      </c>
      <c r="N3008" s="98"/>
      <c r="O3008" s="93">
        <f t="shared" si="1002"/>
        <v>0</v>
      </c>
      <c r="ON3008" s="100">
        <f t="shared" si="976"/>
        <v>0</v>
      </c>
    </row>
    <row r="3009" spans="1:404" ht="23.25" customHeight="1">
      <c r="A3009" s="97" t="str">
        <f t="shared" si="1003"/>
        <v>463/POTTERYPOT-VG-2166-77900-02-A</v>
      </c>
      <c r="B3009" s="95">
        <v>44731</v>
      </c>
      <c r="C3009" s="97">
        <f t="shared" ca="1" si="994"/>
        <v>-333</v>
      </c>
      <c r="D3009" s="112" t="s">
        <v>2366</v>
      </c>
      <c r="E3009" s="279" t="s">
        <v>1591</v>
      </c>
      <c r="F3009" s="98" t="str">
        <f t="shared" si="995"/>
        <v>A</v>
      </c>
      <c r="G3009" s="110">
        <f ca="1">SUMIF($A:E,$A3009,K:K)</f>
        <v>4</v>
      </c>
      <c r="H3009" s="97" t="s">
        <v>507</v>
      </c>
      <c r="I3009" s="175">
        <v>32</v>
      </c>
      <c r="J3009" s="115">
        <v>32</v>
      </c>
      <c r="K3009" s="143">
        <f t="shared" si="986"/>
        <v>0</v>
      </c>
      <c r="L3009" s="144">
        <f t="shared" si="998"/>
        <v>32</v>
      </c>
      <c r="M3009" s="275">
        <f t="shared" si="985"/>
        <v>32</v>
      </c>
      <c r="N3009" s="98" t="s">
        <v>1776</v>
      </c>
      <c r="O3009" s="93">
        <f t="shared" si="1002"/>
        <v>0</v>
      </c>
      <c r="ON3009" s="100">
        <f t="shared" si="976"/>
        <v>0</v>
      </c>
    </row>
    <row r="3010" spans="1:404" ht="23.25" customHeight="1">
      <c r="A3010" s="97" t="str">
        <f t="shared" si="1003"/>
        <v>463/POTTERYPOT-VG-2166-03000-01-A1(phen)</v>
      </c>
      <c r="B3010" s="95">
        <v>44731</v>
      </c>
      <c r="C3010" s="97">
        <f t="shared" ca="1" si="994"/>
        <v>-333</v>
      </c>
      <c r="D3010" s="112" t="s">
        <v>2366</v>
      </c>
      <c r="E3010" s="279" t="s">
        <v>428</v>
      </c>
      <c r="F3010" s="98" t="str">
        <f t="shared" si="995"/>
        <v>A1</v>
      </c>
      <c r="G3010" s="110">
        <f ca="1">SUMIF($A:E,$A3010,K:K)</f>
        <v>3</v>
      </c>
      <c r="H3010" s="97" t="s">
        <v>507</v>
      </c>
      <c r="I3010" s="175">
        <v>16</v>
      </c>
      <c r="J3010" s="115">
        <v>16</v>
      </c>
      <c r="K3010" s="143">
        <f t="shared" si="986"/>
        <v>0</v>
      </c>
      <c r="L3010" s="144">
        <f t="shared" si="998"/>
        <v>16</v>
      </c>
      <c r="M3010" s="275">
        <f t="shared" si="985"/>
        <v>16</v>
      </c>
      <c r="N3010" s="98"/>
      <c r="O3010" s="93">
        <f t="shared" si="1002"/>
        <v>0</v>
      </c>
      <c r="ON3010" s="100">
        <f t="shared" si="976"/>
        <v>0</v>
      </c>
    </row>
    <row r="3011" spans="1:404" ht="23.25" customHeight="1">
      <c r="A3011" s="97" t="str">
        <f t="shared" si="1003"/>
        <v>463/POTTERYPOT-VG-2166-03000-02-A1(phen)</v>
      </c>
      <c r="B3011" s="95">
        <v>44731</v>
      </c>
      <c r="C3011" s="97">
        <f t="shared" ca="1" si="994"/>
        <v>-333</v>
      </c>
      <c r="D3011" s="112" t="s">
        <v>2366</v>
      </c>
      <c r="E3011" s="279" t="s">
        <v>429</v>
      </c>
      <c r="F3011" s="98" t="str">
        <f t="shared" si="995"/>
        <v>A1</v>
      </c>
      <c r="G3011" s="110">
        <f ca="1">SUMIF($A:E,$A3011,K:K)</f>
        <v>1</v>
      </c>
      <c r="H3011" s="97" t="s">
        <v>507</v>
      </c>
      <c r="I3011" s="175">
        <v>42</v>
      </c>
      <c r="J3011" s="115">
        <v>42</v>
      </c>
      <c r="K3011" s="143">
        <f t="shared" si="986"/>
        <v>0</v>
      </c>
      <c r="L3011" s="144">
        <f t="shared" si="998"/>
        <v>42</v>
      </c>
      <c r="M3011" s="275">
        <f t="shared" si="985"/>
        <v>42</v>
      </c>
      <c r="N3011" s="98"/>
      <c r="O3011" s="93">
        <f t="shared" si="1002"/>
        <v>0</v>
      </c>
      <c r="ON3011" s="100">
        <f t="shared" si="976"/>
        <v>0</v>
      </c>
    </row>
    <row r="3012" spans="1:404" ht="23.25" customHeight="1">
      <c r="A3012" s="97" t="str">
        <f t="shared" si="1003"/>
        <v>339/KHBS-21(005/METRO-VG-21)66-06422-02-B</v>
      </c>
      <c r="B3012" s="95">
        <v>44557</v>
      </c>
      <c r="C3012" s="97">
        <f t="shared" ca="1" si="994"/>
        <v>-507</v>
      </c>
      <c r="D3012" s="111" t="s">
        <v>2374</v>
      </c>
      <c r="E3012" s="225" t="s">
        <v>1052</v>
      </c>
      <c r="F3012" s="98" t="str">
        <f t="shared" ref="F3012:F3016" si="1004">MID(E3012,13,2)</f>
        <v>B</v>
      </c>
      <c r="G3012" s="110">
        <f ca="1">SUMIF($A:E,$A3012,K:K)</f>
        <v>5</v>
      </c>
      <c r="H3012" s="97" t="s">
        <v>2375</v>
      </c>
      <c r="I3012" s="124">
        <v>1</v>
      </c>
      <c r="J3012" s="115">
        <v>1</v>
      </c>
      <c r="K3012" s="143">
        <f t="shared" si="986"/>
        <v>1</v>
      </c>
      <c r="L3012" s="144">
        <f t="shared" ref="L3012:L3016" si="1005">J3012-K3012</f>
        <v>0</v>
      </c>
      <c r="M3012" s="275">
        <f t="shared" si="985"/>
        <v>1</v>
      </c>
      <c r="N3012" s="98">
        <v>6</v>
      </c>
      <c r="O3012" s="93">
        <f t="shared" si="1002"/>
        <v>100</v>
      </c>
      <c r="MM3012" s="100">
        <v>1</v>
      </c>
      <c r="ON3012" s="100">
        <f t="shared" ref="ON3012:ON3075" si="1006">SUM(NS3012:OM3012)</f>
        <v>0</v>
      </c>
    </row>
    <row r="3013" spans="1:404" ht="23.25" customHeight="1">
      <c r="A3013" s="127" t="str">
        <f t="shared" ref="A3013:A3016" si="1007">D3013&amp;E3013</f>
        <v>339/KHBS-21(005/METRO-VG-21)66-06422-02-B</v>
      </c>
      <c r="B3013" s="95">
        <v>44557</v>
      </c>
      <c r="C3013" s="97">
        <f t="shared" ca="1" si="994"/>
        <v>-507</v>
      </c>
      <c r="D3013" s="111" t="s">
        <v>2374</v>
      </c>
      <c r="E3013" s="225" t="s">
        <v>1052</v>
      </c>
      <c r="F3013" s="132" t="str">
        <f t="shared" si="1004"/>
        <v>B</v>
      </c>
      <c r="G3013" s="110">
        <f ca="1">SUMIF($A:E,$A3013,K:K)</f>
        <v>5</v>
      </c>
      <c r="H3013" s="97" t="s">
        <v>2375</v>
      </c>
      <c r="I3013" s="124">
        <v>5</v>
      </c>
      <c r="J3013" s="115">
        <v>1</v>
      </c>
      <c r="K3013" s="143">
        <f t="shared" si="986"/>
        <v>1</v>
      </c>
      <c r="L3013" s="144">
        <f t="shared" si="1005"/>
        <v>0</v>
      </c>
      <c r="M3013" s="275">
        <f t="shared" si="985"/>
        <v>5</v>
      </c>
      <c r="N3013" s="98">
        <v>6</v>
      </c>
      <c r="O3013" s="93">
        <f t="shared" si="1002"/>
        <v>100</v>
      </c>
      <c r="MM3013" s="100">
        <v>1</v>
      </c>
      <c r="ON3013" s="100">
        <f t="shared" si="1006"/>
        <v>0</v>
      </c>
    </row>
    <row r="3014" spans="1:404" ht="23.25" customHeight="1">
      <c r="A3014" s="97" t="str">
        <f t="shared" si="1007"/>
        <v>338/KHBS-2166-55437-02-B4</v>
      </c>
      <c r="B3014" s="95">
        <v>44558</v>
      </c>
      <c r="C3014" s="97">
        <f t="shared" ca="1" si="994"/>
        <v>-506</v>
      </c>
      <c r="D3014" s="96" t="s">
        <v>2376</v>
      </c>
      <c r="E3014" s="94" t="s">
        <v>2377</v>
      </c>
      <c r="F3014" s="98" t="str">
        <f t="shared" si="1004"/>
        <v>B4</v>
      </c>
      <c r="G3014" s="130">
        <f ca="1">SUMIF($A:E,$A3014,K:K)</f>
        <v>4</v>
      </c>
      <c r="H3014" s="97" t="s">
        <v>616</v>
      </c>
      <c r="I3014" s="98">
        <v>72</v>
      </c>
      <c r="J3014" s="99">
        <v>1</v>
      </c>
      <c r="K3014" s="361">
        <f t="shared" si="986"/>
        <v>1</v>
      </c>
      <c r="L3014" s="362">
        <f t="shared" si="1005"/>
        <v>0</v>
      </c>
      <c r="M3014" s="275">
        <f t="shared" si="985"/>
        <v>72</v>
      </c>
      <c r="N3014" s="98">
        <v>1</v>
      </c>
      <c r="O3014" s="93">
        <f t="shared" si="1002"/>
        <v>100</v>
      </c>
      <c r="ML3014" s="100">
        <v>1</v>
      </c>
      <c r="ON3014" s="100">
        <f t="shared" si="1006"/>
        <v>0</v>
      </c>
    </row>
    <row r="3015" spans="1:404" ht="23.25" customHeight="1">
      <c r="A3015" s="97" t="str">
        <f t="shared" si="1007"/>
        <v>338/KHBS-2166-51620-03-B4</v>
      </c>
      <c r="B3015" s="95">
        <v>44558</v>
      </c>
      <c r="C3015" s="97">
        <f t="shared" ca="1" si="994"/>
        <v>-506</v>
      </c>
      <c r="D3015" s="96" t="s">
        <v>2376</v>
      </c>
      <c r="E3015" s="94" t="s">
        <v>1635</v>
      </c>
      <c r="F3015" s="98" t="str">
        <f t="shared" si="1004"/>
        <v>B4</v>
      </c>
      <c r="G3015" s="130">
        <f ca="1">SUMIF($A:E,$A3015,K:K)</f>
        <v>3</v>
      </c>
      <c r="H3015" s="97" t="s">
        <v>616</v>
      </c>
      <c r="I3015" s="98">
        <v>2</v>
      </c>
      <c r="J3015" s="99">
        <v>2</v>
      </c>
      <c r="K3015" s="361">
        <f t="shared" si="986"/>
        <v>2</v>
      </c>
      <c r="L3015" s="362">
        <f t="shared" si="1005"/>
        <v>0</v>
      </c>
      <c r="M3015" s="275">
        <f t="shared" si="985"/>
        <v>2</v>
      </c>
      <c r="N3015" s="98">
        <v>4</v>
      </c>
      <c r="O3015" s="93">
        <f t="shared" si="1002"/>
        <v>100</v>
      </c>
      <c r="MM3015" s="100">
        <v>2</v>
      </c>
      <c r="ON3015" s="100">
        <f t="shared" si="1006"/>
        <v>0</v>
      </c>
    </row>
    <row r="3016" spans="1:404" ht="23.25" customHeight="1">
      <c r="A3016" s="127" t="str">
        <f t="shared" si="1007"/>
        <v>338/KHBS-2168-54400-02-B</v>
      </c>
      <c r="B3016" s="126">
        <v>44558</v>
      </c>
      <c r="C3016" s="127">
        <f t="shared" ca="1" si="994"/>
        <v>-506</v>
      </c>
      <c r="D3016" s="128" t="s">
        <v>2376</v>
      </c>
      <c r="E3016" s="129" t="s">
        <v>250</v>
      </c>
      <c r="F3016" s="132" t="str">
        <f t="shared" si="1004"/>
        <v>B</v>
      </c>
      <c r="G3016" s="130">
        <f ca="1">SUMIF($A:E,$A3016,K:K)</f>
        <v>9</v>
      </c>
      <c r="H3016" s="127" t="s">
        <v>616</v>
      </c>
      <c r="I3016" s="98">
        <v>72</v>
      </c>
      <c r="J3016" s="131">
        <v>1</v>
      </c>
      <c r="K3016" s="372">
        <f t="shared" si="986"/>
        <v>1</v>
      </c>
      <c r="L3016" s="373">
        <f t="shared" si="1005"/>
        <v>0</v>
      </c>
      <c r="M3016" s="275">
        <f t="shared" si="985"/>
        <v>72</v>
      </c>
      <c r="N3016" s="132">
        <v>1</v>
      </c>
      <c r="O3016" s="93">
        <f t="shared" si="1002"/>
        <v>100</v>
      </c>
      <c r="ML3016" s="100">
        <v>1</v>
      </c>
      <c r="ON3016" s="100">
        <f t="shared" si="1006"/>
        <v>0</v>
      </c>
    </row>
    <row r="3017" spans="1:404" ht="23.25" customHeight="1">
      <c r="A3017" s="97" t="str">
        <f t="shared" ref="A3017:A3023" si="1008">D3017&amp;E3017</f>
        <v>337/KHBS-21( 049T/WESTELM-21)66-88200-01-B</v>
      </c>
      <c r="B3017" s="95">
        <v>44558</v>
      </c>
      <c r="C3017" s="97">
        <f t="shared" ca="1" si="994"/>
        <v>-506</v>
      </c>
      <c r="D3017" s="111" t="s">
        <v>2378</v>
      </c>
      <c r="E3017" s="225" t="s">
        <v>1923</v>
      </c>
      <c r="F3017" s="132" t="str">
        <f t="shared" ref="F3017:F3023" si="1009">MID(E3017,13,2)</f>
        <v>B</v>
      </c>
      <c r="G3017" s="130">
        <f ca="1">SUMIF($A:E,$A3017,K:K)</f>
        <v>6</v>
      </c>
      <c r="H3017" s="127" t="s">
        <v>616</v>
      </c>
      <c r="I3017" s="98">
        <v>72</v>
      </c>
      <c r="J3017" s="99">
        <v>4</v>
      </c>
      <c r="K3017" s="372">
        <f t="shared" si="986"/>
        <v>4</v>
      </c>
      <c r="L3017" s="373">
        <f t="shared" ref="L3017:L3026" si="1010">J3017-K3017</f>
        <v>0</v>
      </c>
      <c r="M3017" s="275">
        <f t="shared" si="985"/>
        <v>72</v>
      </c>
      <c r="N3017" s="98">
        <v>3</v>
      </c>
      <c r="O3017" s="93">
        <f t="shared" si="1002"/>
        <v>100</v>
      </c>
      <c r="ML3017" s="100">
        <v>4</v>
      </c>
      <c r="ON3017" s="100">
        <f t="shared" si="1006"/>
        <v>0</v>
      </c>
    </row>
    <row r="3018" spans="1:404" ht="23.25" customHeight="1">
      <c r="A3018" s="97" t="str">
        <f t="shared" si="1008"/>
        <v>337/KHBS-21(035T/WESTELM-21)66-83200-02-B</v>
      </c>
      <c r="B3018" s="95">
        <v>44558</v>
      </c>
      <c r="C3018" s="97">
        <f t="shared" ca="1" si="994"/>
        <v>-506</v>
      </c>
      <c r="D3018" s="111" t="s">
        <v>2379</v>
      </c>
      <c r="E3018" s="225" t="s">
        <v>850</v>
      </c>
      <c r="F3018" s="132" t="str">
        <f t="shared" si="1009"/>
        <v>B</v>
      </c>
      <c r="G3018" s="130">
        <f ca="1">SUMIF($A:E,$A3018,K:K)</f>
        <v>2</v>
      </c>
      <c r="H3018" s="127" t="s">
        <v>616</v>
      </c>
      <c r="I3018" s="98">
        <v>1</v>
      </c>
      <c r="J3018" s="99">
        <v>1</v>
      </c>
      <c r="K3018" s="372">
        <f t="shared" si="986"/>
        <v>1</v>
      </c>
      <c r="L3018" s="373">
        <f t="shared" si="1010"/>
        <v>0</v>
      </c>
      <c r="M3018" s="275">
        <f t="shared" si="985"/>
        <v>1</v>
      </c>
      <c r="N3018" s="98">
        <v>3</v>
      </c>
      <c r="O3018" s="93">
        <f t="shared" si="1002"/>
        <v>100</v>
      </c>
      <c r="MS3018" s="100">
        <v>1</v>
      </c>
      <c r="ON3018" s="100">
        <f t="shared" si="1006"/>
        <v>0</v>
      </c>
    </row>
    <row r="3019" spans="1:404" ht="23.25" customHeight="1">
      <c r="A3019" s="97" t="str">
        <f t="shared" si="1008"/>
        <v>337/KHBS-21(035T/WESTELM-21)66-83237-01-B4</v>
      </c>
      <c r="B3019" s="95">
        <v>44558</v>
      </c>
      <c r="C3019" s="97">
        <f t="shared" ca="1" si="994"/>
        <v>-506</v>
      </c>
      <c r="D3019" s="112" t="s">
        <v>2379</v>
      </c>
      <c r="E3019" s="123" t="s">
        <v>1105</v>
      </c>
      <c r="F3019" s="132" t="str">
        <f t="shared" si="1009"/>
        <v>B4</v>
      </c>
      <c r="G3019" s="130">
        <f ca="1">SUMIF($A:E,$A3019,K:K)</f>
        <v>2</v>
      </c>
      <c r="H3019" s="127" t="s">
        <v>616</v>
      </c>
      <c r="I3019" s="98">
        <v>72</v>
      </c>
      <c r="J3019" s="99">
        <v>1</v>
      </c>
      <c r="K3019" s="372">
        <f t="shared" si="986"/>
        <v>1</v>
      </c>
      <c r="L3019" s="373">
        <f t="shared" si="1010"/>
        <v>0</v>
      </c>
      <c r="M3019" s="275">
        <f t="shared" si="985"/>
        <v>72</v>
      </c>
      <c r="N3019" s="98">
        <v>2</v>
      </c>
      <c r="O3019" s="93">
        <f t="shared" si="1002"/>
        <v>100</v>
      </c>
      <c r="ML3019" s="100">
        <v>1</v>
      </c>
      <c r="ON3019" s="100">
        <f t="shared" si="1006"/>
        <v>0</v>
      </c>
    </row>
    <row r="3020" spans="1:404" ht="23.25" customHeight="1">
      <c r="A3020" s="97" t="str">
        <f t="shared" si="1008"/>
        <v>337/KHBS-21(006/MARSHALLS-21)66-07900-03-B</v>
      </c>
      <c r="B3020" s="95">
        <v>44558</v>
      </c>
      <c r="C3020" s="97">
        <f t="shared" ca="1" si="994"/>
        <v>-506</v>
      </c>
      <c r="D3020" s="112" t="s">
        <v>2380</v>
      </c>
      <c r="E3020" s="123" t="s">
        <v>649</v>
      </c>
      <c r="F3020" s="132" t="str">
        <f t="shared" si="1009"/>
        <v>B</v>
      </c>
      <c r="G3020" s="130">
        <f ca="1">SUMIF($A:E,$A3020,K:K)</f>
        <v>2</v>
      </c>
      <c r="H3020" s="127" t="s">
        <v>616</v>
      </c>
      <c r="I3020" s="98">
        <v>72</v>
      </c>
      <c r="J3020" s="99">
        <v>1</v>
      </c>
      <c r="K3020" s="372">
        <f t="shared" si="986"/>
        <v>1</v>
      </c>
      <c r="L3020" s="373">
        <f t="shared" si="1010"/>
        <v>0</v>
      </c>
      <c r="M3020" s="275">
        <f t="shared" si="985"/>
        <v>72</v>
      </c>
      <c r="N3020" s="98">
        <v>2</v>
      </c>
      <c r="O3020" s="93">
        <f t="shared" si="1002"/>
        <v>100</v>
      </c>
      <c r="ML3020" s="100">
        <v>1</v>
      </c>
      <c r="ON3020" s="100">
        <f t="shared" si="1006"/>
        <v>0</v>
      </c>
    </row>
    <row r="3021" spans="1:404" ht="23.25" customHeight="1">
      <c r="A3021" s="97" t="str">
        <f t="shared" si="1008"/>
        <v>085/VG_SR-21(WESTELM)66-90300-S1-A</v>
      </c>
      <c r="B3021" s="95">
        <v>44565</v>
      </c>
      <c r="C3021" s="97">
        <f t="shared" ca="1" si="994"/>
        <v>-499</v>
      </c>
      <c r="D3021" s="112" t="s">
        <v>2288</v>
      </c>
      <c r="E3021" s="123" t="s">
        <v>2277</v>
      </c>
      <c r="F3021" s="98" t="str">
        <f t="shared" si="1009"/>
        <v>A</v>
      </c>
      <c r="G3021" s="110">
        <f ca="1">SUMIF($A:E,$A3021,K:K)</f>
        <v>123</v>
      </c>
      <c r="H3021" s="112" t="s">
        <v>2292</v>
      </c>
      <c r="I3021" s="98">
        <v>5</v>
      </c>
      <c r="J3021" s="99">
        <v>5</v>
      </c>
      <c r="K3021" s="143">
        <f t="shared" si="986"/>
        <v>5</v>
      </c>
      <c r="L3021" s="144">
        <f t="shared" si="1010"/>
        <v>0</v>
      </c>
      <c r="M3021" s="275">
        <f t="shared" si="985"/>
        <v>5</v>
      </c>
      <c r="N3021" s="98">
        <v>2</v>
      </c>
      <c r="O3021" s="93">
        <f t="shared" ref="O3021" si="1011">K3021/J3021*100</f>
        <v>100</v>
      </c>
      <c r="P3021" s="100"/>
      <c r="Q3021" s="100"/>
      <c r="R3021" s="100"/>
      <c r="S3021" s="100"/>
      <c r="T3021" s="100"/>
      <c r="U3021" s="100"/>
      <c r="V3021" s="100"/>
      <c r="W3021" s="100"/>
      <c r="X3021" s="100"/>
      <c r="Y3021" s="100"/>
      <c r="Z3021" s="100"/>
      <c r="AA3021" s="100"/>
      <c r="AB3021" s="100"/>
      <c r="AC3021" s="100"/>
      <c r="AD3021" s="100"/>
      <c r="AE3021" s="100"/>
      <c r="AF3021" s="100"/>
      <c r="AG3021" s="100"/>
      <c r="AH3021" s="100"/>
      <c r="AI3021" s="100"/>
      <c r="AJ3021" s="100"/>
      <c r="AK3021" s="100"/>
      <c r="AL3021" s="100"/>
      <c r="AM3021" s="100"/>
      <c r="AN3021" s="100"/>
      <c r="AO3021" s="100"/>
      <c r="AP3021" s="100"/>
      <c r="AQ3021" s="100"/>
      <c r="AR3021" s="100"/>
      <c r="AS3021" s="100"/>
      <c r="AT3021" s="100"/>
      <c r="AU3021" s="100"/>
      <c r="AV3021" s="100"/>
      <c r="AW3021" s="100"/>
      <c r="AX3021" s="100"/>
      <c r="AY3021" s="100"/>
      <c r="AZ3021" s="100"/>
      <c r="BA3021" s="100"/>
      <c r="BB3021" s="100"/>
      <c r="BC3021" s="100"/>
      <c r="BD3021" s="100"/>
      <c r="BE3021" s="100"/>
      <c r="BF3021" s="100"/>
      <c r="BG3021" s="100"/>
      <c r="BH3021" s="100"/>
      <c r="BI3021" s="100"/>
      <c r="BJ3021" s="100"/>
      <c r="BK3021" s="100"/>
      <c r="BL3021" s="100"/>
      <c r="BM3021" s="100"/>
      <c r="BN3021" s="100"/>
      <c r="BO3021" s="100"/>
      <c r="BP3021" s="100"/>
      <c r="BQ3021" s="100"/>
      <c r="BR3021" s="100"/>
      <c r="BS3021" s="100"/>
      <c r="BT3021" s="100"/>
      <c r="BU3021" s="100"/>
      <c r="BV3021" s="100"/>
      <c r="BW3021" s="100"/>
      <c r="BX3021" s="100"/>
      <c r="BY3021" s="100"/>
      <c r="BZ3021" s="100"/>
      <c r="CA3021" s="100"/>
      <c r="CB3021" s="100"/>
      <c r="CC3021" s="100"/>
      <c r="CD3021" s="100"/>
      <c r="CE3021" s="100"/>
      <c r="CF3021" s="100"/>
      <c r="CG3021" s="100"/>
      <c r="CH3021" s="100"/>
      <c r="CI3021" s="100"/>
      <c r="CJ3021" s="100"/>
      <c r="CK3021" s="100"/>
      <c r="CL3021" s="100"/>
      <c r="CM3021" s="100"/>
      <c r="CN3021" s="100"/>
      <c r="CO3021" s="100"/>
      <c r="CP3021" s="100"/>
      <c r="CQ3021" s="100"/>
      <c r="CR3021" s="100"/>
      <c r="CS3021" s="100"/>
      <c r="CT3021" s="100"/>
      <c r="CU3021" s="100"/>
      <c r="CV3021" s="100"/>
      <c r="CW3021" s="100"/>
      <c r="CX3021" s="100"/>
      <c r="CY3021" s="100"/>
      <c r="CZ3021" s="100"/>
      <c r="DA3021" s="100"/>
      <c r="DB3021" s="100"/>
      <c r="DC3021" s="100"/>
      <c r="DD3021" s="100"/>
      <c r="DE3021" s="100"/>
      <c r="DF3021" s="100"/>
      <c r="DG3021" s="100"/>
      <c r="DH3021" s="100"/>
      <c r="DI3021" s="100"/>
      <c r="DJ3021" s="100"/>
      <c r="DK3021" s="100"/>
      <c r="DL3021" s="100"/>
      <c r="DM3021" s="100"/>
      <c r="DN3021" s="100"/>
      <c r="DO3021" s="100"/>
      <c r="DP3021" s="100"/>
      <c r="DQ3021" s="100"/>
      <c r="DR3021" s="100"/>
      <c r="MP3021" s="100">
        <v>5</v>
      </c>
      <c r="ON3021" s="100">
        <f t="shared" si="1006"/>
        <v>0</v>
      </c>
    </row>
    <row r="3022" spans="1:404" ht="23.25" customHeight="1">
      <c r="A3022" s="97" t="str">
        <f t="shared" si="1008"/>
        <v>085/VG_SR-21(WESTELM)66-90400-S1-A</v>
      </c>
      <c r="B3022" s="95">
        <v>44565</v>
      </c>
      <c r="C3022" s="97">
        <f t="shared" ca="1" si="994"/>
        <v>-499</v>
      </c>
      <c r="D3022" s="112" t="s">
        <v>2288</v>
      </c>
      <c r="E3022" s="123" t="s">
        <v>2278</v>
      </c>
      <c r="F3022" s="98" t="str">
        <f t="shared" si="1009"/>
        <v>A</v>
      </c>
      <c r="G3022" s="110">
        <f ca="1">SUMIF($A:E,$A3022,K:K)</f>
        <v>748</v>
      </c>
      <c r="H3022" s="112" t="s">
        <v>2292</v>
      </c>
      <c r="I3022" s="98">
        <v>5</v>
      </c>
      <c r="J3022" s="99">
        <v>5</v>
      </c>
      <c r="K3022" s="143">
        <f t="shared" si="986"/>
        <v>5</v>
      </c>
      <c r="L3022" s="144">
        <f t="shared" si="1010"/>
        <v>0</v>
      </c>
      <c r="M3022" s="275">
        <f t="shared" si="985"/>
        <v>5</v>
      </c>
      <c r="N3022" s="98">
        <v>2</v>
      </c>
      <c r="O3022" s="93">
        <f t="shared" ref="O3022:O3047" si="1012">K3022/J3022*100</f>
        <v>100</v>
      </c>
      <c r="P3022" s="100"/>
      <c r="Q3022" s="100"/>
      <c r="R3022" s="100"/>
      <c r="S3022" s="100"/>
      <c r="T3022" s="100"/>
      <c r="U3022" s="100"/>
      <c r="V3022" s="100"/>
      <c r="W3022" s="100"/>
      <c r="X3022" s="100"/>
      <c r="Y3022" s="100"/>
      <c r="Z3022" s="100"/>
      <c r="AA3022" s="100"/>
      <c r="AB3022" s="100"/>
      <c r="AC3022" s="100"/>
      <c r="AD3022" s="100"/>
      <c r="AE3022" s="100"/>
      <c r="AF3022" s="100"/>
      <c r="AG3022" s="100"/>
      <c r="AH3022" s="100"/>
      <c r="AI3022" s="100"/>
      <c r="AJ3022" s="100"/>
      <c r="AK3022" s="100"/>
      <c r="AL3022" s="100"/>
      <c r="AM3022" s="100"/>
      <c r="AN3022" s="100"/>
      <c r="AO3022" s="100"/>
      <c r="AP3022" s="100"/>
      <c r="AQ3022" s="100"/>
      <c r="AR3022" s="100"/>
      <c r="AS3022" s="100"/>
      <c r="AT3022" s="100"/>
      <c r="AU3022" s="100"/>
      <c r="AV3022" s="100"/>
      <c r="AW3022" s="100"/>
      <c r="AX3022" s="100"/>
      <c r="AY3022" s="100"/>
      <c r="AZ3022" s="100"/>
      <c r="BA3022" s="100"/>
      <c r="BB3022" s="100"/>
      <c r="BC3022" s="100"/>
      <c r="BD3022" s="100"/>
      <c r="BE3022" s="100"/>
      <c r="BF3022" s="100"/>
      <c r="BG3022" s="100"/>
      <c r="BH3022" s="100"/>
      <c r="BI3022" s="100"/>
      <c r="BJ3022" s="100"/>
      <c r="BK3022" s="100"/>
      <c r="BL3022" s="100"/>
      <c r="BM3022" s="100"/>
      <c r="BN3022" s="100"/>
      <c r="BO3022" s="100"/>
      <c r="BP3022" s="100"/>
      <c r="BQ3022" s="100"/>
      <c r="BR3022" s="100"/>
      <c r="BS3022" s="100"/>
      <c r="BT3022" s="100"/>
      <c r="BU3022" s="100"/>
      <c r="BV3022" s="100"/>
      <c r="BW3022" s="100"/>
      <c r="BX3022" s="100"/>
      <c r="BY3022" s="100"/>
      <c r="BZ3022" s="100"/>
      <c r="CA3022" s="100"/>
      <c r="CB3022" s="100"/>
      <c r="CC3022" s="100"/>
      <c r="CD3022" s="100"/>
      <c r="CE3022" s="100"/>
      <c r="CF3022" s="100"/>
      <c r="CG3022" s="100"/>
      <c r="CH3022" s="100"/>
      <c r="CI3022" s="100"/>
      <c r="CJ3022" s="100"/>
      <c r="CK3022" s="100"/>
      <c r="CL3022" s="100"/>
      <c r="CM3022" s="100"/>
      <c r="CN3022" s="100"/>
      <c r="CO3022" s="100"/>
      <c r="CP3022" s="100"/>
      <c r="CQ3022" s="100"/>
      <c r="CR3022" s="100"/>
      <c r="CS3022" s="100"/>
      <c r="CT3022" s="100"/>
      <c r="CU3022" s="100"/>
      <c r="CV3022" s="100"/>
      <c r="CW3022" s="100"/>
      <c r="CX3022" s="100"/>
      <c r="CY3022" s="100"/>
      <c r="CZ3022" s="100"/>
      <c r="DA3022" s="100"/>
      <c r="DB3022" s="100"/>
      <c r="DC3022" s="100"/>
      <c r="DD3022" s="100"/>
      <c r="DE3022" s="100"/>
      <c r="DF3022" s="100"/>
      <c r="DG3022" s="100"/>
      <c r="DH3022" s="100"/>
      <c r="DI3022" s="100"/>
      <c r="DJ3022" s="100"/>
      <c r="DK3022" s="100"/>
      <c r="DL3022" s="100"/>
      <c r="DM3022" s="100"/>
      <c r="DN3022" s="100"/>
      <c r="DO3022" s="100"/>
      <c r="DP3022" s="100"/>
      <c r="DQ3022" s="100"/>
      <c r="DR3022" s="100"/>
      <c r="MN3022" s="100">
        <v>3</v>
      </c>
      <c r="MO3022" s="100">
        <v>2</v>
      </c>
      <c r="ON3022" s="100">
        <f t="shared" si="1006"/>
        <v>0</v>
      </c>
    </row>
    <row r="3023" spans="1:404" ht="23.25" customHeight="1">
      <c r="A3023" s="97" t="str">
        <f t="shared" si="1008"/>
        <v>085/VG_SR-21(WESTELM)66-90500-S1-A</v>
      </c>
      <c r="B3023" s="95">
        <v>44565</v>
      </c>
      <c r="C3023" s="97">
        <f t="shared" ca="1" si="994"/>
        <v>-499</v>
      </c>
      <c r="D3023" s="112" t="s">
        <v>2288</v>
      </c>
      <c r="E3023" s="123" t="s">
        <v>2279</v>
      </c>
      <c r="F3023" s="98" t="str">
        <f t="shared" si="1009"/>
        <v>A</v>
      </c>
      <c r="G3023" s="110">
        <f ca="1">SUMIF($A:E,$A3023,K:K)</f>
        <v>360</v>
      </c>
      <c r="H3023" s="112" t="s">
        <v>2292</v>
      </c>
      <c r="I3023" s="98">
        <v>5</v>
      </c>
      <c r="J3023" s="99">
        <v>5</v>
      </c>
      <c r="K3023" s="143">
        <f t="shared" si="986"/>
        <v>5</v>
      </c>
      <c r="L3023" s="144">
        <f t="shared" si="1010"/>
        <v>0</v>
      </c>
      <c r="M3023" s="275">
        <f t="shared" si="985"/>
        <v>5</v>
      </c>
      <c r="N3023" s="98">
        <v>1</v>
      </c>
      <c r="O3023" s="93">
        <f t="shared" si="1012"/>
        <v>100</v>
      </c>
      <c r="P3023" s="100"/>
      <c r="Q3023" s="100"/>
      <c r="R3023" s="100"/>
      <c r="S3023" s="100"/>
      <c r="T3023" s="100"/>
      <c r="U3023" s="100"/>
      <c r="V3023" s="100"/>
      <c r="W3023" s="100"/>
      <c r="X3023" s="100"/>
      <c r="Y3023" s="100"/>
      <c r="Z3023" s="100"/>
      <c r="AA3023" s="100"/>
      <c r="AB3023" s="100"/>
      <c r="AC3023" s="100"/>
      <c r="AD3023" s="100"/>
      <c r="AE3023" s="100"/>
      <c r="AF3023" s="100"/>
      <c r="AG3023" s="100"/>
      <c r="AH3023" s="100"/>
      <c r="AI3023" s="100"/>
      <c r="AJ3023" s="100"/>
      <c r="AK3023" s="100"/>
      <c r="AL3023" s="100"/>
      <c r="AM3023" s="100"/>
      <c r="AN3023" s="100"/>
      <c r="AO3023" s="100"/>
      <c r="AP3023" s="100"/>
      <c r="AQ3023" s="100"/>
      <c r="AR3023" s="100"/>
      <c r="AS3023" s="100"/>
      <c r="AT3023" s="100"/>
      <c r="AU3023" s="100"/>
      <c r="AV3023" s="100"/>
      <c r="AW3023" s="100"/>
      <c r="AX3023" s="100"/>
      <c r="AY3023" s="100"/>
      <c r="AZ3023" s="100"/>
      <c r="BA3023" s="100"/>
      <c r="BB3023" s="100"/>
      <c r="BC3023" s="100"/>
      <c r="BD3023" s="100"/>
      <c r="BE3023" s="100"/>
      <c r="BF3023" s="100"/>
      <c r="BG3023" s="100"/>
      <c r="BH3023" s="100"/>
      <c r="BI3023" s="100"/>
      <c r="BJ3023" s="100"/>
      <c r="BK3023" s="100"/>
      <c r="BL3023" s="100"/>
      <c r="BM3023" s="100"/>
      <c r="BN3023" s="100"/>
      <c r="BO3023" s="100"/>
      <c r="BP3023" s="100"/>
      <c r="BQ3023" s="100"/>
      <c r="BR3023" s="100"/>
      <c r="BS3023" s="100"/>
      <c r="BT3023" s="100"/>
      <c r="BU3023" s="100"/>
      <c r="BV3023" s="100"/>
      <c r="BW3023" s="100"/>
      <c r="BX3023" s="100"/>
      <c r="BY3023" s="100"/>
      <c r="BZ3023" s="100"/>
      <c r="CA3023" s="100"/>
      <c r="CB3023" s="100"/>
      <c r="CC3023" s="100"/>
      <c r="CD3023" s="100"/>
      <c r="CE3023" s="100"/>
      <c r="CF3023" s="100"/>
      <c r="CG3023" s="100"/>
      <c r="CH3023" s="100"/>
      <c r="CI3023" s="100"/>
      <c r="CJ3023" s="100"/>
      <c r="CK3023" s="100"/>
      <c r="CL3023" s="100"/>
      <c r="CM3023" s="100"/>
      <c r="CN3023" s="100"/>
      <c r="CO3023" s="100"/>
      <c r="CP3023" s="100"/>
      <c r="CQ3023" s="100"/>
      <c r="CR3023" s="100"/>
      <c r="CS3023" s="100"/>
      <c r="CT3023" s="100"/>
      <c r="CU3023" s="100"/>
      <c r="CV3023" s="100"/>
      <c r="CW3023" s="100"/>
      <c r="CX3023" s="100"/>
      <c r="CY3023" s="100"/>
      <c r="CZ3023" s="100"/>
      <c r="DA3023" s="100"/>
      <c r="DB3023" s="100"/>
      <c r="DC3023" s="100"/>
      <c r="DD3023" s="100"/>
      <c r="DE3023" s="100"/>
      <c r="DF3023" s="100"/>
      <c r="DG3023" s="100"/>
      <c r="DH3023" s="100"/>
      <c r="DI3023" s="100"/>
      <c r="DJ3023" s="100"/>
      <c r="DK3023" s="100"/>
      <c r="DL3023" s="100"/>
      <c r="DM3023" s="100"/>
      <c r="DN3023" s="100"/>
      <c r="DO3023" s="100"/>
      <c r="DP3023" s="100"/>
      <c r="DQ3023" s="100"/>
      <c r="DR3023" s="100"/>
      <c r="MN3023" s="100">
        <v>5</v>
      </c>
      <c r="ON3023" s="100">
        <f t="shared" si="1006"/>
        <v>0</v>
      </c>
    </row>
    <row r="3024" spans="1:404" ht="23.25" customHeight="1">
      <c r="A3024" s="97" t="str">
        <f>D3024&amp;E3024</f>
        <v>071T/WESTELM-2166-70337-03-B4</v>
      </c>
      <c r="B3024" s="95">
        <v>44565</v>
      </c>
      <c r="C3024" s="97">
        <f t="shared" ca="1" si="994"/>
        <v>-499</v>
      </c>
      <c r="D3024" s="96" t="s">
        <v>2383</v>
      </c>
      <c r="E3024" s="123" t="s">
        <v>1117</v>
      </c>
      <c r="F3024" s="98" t="str">
        <f>MID(E3024,13,2)</f>
        <v>B4</v>
      </c>
      <c r="G3024" s="110">
        <f ca="1">SUMIF($A:E,$A3024,K:K)</f>
        <v>321</v>
      </c>
      <c r="H3024" s="97" t="s">
        <v>1743</v>
      </c>
      <c r="I3024" s="98">
        <v>9</v>
      </c>
      <c r="J3024" s="115">
        <v>9</v>
      </c>
      <c r="K3024" s="143">
        <f t="shared" si="986"/>
        <v>9</v>
      </c>
      <c r="L3024" s="144">
        <f t="shared" si="1010"/>
        <v>0</v>
      </c>
      <c r="M3024" s="275">
        <f t="shared" si="985"/>
        <v>9</v>
      </c>
      <c r="N3024" s="98">
        <v>4</v>
      </c>
      <c r="O3024" s="93">
        <f t="shared" si="1012"/>
        <v>100</v>
      </c>
      <c r="MO3024" s="100">
        <v>4</v>
      </c>
      <c r="MQ3024" s="100">
        <v>5</v>
      </c>
      <c r="ON3024" s="100">
        <f t="shared" si="1006"/>
        <v>0</v>
      </c>
    </row>
    <row r="3025" spans="1:404" ht="23.25" customHeight="1">
      <c r="A3025" s="97" t="str">
        <f>D3025&amp;E3025</f>
        <v>071T/WESTELM-2166-83237-02-B4</v>
      </c>
      <c r="B3025" s="95">
        <v>44565</v>
      </c>
      <c r="C3025" s="97">
        <f t="shared" ca="1" si="994"/>
        <v>-499</v>
      </c>
      <c r="D3025" s="96" t="s">
        <v>2383</v>
      </c>
      <c r="E3025" s="94" t="s">
        <v>1082</v>
      </c>
      <c r="F3025" s="98" t="str">
        <f>MID(E3025,13,2)</f>
        <v>B4</v>
      </c>
      <c r="G3025" s="110">
        <f ca="1">SUMIF($A:E,$A3025,K:K)</f>
        <v>922</v>
      </c>
      <c r="H3025" s="97" t="s">
        <v>508</v>
      </c>
      <c r="I3025" s="98">
        <v>18</v>
      </c>
      <c r="J3025" s="227">
        <v>18</v>
      </c>
      <c r="K3025" s="143">
        <f t="shared" si="986"/>
        <v>18</v>
      </c>
      <c r="L3025" s="144">
        <f t="shared" si="1010"/>
        <v>0</v>
      </c>
      <c r="M3025" s="275">
        <f t="shared" si="985"/>
        <v>18</v>
      </c>
      <c r="N3025" s="98">
        <v>2</v>
      </c>
      <c r="O3025" s="93">
        <f t="shared" si="1012"/>
        <v>100</v>
      </c>
      <c r="MO3025" s="100">
        <v>3</v>
      </c>
      <c r="MP3025" s="100">
        <v>1</v>
      </c>
      <c r="MQ3025" s="100">
        <v>2</v>
      </c>
      <c r="MS3025" s="100">
        <v>4</v>
      </c>
      <c r="MT3025" s="100">
        <v>1</v>
      </c>
      <c r="MU3025" s="100">
        <v>2</v>
      </c>
      <c r="MW3025" s="100">
        <v>2</v>
      </c>
      <c r="MZ3025" s="100">
        <v>2</v>
      </c>
      <c r="NG3025" s="100">
        <v>1</v>
      </c>
      <c r="ON3025" s="100">
        <f t="shared" si="1006"/>
        <v>0</v>
      </c>
    </row>
    <row r="3026" spans="1:404" ht="23.25" customHeight="1">
      <c r="A3026" s="97" t="str">
        <f>D3026&amp;E3026</f>
        <v>051T/WESTELM-2166-70300-02-B</v>
      </c>
      <c r="B3026" s="95">
        <v>44625</v>
      </c>
      <c r="C3026" s="97">
        <f t="shared" ca="1" si="994"/>
        <v>-439</v>
      </c>
      <c r="D3026" s="111" t="s">
        <v>2384</v>
      </c>
      <c r="E3026" s="225" t="s">
        <v>47</v>
      </c>
      <c r="F3026" s="98" t="str">
        <f>MID(E3026,13,2)</f>
        <v>B</v>
      </c>
      <c r="G3026" s="110">
        <f ca="1">SUMIF($A:E,$A3026,K:K)</f>
        <v>982</v>
      </c>
      <c r="H3026" s="97" t="s">
        <v>508</v>
      </c>
      <c r="I3026" s="98">
        <v>158</v>
      </c>
      <c r="J3026" s="227">
        <v>158</v>
      </c>
      <c r="K3026" s="143">
        <f t="shared" si="986"/>
        <v>158</v>
      </c>
      <c r="L3026" s="144">
        <f t="shared" si="1010"/>
        <v>0</v>
      </c>
      <c r="M3026" s="275">
        <f t="shared" si="985"/>
        <v>158</v>
      </c>
      <c r="N3026" s="98">
        <v>1</v>
      </c>
      <c r="O3026" s="93">
        <f t="shared" si="1012"/>
        <v>100</v>
      </c>
      <c r="MW3026" s="100">
        <v>22</v>
      </c>
      <c r="MX3026" s="100">
        <v>11</v>
      </c>
      <c r="MY3026" s="100">
        <v>24</v>
      </c>
      <c r="MZ3026" s="100">
        <v>32</v>
      </c>
      <c r="ND3026" s="100">
        <v>22</v>
      </c>
      <c r="NE3026" s="100">
        <v>17</v>
      </c>
      <c r="NF3026" s="100">
        <v>28</v>
      </c>
      <c r="NI3026" s="100">
        <v>2</v>
      </c>
      <c r="ON3026" s="100">
        <f t="shared" si="1006"/>
        <v>0</v>
      </c>
    </row>
    <row r="3027" spans="1:404" ht="23.25" customHeight="1">
      <c r="A3027" s="97" t="str">
        <f t="shared" ref="A3027" si="1013">D3027&amp;E3027</f>
        <v>053T/WESTELM-2166-70300-01-B</v>
      </c>
      <c r="B3027" s="95">
        <v>44627</v>
      </c>
      <c r="C3027" s="97">
        <f t="shared" ca="1" si="994"/>
        <v>-437</v>
      </c>
      <c r="D3027" s="112" t="s">
        <v>2385</v>
      </c>
      <c r="E3027" s="123" t="s">
        <v>531</v>
      </c>
      <c r="F3027" s="98" t="str">
        <f t="shared" ref="F3027:F3039" si="1014">MID(E3027,13,2)</f>
        <v>B</v>
      </c>
      <c r="G3027" s="110">
        <f ca="1">SUMIF($A:E,$A3027,K:K)</f>
        <v>264</v>
      </c>
      <c r="H3027" s="97" t="s">
        <v>1593</v>
      </c>
      <c r="I3027" s="175">
        <v>300</v>
      </c>
      <c r="J3027" s="115">
        <v>150</v>
      </c>
      <c r="K3027" s="143">
        <f t="shared" si="986"/>
        <v>213</v>
      </c>
      <c r="L3027" s="144">
        <f t="shared" ref="L3027:L3033" si="1015">J3027-K3027</f>
        <v>-63</v>
      </c>
      <c r="M3027" s="275">
        <f t="shared" si="985"/>
        <v>300</v>
      </c>
      <c r="N3027" s="98">
        <v>1</v>
      </c>
      <c r="O3027" s="93">
        <f t="shared" si="1012"/>
        <v>142</v>
      </c>
      <c r="MR3027" s="100">
        <v>1</v>
      </c>
      <c r="MS3027" s="100">
        <v>5</v>
      </c>
      <c r="MT3027" s="100">
        <v>5</v>
      </c>
      <c r="MU3027" s="100">
        <v>5</v>
      </c>
      <c r="MW3027" s="100">
        <v>5</v>
      </c>
      <c r="MX3027" s="100">
        <v>5</v>
      </c>
      <c r="MZ3027" s="100">
        <v>10</v>
      </c>
      <c r="ND3027" s="100">
        <v>5</v>
      </c>
      <c r="NE3027" s="100">
        <v>5</v>
      </c>
      <c r="NG3027" s="100">
        <v>10</v>
      </c>
      <c r="NI3027" s="100">
        <v>5</v>
      </c>
      <c r="NK3027" s="100">
        <v>5</v>
      </c>
      <c r="NL3027" s="100">
        <v>10</v>
      </c>
      <c r="NM3027" s="100">
        <v>5</v>
      </c>
      <c r="NN3027" s="100">
        <v>6</v>
      </c>
      <c r="NS3027" s="100">
        <v>4</v>
      </c>
      <c r="NT3027" s="100">
        <v>1</v>
      </c>
      <c r="NU3027" s="100">
        <v>4</v>
      </c>
      <c r="NV3027" s="100">
        <v>4</v>
      </c>
      <c r="NY3027" s="100">
        <v>1</v>
      </c>
      <c r="NZ3027" s="100">
        <v>11</v>
      </c>
      <c r="OA3027" s="100">
        <v>4</v>
      </c>
      <c r="OB3027" s="100">
        <v>5</v>
      </c>
      <c r="OC3027" s="100">
        <v>5</v>
      </c>
      <c r="OF3027" s="100">
        <v>4</v>
      </c>
      <c r="OG3027" s="100">
        <v>5</v>
      </c>
      <c r="OI3027" s="100">
        <v>9</v>
      </c>
      <c r="OJ3027" s="100">
        <v>6</v>
      </c>
      <c r="ON3027" s="100">
        <f t="shared" si="1006"/>
        <v>63</v>
      </c>
    </row>
    <row r="3028" spans="1:404" ht="23.25" customHeight="1">
      <c r="A3028" s="97" t="str">
        <f>D3001&amp;E3001</f>
        <v>463/POTTERYPOT-VG-2166-02700-02-A</v>
      </c>
      <c r="B3028" s="95">
        <v>44627</v>
      </c>
      <c r="C3028" s="97">
        <f t="shared" ca="1" si="994"/>
        <v>-437</v>
      </c>
      <c r="D3028" s="112" t="s">
        <v>2385</v>
      </c>
      <c r="E3028" s="123" t="s">
        <v>531</v>
      </c>
      <c r="F3028" s="98" t="str">
        <f t="shared" si="1014"/>
        <v>B</v>
      </c>
      <c r="G3028" s="110">
        <f ca="1">SUMIF($A:E,$A3028,K:K)</f>
        <v>222</v>
      </c>
      <c r="H3028" s="97" t="s">
        <v>1593</v>
      </c>
      <c r="I3028" s="175">
        <v>300</v>
      </c>
      <c r="J3028" s="115">
        <v>150</v>
      </c>
      <c r="K3028" s="143">
        <f t="shared" si="986"/>
        <v>222</v>
      </c>
      <c r="L3028" s="144">
        <f t="shared" si="1015"/>
        <v>-72</v>
      </c>
      <c r="M3028" s="275">
        <f t="shared" si="985"/>
        <v>300</v>
      </c>
      <c r="N3028" s="380">
        <v>3</v>
      </c>
      <c r="O3028" s="93">
        <f t="shared" si="1012"/>
        <v>148</v>
      </c>
      <c r="MU3028" s="100">
        <v>5</v>
      </c>
      <c r="MW3028" s="100">
        <v>5</v>
      </c>
      <c r="MX3028" s="100">
        <v>5</v>
      </c>
      <c r="MY3028" s="100">
        <v>5</v>
      </c>
      <c r="NA3028" s="100">
        <v>5</v>
      </c>
      <c r="NE3028" s="100">
        <v>5</v>
      </c>
      <c r="NF3028" s="100">
        <v>5</v>
      </c>
      <c r="NG3028" s="100">
        <v>15</v>
      </c>
      <c r="NI3028" s="100">
        <v>5</v>
      </c>
      <c r="NK3028" s="100">
        <v>5</v>
      </c>
      <c r="NL3028" s="100">
        <v>5</v>
      </c>
      <c r="NM3028" s="100">
        <v>5</v>
      </c>
      <c r="NS3028" s="100">
        <v>6</v>
      </c>
      <c r="NU3028" s="100">
        <v>4</v>
      </c>
      <c r="NV3028" s="100">
        <v>6</v>
      </c>
      <c r="NY3028" s="100">
        <v>9</v>
      </c>
      <c r="NZ3028" s="100">
        <v>9</v>
      </c>
      <c r="OA3028" s="100">
        <v>10</v>
      </c>
      <c r="OB3028" s="100">
        <v>10</v>
      </c>
      <c r="OC3028" s="100">
        <v>10</v>
      </c>
      <c r="OD3028" s="100">
        <v>10</v>
      </c>
      <c r="OH3028" s="100">
        <v>2</v>
      </c>
      <c r="ON3028" s="100">
        <f t="shared" si="1006"/>
        <v>76</v>
      </c>
    </row>
    <row r="3029" spans="1:404" ht="23.25" customHeight="1">
      <c r="A3029" s="97" t="str">
        <f t="shared" ref="A3029:A3049" si="1016">D3002&amp;E3002</f>
        <v>463/POTTERYPOT-VG-2166-03000-01-A</v>
      </c>
      <c r="B3029" s="95">
        <v>44627</v>
      </c>
      <c r="C3029" s="97">
        <f t="shared" ca="1" si="994"/>
        <v>-437</v>
      </c>
      <c r="D3029" s="112" t="s">
        <v>2385</v>
      </c>
      <c r="E3029" s="123" t="s">
        <v>47</v>
      </c>
      <c r="F3029" s="98" t="str">
        <f t="shared" si="1014"/>
        <v>B</v>
      </c>
      <c r="G3029" s="110">
        <f ca="1">SUMIF($A:E,#REF!,K:K)</f>
        <v>1754</v>
      </c>
      <c r="H3029" s="97" t="s">
        <v>1593</v>
      </c>
      <c r="I3029" s="175">
        <v>127</v>
      </c>
      <c r="J3029" s="115">
        <v>127</v>
      </c>
      <c r="K3029" s="143">
        <f t="shared" si="986"/>
        <v>132</v>
      </c>
      <c r="L3029" s="144">
        <f t="shared" si="1015"/>
        <v>-5</v>
      </c>
      <c r="M3029" s="275">
        <f t="shared" si="985"/>
        <v>127</v>
      </c>
      <c r="N3029" s="98">
        <v>3</v>
      </c>
      <c r="O3029" s="93">
        <f t="shared" si="1012"/>
        <v>103.93700787401573</v>
      </c>
      <c r="MS3029" s="100">
        <v>2</v>
      </c>
      <c r="MT3029" s="100">
        <v>6</v>
      </c>
      <c r="MU3029" s="100">
        <v>5</v>
      </c>
      <c r="MW3029" s="100">
        <v>7</v>
      </c>
      <c r="MX3029" s="100">
        <v>7</v>
      </c>
      <c r="MY3029" s="100">
        <v>5</v>
      </c>
      <c r="NA3029" s="100">
        <v>6</v>
      </c>
      <c r="ND3029" s="100">
        <v>12</v>
      </c>
      <c r="NE3029" s="100">
        <v>4</v>
      </c>
      <c r="NF3029" s="100">
        <v>6</v>
      </c>
      <c r="NG3029" s="100">
        <v>12</v>
      </c>
      <c r="NI3029" s="100">
        <v>25</v>
      </c>
      <c r="NK3029" s="100">
        <v>12</v>
      </c>
      <c r="NL3029" s="100">
        <v>6</v>
      </c>
      <c r="NM3029" s="100">
        <v>7</v>
      </c>
      <c r="NZ3029" s="100">
        <v>5</v>
      </c>
      <c r="ON3029" s="100">
        <f t="shared" si="1006"/>
        <v>5</v>
      </c>
    </row>
    <row r="3030" spans="1:404" ht="23.25" customHeight="1">
      <c r="A3030" s="97" t="str">
        <f t="shared" si="1016"/>
        <v>463/POTTERYPOT-VG-2166-03000-02-A</v>
      </c>
      <c r="B3030" s="95">
        <v>44627</v>
      </c>
      <c r="C3030" s="97">
        <f t="shared" ca="1" si="994"/>
        <v>-437</v>
      </c>
      <c r="D3030" s="112" t="s">
        <v>2385</v>
      </c>
      <c r="E3030" s="123" t="s">
        <v>639</v>
      </c>
      <c r="F3030" s="98" t="str">
        <f t="shared" si="1014"/>
        <v>B</v>
      </c>
      <c r="G3030" s="110">
        <f ca="1">SUMIF($A:E,#REF!,K:K)</f>
        <v>1754</v>
      </c>
      <c r="H3030" s="97" t="s">
        <v>1593</v>
      </c>
      <c r="I3030" s="175">
        <v>50</v>
      </c>
      <c r="J3030" s="115">
        <v>50</v>
      </c>
      <c r="K3030" s="143">
        <f t="shared" si="986"/>
        <v>94</v>
      </c>
      <c r="L3030" s="144">
        <f t="shared" si="1015"/>
        <v>-44</v>
      </c>
      <c r="M3030" s="275">
        <f t="shared" si="985"/>
        <v>50</v>
      </c>
      <c r="N3030" s="98">
        <v>1</v>
      </c>
      <c r="O3030" s="93">
        <f t="shared" si="1012"/>
        <v>188</v>
      </c>
      <c r="OI3030" s="100">
        <v>6</v>
      </c>
      <c r="OJ3030" s="100">
        <v>17</v>
      </c>
      <c r="OM3030" s="100">
        <f>11+13</f>
        <v>24</v>
      </c>
      <c r="ON3030" s="100">
        <f t="shared" si="1006"/>
        <v>47</v>
      </c>
    </row>
    <row r="3031" spans="1:404" ht="23.25" customHeight="1">
      <c r="A3031" s="97" t="str">
        <f t="shared" si="1016"/>
        <v>463/POTTERYPOT-VG-2166-54100-01-A</v>
      </c>
      <c r="B3031" s="95">
        <v>44571</v>
      </c>
      <c r="C3031" s="97">
        <f t="shared" ca="1" si="994"/>
        <v>-493</v>
      </c>
      <c r="D3031" s="96" t="s">
        <v>2383</v>
      </c>
      <c r="E3031" s="94" t="s">
        <v>1802</v>
      </c>
      <c r="F3031" s="98" t="str">
        <f t="shared" si="1014"/>
        <v>B</v>
      </c>
      <c r="G3031" s="110">
        <f ca="1">SUMIF($A:E,#REF!,K:K)</f>
        <v>1754</v>
      </c>
      <c r="H3031" s="97" t="s">
        <v>508</v>
      </c>
      <c r="I3031" s="98">
        <v>8</v>
      </c>
      <c r="J3031" s="99">
        <v>8</v>
      </c>
      <c r="K3031" s="143">
        <f t="shared" si="986"/>
        <v>8</v>
      </c>
      <c r="L3031" s="144">
        <f t="shared" si="1015"/>
        <v>0</v>
      </c>
      <c r="M3031" s="275">
        <f t="shared" si="985"/>
        <v>8</v>
      </c>
      <c r="N3031" s="98">
        <v>3</v>
      </c>
      <c r="O3031" s="93">
        <f t="shared" si="1012"/>
        <v>100</v>
      </c>
      <c r="MP3031" s="100">
        <v>1</v>
      </c>
      <c r="MQ3031" s="100">
        <v>3</v>
      </c>
      <c r="MT3031" s="100">
        <v>4</v>
      </c>
      <c r="ON3031" s="100">
        <f t="shared" si="1006"/>
        <v>0</v>
      </c>
    </row>
    <row r="3032" spans="1:404" ht="23.25" customHeight="1">
      <c r="A3032" s="97" t="str">
        <f t="shared" ref="A3032" si="1017">D3005&amp;E3005</f>
        <v>463/POTTERYPOT-VG-2166-54100-02-A</v>
      </c>
      <c r="B3032" s="95">
        <v>44571</v>
      </c>
      <c r="C3032" s="97">
        <f t="shared" ca="1" si="994"/>
        <v>-493</v>
      </c>
      <c r="D3032" s="96" t="s">
        <v>2383</v>
      </c>
      <c r="E3032" s="94" t="s">
        <v>1803</v>
      </c>
      <c r="F3032" s="132" t="str">
        <f t="shared" si="1014"/>
        <v>B</v>
      </c>
      <c r="G3032" s="130">
        <f ca="1">SUMIF($A:E,#REF!,K:K)</f>
        <v>1754</v>
      </c>
      <c r="H3032" s="97" t="s">
        <v>508</v>
      </c>
      <c r="I3032" s="98">
        <v>2</v>
      </c>
      <c r="J3032" s="99">
        <v>2</v>
      </c>
      <c r="K3032" s="143">
        <f t="shared" si="986"/>
        <v>2</v>
      </c>
      <c r="L3032" s="144">
        <f t="shared" si="1015"/>
        <v>0</v>
      </c>
      <c r="M3032" s="275">
        <f t="shared" si="985"/>
        <v>2</v>
      </c>
      <c r="N3032" s="98">
        <v>3</v>
      </c>
      <c r="O3032" s="93">
        <f t="shared" si="1012"/>
        <v>100</v>
      </c>
      <c r="MP3032" s="100">
        <v>2</v>
      </c>
      <c r="ON3032" s="100">
        <f t="shared" si="1006"/>
        <v>0</v>
      </c>
    </row>
    <row r="3033" spans="1:404" ht="23.25" customHeight="1">
      <c r="A3033" s="97" t="str">
        <f t="shared" si="1016"/>
        <v>463/POTTERYPOT-VG-2166-55400-02-A</v>
      </c>
      <c r="B3033" s="95">
        <v>44566</v>
      </c>
      <c r="C3033" s="97">
        <f t="shared" ca="1" si="994"/>
        <v>-498</v>
      </c>
      <c r="D3033" s="96" t="s">
        <v>2386</v>
      </c>
      <c r="E3033" s="94" t="s">
        <v>322</v>
      </c>
      <c r="F3033" s="98" t="str">
        <f t="shared" si="1014"/>
        <v>B</v>
      </c>
      <c r="G3033" s="110">
        <f ca="1">SUMIF($A:E,#REF!,K:K)</f>
        <v>1754</v>
      </c>
      <c r="H3033" s="97" t="s">
        <v>1593</v>
      </c>
      <c r="I3033" s="98">
        <v>1</v>
      </c>
      <c r="J3033" s="99">
        <v>1</v>
      </c>
      <c r="K3033" s="143">
        <f t="shared" si="986"/>
        <v>1</v>
      </c>
      <c r="L3033" s="144">
        <f t="shared" si="1015"/>
        <v>0</v>
      </c>
      <c r="M3033" s="275">
        <f t="shared" si="985"/>
        <v>1</v>
      </c>
      <c r="N3033" s="211">
        <v>3</v>
      </c>
      <c r="O3033" s="93">
        <f t="shared" si="1012"/>
        <v>100</v>
      </c>
      <c r="MP3033" s="100">
        <v>1</v>
      </c>
      <c r="ON3033" s="100">
        <f t="shared" si="1006"/>
        <v>0</v>
      </c>
    </row>
    <row r="3034" spans="1:404" ht="23.25" customHeight="1">
      <c r="A3034" s="97" t="str">
        <f t="shared" si="1016"/>
        <v>463/POTTERYPOT-VG-2166-77700-02-A</v>
      </c>
      <c r="B3034" s="95">
        <v>44566</v>
      </c>
      <c r="C3034" s="97">
        <f t="shared" ca="1" si="994"/>
        <v>-498</v>
      </c>
      <c r="D3034" s="96" t="s">
        <v>2387</v>
      </c>
      <c r="E3034" s="94" t="s">
        <v>682</v>
      </c>
      <c r="F3034" s="98" t="str">
        <f t="shared" si="1014"/>
        <v>B</v>
      </c>
      <c r="G3034" s="110">
        <f ca="1">SUMIF($A:E,#REF!,K:K)</f>
        <v>1754</v>
      </c>
      <c r="H3034" s="97" t="s">
        <v>1593</v>
      </c>
      <c r="I3034" s="98">
        <v>1</v>
      </c>
      <c r="J3034" s="99">
        <v>1</v>
      </c>
      <c r="K3034" s="143">
        <f t="shared" si="986"/>
        <v>1</v>
      </c>
      <c r="L3034" s="144">
        <f t="shared" ref="L3034:L3035" si="1018">J3034-K3034</f>
        <v>0</v>
      </c>
      <c r="M3034" s="275">
        <f t="shared" si="985"/>
        <v>2</v>
      </c>
      <c r="N3034" s="211">
        <v>4</v>
      </c>
      <c r="O3034" s="93">
        <f t="shared" si="1012"/>
        <v>100</v>
      </c>
      <c r="MR3034" s="100">
        <v>1</v>
      </c>
      <c r="ON3034" s="100">
        <f t="shared" si="1006"/>
        <v>0</v>
      </c>
    </row>
    <row r="3035" spans="1:404" ht="23.25" customHeight="1">
      <c r="A3035" s="97" t="str">
        <f t="shared" si="1016"/>
        <v>463/POTTERYPOT-VG-2166-77900-01-A</v>
      </c>
      <c r="B3035" s="95">
        <v>44566</v>
      </c>
      <c r="C3035" s="97">
        <f t="shared" ca="1" si="994"/>
        <v>-498</v>
      </c>
      <c r="D3035" s="96" t="s">
        <v>2387</v>
      </c>
      <c r="E3035" s="94" t="s">
        <v>1160</v>
      </c>
      <c r="F3035" s="98" t="str">
        <f t="shared" si="1014"/>
        <v>B</v>
      </c>
      <c r="G3035" s="110">
        <f ca="1">SUMIF($A:E,#REF!,K:K)</f>
        <v>1754</v>
      </c>
      <c r="H3035" s="97" t="s">
        <v>1593</v>
      </c>
      <c r="I3035" s="98">
        <v>1</v>
      </c>
      <c r="J3035" s="99">
        <v>1</v>
      </c>
      <c r="K3035" s="143">
        <f t="shared" si="986"/>
        <v>1</v>
      </c>
      <c r="L3035" s="144">
        <f t="shared" si="1018"/>
        <v>0</v>
      </c>
      <c r="M3035" s="275">
        <f t="shared" si="985"/>
        <v>1</v>
      </c>
      <c r="N3035" s="211">
        <v>3</v>
      </c>
      <c r="O3035" s="93">
        <f t="shared" si="1012"/>
        <v>100</v>
      </c>
      <c r="MX3035" s="100">
        <v>1</v>
      </c>
      <c r="ON3035" s="100">
        <f t="shared" si="1006"/>
        <v>0</v>
      </c>
    </row>
    <row r="3036" spans="1:404" ht="23.25" customHeight="1">
      <c r="A3036" s="97" t="str">
        <f t="shared" si="1016"/>
        <v>463/POTTERYPOT-VG-2166-77900-02-A</v>
      </c>
      <c r="B3036" s="95">
        <v>44566</v>
      </c>
      <c r="C3036" s="97">
        <f t="shared" ca="1" si="994"/>
        <v>-498</v>
      </c>
      <c r="D3036" s="96" t="s">
        <v>2388</v>
      </c>
      <c r="E3036" s="94" t="s">
        <v>2389</v>
      </c>
      <c r="F3036" s="98" t="str">
        <f t="shared" si="1014"/>
        <v>B4</v>
      </c>
      <c r="G3036" s="110">
        <f ca="1">SUMIF($A:E,#REF!,K:K)</f>
        <v>1754</v>
      </c>
      <c r="H3036" s="97" t="s">
        <v>1593</v>
      </c>
      <c r="I3036" s="98">
        <v>4</v>
      </c>
      <c r="J3036" s="99">
        <v>4</v>
      </c>
      <c r="K3036" s="143">
        <f t="shared" si="986"/>
        <v>4</v>
      </c>
      <c r="L3036" s="144">
        <f t="shared" ref="L3036:L3039" si="1019">J3036-K3036</f>
        <v>0</v>
      </c>
      <c r="M3036" s="275">
        <f t="shared" si="985"/>
        <v>8</v>
      </c>
      <c r="N3036" s="211">
        <v>2</v>
      </c>
      <c r="O3036" s="93">
        <f t="shared" si="1012"/>
        <v>100</v>
      </c>
      <c r="MQ3036" s="100">
        <v>4</v>
      </c>
      <c r="ON3036" s="100">
        <f t="shared" si="1006"/>
        <v>0</v>
      </c>
    </row>
    <row r="3037" spans="1:404" ht="23.25" customHeight="1">
      <c r="A3037" s="97" t="str">
        <f t="shared" si="1016"/>
        <v>463/POTTERYPOT-VG-2166-03000-01-A1(phen)</v>
      </c>
      <c r="B3037" s="95">
        <v>44566</v>
      </c>
      <c r="C3037" s="97">
        <f t="shared" ca="1" si="994"/>
        <v>-498</v>
      </c>
      <c r="D3037" s="96" t="s">
        <v>2388</v>
      </c>
      <c r="E3037" s="94" t="s">
        <v>2295</v>
      </c>
      <c r="F3037" s="98" t="str">
        <f t="shared" si="1014"/>
        <v>B4</v>
      </c>
      <c r="G3037" s="110">
        <f ca="1">SUMIF($A:E,#REF!,K:K)</f>
        <v>1754</v>
      </c>
      <c r="H3037" s="97" t="s">
        <v>1593</v>
      </c>
      <c r="I3037" s="98">
        <v>3</v>
      </c>
      <c r="J3037" s="99">
        <v>3</v>
      </c>
      <c r="K3037" s="143">
        <f t="shared" si="986"/>
        <v>3</v>
      </c>
      <c r="L3037" s="144">
        <f t="shared" si="1019"/>
        <v>0</v>
      </c>
      <c r="M3037" s="275">
        <f t="shared" si="985"/>
        <v>3</v>
      </c>
      <c r="N3037" s="211">
        <v>2</v>
      </c>
      <c r="O3037" s="93">
        <f t="shared" si="1012"/>
        <v>100</v>
      </c>
      <c r="MP3037" s="100">
        <v>3</v>
      </c>
      <c r="ON3037" s="100">
        <f t="shared" si="1006"/>
        <v>0</v>
      </c>
    </row>
    <row r="3038" spans="1:404" ht="23.25" customHeight="1">
      <c r="A3038" s="97" t="str">
        <f t="shared" si="1016"/>
        <v>463/POTTERYPOT-VG-2166-03000-02-A1(phen)</v>
      </c>
      <c r="B3038" s="95">
        <v>44566</v>
      </c>
      <c r="C3038" s="97">
        <f t="shared" ca="1" si="994"/>
        <v>-498</v>
      </c>
      <c r="D3038" s="96" t="s">
        <v>2388</v>
      </c>
      <c r="E3038" s="94" t="s">
        <v>318</v>
      </c>
      <c r="F3038" s="98" t="str">
        <f t="shared" si="1014"/>
        <v>B</v>
      </c>
      <c r="G3038" s="110">
        <f ca="1">SUMIF($A:E,#REF!,K:K)</f>
        <v>1754</v>
      </c>
      <c r="H3038" s="97" t="s">
        <v>1593</v>
      </c>
      <c r="I3038" s="98">
        <v>1</v>
      </c>
      <c r="J3038" s="99">
        <v>1</v>
      </c>
      <c r="K3038" s="143">
        <f t="shared" si="986"/>
        <v>1</v>
      </c>
      <c r="L3038" s="144">
        <f t="shared" si="1019"/>
        <v>0</v>
      </c>
      <c r="M3038" s="275">
        <f t="shared" si="985"/>
        <v>1</v>
      </c>
      <c r="N3038" s="211">
        <v>1</v>
      </c>
      <c r="O3038" s="93">
        <f t="shared" si="1012"/>
        <v>100</v>
      </c>
      <c r="MP3038" s="100">
        <v>1</v>
      </c>
      <c r="ON3038" s="100">
        <f t="shared" si="1006"/>
        <v>0</v>
      </c>
    </row>
    <row r="3039" spans="1:404" ht="23.25" customHeight="1">
      <c r="A3039" s="97" t="str">
        <f t="shared" si="1016"/>
        <v>339/KHBS-21(005/METRO-VG-21)66-06422-02-B</v>
      </c>
      <c r="B3039" s="95">
        <v>44566</v>
      </c>
      <c r="C3039" s="97">
        <f t="shared" ca="1" si="994"/>
        <v>-498</v>
      </c>
      <c r="D3039" s="96" t="s">
        <v>2388</v>
      </c>
      <c r="E3039" s="94" t="s">
        <v>627</v>
      </c>
      <c r="F3039" s="98" t="str">
        <f t="shared" si="1014"/>
        <v>B</v>
      </c>
      <c r="G3039" s="110">
        <f ca="1">SUMIF($A:E,#REF!,K:K)</f>
        <v>1754</v>
      </c>
      <c r="H3039" s="97" t="s">
        <v>1593</v>
      </c>
      <c r="I3039" s="98">
        <v>2</v>
      </c>
      <c r="J3039" s="99">
        <v>2</v>
      </c>
      <c r="K3039" s="143">
        <f t="shared" si="986"/>
        <v>2</v>
      </c>
      <c r="L3039" s="144">
        <f t="shared" si="1019"/>
        <v>0</v>
      </c>
      <c r="M3039" s="275">
        <f t="shared" si="985"/>
        <v>2</v>
      </c>
      <c r="N3039" s="211">
        <v>4</v>
      </c>
      <c r="O3039" s="93">
        <f t="shared" si="1012"/>
        <v>100</v>
      </c>
      <c r="MP3039" s="100">
        <v>2</v>
      </c>
      <c r="ON3039" s="100">
        <f t="shared" si="1006"/>
        <v>0</v>
      </c>
    </row>
    <row r="3040" spans="1:404" ht="23.25" customHeight="1">
      <c r="A3040" s="97" t="str">
        <f t="shared" si="1016"/>
        <v>339/KHBS-21(005/METRO-VG-21)66-06422-02-B</v>
      </c>
      <c r="B3040" s="95">
        <v>44566</v>
      </c>
      <c r="C3040" s="97">
        <f t="shared" ca="1" si="994"/>
        <v>-498</v>
      </c>
      <c r="D3040" s="223" t="s">
        <v>2395</v>
      </c>
      <c r="E3040" s="251" t="s">
        <v>1111</v>
      </c>
      <c r="F3040" s="132" t="str">
        <f t="shared" ref="F3040:F3041" si="1020">MID(E3040,13,2)</f>
        <v>B</v>
      </c>
      <c r="G3040" s="130">
        <f ca="1">SUMIF($A:E,#REF!,K:K)</f>
        <v>1754</v>
      </c>
      <c r="H3040" s="127" t="s">
        <v>1593</v>
      </c>
      <c r="I3040" s="132">
        <v>1</v>
      </c>
      <c r="J3040" s="131">
        <v>1</v>
      </c>
      <c r="K3040" s="160">
        <f t="shared" ref="K3040:K3103" si="1021">SUM(P3040:BBC3040)</f>
        <v>1</v>
      </c>
      <c r="L3040" s="151">
        <f t="shared" ref="L3040:L3049" si="1022">J3040-K3040</f>
        <v>0</v>
      </c>
      <c r="M3040" s="275">
        <f t="shared" ref="M3040:M3048" si="1023">IF(OR(MID(E3040,10,1)="0",MID(E3040,10,1)="F"),I3040,IF(OR(,MID(E3040,10,1)="S",MID(E3040,10,1)="L",MID(E3040,10,1)="B",MID(E3040,10,1)="X"),MID(E3040,11,1)*I3040,0))</f>
        <v>1</v>
      </c>
      <c r="N3040" s="245">
        <v>6</v>
      </c>
      <c r="O3040" s="93">
        <f t="shared" si="1012"/>
        <v>100</v>
      </c>
      <c r="MP3040" s="100">
        <v>1</v>
      </c>
      <c r="ON3040" s="100">
        <f t="shared" si="1006"/>
        <v>0</v>
      </c>
    </row>
    <row r="3041" spans="1:404" ht="23.25" customHeight="1">
      <c r="A3041" s="97" t="str">
        <f t="shared" si="1016"/>
        <v>338/KHBS-2166-55437-02-B4</v>
      </c>
      <c r="B3041" s="95">
        <v>44576</v>
      </c>
      <c r="C3041" s="97">
        <f t="shared" ca="1" si="994"/>
        <v>-488</v>
      </c>
      <c r="D3041" s="96" t="s">
        <v>2400</v>
      </c>
      <c r="E3041" s="94" t="s">
        <v>1191</v>
      </c>
      <c r="F3041" s="98" t="str">
        <f t="shared" si="1020"/>
        <v>B</v>
      </c>
      <c r="G3041" s="110">
        <f ca="1">SUMIF($A:E,#REF!,K:K)</f>
        <v>1754</v>
      </c>
      <c r="H3041" s="97" t="s">
        <v>616</v>
      </c>
      <c r="I3041" s="98">
        <v>3</v>
      </c>
      <c r="J3041" s="99">
        <v>3</v>
      </c>
      <c r="K3041" s="143">
        <f t="shared" si="1021"/>
        <v>3</v>
      </c>
      <c r="L3041" s="144">
        <f t="shared" si="1022"/>
        <v>0</v>
      </c>
      <c r="M3041" s="275">
        <f t="shared" si="1023"/>
        <v>3</v>
      </c>
      <c r="N3041" s="98">
        <v>6</v>
      </c>
      <c r="O3041" s="93">
        <f t="shared" si="1012"/>
        <v>100</v>
      </c>
      <c r="NF3041" s="100">
        <v>3</v>
      </c>
      <c r="ON3041" s="100">
        <f t="shared" si="1006"/>
        <v>0</v>
      </c>
    </row>
    <row r="3042" spans="1:404" ht="23.25" customHeight="1">
      <c r="A3042" s="97" t="str">
        <f t="shared" si="1016"/>
        <v>338/KHBS-2166-51620-03-B4</v>
      </c>
      <c r="B3042" s="95">
        <v>44576</v>
      </c>
      <c r="C3042" s="97">
        <f t="shared" ca="1" si="994"/>
        <v>-488</v>
      </c>
      <c r="D3042" s="96" t="s">
        <v>2400</v>
      </c>
      <c r="E3042" s="94" t="s">
        <v>1191</v>
      </c>
      <c r="F3042" s="98" t="str">
        <f t="shared" ref="F3042:F3058" si="1024">MID(E3042,13,2)</f>
        <v>B</v>
      </c>
      <c r="G3042" s="110">
        <f ca="1">SUMIF($A:E,#REF!,K:K)</f>
        <v>1754</v>
      </c>
      <c r="H3042" s="97" t="s">
        <v>616</v>
      </c>
      <c r="I3042" s="98">
        <v>1</v>
      </c>
      <c r="J3042" s="99">
        <v>1</v>
      </c>
      <c r="K3042" s="143">
        <f t="shared" si="1021"/>
        <v>1</v>
      </c>
      <c r="L3042" s="144">
        <f t="shared" si="1022"/>
        <v>0</v>
      </c>
      <c r="M3042" s="275">
        <f t="shared" si="1023"/>
        <v>1</v>
      </c>
      <c r="N3042" s="98">
        <v>6</v>
      </c>
      <c r="O3042" s="93">
        <f t="shared" si="1012"/>
        <v>100</v>
      </c>
      <c r="MW3042" s="100">
        <v>1</v>
      </c>
      <c r="ON3042" s="100">
        <f t="shared" si="1006"/>
        <v>0</v>
      </c>
    </row>
    <row r="3043" spans="1:404" ht="23.25" customHeight="1">
      <c r="A3043" s="97" t="str">
        <f t="shared" si="1016"/>
        <v>338/KHBS-2168-54400-02-B</v>
      </c>
      <c r="B3043" s="95">
        <v>44569</v>
      </c>
      <c r="C3043" s="97">
        <f t="shared" ca="1" si="994"/>
        <v>-495</v>
      </c>
      <c r="D3043" s="96" t="s">
        <v>2400</v>
      </c>
      <c r="E3043" s="94" t="s">
        <v>2401</v>
      </c>
      <c r="F3043" s="98" t="str">
        <f t="shared" si="1024"/>
        <v>B4</v>
      </c>
      <c r="G3043" s="110">
        <f ca="1">SUMIF($A:E,#REF!,K:K)</f>
        <v>1754</v>
      </c>
      <c r="H3043" s="97" t="s">
        <v>616</v>
      </c>
      <c r="I3043" s="98">
        <v>8</v>
      </c>
      <c r="J3043" s="99">
        <v>8</v>
      </c>
      <c r="K3043" s="143">
        <f t="shared" si="1021"/>
        <v>8</v>
      </c>
      <c r="L3043" s="144">
        <f t="shared" si="1022"/>
        <v>0</v>
      </c>
      <c r="M3043" s="275">
        <f t="shared" si="1023"/>
        <v>8</v>
      </c>
      <c r="N3043" s="98">
        <v>2</v>
      </c>
      <c r="O3043" s="93">
        <f t="shared" si="1012"/>
        <v>100</v>
      </c>
      <c r="MS3043" s="100">
        <v>4</v>
      </c>
      <c r="MU3043" s="100">
        <v>4</v>
      </c>
      <c r="ON3043" s="100">
        <f t="shared" si="1006"/>
        <v>0</v>
      </c>
    </row>
    <row r="3044" spans="1:404" ht="23.25" customHeight="1">
      <c r="A3044" s="97" t="str">
        <f t="shared" si="1016"/>
        <v>337/KHBS-21( 049T/WESTELM-21)66-88200-01-B</v>
      </c>
      <c r="B3044" s="95">
        <v>44569</v>
      </c>
      <c r="C3044" s="97">
        <f t="shared" ca="1" si="994"/>
        <v>-495</v>
      </c>
      <c r="D3044" s="96" t="s">
        <v>2400</v>
      </c>
      <c r="E3044" s="94" t="s">
        <v>1536</v>
      </c>
      <c r="F3044" s="98" t="str">
        <f t="shared" si="1024"/>
        <v>B4</v>
      </c>
      <c r="G3044" s="110">
        <f ca="1">SUMIF($A:E,#REF!,K:K)</f>
        <v>1754</v>
      </c>
      <c r="H3044" s="97" t="s">
        <v>616</v>
      </c>
      <c r="I3044" s="98">
        <v>2</v>
      </c>
      <c r="J3044" s="99">
        <v>2</v>
      </c>
      <c r="K3044" s="143">
        <f t="shared" si="1021"/>
        <v>2</v>
      </c>
      <c r="L3044" s="144">
        <f t="shared" si="1022"/>
        <v>0</v>
      </c>
      <c r="M3044" s="275">
        <f t="shared" si="1023"/>
        <v>2</v>
      </c>
      <c r="N3044" s="98">
        <v>2</v>
      </c>
      <c r="O3044" s="93">
        <f t="shared" si="1012"/>
        <v>100</v>
      </c>
      <c r="ND3044" s="100">
        <v>2</v>
      </c>
      <c r="ON3044" s="100">
        <f t="shared" si="1006"/>
        <v>0</v>
      </c>
    </row>
    <row r="3045" spans="1:404" ht="23.25" customHeight="1">
      <c r="A3045" s="97" t="str">
        <f t="shared" si="1016"/>
        <v>337/KHBS-21(035T/WESTELM-21)66-83200-02-B</v>
      </c>
      <c r="B3045" s="95">
        <v>44569</v>
      </c>
      <c r="C3045" s="97">
        <f t="shared" ca="1" si="994"/>
        <v>-495</v>
      </c>
      <c r="D3045" s="96" t="s">
        <v>2400</v>
      </c>
      <c r="E3045" s="94" t="s">
        <v>1185</v>
      </c>
      <c r="F3045" s="98" t="str">
        <f t="shared" si="1024"/>
        <v>B4</v>
      </c>
      <c r="G3045" s="110">
        <f ca="1">SUMIF($A:E,#REF!,K:K)</f>
        <v>1754</v>
      </c>
      <c r="H3045" s="97" t="s">
        <v>616</v>
      </c>
      <c r="I3045" s="98">
        <v>1</v>
      </c>
      <c r="J3045" s="99">
        <v>1</v>
      </c>
      <c r="K3045" s="143">
        <f t="shared" si="1021"/>
        <v>1</v>
      </c>
      <c r="L3045" s="144">
        <f t="shared" si="1022"/>
        <v>0</v>
      </c>
      <c r="M3045" s="275">
        <f t="shared" si="1023"/>
        <v>1</v>
      </c>
      <c r="N3045" s="98">
        <v>2</v>
      </c>
      <c r="O3045" s="93">
        <f t="shared" si="1012"/>
        <v>100</v>
      </c>
      <c r="ND3045" s="100">
        <v>1</v>
      </c>
      <c r="ON3045" s="100">
        <f t="shared" si="1006"/>
        <v>0</v>
      </c>
    </row>
    <row r="3046" spans="1:404" ht="23.25" customHeight="1">
      <c r="A3046" s="97" t="str">
        <f t="shared" si="1016"/>
        <v>337/KHBS-21(035T/WESTELM-21)66-83237-01-B4</v>
      </c>
      <c r="B3046" s="95">
        <v>44565</v>
      </c>
      <c r="C3046" s="97">
        <f t="shared" ca="1" si="994"/>
        <v>-499</v>
      </c>
      <c r="D3046" s="96" t="s">
        <v>2403</v>
      </c>
      <c r="E3046" s="94" t="s">
        <v>955</v>
      </c>
      <c r="F3046" s="98" t="str">
        <f t="shared" si="1024"/>
        <v>B</v>
      </c>
      <c r="G3046" s="110">
        <f ca="1">SUMIF($A:E,$A3046,K:K)</f>
        <v>2</v>
      </c>
      <c r="H3046" s="97" t="s">
        <v>1593</v>
      </c>
      <c r="I3046" s="98">
        <v>1</v>
      </c>
      <c r="J3046" s="99">
        <v>1</v>
      </c>
      <c r="K3046" s="143">
        <f t="shared" si="1021"/>
        <v>1</v>
      </c>
      <c r="L3046" s="144">
        <f t="shared" si="1022"/>
        <v>0</v>
      </c>
      <c r="M3046" s="275">
        <f t="shared" si="1023"/>
        <v>1</v>
      </c>
      <c r="N3046" s="98">
        <v>1</v>
      </c>
      <c r="O3046" s="93">
        <f t="shared" si="1012"/>
        <v>100</v>
      </c>
      <c r="MS3046" s="100">
        <v>1</v>
      </c>
      <c r="ON3046" s="100">
        <f t="shared" si="1006"/>
        <v>0</v>
      </c>
    </row>
    <row r="3047" spans="1:404" ht="23.25" customHeight="1">
      <c r="A3047" s="97" t="str">
        <f t="shared" si="1016"/>
        <v>337/KHBS-21(006/MARSHALLS-21)66-07900-03-B</v>
      </c>
      <c r="B3047" s="95">
        <v>44565</v>
      </c>
      <c r="C3047" s="97">
        <f t="shared" ca="1" si="994"/>
        <v>-499</v>
      </c>
      <c r="D3047" s="96" t="s">
        <v>2403</v>
      </c>
      <c r="E3047" s="94" t="s">
        <v>1081</v>
      </c>
      <c r="F3047" s="98" t="str">
        <f t="shared" si="1024"/>
        <v>B4</v>
      </c>
      <c r="G3047" s="110">
        <f ca="1">SUMIF($A:E,#REF!,K:K)</f>
        <v>1754</v>
      </c>
      <c r="H3047" s="97" t="s">
        <v>1593</v>
      </c>
      <c r="I3047" s="98">
        <v>1</v>
      </c>
      <c r="J3047" s="99">
        <v>1</v>
      </c>
      <c r="K3047" s="143">
        <f t="shared" si="1021"/>
        <v>1</v>
      </c>
      <c r="L3047" s="144">
        <f t="shared" si="1022"/>
        <v>0</v>
      </c>
      <c r="M3047" s="275">
        <f t="shared" si="1023"/>
        <v>1</v>
      </c>
      <c r="N3047" s="98">
        <v>1</v>
      </c>
      <c r="O3047" s="93">
        <f t="shared" si="1012"/>
        <v>100</v>
      </c>
      <c r="MS3047" s="100">
        <v>1</v>
      </c>
      <c r="ON3047" s="100">
        <f t="shared" si="1006"/>
        <v>0</v>
      </c>
    </row>
    <row r="3048" spans="1:404" ht="23.25" customHeight="1">
      <c r="A3048" s="97" t="str">
        <f t="shared" si="1016"/>
        <v>085/VG_SR-21(WESTELM)66-90300-S1-A</v>
      </c>
      <c r="B3048" s="95">
        <v>44565</v>
      </c>
      <c r="C3048" s="97">
        <f t="shared" ca="1" si="994"/>
        <v>-499</v>
      </c>
      <c r="D3048" s="111" t="s">
        <v>1345</v>
      </c>
      <c r="E3048" s="225" t="s">
        <v>1199</v>
      </c>
      <c r="F3048" s="98" t="str">
        <f t="shared" si="1024"/>
        <v>A</v>
      </c>
      <c r="G3048" s="110">
        <f ca="1">SUMIF($A:E,#REF!,K:K)</f>
        <v>1754</v>
      </c>
      <c r="H3048" s="97" t="s">
        <v>927</v>
      </c>
      <c r="I3048" s="98">
        <v>118</v>
      </c>
      <c r="J3048" s="99">
        <v>118</v>
      </c>
      <c r="K3048" s="143">
        <f t="shared" si="1021"/>
        <v>118</v>
      </c>
      <c r="L3048" s="144">
        <f t="shared" si="1022"/>
        <v>0</v>
      </c>
      <c r="M3048" s="317">
        <f t="shared" si="1023"/>
        <v>118</v>
      </c>
      <c r="N3048" s="98" t="s">
        <v>1776</v>
      </c>
      <c r="O3048" s="93">
        <f t="shared" ref="O3048:O3102" si="1025">K3048/J3048*100</f>
        <v>100</v>
      </c>
      <c r="MT3048" s="100">
        <v>10</v>
      </c>
      <c r="MU3048" s="100">
        <v>19</v>
      </c>
      <c r="MW3048" s="100">
        <v>18</v>
      </c>
      <c r="MX3048" s="100">
        <v>12</v>
      </c>
      <c r="MY3048" s="100">
        <v>20</v>
      </c>
      <c r="MZ3048" s="100">
        <v>34</v>
      </c>
      <c r="NA3048" s="100">
        <v>1</v>
      </c>
      <c r="ND3048" s="100">
        <v>4</v>
      </c>
      <c r="ON3048" s="100">
        <f t="shared" si="1006"/>
        <v>0</v>
      </c>
    </row>
    <row r="3049" spans="1:404" ht="23.25" customHeight="1">
      <c r="A3049" s="97" t="str">
        <f t="shared" si="1016"/>
        <v>085/VG_SR-21(WESTELM)66-90400-S1-A</v>
      </c>
      <c r="B3049" s="95">
        <v>44612</v>
      </c>
      <c r="C3049" s="97">
        <f t="shared" ca="1" si="994"/>
        <v>-452</v>
      </c>
      <c r="D3049" s="112" t="s">
        <v>2404</v>
      </c>
      <c r="E3049" s="259" t="s">
        <v>2349</v>
      </c>
      <c r="F3049" s="133" t="str">
        <f t="shared" si="1024"/>
        <v>B</v>
      </c>
      <c r="G3049" s="110">
        <f ca="1">SUMIF($A:E,$A3049,K:K)</f>
        <v>748</v>
      </c>
      <c r="H3049" s="379" t="s">
        <v>2352</v>
      </c>
      <c r="I3049" s="236">
        <v>540</v>
      </c>
      <c r="J3049" s="240">
        <v>540</v>
      </c>
      <c r="K3049" s="166">
        <f t="shared" si="1021"/>
        <v>743</v>
      </c>
      <c r="L3049" s="150">
        <f t="shared" si="1022"/>
        <v>-203</v>
      </c>
      <c r="N3049" s="133">
        <v>2</v>
      </c>
      <c r="O3049" s="93">
        <f t="shared" si="1025"/>
        <v>137.59259259259261</v>
      </c>
      <c r="ND3049" s="100">
        <v>13</v>
      </c>
      <c r="NE3049" s="100">
        <v>19</v>
      </c>
      <c r="NF3049" s="100">
        <v>48</v>
      </c>
      <c r="NG3049" s="100">
        <v>11</v>
      </c>
      <c r="NI3049" s="100">
        <v>33</v>
      </c>
      <c r="NK3049" s="100">
        <v>61</v>
      </c>
      <c r="NL3049" s="100">
        <v>71</v>
      </c>
      <c r="NM3049" s="100">
        <v>26</v>
      </c>
      <c r="NN3049" s="100">
        <v>55</v>
      </c>
      <c r="NS3049" s="100">
        <v>33</v>
      </c>
      <c r="NT3049" s="100">
        <v>27</v>
      </c>
      <c r="NU3049" s="100">
        <v>14</v>
      </c>
      <c r="NV3049" s="100">
        <v>37</v>
      </c>
      <c r="NY3049" s="100">
        <v>54</v>
      </c>
      <c r="NZ3049" s="100">
        <v>32</v>
      </c>
      <c r="OB3049" s="100">
        <v>6</v>
      </c>
      <c r="ON3049" s="100">
        <f t="shared" si="1006"/>
        <v>203</v>
      </c>
    </row>
    <row r="3050" spans="1:404" ht="23.25" customHeight="1">
      <c r="A3050" s="97" t="str">
        <f t="shared" ref="A3050:A3051" si="1026">D3023&amp;E3023</f>
        <v>085/VG_SR-21(WESTELM)66-90500-S1-A</v>
      </c>
      <c r="B3050" s="95">
        <v>44612</v>
      </c>
      <c r="C3050" s="97">
        <f t="shared" ca="1" si="994"/>
        <v>-452</v>
      </c>
      <c r="D3050" s="112" t="s">
        <v>2509</v>
      </c>
      <c r="E3050" s="123" t="s">
        <v>2349</v>
      </c>
      <c r="F3050" s="98" t="s">
        <v>561</v>
      </c>
      <c r="G3050" s="110">
        <f ca="1">SUMIF($A:E,$A3050,K:K)</f>
        <v>360</v>
      </c>
      <c r="H3050" s="318" t="s">
        <v>2352</v>
      </c>
      <c r="I3050" s="175">
        <v>300</v>
      </c>
      <c r="J3050" s="115">
        <v>300</v>
      </c>
      <c r="K3050" s="143">
        <f t="shared" si="1021"/>
        <v>355</v>
      </c>
      <c r="L3050" s="144">
        <f t="shared" ref="L3050:L3059" si="1027">J3050-K3050</f>
        <v>-55</v>
      </c>
      <c r="M3050" s="98"/>
      <c r="N3050" s="98">
        <v>3</v>
      </c>
      <c r="O3050" s="93">
        <f t="shared" si="1025"/>
        <v>118.33333333333333</v>
      </c>
      <c r="MX3050" s="100">
        <v>11</v>
      </c>
      <c r="MY3050" s="100">
        <v>3</v>
      </c>
      <c r="NA3050" s="100">
        <v>27</v>
      </c>
      <c r="NE3050" s="100">
        <f>25+15</f>
        <v>40</v>
      </c>
      <c r="NF3050" s="100">
        <v>17</v>
      </c>
      <c r="NG3050" s="100">
        <v>38</v>
      </c>
      <c r="NI3050" s="100">
        <v>13</v>
      </c>
      <c r="NK3050" s="100">
        <v>21</v>
      </c>
      <c r="NL3050" s="100">
        <v>40</v>
      </c>
      <c r="NM3050" s="100">
        <v>21</v>
      </c>
      <c r="NN3050" s="100">
        <v>14</v>
      </c>
      <c r="NS3050" s="100">
        <v>31</v>
      </c>
      <c r="NT3050" s="100">
        <v>18</v>
      </c>
      <c r="NV3050" s="100">
        <v>6</v>
      </c>
      <c r="ON3050" s="100">
        <f t="shared" si="1006"/>
        <v>55</v>
      </c>
    </row>
    <row r="3051" spans="1:404" ht="23.25" customHeight="1">
      <c r="A3051" s="97" t="str">
        <f t="shared" si="1026"/>
        <v>071T/WESTELM-2166-70337-03-B4</v>
      </c>
      <c r="B3051" s="95">
        <v>44612</v>
      </c>
      <c r="C3051" s="97">
        <f t="shared" ca="1" si="994"/>
        <v>-452</v>
      </c>
      <c r="D3051" s="112" t="s">
        <v>2405</v>
      </c>
      <c r="E3051" s="123" t="s">
        <v>2349</v>
      </c>
      <c r="F3051" s="98" t="str">
        <f t="shared" si="1024"/>
        <v>B</v>
      </c>
      <c r="G3051" s="110">
        <f ca="1">SUMIF($A:E,$A3051,K:K)</f>
        <v>321</v>
      </c>
      <c r="H3051" s="318" t="s">
        <v>2352</v>
      </c>
      <c r="I3051" s="175">
        <v>240</v>
      </c>
      <c r="J3051" s="115">
        <v>240</v>
      </c>
      <c r="K3051" s="143">
        <f t="shared" si="1021"/>
        <v>312</v>
      </c>
      <c r="L3051" s="144">
        <f t="shared" si="1027"/>
        <v>-72</v>
      </c>
      <c r="N3051" s="98">
        <v>4</v>
      </c>
      <c r="O3051" s="93">
        <f t="shared" si="1025"/>
        <v>130</v>
      </c>
      <c r="MZ3051" s="100">
        <v>9</v>
      </c>
      <c r="NA3051" s="100">
        <v>13</v>
      </c>
      <c r="ND3051" s="100">
        <v>9</v>
      </c>
      <c r="NE3051" s="100">
        <v>4</v>
      </c>
      <c r="NF3051" s="100">
        <v>39</v>
      </c>
      <c r="NG3051" s="100">
        <v>4</v>
      </c>
      <c r="NI3051" s="100">
        <v>24</v>
      </c>
      <c r="NK3051" s="100">
        <v>20</v>
      </c>
      <c r="NL3051" s="100">
        <v>15</v>
      </c>
      <c r="NM3051" s="100">
        <v>21</v>
      </c>
      <c r="NN3051" s="100">
        <v>10</v>
      </c>
      <c r="NS3051" s="100">
        <v>37</v>
      </c>
      <c r="NT3051" s="100">
        <v>16</v>
      </c>
      <c r="NU3051" s="100">
        <v>6</v>
      </c>
      <c r="NV3051" s="100">
        <v>12</v>
      </c>
      <c r="NY3051" s="100">
        <v>1</v>
      </c>
      <c r="ON3051" s="100">
        <f t="shared" si="1006"/>
        <v>72</v>
      </c>
    </row>
    <row r="3052" spans="1:404" ht="23.25" customHeight="1">
      <c r="A3052" s="97" t="s">
        <v>2510</v>
      </c>
      <c r="B3052" s="95">
        <v>44615</v>
      </c>
      <c r="C3052" s="97">
        <f t="shared" ca="1" si="994"/>
        <v>-449</v>
      </c>
      <c r="D3052" s="112" t="s">
        <v>2511</v>
      </c>
      <c r="E3052" s="123" t="s">
        <v>2349</v>
      </c>
      <c r="F3052" s="98" t="s">
        <v>561</v>
      </c>
      <c r="G3052" s="110">
        <v>18</v>
      </c>
      <c r="H3052" s="318" t="s">
        <v>2352</v>
      </c>
      <c r="I3052" s="175">
        <v>300</v>
      </c>
      <c r="J3052" s="115">
        <v>300</v>
      </c>
      <c r="K3052" s="143">
        <f t="shared" si="1021"/>
        <v>600</v>
      </c>
      <c r="L3052" s="144">
        <f t="shared" ref="L3052:L3057" si="1028">J3052-K3052</f>
        <v>-300</v>
      </c>
      <c r="M3052" s="98"/>
      <c r="N3052" s="98">
        <v>1</v>
      </c>
      <c r="O3052" s="93">
        <f t="shared" si="1025"/>
        <v>200</v>
      </c>
      <c r="NZ3052" s="100">
        <v>27</v>
      </c>
      <c r="OA3052" s="100">
        <v>9</v>
      </c>
      <c r="OG3052" s="100">
        <v>64</v>
      </c>
      <c r="OH3052" s="100">
        <v>71</v>
      </c>
      <c r="OI3052" s="100">
        <v>16</v>
      </c>
      <c r="OJ3052" s="100">
        <v>39</v>
      </c>
      <c r="OK3052" s="100">
        <v>19</v>
      </c>
      <c r="OM3052" s="100">
        <v>55</v>
      </c>
      <c r="ON3052" s="100">
        <f t="shared" si="1006"/>
        <v>300</v>
      </c>
    </row>
    <row r="3053" spans="1:404" ht="22.5" customHeight="1">
      <c r="A3053" s="97" t="str">
        <f>D3025&amp;E3025</f>
        <v>071T/WESTELM-2166-83237-02-B4</v>
      </c>
      <c r="B3053" s="95">
        <v>44615</v>
      </c>
      <c r="C3053" s="97">
        <f t="shared" ca="1" si="994"/>
        <v>-449</v>
      </c>
      <c r="D3053" s="112" t="s">
        <v>2406</v>
      </c>
      <c r="E3053" s="123" t="s">
        <v>2349</v>
      </c>
      <c r="F3053" s="92" t="str">
        <f t="shared" ref="F3053" si="1029">MID(E3053,13,2)</f>
        <v>B</v>
      </c>
      <c r="G3053" s="109">
        <f ca="1">SUMIF($A:E,$A3053,K:K)</f>
        <v>922</v>
      </c>
      <c r="H3053" s="318" t="s">
        <v>2352</v>
      </c>
      <c r="I3053" s="175">
        <v>240</v>
      </c>
      <c r="J3053" s="115">
        <v>240</v>
      </c>
      <c r="K3053" s="143">
        <f t="shared" si="1021"/>
        <v>304</v>
      </c>
      <c r="L3053" s="144">
        <f t="shared" si="1028"/>
        <v>-64</v>
      </c>
      <c r="N3053" s="98">
        <v>4</v>
      </c>
      <c r="O3053" s="93">
        <f t="shared" si="1025"/>
        <v>126.66666666666666</v>
      </c>
      <c r="NY3053" s="100">
        <v>27</v>
      </c>
      <c r="NZ3053" s="100">
        <v>9</v>
      </c>
      <c r="OA3053" s="100">
        <v>4</v>
      </c>
      <c r="OD3053" s="100">
        <v>9</v>
      </c>
      <c r="OF3053" s="100">
        <v>17</v>
      </c>
      <c r="OG3053" s="100">
        <v>4</v>
      </c>
      <c r="OH3053" s="100">
        <v>4</v>
      </c>
      <c r="OI3053" s="100">
        <v>25</v>
      </c>
      <c r="OK3053" s="100">
        <v>38</v>
      </c>
      <c r="OM3053" s="100">
        <v>15</v>
      </c>
      <c r="ON3053" s="100">
        <f t="shared" si="1006"/>
        <v>152</v>
      </c>
    </row>
    <row r="3054" spans="1:404" ht="22.5" customHeight="1">
      <c r="A3054" s="97" t="s">
        <v>2513</v>
      </c>
      <c r="B3054" s="95">
        <v>44615</v>
      </c>
      <c r="C3054" s="97">
        <f t="shared" ref="C3054:C3057" ca="1" si="1030">B3054-TODAY()</f>
        <v>-449</v>
      </c>
      <c r="D3054" s="112" t="s">
        <v>2514</v>
      </c>
      <c r="E3054" s="123" t="s">
        <v>2349</v>
      </c>
      <c r="F3054" s="98" t="s">
        <v>561</v>
      </c>
      <c r="G3054" s="110">
        <v>158</v>
      </c>
      <c r="H3054" s="318" t="s">
        <v>2352</v>
      </c>
      <c r="I3054" s="175">
        <v>300</v>
      </c>
      <c r="J3054" s="115">
        <v>300</v>
      </c>
      <c r="K3054" s="143">
        <f t="shared" si="1021"/>
        <v>546</v>
      </c>
      <c r="L3054" s="144">
        <f t="shared" si="1028"/>
        <v>-246</v>
      </c>
      <c r="M3054" s="98"/>
      <c r="N3054" s="98">
        <v>2</v>
      </c>
      <c r="O3054" s="93">
        <f t="shared" si="1025"/>
        <v>182</v>
      </c>
      <c r="OB3054" s="100">
        <v>7</v>
      </c>
      <c r="OC3054" s="100">
        <v>17</v>
      </c>
      <c r="OF3054" s="100">
        <v>45</v>
      </c>
      <c r="OG3054" s="100">
        <v>37</v>
      </c>
      <c r="OH3054" s="100">
        <v>36</v>
      </c>
      <c r="OI3054" s="100">
        <v>44</v>
      </c>
      <c r="OJ3054" s="100">
        <v>35</v>
      </c>
      <c r="OK3054" s="100">
        <v>15</v>
      </c>
      <c r="OM3054" s="100">
        <v>37</v>
      </c>
      <c r="ON3054" s="100">
        <f t="shared" si="1006"/>
        <v>273</v>
      </c>
    </row>
    <row r="3055" spans="1:404" ht="23.25" customHeight="1">
      <c r="A3055" s="97" t="str">
        <f>D3026&amp;E3026</f>
        <v>051T/WESTELM-2166-70300-02-B</v>
      </c>
      <c r="B3055" s="95">
        <v>44615</v>
      </c>
      <c r="C3055" s="97">
        <f t="shared" ca="1" si="1030"/>
        <v>-449</v>
      </c>
      <c r="D3055" s="112" t="s">
        <v>2407</v>
      </c>
      <c r="E3055" s="123" t="s">
        <v>2349</v>
      </c>
      <c r="F3055" s="98" t="str">
        <f t="shared" si="1024"/>
        <v>B</v>
      </c>
      <c r="G3055" s="110">
        <f ca="1">SUMIF($A:E,$A3055,K:K)</f>
        <v>982</v>
      </c>
      <c r="H3055" s="318" t="s">
        <v>2352</v>
      </c>
      <c r="I3055" s="175">
        <v>240</v>
      </c>
      <c r="J3055" s="115">
        <v>240</v>
      </c>
      <c r="K3055" s="143">
        <f t="shared" si="1021"/>
        <v>278</v>
      </c>
      <c r="L3055" s="144">
        <f t="shared" si="1028"/>
        <v>-38</v>
      </c>
      <c r="N3055" s="98">
        <v>3</v>
      </c>
      <c r="O3055" s="93">
        <f t="shared" si="1025"/>
        <v>115.83333333333334</v>
      </c>
      <c r="NV3055" s="100">
        <v>13</v>
      </c>
      <c r="NY3055" s="100">
        <v>29</v>
      </c>
      <c r="OB3055" s="100">
        <v>2</v>
      </c>
      <c r="OC3055" s="100">
        <v>7</v>
      </c>
      <c r="OD3055" s="100">
        <v>9</v>
      </c>
      <c r="OF3055" s="100">
        <v>3</v>
      </c>
      <c r="OG3055" s="100">
        <v>10</v>
      </c>
      <c r="OH3055" s="100">
        <v>32</v>
      </c>
      <c r="OI3055" s="100">
        <v>10</v>
      </c>
      <c r="OK3055" s="100">
        <v>22</v>
      </c>
      <c r="OM3055" s="100">
        <v>2</v>
      </c>
      <c r="ON3055" s="100">
        <f t="shared" si="1006"/>
        <v>139</v>
      </c>
    </row>
    <row r="3056" spans="1:404" ht="23.25" customHeight="1">
      <c r="A3056" s="97" t="s">
        <v>2512</v>
      </c>
      <c r="B3056" s="95">
        <v>44623</v>
      </c>
      <c r="C3056" s="97">
        <f t="shared" ca="1" si="1030"/>
        <v>-441</v>
      </c>
      <c r="D3056" s="112" t="s">
        <v>2515</v>
      </c>
      <c r="E3056" s="123" t="s">
        <v>2349</v>
      </c>
      <c r="F3056" s="98" t="s">
        <v>561</v>
      </c>
      <c r="G3056" s="110">
        <v>88</v>
      </c>
      <c r="H3056" s="318" t="s">
        <v>2352</v>
      </c>
      <c r="I3056" s="175">
        <v>300</v>
      </c>
      <c r="J3056" s="115">
        <v>300</v>
      </c>
      <c r="K3056" s="143">
        <f t="shared" si="1021"/>
        <v>50</v>
      </c>
      <c r="L3056" s="144">
        <f t="shared" si="1028"/>
        <v>250</v>
      </c>
      <c r="M3056" s="98"/>
      <c r="N3056" s="98">
        <v>1</v>
      </c>
      <c r="O3056" s="93">
        <f t="shared" si="1025"/>
        <v>16.666666666666664</v>
      </c>
      <c r="OM3056" s="100">
        <v>25</v>
      </c>
      <c r="ON3056" s="100">
        <f t="shared" si="1006"/>
        <v>25</v>
      </c>
    </row>
    <row r="3057" spans="1:404" ht="23.25" customHeight="1">
      <c r="A3057" s="97" t="str">
        <f>D3027&amp;E3027</f>
        <v>053T/WESTELM-2166-70300-01-B</v>
      </c>
      <c r="B3057" s="95">
        <v>44623</v>
      </c>
      <c r="C3057" s="97">
        <f t="shared" ca="1" si="1030"/>
        <v>-441</v>
      </c>
      <c r="D3057" s="112" t="s">
        <v>2408</v>
      </c>
      <c r="E3057" s="123" t="s">
        <v>2349</v>
      </c>
      <c r="F3057" s="98" t="str">
        <f t="shared" si="1024"/>
        <v>B</v>
      </c>
      <c r="G3057" s="110">
        <f ca="1">SUMIF($A:E,$A3057,K:K)</f>
        <v>264</v>
      </c>
      <c r="H3057" s="318" t="s">
        <v>2352</v>
      </c>
      <c r="I3057" s="175">
        <v>240</v>
      </c>
      <c r="J3057" s="115">
        <v>240</v>
      </c>
      <c r="K3057" s="143">
        <f t="shared" si="1021"/>
        <v>0</v>
      </c>
      <c r="L3057" s="144">
        <f t="shared" si="1028"/>
        <v>240</v>
      </c>
      <c r="N3057" s="98">
        <v>2</v>
      </c>
      <c r="O3057" s="93">
        <f t="shared" si="1025"/>
        <v>0</v>
      </c>
      <c r="ON3057" s="100">
        <f t="shared" si="1006"/>
        <v>0</v>
      </c>
    </row>
    <row r="3058" spans="1:404" ht="23.25" customHeight="1">
      <c r="A3058" s="97" t="str">
        <f>D3028&amp;E3028</f>
        <v>053T/WESTELM-2166-70300-01-B</v>
      </c>
      <c r="B3058" s="95">
        <v>44569</v>
      </c>
      <c r="C3058" s="97">
        <f t="shared" ref="C3058:C3061" ca="1" si="1031">B3058-TODAY()</f>
        <v>-495</v>
      </c>
      <c r="D3058" s="111" t="s">
        <v>2409</v>
      </c>
      <c r="E3058" s="225" t="s">
        <v>1923</v>
      </c>
      <c r="F3058" s="98" t="str">
        <f t="shared" si="1024"/>
        <v>B</v>
      </c>
      <c r="G3058" s="110">
        <f ca="1">SUMIF($A:E,#REF!,K:K)</f>
        <v>1754</v>
      </c>
      <c r="H3058" s="97" t="s">
        <v>1593</v>
      </c>
      <c r="I3058" s="98">
        <v>1</v>
      </c>
      <c r="J3058" s="99">
        <v>1</v>
      </c>
      <c r="K3058" s="143">
        <f t="shared" si="1021"/>
        <v>1</v>
      </c>
      <c r="L3058" s="144">
        <f t="shared" si="1027"/>
        <v>0</v>
      </c>
      <c r="N3058" s="98">
        <v>3</v>
      </c>
      <c r="O3058" s="93">
        <f t="shared" si="1025"/>
        <v>100</v>
      </c>
      <c r="MU3058" s="100">
        <v>1</v>
      </c>
      <c r="ON3058" s="100">
        <f t="shared" si="1006"/>
        <v>0</v>
      </c>
    </row>
    <row r="3059" spans="1:404" ht="23.25" customHeight="1">
      <c r="A3059" s="97" t="str">
        <f>D3029&amp;E3029</f>
        <v>053T/WESTELM-2166-70300-02-B</v>
      </c>
      <c r="B3059" s="95">
        <v>44565</v>
      </c>
      <c r="C3059" s="97">
        <f t="shared" ca="1" si="1031"/>
        <v>-499</v>
      </c>
      <c r="D3059" s="111" t="s">
        <v>2410</v>
      </c>
      <c r="E3059" s="225" t="s">
        <v>2411</v>
      </c>
      <c r="F3059" s="98" t="str">
        <f t="shared" ref="F3059:F3060" si="1032">MID(E3059,13,2)</f>
        <v>A</v>
      </c>
      <c r="G3059" s="110">
        <f ca="1">SUMIF($A:E,#REF!,K:K)</f>
        <v>1754</v>
      </c>
      <c r="H3059" s="97" t="s">
        <v>1593</v>
      </c>
      <c r="I3059" s="98">
        <v>1</v>
      </c>
      <c r="J3059" s="99">
        <v>1</v>
      </c>
      <c r="K3059" s="143">
        <f t="shared" si="1021"/>
        <v>1</v>
      </c>
      <c r="L3059" s="144">
        <f t="shared" si="1027"/>
        <v>0</v>
      </c>
      <c r="N3059" s="98" t="s">
        <v>1776</v>
      </c>
      <c r="O3059" s="93">
        <f t="shared" si="1025"/>
        <v>100</v>
      </c>
      <c r="MW3059" s="100">
        <v>1</v>
      </c>
      <c r="ON3059" s="100">
        <f t="shared" si="1006"/>
        <v>0</v>
      </c>
    </row>
    <row r="3060" spans="1:404" ht="23.25" customHeight="1">
      <c r="A3060" s="97" t="str">
        <f t="shared" ref="A3060:A3062" si="1033">D3060&amp;E3060</f>
        <v>008/KHBS-2166-06700-S2-A</v>
      </c>
      <c r="B3060" s="95">
        <v>44604</v>
      </c>
      <c r="C3060" s="97">
        <f t="shared" ca="1" si="1031"/>
        <v>-460</v>
      </c>
      <c r="D3060" s="96" t="s">
        <v>2413</v>
      </c>
      <c r="E3060" s="94" t="s">
        <v>426</v>
      </c>
      <c r="F3060" s="98" t="str">
        <f t="shared" si="1032"/>
        <v>A</v>
      </c>
      <c r="G3060" s="110">
        <f ca="1">SUMIF($A:E,$A3060,K:K)</f>
        <v>1</v>
      </c>
      <c r="H3060" s="97" t="s">
        <v>508</v>
      </c>
      <c r="I3060" s="98">
        <v>1</v>
      </c>
      <c r="J3060" s="99">
        <v>1</v>
      </c>
      <c r="K3060" s="143">
        <f t="shared" si="1021"/>
        <v>1</v>
      </c>
      <c r="L3060" s="144">
        <f t="shared" ref="L3060:L3062" si="1034">J3060-K3060</f>
        <v>0</v>
      </c>
      <c r="N3060" s="98">
        <v>1</v>
      </c>
      <c r="O3060" s="93">
        <f t="shared" si="1025"/>
        <v>100</v>
      </c>
      <c r="MX3060" s="100">
        <v>1</v>
      </c>
      <c r="ON3060" s="100">
        <f t="shared" si="1006"/>
        <v>0</v>
      </c>
    </row>
    <row r="3061" spans="1:404" ht="23.25" customHeight="1">
      <c r="A3061" s="97" t="str">
        <f t="shared" si="1033"/>
        <v>001/VG_SR-22(JULLIA GRUP)66-50319-02-B</v>
      </c>
      <c r="B3061" s="95">
        <v>44597</v>
      </c>
      <c r="C3061" s="97">
        <f t="shared" ca="1" si="1031"/>
        <v>-467</v>
      </c>
      <c r="D3061" s="112" t="s">
        <v>2414</v>
      </c>
      <c r="E3061" s="123" t="s">
        <v>2415</v>
      </c>
      <c r="F3061" s="98" t="str">
        <f t="shared" ref="F3061" si="1035">MID(E3061,13,2)</f>
        <v>B</v>
      </c>
      <c r="G3061" s="110">
        <f ca="1">SUMIF($A:E,$A3061,K:K)</f>
        <v>2</v>
      </c>
      <c r="H3061" s="112" t="s">
        <v>2417</v>
      </c>
      <c r="I3061" s="98">
        <v>1</v>
      </c>
      <c r="J3061" s="99">
        <v>1</v>
      </c>
      <c r="K3061" s="143">
        <f t="shared" si="1021"/>
        <v>2</v>
      </c>
      <c r="L3061" s="144">
        <f t="shared" si="1034"/>
        <v>-1</v>
      </c>
      <c r="N3061" s="98">
        <v>1</v>
      </c>
      <c r="O3061" s="93">
        <f t="shared" si="1025"/>
        <v>200</v>
      </c>
      <c r="NT3061" s="100">
        <v>1</v>
      </c>
      <c r="ON3061" s="100">
        <f t="shared" si="1006"/>
        <v>1</v>
      </c>
    </row>
    <row r="3062" spans="1:404" ht="23.25" customHeight="1">
      <c r="A3062" s="97" t="str">
        <f t="shared" si="1033"/>
        <v>001/JULLIA GRUP-VG_SR-2266-50319-S2-B</v>
      </c>
      <c r="B3062" s="95">
        <v>44597</v>
      </c>
      <c r="C3062" s="97">
        <f t="shared" ref="C3062" ca="1" si="1036">B3062-TODAY()</f>
        <v>-467</v>
      </c>
      <c r="D3062" s="112" t="s">
        <v>2416</v>
      </c>
      <c r="E3062" s="123" t="s">
        <v>1498</v>
      </c>
      <c r="F3062" s="98" t="str">
        <f t="shared" ref="F3062:F3068" si="1037">MID(E3062,13,2)</f>
        <v>B</v>
      </c>
      <c r="G3062" s="110">
        <f ca="1">SUMIF($A:E,$A3062,K:K)</f>
        <v>2</v>
      </c>
      <c r="H3062" s="112" t="s">
        <v>2418</v>
      </c>
      <c r="I3062" s="98">
        <v>1</v>
      </c>
      <c r="J3062" s="99">
        <v>1</v>
      </c>
      <c r="K3062" s="143">
        <f t="shared" si="1021"/>
        <v>2</v>
      </c>
      <c r="L3062" s="144">
        <f t="shared" si="1034"/>
        <v>-1</v>
      </c>
      <c r="N3062" s="98">
        <v>1</v>
      </c>
      <c r="O3062" s="93">
        <f t="shared" si="1025"/>
        <v>200</v>
      </c>
      <c r="NT3062" s="100">
        <v>1</v>
      </c>
      <c r="ON3062" s="100">
        <f t="shared" si="1006"/>
        <v>1</v>
      </c>
    </row>
    <row r="3063" spans="1:404" ht="23.25" customHeight="1">
      <c r="A3063" s="97" t="str">
        <f t="shared" ref="A3063:A3064" si="1038">D3063&amp;E3063</f>
        <v>001/LH IMPORTS-VG_SR-2266-61309-03-B</v>
      </c>
      <c r="B3063" s="95">
        <v>44597</v>
      </c>
      <c r="C3063" s="97">
        <f t="shared" ref="C3063:C3064" ca="1" si="1039">B3063-TODAY()</f>
        <v>-467</v>
      </c>
      <c r="D3063" s="112" t="s">
        <v>2420</v>
      </c>
      <c r="E3063" s="123" t="s">
        <v>1509</v>
      </c>
      <c r="F3063" s="98" t="str">
        <f t="shared" si="1037"/>
        <v>B</v>
      </c>
      <c r="G3063" s="110">
        <f ca="1">SUMIF($A:E,$A3063,K:K)</f>
        <v>1</v>
      </c>
      <c r="H3063" s="112" t="s">
        <v>2419</v>
      </c>
      <c r="I3063" s="98">
        <v>1</v>
      </c>
      <c r="J3063" s="99">
        <v>1</v>
      </c>
      <c r="K3063" s="143">
        <f t="shared" si="1021"/>
        <v>1</v>
      </c>
      <c r="L3063" s="144">
        <f t="shared" ref="L3063" si="1040">J3063-K3063</f>
        <v>0</v>
      </c>
      <c r="N3063" s="98">
        <v>1</v>
      </c>
      <c r="O3063" s="93">
        <f t="shared" si="1025"/>
        <v>100</v>
      </c>
      <c r="NA3063" s="100">
        <v>1</v>
      </c>
      <c r="ON3063" s="100">
        <f t="shared" si="1006"/>
        <v>0</v>
      </c>
    </row>
    <row r="3064" spans="1:404" ht="23.25" customHeight="1">
      <c r="A3064" s="97" t="str">
        <f t="shared" si="1038"/>
        <v>001/INTRATUIN-VG_SR-2166-28401-S1-B</v>
      </c>
      <c r="B3064" s="95">
        <v>44575</v>
      </c>
      <c r="C3064" s="97">
        <f t="shared" ca="1" si="1039"/>
        <v>-489</v>
      </c>
      <c r="D3064" s="112" t="s">
        <v>2421</v>
      </c>
      <c r="E3064" s="123" t="s">
        <v>2041</v>
      </c>
      <c r="F3064" s="98" t="str">
        <f t="shared" si="1037"/>
        <v>B</v>
      </c>
      <c r="G3064" s="110">
        <f ca="1">SUMIF($A:E,$A3064,K:K)</f>
        <v>1</v>
      </c>
      <c r="H3064" s="112" t="s">
        <v>1603</v>
      </c>
      <c r="I3064" s="98">
        <v>1</v>
      </c>
      <c r="J3064" s="99">
        <v>1</v>
      </c>
      <c r="K3064" s="143">
        <f t="shared" si="1021"/>
        <v>1</v>
      </c>
      <c r="L3064" s="144">
        <f t="shared" ref="L3064:L3067" si="1041">J3064-K3064</f>
        <v>0</v>
      </c>
      <c r="N3064" s="98">
        <v>1</v>
      </c>
      <c r="O3064" s="93">
        <f t="shared" si="1025"/>
        <v>100</v>
      </c>
      <c r="NA3064" s="100">
        <v>1</v>
      </c>
      <c r="ON3064" s="100">
        <f t="shared" si="1006"/>
        <v>0</v>
      </c>
    </row>
    <row r="3065" spans="1:404" ht="23.25" customHeight="1">
      <c r="A3065" s="97" t="str">
        <f t="shared" ref="A3065:A3070" si="1042">D3065&amp;E3065</f>
        <v>001/INTRATUIN-VG_SR-2166-28501-S1-B</v>
      </c>
      <c r="B3065" s="95">
        <v>44575</v>
      </c>
      <c r="C3065" s="97">
        <f t="shared" ref="C3065:C3070" ca="1" si="1043">B3065-TODAY()</f>
        <v>-489</v>
      </c>
      <c r="D3065" s="112" t="s">
        <v>2421</v>
      </c>
      <c r="E3065" s="123" t="s">
        <v>2042</v>
      </c>
      <c r="F3065" s="98" t="str">
        <f t="shared" si="1037"/>
        <v>B</v>
      </c>
      <c r="G3065" s="110">
        <f ca="1">SUMIF($A:E,$A3065,K:K)</f>
        <v>1</v>
      </c>
      <c r="H3065" s="112" t="s">
        <v>1603</v>
      </c>
      <c r="I3065" s="98">
        <v>1</v>
      </c>
      <c r="J3065" s="99">
        <v>1</v>
      </c>
      <c r="K3065" s="143">
        <f t="shared" si="1021"/>
        <v>1</v>
      </c>
      <c r="L3065" s="144">
        <f t="shared" si="1041"/>
        <v>0</v>
      </c>
      <c r="N3065" s="98">
        <v>1</v>
      </c>
      <c r="O3065" s="93">
        <f t="shared" si="1025"/>
        <v>100</v>
      </c>
      <c r="NA3065" s="100">
        <v>1</v>
      </c>
      <c r="ON3065" s="100">
        <f t="shared" si="1006"/>
        <v>0</v>
      </c>
    </row>
    <row r="3066" spans="1:404" ht="23.25" customHeight="1">
      <c r="A3066" s="97" t="str">
        <f t="shared" si="1042"/>
        <v>001/INTRATUIN-VG_SR-2166-61301-S3-B</v>
      </c>
      <c r="B3066" s="95">
        <v>44575</v>
      </c>
      <c r="C3066" s="97">
        <f t="shared" ca="1" si="1043"/>
        <v>-489</v>
      </c>
      <c r="D3066" s="112" t="s">
        <v>2421</v>
      </c>
      <c r="E3066" s="123" t="s">
        <v>2043</v>
      </c>
      <c r="F3066" s="98" t="str">
        <f t="shared" si="1037"/>
        <v>B</v>
      </c>
      <c r="G3066" s="110">
        <f ca="1">SUMIF($A:E,$A3066,K:K)</f>
        <v>1</v>
      </c>
      <c r="H3066" s="112" t="s">
        <v>1603</v>
      </c>
      <c r="I3066" s="98">
        <v>1</v>
      </c>
      <c r="J3066" s="99">
        <v>1</v>
      </c>
      <c r="K3066" s="143">
        <f t="shared" si="1021"/>
        <v>1</v>
      </c>
      <c r="L3066" s="144">
        <f t="shared" si="1041"/>
        <v>0</v>
      </c>
      <c r="N3066" s="98">
        <v>1</v>
      </c>
      <c r="O3066" s="93">
        <f t="shared" si="1025"/>
        <v>100</v>
      </c>
      <c r="NA3066" s="100">
        <v>1</v>
      </c>
      <c r="ON3066" s="100">
        <f t="shared" si="1006"/>
        <v>0</v>
      </c>
    </row>
    <row r="3067" spans="1:404" ht="23.25" customHeight="1">
      <c r="A3067" s="97" t="str">
        <f t="shared" si="1042"/>
        <v>001/INTRATUIN-VG_SR-2166-88101-S2-B</v>
      </c>
      <c r="B3067" s="95">
        <v>44575</v>
      </c>
      <c r="C3067" s="97">
        <f t="shared" ca="1" si="1043"/>
        <v>-489</v>
      </c>
      <c r="D3067" s="112" t="s">
        <v>2421</v>
      </c>
      <c r="E3067" s="123" t="s">
        <v>2110</v>
      </c>
      <c r="F3067" s="98" t="str">
        <f t="shared" si="1037"/>
        <v>B</v>
      </c>
      <c r="G3067" s="110">
        <f ca="1">SUMIF($A:E,$A3067,K:K)</f>
        <v>1</v>
      </c>
      <c r="H3067" s="112" t="s">
        <v>1603</v>
      </c>
      <c r="I3067" s="98">
        <v>1</v>
      </c>
      <c r="J3067" s="99">
        <v>1</v>
      </c>
      <c r="K3067" s="143">
        <f t="shared" si="1021"/>
        <v>1</v>
      </c>
      <c r="L3067" s="144">
        <f t="shared" si="1041"/>
        <v>0</v>
      </c>
      <c r="N3067" s="98">
        <v>1</v>
      </c>
      <c r="O3067" s="93">
        <f t="shared" si="1025"/>
        <v>100</v>
      </c>
      <c r="NA3067" s="100">
        <v>1</v>
      </c>
      <c r="ON3067" s="100">
        <f t="shared" si="1006"/>
        <v>0</v>
      </c>
    </row>
    <row r="3068" spans="1:404" ht="23.25" customHeight="1">
      <c r="A3068" s="97" t="str">
        <f t="shared" si="1042"/>
        <v>009/KHBS-2268-72600-02-A</v>
      </c>
      <c r="B3068" s="95">
        <v>44575</v>
      </c>
      <c r="C3068" s="97">
        <f t="shared" ca="1" si="1043"/>
        <v>-489</v>
      </c>
      <c r="D3068" s="96" t="s">
        <v>2422</v>
      </c>
      <c r="E3068" s="94" t="s">
        <v>221</v>
      </c>
      <c r="F3068" s="98" t="str">
        <f t="shared" si="1037"/>
        <v>A</v>
      </c>
      <c r="G3068" s="110">
        <f ca="1">SUMIF($A:E,$A3068,K:K)</f>
        <v>2</v>
      </c>
      <c r="H3068" s="97" t="s">
        <v>601</v>
      </c>
      <c r="I3068" s="98">
        <v>2</v>
      </c>
      <c r="J3068" s="99">
        <v>2</v>
      </c>
      <c r="K3068" s="143">
        <f t="shared" si="1021"/>
        <v>2</v>
      </c>
      <c r="L3068" s="144">
        <f t="shared" ref="L3068" si="1044">J3068-K3068</f>
        <v>0</v>
      </c>
      <c r="N3068" s="98" t="s">
        <v>1776</v>
      </c>
      <c r="O3068" s="93">
        <f t="shared" si="1025"/>
        <v>100</v>
      </c>
      <c r="NA3068" s="100">
        <v>2</v>
      </c>
      <c r="ON3068" s="100">
        <f t="shared" si="1006"/>
        <v>0</v>
      </c>
    </row>
    <row r="3069" spans="1:404" ht="23.25" customHeight="1">
      <c r="A3069" s="97" t="str">
        <f t="shared" si="1042"/>
        <v>063/HACA-HK-VG-2168-71000-02-B</v>
      </c>
      <c r="B3069" s="95">
        <v>44735</v>
      </c>
      <c r="C3069" s="97">
        <f t="shared" ca="1" si="1043"/>
        <v>-329</v>
      </c>
      <c r="D3069" s="96" t="s">
        <v>2423</v>
      </c>
      <c r="E3069" s="94" t="s">
        <v>2424</v>
      </c>
      <c r="F3069" s="98" t="str">
        <f t="shared" ref="F3069" si="1045">MID(E3069,13,2)</f>
        <v>B</v>
      </c>
      <c r="G3069" s="110">
        <f ca="1">SUMIF($A:E,$A3069,K:K)</f>
        <v>0</v>
      </c>
      <c r="H3069" s="97" t="s">
        <v>601</v>
      </c>
      <c r="I3069" s="98">
        <v>120</v>
      </c>
      <c r="J3069" s="99">
        <v>120</v>
      </c>
      <c r="K3069" s="143">
        <f t="shared" si="1021"/>
        <v>0</v>
      </c>
      <c r="L3069" s="144">
        <f t="shared" ref="L3069" si="1046">J3069-K3069</f>
        <v>120</v>
      </c>
      <c r="N3069" s="98"/>
      <c r="O3069" s="93">
        <f t="shared" si="1025"/>
        <v>0</v>
      </c>
      <c r="ON3069" s="100">
        <f t="shared" si="1006"/>
        <v>0</v>
      </c>
    </row>
    <row r="3070" spans="1:404" ht="23.25" customHeight="1">
      <c r="A3070" s="97" t="str">
        <f t="shared" si="1042"/>
        <v>463/POTTERYPOT-VG-2166-02600-01-A</v>
      </c>
      <c r="B3070" s="95">
        <v>44731</v>
      </c>
      <c r="C3070" s="97">
        <f t="shared" ca="1" si="1043"/>
        <v>-333</v>
      </c>
      <c r="D3070" s="112" t="s">
        <v>2366</v>
      </c>
      <c r="E3070" s="123" t="s">
        <v>611</v>
      </c>
      <c r="F3070" s="98" t="str">
        <f t="shared" ref="F3070:F3077" si="1047">MID(E3070,13,2)</f>
        <v>A</v>
      </c>
      <c r="G3070" s="110">
        <f ca="1">SUMIF($A:E,$A3070,K:K)</f>
        <v>0</v>
      </c>
      <c r="H3070" s="97" t="s">
        <v>601</v>
      </c>
      <c r="I3070" s="175">
        <v>80</v>
      </c>
      <c r="J3070" s="115">
        <v>80</v>
      </c>
      <c r="K3070" s="143">
        <f t="shared" si="1021"/>
        <v>0</v>
      </c>
      <c r="L3070" s="144">
        <f t="shared" ref="L3070:L3083" si="1048">J3070-K3070</f>
        <v>80</v>
      </c>
      <c r="N3070" s="98"/>
      <c r="O3070" s="93">
        <f t="shared" si="1025"/>
        <v>0</v>
      </c>
      <c r="ON3070" s="100">
        <f t="shared" si="1006"/>
        <v>0</v>
      </c>
    </row>
    <row r="3071" spans="1:404" ht="23.25" customHeight="1">
      <c r="A3071" s="97" t="str">
        <f t="shared" ref="A3071:A3103" si="1049">D3071&amp;E3071</f>
        <v>463/POTTERYPOT-VG-2166-02600-02-A</v>
      </c>
      <c r="B3071" s="95">
        <v>44731</v>
      </c>
      <c r="C3071" s="97">
        <f t="shared" ref="C3071:C3084" ca="1" si="1050">B3071-TODAY()</f>
        <v>-333</v>
      </c>
      <c r="D3071" s="112" t="s">
        <v>2366</v>
      </c>
      <c r="E3071" s="123" t="s">
        <v>1590</v>
      </c>
      <c r="F3071" s="98" t="str">
        <f t="shared" si="1047"/>
        <v>A</v>
      </c>
      <c r="G3071" s="110">
        <f ca="1">SUMIF($A:E,$A3071,K:K)</f>
        <v>0</v>
      </c>
      <c r="H3071" s="97" t="s">
        <v>601</v>
      </c>
      <c r="I3071" s="175">
        <v>80</v>
      </c>
      <c r="J3071" s="115">
        <v>80</v>
      </c>
      <c r="K3071" s="143">
        <f t="shared" si="1021"/>
        <v>0</v>
      </c>
      <c r="L3071" s="144">
        <f t="shared" si="1048"/>
        <v>80</v>
      </c>
      <c r="N3071" s="98"/>
      <c r="O3071" s="93">
        <f t="shared" si="1025"/>
        <v>0</v>
      </c>
      <c r="ON3071" s="100">
        <f t="shared" si="1006"/>
        <v>0</v>
      </c>
    </row>
    <row r="3072" spans="1:404" ht="23.25" customHeight="1">
      <c r="A3072" s="97" t="str">
        <f t="shared" si="1049"/>
        <v>463/POTTERYPOT-VG-2166-02700-01-A</v>
      </c>
      <c r="B3072" s="95">
        <v>44731</v>
      </c>
      <c r="C3072" s="97">
        <f t="shared" ca="1" si="1050"/>
        <v>-333</v>
      </c>
      <c r="D3072" s="112" t="s">
        <v>2366</v>
      </c>
      <c r="E3072" s="123" t="s">
        <v>1196</v>
      </c>
      <c r="F3072" s="98" t="str">
        <f t="shared" si="1047"/>
        <v>A</v>
      </c>
      <c r="G3072" s="110">
        <f ca="1">SUMIF($A:E,$A3072,K:K)</f>
        <v>0</v>
      </c>
      <c r="H3072" s="97" t="s">
        <v>601</v>
      </c>
      <c r="I3072" s="175">
        <v>40</v>
      </c>
      <c r="J3072" s="115">
        <v>40</v>
      </c>
      <c r="K3072" s="143">
        <f t="shared" si="1021"/>
        <v>0</v>
      </c>
      <c r="L3072" s="144">
        <f t="shared" si="1048"/>
        <v>40</v>
      </c>
      <c r="N3072" s="98"/>
      <c r="O3072" s="93">
        <f t="shared" si="1025"/>
        <v>0</v>
      </c>
      <c r="ON3072" s="100">
        <f t="shared" si="1006"/>
        <v>0</v>
      </c>
    </row>
    <row r="3073" spans="1:404" ht="23.25" customHeight="1">
      <c r="A3073" s="97" t="str">
        <f t="shared" si="1049"/>
        <v>463/POTTERYPOT-VG-2166-02700-02-A</v>
      </c>
      <c r="B3073" s="95">
        <v>44731</v>
      </c>
      <c r="C3073" s="97">
        <f t="shared" ca="1" si="1050"/>
        <v>-333</v>
      </c>
      <c r="D3073" s="112" t="s">
        <v>2366</v>
      </c>
      <c r="E3073" s="123" t="s">
        <v>2367</v>
      </c>
      <c r="F3073" s="98" t="str">
        <f t="shared" si="1047"/>
        <v>A</v>
      </c>
      <c r="G3073" s="110">
        <f ca="1">SUMIF($A:E,$A3073,K:K)</f>
        <v>222</v>
      </c>
      <c r="H3073" s="97" t="s">
        <v>601</v>
      </c>
      <c r="I3073" s="175">
        <v>40</v>
      </c>
      <c r="J3073" s="115">
        <v>40</v>
      </c>
      <c r="K3073" s="143">
        <f t="shared" si="1021"/>
        <v>0</v>
      </c>
      <c r="L3073" s="144">
        <f t="shared" si="1048"/>
        <v>40</v>
      </c>
      <c r="N3073" s="98"/>
      <c r="O3073" s="93">
        <f t="shared" si="1025"/>
        <v>0</v>
      </c>
      <c r="ON3073" s="100">
        <f t="shared" si="1006"/>
        <v>0</v>
      </c>
    </row>
    <row r="3074" spans="1:404" ht="23.25" customHeight="1">
      <c r="A3074" s="97" t="str">
        <f t="shared" si="1049"/>
        <v>463/POTTERYPOT-VG-2166-03000-01-A</v>
      </c>
      <c r="B3074" s="95">
        <v>44731</v>
      </c>
      <c r="C3074" s="97">
        <f t="shared" ca="1" si="1050"/>
        <v>-333</v>
      </c>
      <c r="D3074" s="112" t="s">
        <v>2366</v>
      </c>
      <c r="E3074" s="123" t="s">
        <v>612</v>
      </c>
      <c r="F3074" s="98" t="str">
        <f t="shared" si="1047"/>
        <v>A</v>
      </c>
      <c r="G3074" s="110">
        <f ca="1">SUMIF($A:E,$A3074,K:K)</f>
        <v>132</v>
      </c>
      <c r="H3074" s="97" t="s">
        <v>601</v>
      </c>
      <c r="I3074" s="175">
        <v>16</v>
      </c>
      <c r="J3074" s="115">
        <v>16</v>
      </c>
      <c r="K3074" s="143">
        <f t="shared" si="1021"/>
        <v>0</v>
      </c>
      <c r="L3074" s="144">
        <f t="shared" si="1048"/>
        <v>16</v>
      </c>
      <c r="N3074" s="98"/>
      <c r="O3074" s="93">
        <f t="shared" si="1025"/>
        <v>0</v>
      </c>
      <c r="ON3074" s="100">
        <f t="shared" si="1006"/>
        <v>0</v>
      </c>
    </row>
    <row r="3075" spans="1:404" ht="23.25" customHeight="1">
      <c r="A3075" s="97" t="str">
        <f t="shared" si="1049"/>
        <v>463/POTTERYPOT-VG-2166-03000-02-A</v>
      </c>
      <c r="B3075" s="95">
        <v>44731</v>
      </c>
      <c r="C3075" s="97">
        <f t="shared" ca="1" si="1050"/>
        <v>-333</v>
      </c>
      <c r="D3075" s="112" t="s">
        <v>2366</v>
      </c>
      <c r="E3075" s="123" t="s">
        <v>686</v>
      </c>
      <c r="F3075" s="98" t="str">
        <f t="shared" si="1047"/>
        <v>A</v>
      </c>
      <c r="G3075" s="110">
        <f ca="1">SUMIF($A:E,$A3075,K:K)</f>
        <v>94</v>
      </c>
      <c r="H3075" s="97" t="s">
        <v>601</v>
      </c>
      <c r="I3075" s="175">
        <v>42</v>
      </c>
      <c r="J3075" s="115">
        <v>42</v>
      </c>
      <c r="K3075" s="143">
        <f t="shared" si="1021"/>
        <v>0</v>
      </c>
      <c r="L3075" s="144">
        <f t="shared" si="1048"/>
        <v>42</v>
      </c>
      <c r="N3075" s="98"/>
      <c r="O3075" s="93">
        <f t="shared" si="1025"/>
        <v>0</v>
      </c>
      <c r="ON3075" s="100">
        <f t="shared" si="1006"/>
        <v>0</v>
      </c>
    </row>
    <row r="3076" spans="1:404" ht="23.25" customHeight="1">
      <c r="A3076" s="97" t="str">
        <f t="shared" si="1049"/>
        <v>463/POTTERYPOT-VG-2166-54100-01-A</v>
      </c>
      <c r="B3076" s="95">
        <v>44731</v>
      </c>
      <c r="C3076" s="97">
        <f t="shared" ca="1" si="1050"/>
        <v>-333</v>
      </c>
      <c r="D3076" s="112" t="s">
        <v>2366</v>
      </c>
      <c r="E3076" s="123" t="s">
        <v>1197</v>
      </c>
      <c r="F3076" s="98" t="str">
        <f t="shared" si="1047"/>
        <v>A</v>
      </c>
      <c r="G3076" s="110">
        <f ca="1">SUMIF($A:E,$A3076,K:K)</f>
        <v>8</v>
      </c>
      <c r="H3076" s="97" t="s">
        <v>601</v>
      </c>
      <c r="I3076" s="175">
        <v>72</v>
      </c>
      <c r="J3076" s="115">
        <v>72</v>
      </c>
      <c r="K3076" s="143">
        <f t="shared" si="1021"/>
        <v>0</v>
      </c>
      <c r="L3076" s="144">
        <f t="shared" si="1048"/>
        <v>72</v>
      </c>
      <c r="N3076" s="98"/>
      <c r="O3076" s="93">
        <f t="shared" si="1025"/>
        <v>0</v>
      </c>
      <c r="ON3076" s="100">
        <f t="shared" ref="ON3076:ON3139" si="1051">SUM(NS3076:OM3076)</f>
        <v>0</v>
      </c>
    </row>
    <row r="3077" spans="1:404" ht="23.25" customHeight="1">
      <c r="A3077" s="97" t="str">
        <f t="shared" si="1049"/>
        <v>463/POTTERYPOT-VG-2166-54100-02-A</v>
      </c>
      <c r="B3077" s="95">
        <v>44731</v>
      </c>
      <c r="C3077" s="97">
        <f t="shared" ca="1" si="1050"/>
        <v>-333</v>
      </c>
      <c r="D3077" s="112" t="s">
        <v>2366</v>
      </c>
      <c r="E3077" s="123" t="s">
        <v>1515</v>
      </c>
      <c r="F3077" s="98" t="str">
        <f t="shared" si="1047"/>
        <v>A</v>
      </c>
      <c r="G3077" s="110">
        <f ca="1">SUMIF($A:E,$A3077,K:K)</f>
        <v>2</v>
      </c>
      <c r="H3077" s="97" t="s">
        <v>601</v>
      </c>
      <c r="I3077" s="175">
        <v>72</v>
      </c>
      <c r="J3077" s="115">
        <v>72</v>
      </c>
      <c r="K3077" s="143">
        <f t="shared" si="1021"/>
        <v>0</v>
      </c>
      <c r="L3077" s="144">
        <f t="shared" si="1048"/>
        <v>72</v>
      </c>
      <c r="N3077" s="98"/>
      <c r="O3077" s="93">
        <f t="shared" si="1025"/>
        <v>0</v>
      </c>
      <c r="ON3077" s="100">
        <f t="shared" si="1051"/>
        <v>0</v>
      </c>
    </row>
    <row r="3078" spans="1:404" ht="23.25" customHeight="1">
      <c r="A3078" s="97" t="str">
        <f t="shared" si="1049"/>
        <v>463/POTTERYPOT-VG-2166-55400-02-A</v>
      </c>
      <c r="B3078" s="95">
        <v>44731</v>
      </c>
      <c r="C3078" s="97">
        <f t="shared" ca="1" si="1050"/>
        <v>-333</v>
      </c>
      <c r="D3078" s="112" t="s">
        <v>2366</v>
      </c>
      <c r="E3078" s="123" t="s">
        <v>1198</v>
      </c>
      <c r="F3078" s="98" t="str">
        <f t="shared" ref="F3078:F3100" si="1052">MID(E3078,13,2)</f>
        <v>A</v>
      </c>
      <c r="G3078" s="110">
        <f ca="1">SUMIF($A:E,$A3078,K:K)</f>
        <v>1</v>
      </c>
      <c r="H3078" s="97" t="s">
        <v>601</v>
      </c>
      <c r="I3078" s="175">
        <v>24</v>
      </c>
      <c r="J3078" s="115">
        <v>24</v>
      </c>
      <c r="K3078" s="143">
        <f t="shared" si="1021"/>
        <v>0</v>
      </c>
      <c r="L3078" s="144">
        <f t="shared" si="1048"/>
        <v>24</v>
      </c>
      <c r="N3078" s="98"/>
      <c r="O3078" s="93">
        <f t="shared" si="1025"/>
        <v>0</v>
      </c>
      <c r="ON3078" s="100">
        <f t="shared" si="1051"/>
        <v>0</v>
      </c>
    </row>
    <row r="3079" spans="1:404" ht="23.25" customHeight="1">
      <c r="A3079" s="97" t="str">
        <f t="shared" si="1049"/>
        <v>463/POTTERYPOT-VG-2166-77700-02-A</v>
      </c>
      <c r="B3079" s="95">
        <v>44731</v>
      </c>
      <c r="C3079" s="97">
        <f t="shared" ca="1" si="1050"/>
        <v>-333</v>
      </c>
      <c r="D3079" s="112" t="s">
        <v>2366</v>
      </c>
      <c r="E3079" s="123" t="s">
        <v>1199</v>
      </c>
      <c r="F3079" s="98" t="str">
        <f t="shared" si="1052"/>
        <v>A</v>
      </c>
      <c r="G3079" s="110">
        <f ca="1">SUMIF($A:E,$A3079,K:K)</f>
        <v>1</v>
      </c>
      <c r="H3079" s="97" t="s">
        <v>601</v>
      </c>
      <c r="I3079" s="175">
        <v>32</v>
      </c>
      <c r="J3079" s="115">
        <v>32</v>
      </c>
      <c r="K3079" s="143">
        <f t="shared" si="1021"/>
        <v>0</v>
      </c>
      <c r="L3079" s="144">
        <f t="shared" si="1048"/>
        <v>32</v>
      </c>
      <c r="N3079" s="98"/>
      <c r="O3079" s="93">
        <f t="shared" si="1025"/>
        <v>0</v>
      </c>
      <c r="ON3079" s="100">
        <f t="shared" si="1051"/>
        <v>0</v>
      </c>
    </row>
    <row r="3080" spans="1:404" ht="23.25" customHeight="1">
      <c r="A3080" s="97" t="str">
        <f t="shared" si="1049"/>
        <v>463/POTTERYPOT-VG-2166-77900-01-A</v>
      </c>
      <c r="B3080" s="95">
        <v>44731</v>
      </c>
      <c r="C3080" s="97">
        <f t="shared" ca="1" si="1050"/>
        <v>-333</v>
      </c>
      <c r="D3080" s="112" t="s">
        <v>2366</v>
      </c>
      <c r="E3080" s="123" t="s">
        <v>1200</v>
      </c>
      <c r="F3080" s="98" t="str">
        <f t="shared" si="1052"/>
        <v>A</v>
      </c>
      <c r="G3080" s="110">
        <f ca="1">SUMIF($A:E,$A3080,K:K)</f>
        <v>1</v>
      </c>
      <c r="H3080" s="97" t="s">
        <v>601</v>
      </c>
      <c r="I3080" s="175">
        <v>32</v>
      </c>
      <c r="J3080" s="115">
        <v>32</v>
      </c>
      <c r="K3080" s="143">
        <f t="shared" si="1021"/>
        <v>0</v>
      </c>
      <c r="L3080" s="144">
        <f t="shared" si="1048"/>
        <v>32</v>
      </c>
      <c r="N3080" s="98"/>
      <c r="O3080" s="93">
        <f t="shared" si="1025"/>
        <v>0</v>
      </c>
      <c r="ON3080" s="100">
        <f t="shared" si="1051"/>
        <v>0</v>
      </c>
    </row>
    <row r="3081" spans="1:404" ht="23.25" customHeight="1">
      <c r="A3081" s="97" t="str">
        <f t="shared" si="1049"/>
        <v>463/POTTERYPOT-VG-2166-77900-02-A</v>
      </c>
      <c r="B3081" s="95">
        <v>44731</v>
      </c>
      <c r="C3081" s="97">
        <f t="shared" ca="1" si="1050"/>
        <v>-333</v>
      </c>
      <c r="D3081" s="112" t="s">
        <v>2366</v>
      </c>
      <c r="E3081" s="123" t="s">
        <v>1591</v>
      </c>
      <c r="F3081" s="98" t="str">
        <f t="shared" si="1052"/>
        <v>A</v>
      </c>
      <c r="G3081" s="110">
        <f ca="1">SUMIF($A:E,$A3081,K:K)</f>
        <v>4</v>
      </c>
      <c r="H3081" s="97" t="s">
        <v>601</v>
      </c>
      <c r="I3081" s="175">
        <v>32</v>
      </c>
      <c r="J3081" s="115">
        <v>32</v>
      </c>
      <c r="K3081" s="143">
        <f t="shared" si="1021"/>
        <v>0</v>
      </c>
      <c r="L3081" s="144">
        <f t="shared" si="1048"/>
        <v>32</v>
      </c>
      <c r="N3081" s="98"/>
      <c r="O3081" s="93">
        <f t="shared" si="1025"/>
        <v>0</v>
      </c>
      <c r="ON3081" s="100">
        <f t="shared" si="1051"/>
        <v>0</v>
      </c>
    </row>
    <row r="3082" spans="1:404" ht="23.25" customHeight="1">
      <c r="A3082" s="97" t="str">
        <f t="shared" si="1049"/>
        <v>463/POTTERYPOT-VG-2166-03000-01-A1(phen)</v>
      </c>
      <c r="B3082" s="95">
        <v>44731</v>
      </c>
      <c r="C3082" s="97">
        <f t="shared" ca="1" si="1050"/>
        <v>-333</v>
      </c>
      <c r="D3082" s="112" t="s">
        <v>2366</v>
      </c>
      <c r="E3082" s="123" t="s">
        <v>428</v>
      </c>
      <c r="F3082" s="98" t="str">
        <f t="shared" si="1052"/>
        <v>A1</v>
      </c>
      <c r="G3082" s="110">
        <f ca="1">SUMIF($A:E,$A3082,K:K)</f>
        <v>3</v>
      </c>
      <c r="H3082" s="97" t="s">
        <v>601</v>
      </c>
      <c r="I3082" s="175">
        <v>16</v>
      </c>
      <c r="J3082" s="115">
        <v>16</v>
      </c>
      <c r="K3082" s="143">
        <f t="shared" si="1021"/>
        <v>0</v>
      </c>
      <c r="L3082" s="144">
        <f t="shared" si="1048"/>
        <v>16</v>
      </c>
      <c r="N3082" s="98"/>
      <c r="O3082" s="93">
        <f t="shared" si="1025"/>
        <v>0</v>
      </c>
      <c r="ON3082" s="100">
        <f t="shared" si="1051"/>
        <v>0</v>
      </c>
    </row>
    <row r="3083" spans="1:404" ht="23.25" customHeight="1">
      <c r="A3083" s="127" t="str">
        <f t="shared" si="1049"/>
        <v>463/POTTERYPOT-VG-2166-03000-02-A1(phen)</v>
      </c>
      <c r="B3083" s="126">
        <v>44731</v>
      </c>
      <c r="C3083" s="127">
        <f t="shared" ca="1" si="1050"/>
        <v>-333</v>
      </c>
      <c r="D3083" s="208" t="s">
        <v>2366</v>
      </c>
      <c r="E3083" s="226" t="s">
        <v>429</v>
      </c>
      <c r="F3083" s="98" t="str">
        <f t="shared" si="1052"/>
        <v>A1</v>
      </c>
      <c r="G3083" s="110">
        <f ca="1">SUMIF($A:E,$A3083,K:K)</f>
        <v>1</v>
      </c>
      <c r="H3083" s="127" t="s">
        <v>601</v>
      </c>
      <c r="I3083" s="203">
        <v>42</v>
      </c>
      <c r="J3083" s="134">
        <v>42</v>
      </c>
      <c r="K3083" s="160">
        <f t="shared" si="1021"/>
        <v>0</v>
      </c>
      <c r="L3083" s="151">
        <f t="shared" si="1048"/>
        <v>42</v>
      </c>
      <c r="N3083" s="132"/>
      <c r="O3083" s="93">
        <f t="shared" si="1025"/>
        <v>0</v>
      </c>
      <c r="ON3083" s="100">
        <f t="shared" si="1051"/>
        <v>0</v>
      </c>
    </row>
    <row r="3084" spans="1:404" ht="23.25" customHeight="1">
      <c r="A3084" s="97" t="str">
        <f t="shared" si="1049"/>
        <v>004/CLARIUS-VG-2166-82500-S3-B</v>
      </c>
      <c r="B3084" s="95">
        <v>44707</v>
      </c>
      <c r="C3084" s="97">
        <f t="shared" ca="1" si="1050"/>
        <v>-357</v>
      </c>
      <c r="D3084" s="112" t="s">
        <v>2425</v>
      </c>
      <c r="E3084" s="123" t="s">
        <v>1131</v>
      </c>
      <c r="F3084" s="98" t="str">
        <f t="shared" si="1052"/>
        <v>B</v>
      </c>
      <c r="G3084" s="110">
        <f ca="1">SUMIF($A:E,$A3084,K:K)</f>
        <v>0</v>
      </c>
      <c r="H3084" s="112" t="s">
        <v>2026</v>
      </c>
      <c r="I3084" s="175">
        <v>24</v>
      </c>
      <c r="J3084" s="115">
        <v>24</v>
      </c>
      <c r="K3084" s="143">
        <f t="shared" si="1021"/>
        <v>0</v>
      </c>
      <c r="L3084" s="144">
        <f t="shared" ref="L3084" si="1053">J3084-K3084</f>
        <v>24</v>
      </c>
      <c r="M3084" s="276"/>
      <c r="N3084" s="98"/>
      <c r="O3084" s="93">
        <f t="shared" si="1025"/>
        <v>0</v>
      </c>
      <c r="ON3084" s="100">
        <f t="shared" si="1051"/>
        <v>0</v>
      </c>
    </row>
    <row r="3085" spans="1:404" ht="23.25" customHeight="1">
      <c r="A3085" s="97" t="str">
        <f t="shared" si="1049"/>
        <v>004/CLARIUS-VG-2166-82624-S2-B</v>
      </c>
      <c r="B3085" s="95">
        <v>44707</v>
      </c>
      <c r="C3085" s="97">
        <f t="shared" ref="C3085:C3103" ca="1" si="1054">B3085-TODAY()</f>
        <v>-357</v>
      </c>
      <c r="D3085" s="112" t="s">
        <v>2425</v>
      </c>
      <c r="E3085" s="123" t="s">
        <v>2017</v>
      </c>
      <c r="F3085" s="98" t="str">
        <f t="shared" si="1052"/>
        <v>B</v>
      </c>
      <c r="G3085" s="110">
        <f ca="1">SUMIF($A:E,$A3085,K:K)</f>
        <v>0</v>
      </c>
      <c r="H3085" s="112" t="s">
        <v>2026</v>
      </c>
      <c r="I3085" s="175">
        <v>24</v>
      </c>
      <c r="J3085" s="115">
        <v>20</v>
      </c>
      <c r="K3085" s="143">
        <f t="shared" si="1021"/>
        <v>0</v>
      </c>
      <c r="L3085" s="144">
        <f t="shared" ref="L3085:L3100" si="1055">J3085-K3085</f>
        <v>20</v>
      </c>
      <c r="M3085" s="276"/>
      <c r="N3085" s="98"/>
      <c r="O3085" s="93">
        <f t="shared" si="1025"/>
        <v>0</v>
      </c>
      <c r="ON3085" s="100">
        <f t="shared" si="1051"/>
        <v>0</v>
      </c>
    </row>
    <row r="3086" spans="1:404" ht="23.25" customHeight="1">
      <c r="A3086" s="97" t="str">
        <f t="shared" si="1049"/>
        <v>004/CLARIUS-VG-2166-82700-S3-B</v>
      </c>
      <c r="B3086" s="95">
        <v>44707</v>
      </c>
      <c r="C3086" s="97">
        <f t="shared" ca="1" si="1054"/>
        <v>-357</v>
      </c>
      <c r="D3086" s="112" t="s">
        <v>2425</v>
      </c>
      <c r="E3086" s="123" t="s">
        <v>1134</v>
      </c>
      <c r="F3086" s="98" t="str">
        <f t="shared" si="1052"/>
        <v>B</v>
      </c>
      <c r="G3086" s="110">
        <f ca="1">SUMIF($A:E,$A3086,K:K)</f>
        <v>0</v>
      </c>
      <c r="H3086" s="112" t="s">
        <v>2026</v>
      </c>
      <c r="I3086" s="175">
        <v>48</v>
      </c>
      <c r="J3086" s="115">
        <v>48</v>
      </c>
      <c r="K3086" s="143">
        <f t="shared" si="1021"/>
        <v>0</v>
      </c>
      <c r="L3086" s="144">
        <f t="shared" si="1055"/>
        <v>48</v>
      </c>
      <c r="M3086" s="276"/>
      <c r="N3086" s="98"/>
      <c r="O3086" s="93">
        <f t="shared" si="1025"/>
        <v>0</v>
      </c>
      <c r="ON3086" s="100">
        <f t="shared" si="1051"/>
        <v>0</v>
      </c>
    </row>
    <row r="3087" spans="1:404" ht="23.25" customHeight="1">
      <c r="A3087" s="97" t="str">
        <f t="shared" si="1049"/>
        <v>004/CLARIUS-VG-2166-82500-01-A1(phen)</v>
      </c>
      <c r="B3087" s="95">
        <v>44707</v>
      </c>
      <c r="C3087" s="97">
        <f t="shared" ca="1" si="1054"/>
        <v>-357</v>
      </c>
      <c r="D3087" s="112" t="s">
        <v>2425</v>
      </c>
      <c r="E3087" s="123" t="s">
        <v>2019</v>
      </c>
      <c r="F3087" s="98" t="str">
        <f t="shared" si="1052"/>
        <v>A1</v>
      </c>
      <c r="G3087" s="110">
        <f ca="1">SUMIF($A:E,$A3087,K:K)</f>
        <v>0</v>
      </c>
      <c r="H3087" s="112" t="s">
        <v>2028</v>
      </c>
      <c r="I3087" s="175">
        <v>24</v>
      </c>
      <c r="J3087" s="115">
        <v>24</v>
      </c>
      <c r="K3087" s="143">
        <f t="shared" si="1021"/>
        <v>0</v>
      </c>
      <c r="L3087" s="144">
        <f t="shared" si="1055"/>
        <v>24</v>
      </c>
      <c r="M3087" s="276"/>
      <c r="N3087" s="98"/>
      <c r="O3087" s="93">
        <f t="shared" si="1025"/>
        <v>0</v>
      </c>
      <c r="ON3087" s="100">
        <f t="shared" si="1051"/>
        <v>0</v>
      </c>
    </row>
    <row r="3088" spans="1:404" ht="23.25" customHeight="1">
      <c r="A3088" s="97" t="str">
        <f t="shared" si="1049"/>
        <v>004/CLARIUS-VG-2166-82500-02-A1(phen)</v>
      </c>
      <c r="B3088" s="95">
        <v>44707</v>
      </c>
      <c r="C3088" s="97">
        <f t="shared" ca="1" si="1054"/>
        <v>-357</v>
      </c>
      <c r="D3088" s="112" t="s">
        <v>2425</v>
      </c>
      <c r="E3088" s="123" t="s">
        <v>2020</v>
      </c>
      <c r="F3088" s="98" t="str">
        <f t="shared" si="1052"/>
        <v>A1</v>
      </c>
      <c r="G3088" s="110">
        <f ca="1">SUMIF($A:E,$A3088,K:K)</f>
        <v>0</v>
      </c>
      <c r="H3088" s="112" t="s">
        <v>2028</v>
      </c>
      <c r="I3088" s="175">
        <v>24</v>
      </c>
      <c r="J3088" s="115">
        <v>24</v>
      </c>
      <c r="K3088" s="143">
        <f t="shared" si="1021"/>
        <v>0</v>
      </c>
      <c r="L3088" s="144">
        <f t="shared" si="1055"/>
        <v>24</v>
      </c>
      <c r="M3088" s="276"/>
      <c r="N3088" s="98"/>
      <c r="O3088" s="93">
        <f t="shared" si="1025"/>
        <v>0</v>
      </c>
      <c r="ON3088" s="100">
        <f t="shared" si="1051"/>
        <v>0</v>
      </c>
    </row>
    <row r="3089" spans="1:404" ht="23.25" customHeight="1">
      <c r="A3089" s="97" t="str">
        <f t="shared" si="1049"/>
        <v>004/CLARIUS-VG-2166-82600-01-A1(phen)</v>
      </c>
      <c r="B3089" s="95">
        <v>44707</v>
      </c>
      <c r="C3089" s="97">
        <f t="shared" ca="1" si="1054"/>
        <v>-357</v>
      </c>
      <c r="D3089" s="112" t="s">
        <v>2425</v>
      </c>
      <c r="E3089" s="123" t="s">
        <v>2021</v>
      </c>
      <c r="F3089" s="98" t="str">
        <f t="shared" si="1052"/>
        <v>A1</v>
      </c>
      <c r="G3089" s="110">
        <f ca="1">SUMIF($A:E,$A3089,K:K)</f>
        <v>0</v>
      </c>
      <c r="H3089" s="112" t="s">
        <v>2028</v>
      </c>
      <c r="I3089" s="175">
        <v>24</v>
      </c>
      <c r="J3089" s="115">
        <v>20</v>
      </c>
      <c r="K3089" s="143">
        <f t="shared" si="1021"/>
        <v>0</v>
      </c>
      <c r="L3089" s="144">
        <f t="shared" si="1055"/>
        <v>20</v>
      </c>
      <c r="M3089" s="276"/>
      <c r="N3089" s="98"/>
      <c r="O3089" s="93">
        <f t="shared" si="1025"/>
        <v>0</v>
      </c>
      <c r="ON3089" s="100">
        <f t="shared" si="1051"/>
        <v>0</v>
      </c>
    </row>
    <row r="3090" spans="1:404" ht="23.25" customHeight="1">
      <c r="A3090" s="97" t="str">
        <f t="shared" si="1049"/>
        <v>004/CLARIUS-VG-2166-82600-02-A1(phen)</v>
      </c>
      <c r="B3090" s="95">
        <v>44707</v>
      </c>
      <c r="C3090" s="97">
        <f t="shared" ca="1" si="1054"/>
        <v>-357</v>
      </c>
      <c r="D3090" s="112" t="s">
        <v>2425</v>
      </c>
      <c r="E3090" s="123" t="s">
        <v>2022</v>
      </c>
      <c r="F3090" s="98" t="str">
        <f t="shared" si="1052"/>
        <v>A1</v>
      </c>
      <c r="G3090" s="110">
        <f ca="1">SUMIF($A:E,$A3090,K:K)</f>
        <v>0</v>
      </c>
      <c r="H3090" s="112" t="s">
        <v>2028</v>
      </c>
      <c r="I3090" s="175">
        <v>24</v>
      </c>
      <c r="J3090" s="115">
        <v>20</v>
      </c>
      <c r="K3090" s="143">
        <f t="shared" si="1021"/>
        <v>0</v>
      </c>
      <c r="L3090" s="144">
        <f t="shared" si="1055"/>
        <v>20</v>
      </c>
      <c r="M3090" s="276"/>
      <c r="N3090" s="98"/>
      <c r="O3090" s="93">
        <f t="shared" si="1025"/>
        <v>0</v>
      </c>
      <c r="ON3090" s="100">
        <f t="shared" si="1051"/>
        <v>0</v>
      </c>
    </row>
    <row r="3091" spans="1:404" ht="23.25" customHeight="1">
      <c r="A3091" s="97" t="str">
        <f t="shared" si="1049"/>
        <v>038T/EUROMARKET-2166-02600-02-B</v>
      </c>
      <c r="B3091" s="95">
        <v>44686</v>
      </c>
      <c r="C3091" s="97">
        <f t="shared" ca="1" si="1054"/>
        <v>-378</v>
      </c>
      <c r="D3091" s="112" t="s">
        <v>2426</v>
      </c>
      <c r="E3091" s="123" t="s">
        <v>627</v>
      </c>
      <c r="F3091" s="98" t="str">
        <f t="shared" si="1052"/>
        <v>B</v>
      </c>
      <c r="G3091" s="110">
        <f ca="1">SUMIF($A:E,$A3091,K:K)</f>
        <v>0</v>
      </c>
      <c r="H3091" s="112" t="s">
        <v>2428</v>
      </c>
      <c r="I3091" s="175">
        <v>180</v>
      </c>
      <c r="J3091" s="115">
        <v>180</v>
      </c>
      <c r="K3091" s="143">
        <f t="shared" si="1021"/>
        <v>0</v>
      </c>
      <c r="L3091" s="144">
        <f t="shared" si="1055"/>
        <v>180</v>
      </c>
      <c r="M3091" s="276"/>
      <c r="N3091" s="98"/>
      <c r="O3091" s="93">
        <f t="shared" si="1025"/>
        <v>0</v>
      </c>
      <c r="ON3091" s="100">
        <f t="shared" si="1051"/>
        <v>0</v>
      </c>
    </row>
    <row r="3092" spans="1:404" ht="23.25" customHeight="1">
      <c r="A3092" s="97" t="str">
        <f t="shared" si="1049"/>
        <v>038T/EUROMARKET-2166-02700-01-B</v>
      </c>
      <c r="B3092" s="95">
        <v>44686</v>
      </c>
      <c r="C3092" s="97">
        <f t="shared" ca="1" si="1054"/>
        <v>-378</v>
      </c>
      <c r="D3092" s="112" t="s">
        <v>2426</v>
      </c>
      <c r="E3092" s="123" t="s">
        <v>628</v>
      </c>
      <c r="F3092" s="98" t="str">
        <f t="shared" si="1052"/>
        <v>B</v>
      </c>
      <c r="G3092" s="110">
        <f ca="1">SUMIF($A:E,$A3092,K:K)</f>
        <v>0</v>
      </c>
      <c r="H3092" s="112" t="s">
        <v>2428</v>
      </c>
      <c r="I3092" s="175">
        <v>30</v>
      </c>
      <c r="J3092" s="115">
        <v>30</v>
      </c>
      <c r="K3092" s="143">
        <f t="shared" si="1021"/>
        <v>0</v>
      </c>
      <c r="L3092" s="144">
        <f t="shared" si="1055"/>
        <v>30</v>
      </c>
      <c r="M3092" s="276"/>
      <c r="N3092" s="98">
        <v>2</v>
      </c>
      <c r="O3092" s="93">
        <f t="shared" si="1025"/>
        <v>0</v>
      </c>
      <c r="ON3092" s="100">
        <f t="shared" si="1051"/>
        <v>0</v>
      </c>
    </row>
    <row r="3093" spans="1:404" ht="23.25" customHeight="1">
      <c r="A3093" s="97" t="str">
        <f t="shared" si="1049"/>
        <v>038T/EUROMARKET-2166-54100-01-B</v>
      </c>
      <c r="B3093" s="95">
        <v>44686</v>
      </c>
      <c r="C3093" s="97">
        <f t="shared" ca="1" si="1054"/>
        <v>-378</v>
      </c>
      <c r="D3093" s="112" t="s">
        <v>2426</v>
      </c>
      <c r="E3093" s="123" t="s">
        <v>629</v>
      </c>
      <c r="F3093" s="98" t="str">
        <f t="shared" si="1052"/>
        <v>B</v>
      </c>
      <c r="G3093" s="110">
        <f ca="1">SUMIF($A:E,$A3093,K:K)</f>
        <v>0</v>
      </c>
      <c r="H3093" s="112" t="s">
        <v>2429</v>
      </c>
      <c r="I3093" s="175">
        <v>120</v>
      </c>
      <c r="J3093" s="115">
        <v>120</v>
      </c>
      <c r="K3093" s="143">
        <f t="shared" si="1021"/>
        <v>0</v>
      </c>
      <c r="L3093" s="144">
        <f t="shared" si="1055"/>
        <v>120</v>
      </c>
      <c r="M3093" s="276"/>
      <c r="N3093" s="98"/>
      <c r="O3093" s="93">
        <f t="shared" si="1025"/>
        <v>0</v>
      </c>
      <c r="ON3093" s="100">
        <f t="shared" si="1051"/>
        <v>0</v>
      </c>
    </row>
    <row r="3094" spans="1:404" ht="23.25" customHeight="1">
      <c r="A3094" s="97" t="str">
        <f t="shared" si="1049"/>
        <v>038T/EUROMARKET-2166-64700-S1-B</v>
      </c>
      <c r="B3094" s="95">
        <v>44675</v>
      </c>
      <c r="C3094" s="97">
        <f t="shared" ca="1" si="1054"/>
        <v>-389</v>
      </c>
      <c r="D3094" s="112" t="s">
        <v>2426</v>
      </c>
      <c r="E3094" s="123" t="s">
        <v>635</v>
      </c>
      <c r="F3094" s="98" t="str">
        <f t="shared" si="1052"/>
        <v>B</v>
      </c>
      <c r="G3094" s="110">
        <f ca="1">SUMIF($A:E,$A3094,K:K)</f>
        <v>114</v>
      </c>
      <c r="H3094" s="112" t="s">
        <v>2428</v>
      </c>
      <c r="I3094" s="175">
        <v>320</v>
      </c>
      <c r="J3094" s="115">
        <v>320</v>
      </c>
      <c r="K3094" s="143">
        <f t="shared" si="1021"/>
        <v>114</v>
      </c>
      <c r="L3094" s="144">
        <f t="shared" si="1055"/>
        <v>206</v>
      </c>
      <c r="M3094" s="276"/>
      <c r="N3094" s="98">
        <v>3</v>
      </c>
      <c r="O3094" s="93">
        <f t="shared" si="1025"/>
        <v>35.625</v>
      </c>
      <c r="OJ3094" s="100">
        <v>10</v>
      </c>
      <c r="OK3094" s="100">
        <v>23</v>
      </c>
      <c r="OM3094" s="100">
        <v>24</v>
      </c>
      <c r="ON3094" s="100">
        <f t="shared" si="1051"/>
        <v>57</v>
      </c>
    </row>
    <row r="3095" spans="1:404" ht="23.25" customHeight="1">
      <c r="A3095" s="97" t="str">
        <f t="shared" si="1049"/>
        <v>038T/EUROMARKET-2166-64800-S1-B</v>
      </c>
      <c r="B3095" s="95">
        <v>44686</v>
      </c>
      <c r="C3095" s="97">
        <f t="shared" ca="1" si="1054"/>
        <v>-378</v>
      </c>
      <c r="D3095" s="112" t="s">
        <v>2426</v>
      </c>
      <c r="E3095" s="123" t="s">
        <v>636</v>
      </c>
      <c r="F3095" s="98" t="str">
        <f t="shared" si="1052"/>
        <v>B</v>
      </c>
      <c r="G3095" s="110">
        <f ca="1">SUMIF($A:E,$A3095,K:K)</f>
        <v>0</v>
      </c>
      <c r="H3095" s="112" t="s">
        <v>2428</v>
      </c>
      <c r="I3095" s="175">
        <v>220</v>
      </c>
      <c r="J3095" s="115">
        <v>220</v>
      </c>
      <c r="K3095" s="143">
        <f t="shared" si="1021"/>
        <v>0</v>
      </c>
      <c r="L3095" s="144">
        <f t="shared" si="1055"/>
        <v>220</v>
      </c>
      <c r="M3095" s="276"/>
      <c r="N3095" s="98">
        <v>2</v>
      </c>
      <c r="O3095" s="93">
        <f t="shared" si="1025"/>
        <v>0</v>
      </c>
      <c r="ON3095" s="100">
        <f t="shared" si="1051"/>
        <v>0</v>
      </c>
    </row>
    <row r="3096" spans="1:404" ht="23.25" customHeight="1">
      <c r="A3096" s="97" t="str">
        <f t="shared" si="1049"/>
        <v>038T/EUROMARKET-2166-70300-02-B</v>
      </c>
      <c r="B3096" s="95">
        <v>44686</v>
      </c>
      <c r="C3096" s="97">
        <f t="shared" ca="1" si="1054"/>
        <v>-378</v>
      </c>
      <c r="D3096" s="112" t="s">
        <v>2426</v>
      </c>
      <c r="E3096" s="123" t="s">
        <v>47</v>
      </c>
      <c r="F3096" s="98" t="str">
        <f t="shared" si="1052"/>
        <v>B</v>
      </c>
      <c r="G3096" s="110">
        <f ca="1">SUMIF($A:E,$A3096,K:K)</f>
        <v>0</v>
      </c>
      <c r="H3096" s="112" t="s">
        <v>2428</v>
      </c>
      <c r="I3096" s="175">
        <v>65</v>
      </c>
      <c r="J3096" s="115">
        <v>65</v>
      </c>
      <c r="K3096" s="143">
        <f t="shared" si="1021"/>
        <v>0</v>
      </c>
      <c r="L3096" s="144">
        <f t="shared" si="1055"/>
        <v>65</v>
      </c>
      <c r="M3096" s="276"/>
      <c r="N3096" s="98">
        <v>1</v>
      </c>
      <c r="O3096" s="93">
        <f t="shared" si="1025"/>
        <v>0</v>
      </c>
      <c r="ON3096" s="100">
        <f t="shared" si="1051"/>
        <v>0</v>
      </c>
    </row>
    <row r="3097" spans="1:404" ht="23.25" customHeight="1">
      <c r="A3097" s="97" t="str">
        <f t="shared" si="1049"/>
        <v>038T/EUROMARKET-2166-70300-03-B</v>
      </c>
      <c r="B3097" s="95">
        <v>44686</v>
      </c>
      <c r="C3097" s="97">
        <f t="shared" ca="1" si="1054"/>
        <v>-378</v>
      </c>
      <c r="D3097" s="112" t="s">
        <v>2426</v>
      </c>
      <c r="E3097" s="123" t="s">
        <v>25</v>
      </c>
      <c r="F3097" s="98" t="str">
        <f t="shared" si="1052"/>
        <v>B</v>
      </c>
      <c r="G3097" s="110">
        <f ca="1">SUMIF($A:E,$A3097,K:K)</f>
        <v>460</v>
      </c>
      <c r="H3097" s="112" t="s">
        <v>2428</v>
      </c>
      <c r="I3097" s="175">
        <v>230</v>
      </c>
      <c r="J3097" s="115">
        <v>230</v>
      </c>
      <c r="K3097" s="143">
        <f t="shared" si="1021"/>
        <v>460</v>
      </c>
      <c r="L3097" s="144">
        <f t="shared" si="1055"/>
        <v>-230</v>
      </c>
      <c r="M3097" s="276"/>
      <c r="N3097" s="98">
        <v>6</v>
      </c>
      <c r="O3097" s="93">
        <f t="shared" si="1025"/>
        <v>200</v>
      </c>
      <c r="OA3097" s="100">
        <v>9</v>
      </c>
      <c r="OD3097" s="100">
        <v>37</v>
      </c>
      <c r="OF3097" s="100">
        <v>14</v>
      </c>
      <c r="OG3097" s="100">
        <v>15</v>
      </c>
      <c r="OI3097" s="100">
        <v>52</v>
      </c>
      <c r="OJ3097" s="100">
        <f>33+22</f>
        <v>55</v>
      </c>
      <c r="OK3097" s="100">
        <v>34</v>
      </c>
      <c r="OM3097" s="100">
        <v>14</v>
      </c>
      <c r="ON3097" s="100">
        <f t="shared" si="1051"/>
        <v>230</v>
      </c>
    </row>
    <row r="3098" spans="1:404" ht="23.25" customHeight="1">
      <c r="A3098" s="97" t="str">
        <f t="shared" si="1049"/>
        <v>038T/EUROMARKET-2168-70900-03-B</v>
      </c>
      <c r="B3098" s="95">
        <v>44686</v>
      </c>
      <c r="C3098" s="97">
        <f t="shared" ca="1" si="1054"/>
        <v>-378</v>
      </c>
      <c r="D3098" s="112" t="s">
        <v>2426</v>
      </c>
      <c r="E3098" s="123" t="s">
        <v>27</v>
      </c>
      <c r="F3098" s="98" t="str">
        <f t="shared" ref="F3098" si="1056">MID(E3098,13,2)</f>
        <v>B</v>
      </c>
      <c r="G3098" s="110">
        <f ca="1">SUMIF($A:E,$A3098,K:K)</f>
        <v>264</v>
      </c>
      <c r="H3098" s="112" t="s">
        <v>2428</v>
      </c>
      <c r="I3098" s="175">
        <v>240</v>
      </c>
      <c r="J3098" s="115">
        <v>240</v>
      </c>
      <c r="K3098" s="143">
        <f t="shared" si="1021"/>
        <v>264</v>
      </c>
      <c r="L3098" s="144">
        <f t="shared" si="1055"/>
        <v>-24</v>
      </c>
      <c r="M3098" s="276"/>
      <c r="N3098" s="98">
        <v>3</v>
      </c>
      <c r="O3098" s="93">
        <f t="shared" si="1025"/>
        <v>110.00000000000001</v>
      </c>
      <c r="OA3098" s="100">
        <v>9</v>
      </c>
      <c r="OB3098" s="100">
        <v>16</v>
      </c>
      <c r="OC3098" s="100">
        <v>12</v>
      </c>
      <c r="OF3098" s="100">
        <v>24</v>
      </c>
      <c r="OG3098" s="100">
        <v>10</v>
      </c>
      <c r="OH3098" s="100">
        <v>33</v>
      </c>
      <c r="OJ3098" s="100">
        <v>16</v>
      </c>
      <c r="OM3098" s="100">
        <v>12</v>
      </c>
      <c r="ON3098" s="100">
        <f t="shared" si="1051"/>
        <v>132</v>
      </c>
    </row>
    <row r="3099" spans="1:404" ht="23.25" customHeight="1">
      <c r="A3099" s="97" t="str">
        <f t="shared" si="1049"/>
        <v>038T/EUROMARKET-2168-79900-01-B</v>
      </c>
      <c r="B3099" s="95">
        <v>44686</v>
      </c>
      <c r="C3099" s="97">
        <f t="shared" ca="1" si="1054"/>
        <v>-378</v>
      </c>
      <c r="D3099" s="112" t="s">
        <v>2426</v>
      </c>
      <c r="E3099" s="123" t="s">
        <v>1542</v>
      </c>
      <c r="F3099" s="98" t="str">
        <f t="shared" si="1052"/>
        <v>B</v>
      </c>
      <c r="G3099" s="110">
        <f ca="1">SUMIF($A:E,$A3099,K:K)</f>
        <v>0</v>
      </c>
      <c r="H3099" s="112" t="s">
        <v>2429</v>
      </c>
      <c r="I3099" s="175">
        <v>35</v>
      </c>
      <c r="J3099" s="115">
        <v>35</v>
      </c>
      <c r="K3099" s="143">
        <f t="shared" si="1021"/>
        <v>0</v>
      </c>
      <c r="L3099" s="144">
        <f t="shared" si="1055"/>
        <v>35</v>
      </c>
      <c r="M3099" s="276"/>
      <c r="N3099" s="98"/>
      <c r="O3099" s="93">
        <f t="shared" si="1025"/>
        <v>0</v>
      </c>
      <c r="ON3099" s="100">
        <f t="shared" si="1051"/>
        <v>0</v>
      </c>
    </row>
    <row r="3100" spans="1:404" ht="23.25" customHeight="1">
      <c r="A3100" s="97" t="str">
        <f t="shared" si="1049"/>
        <v>038T/EUROMARKET-2166-02700-01-A1(phen)</v>
      </c>
      <c r="B3100" s="95">
        <v>44686</v>
      </c>
      <c r="C3100" s="97">
        <f t="shared" ca="1" si="1054"/>
        <v>-378</v>
      </c>
      <c r="D3100" s="112" t="s">
        <v>2426</v>
      </c>
      <c r="E3100" s="123" t="s">
        <v>427</v>
      </c>
      <c r="F3100" s="98" t="str">
        <f t="shared" si="1052"/>
        <v>A1</v>
      </c>
      <c r="G3100" s="110">
        <f ca="1">SUMIF($A:E,$A3100,K:K)</f>
        <v>0</v>
      </c>
      <c r="H3100" s="112" t="s">
        <v>2430</v>
      </c>
      <c r="I3100" s="175">
        <v>30</v>
      </c>
      <c r="J3100" s="115">
        <v>30</v>
      </c>
      <c r="K3100" s="143">
        <f t="shared" si="1021"/>
        <v>0</v>
      </c>
      <c r="L3100" s="144">
        <f t="shared" si="1055"/>
        <v>30</v>
      </c>
      <c r="M3100" s="276"/>
      <c r="N3100" s="98">
        <v>2</v>
      </c>
      <c r="O3100" s="93">
        <f t="shared" si="1025"/>
        <v>0</v>
      </c>
      <c r="ON3100" s="100">
        <f t="shared" si="1051"/>
        <v>0</v>
      </c>
    </row>
    <row r="3101" spans="1:404" ht="23.25" customHeight="1">
      <c r="A3101" s="97" t="str">
        <f t="shared" si="1049"/>
        <v>059/HACA-HK-VG-2166-61312-S3-B</v>
      </c>
      <c r="B3101" s="95">
        <v>44613</v>
      </c>
      <c r="C3101" s="97">
        <f t="shared" ca="1" si="1054"/>
        <v>-451</v>
      </c>
      <c r="D3101" s="112" t="s">
        <v>2230</v>
      </c>
      <c r="E3101" s="123" t="s">
        <v>425</v>
      </c>
      <c r="F3101" s="98" t="str">
        <f t="shared" ref="F3101:F3102" si="1057">MID(E3101,13,2)</f>
        <v>B</v>
      </c>
      <c r="G3101" s="110">
        <f ca="1">SUMIF($A:E,$A3101,K:K)</f>
        <v>32</v>
      </c>
      <c r="H3101" s="97" t="s">
        <v>601</v>
      </c>
      <c r="I3101" s="98">
        <v>16</v>
      </c>
      <c r="J3101" s="99">
        <v>16</v>
      </c>
      <c r="K3101" s="143">
        <f t="shared" si="1021"/>
        <v>0</v>
      </c>
      <c r="L3101" s="144">
        <f t="shared" ref="L3101:L3103" si="1058">J3101-K3101</f>
        <v>16</v>
      </c>
      <c r="M3101" s="276"/>
      <c r="N3101" s="98"/>
      <c r="O3101" s="93">
        <f t="shared" si="1025"/>
        <v>0</v>
      </c>
      <c r="ON3101" s="100">
        <f t="shared" si="1051"/>
        <v>0</v>
      </c>
    </row>
    <row r="3102" spans="1:404" ht="23.25" customHeight="1">
      <c r="A3102" s="97" t="str">
        <f t="shared" ref="A3102" si="1059">D3102&amp;E3102</f>
        <v>059/HACA-HK-VG-2166-68500-B3-B</v>
      </c>
      <c r="B3102" s="95">
        <v>44613</v>
      </c>
      <c r="C3102" s="97">
        <f t="shared" ca="1" si="1054"/>
        <v>-451</v>
      </c>
      <c r="D3102" s="112" t="s">
        <v>2230</v>
      </c>
      <c r="E3102" s="123" t="s">
        <v>1147</v>
      </c>
      <c r="F3102" s="98" t="str">
        <f t="shared" si="1057"/>
        <v>B</v>
      </c>
      <c r="G3102" s="110">
        <f ca="1">SUMIF($A:E,$A3102,K:K)</f>
        <v>32</v>
      </c>
      <c r="H3102" s="97" t="s">
        <v>601</v>
      </c>
      <c r="I3102" s="98">
        <v>16</v>
      </c>
      <c r="J3102" s="99">
        <v>16</v>
      </c>
      <c r="K3102" s="143">
        <f t="shared" si="1021"/>
        <v>32</v>
      </c>
      <c r="L3102" s="144">
        <f t="shared" si="1058"/>
        <v>-16</v>
      </c>
      <c r="M3102" s="276"/>
      <c r="N3102" s="98">
        <v>2</v>
      </c>
      <c r="O3102" s="93">
        <f t="shared" si="1025"/>
        <v>200</v>
      </c>
      <c r="OA3102" s="100">
        <v>2</v>
      </c>
      <c r="OB3102" s="100">
        <v>2</v>
      </c>
      <c r="OC3102" s="100">
        <v>2</v>
      </c>
      <c r="OD3102" s="100">
        <v>1</v>
      </c>
      <c r="OF3102" s="100">
        <v>2</v>
      </c>
      <c r="OG3102" s="100">
        <v>3</v>
      </c>
      <c r="OH3102" s="100">
        <v>2</v>
      </c>
      <c r="OK3102" s="100">
        <v>2</v>
      </c>
      <c r="ON3102" s="100">
        <f t="shared" si="1051"/>
        <v>16</v>
      </c>
    </row>
    <row r="3103" spans="1:404" ht="23.25" customHeight="1">
      <c r="A3103" s="97" t="str">
        <f t="shared" si="1049"/>
        <v>002/COMERZIA-VG-2166-02700-01-A1(phen)</v>
      </c>
      <c r="B3103" s="95">
        <v>44704</v>
      </c>
      <c r="C3103" s="97">
        <f t="shared" ca="1" si="1054"/>
        <v>-360</v>
      </c>
      <c r="D3103" s="112" t="s">
        <v>2431</v>
      </c>
      <c r="E3103" s="123" t="s">
        <v>427</v>
      </c>
      <c r="F3103" s="98">
        <f ca="1">F3103:H3128=MID(E3103,13,2)</f>
        <v>0</v>
      </c>
      <c r="G3103" s="110">
        <f ca="1">SUMIF($A:E,$A3103,K:K)</f>
        <v>0</v>
      </c>
      <c r="H3103" s="97" t="s">
        <v>1593</v>
      </c>
      <c r="I3103" s="175">
        <v>45</v>
      </c>
      <c r="J3103" s="115">
        <v>45</v>
      </c>
      <c r="K3103" s="143">
        <f t="shared" si="1021"/>
        <v>0</v>
      </c>
      <c r="L3103" s="144">
        <f t="shared" si="1058"/>
        <v>45</v>
      </c>
      <c r="M3103" s="276"/>
      <c r="N3103" s="98"/>
      <c r="O3103" s="93">
        <f t="shared" ref="O3103:O3164" si="1060">K3103/J3103*100</f>
        <v>0</v>
      </c>
      <c r="ON3103" s="100">
        <f t="shared" si="1051"/>
        <v>0</v>
      </c>
    </row>
    <row r="3104" spans="1:404" ht="23.25" customHeight="1">
      <c r="A3104" s="97" t="str">
        <f t="shared" ref="A3104:A3111" si="1061">D3104&amp;E3104</f>
        <v>002/COMERZIA-VG-2166-01700-B3-B</v>
      </c>
      <c r="B3104" s="95">
        <v>44704</v>
      </c>
      <c r="C3104" s="97">
        <f t="shared" ref="C3104:C3111" ca="1" si="1062">B3104-TODAY()</f>
        <v>-360</v>
      </c>
      <c r="D3104" s="112" t="s">
        <v>2431</v>
      </c>
      <c r="E3104" s="123" t="s">
        <v>2357</v>
      </c>
      <c r="F3104" s="98">
        <f t="shared" ref="F3104:F3151" ca="1" si="1063">F3104:H3129=MID(E3104,13,2)</f>
        <v>0</v>
      </c>
      <c r="G3104" s="110">
        <f ca="1">SUMIF($A:E,$A3104,K:K)</f>
        <v>0</v>
      </c>
      <c r="H3104" s="97" t="s">
        <v>1593</v>
      </c>
      <c r="I3104" s="175">
        <v>16</v>
      </c>
      <c r="J3104" s="115">
        <v>16</v>
      </c>
      <c r="K3104" s="143">
        <f t="shared" ref="K3104:K3167" si="1064">SUM(P3104:BBC3104)</f>
        <v>0</v>
      </c>
      <c r="L3104" s="144">
        <f t="shared" ref="L3104:L3167" si="1065">J3104-K3104</f>
        <v>16</v>
      </c>
      <c r="M3104" s="276"/>
      <c r="N3104" s="98"/>
      <c r="O3104" s="93">
        <f t="shared" si="1060"/>
        <v>0</v>
      </c>
      <c r="ON3104" s="100">
        <f t="shared" si="1051"/>
        <v>0</v>
      </c>
    </row>
    <row r="3105" spans="1:404" ht="23.25" customHeight="1">
      <c r="A3105" s="97" t="str">
        <f t="shared" si="1061"/>
        <v>002/COMERZIA-VG-2166-02700-S3-B</v>
      </c>
      <c r="B3105" s="95">
        <v>44704</v>
      </c>
      <c r="C3105" s="97">
        <f t="shared" ca="1" si="1062"/>
        <v>-360</v>
      </c>
      <c r="D3105" s="112" t="s">
        <v>2431</v>
      </c>
      <c r="E3105" s="123" t="s">
        <v>1234</v>
      </c>
      <c r="F3105" s="98">
        <f t="shared" ca="1" si="1063"/>
        <v>0</v>
      </c>
      <c r="G3105" s="110">
        <f ca="1">SUMIF($A:E,$A3105,K:K)</f>
        <v>0</v>
      </c>
      <c r="H3105" s="97" t="s">
        <v>1593</v>
      </c>
      <c r="I3105" s="175">
        <v>45</v>
      </c>
      <c r="J3105" s="115">
        <v>45</v>
      </c>
      <c r="K3105" s="143">
        <f t="shared" si="1064"/>
        <v>0</v>
      </c>
      <c r="L3105" s="144">
        <f t="shared" si="1065"/>
        <v>45</v>
      </c>
      <c r="M3105" s="276"/>
      <c r="N3105" s="98"/>
      <c r="O3105" s="93">
        <f t="shared" si="1060"/>
        <v>0</v>
      </c>
      <c r="ON3105" s="100">
        <f t="shared" si="1051"/>
        <v>0</v>
      </c>
    </row>
    <row r="3106" spans="1:404" ht="23.25" customHeight="1">
      <c r="A3106" s="97" t="str">
        <f t="shared" si="1061"/>
        <v>002/COMERZIA-VG-2166-05600-S1-B</v>
      </c>
      <c r="B3106" s="95">
        <v>44704</v>
      </c>
      <c r="C3106" s="97">
        <f t="shared" ca="1" si="1062"/>
        <v>-360</v>
      </c>
      <c r="D3106" s="112" t="s">
        <v>2431</v>
      </c>
      <c r="E3106" s="123" t="s">
        <v>1235</v>
      </c>
      <c r="F3106" s="98">
        <f t="shared" ca="1" si="1063"/>
        <v>0</v>
      </c>
      <c r="G3106" s="110">
        <f ca="1">SUMIF($A:E,$A3106,K:K)</f>
        <v>0</v>
      </c>
      <c r="H3106" s="97" t="s">
        <v>1593</v>
      </c>
      <c r="I3106" s="175">
        <v>35</v>
      </c>
      <c r="J3106" s="115">
        <v>35</v>
      </c>
      <c r="K3106" s="143">
        <f t="shared" si="1064"/>
        <v>0</v>
      </c>
      <c r="L3106" s="144">
        <f t="shared" si="1065"/>
        <v>35</v>
      </c>
      <c r="M3106" s="276"/>
      <c r="N3106" s="98"/>
      <c r="O3106" s="93">
        <f t="shared" si="1060"/>
        <v>0</v>
      </c>
      <c r="ON3106" s="100">
        <f t="shared" si="1051"/>
        <v>0</v>
      </c>
    </row>
    <row r="3107" spans="1:404" ht="23.25" customHeight="1">
      <c r="A3107" s="97" t="str">
        <f t="shared" si="1061"/>
        <v>002/COMERZIA-VG-2166-05800-S1-B</v>
      </c>
      <c r="B3107" s="95">
        <v>44704</v>
      </c>
      <c r="C3107" s="97">
        <f t="shared" ca="1" si="1062"/>
        <v>-360</v>
      </c>
      <c r="D3107" s="112" t="s">
        <v>2431</v>
      </c>
      <c r="E3107" s="123" t="s">
        <v>944</v>
      </c>
      <c r="F3107" s="98">
        <f t="shared" ca="1" si="1063"/>
        <v>0</v>
      </c>
      <c r="G3107" s="110">
        <f ca="1">SUMIF($A:E,$A3107,K:K)</f>
        <v>0</v>
      </c>
      <c r="H3107" s="97" t="s">
        <v>1593</v>
      </c>
      <c r="I3107" s="175">
        <v>40</v>
      </c>
      <c r="J3107" s="115">
        <v>40</v>
      </c>
      <c r="K3107" s="143">
        <f t="shared" si="1064"/>
        <v>0</v>
      </c>
      <c r="L3107" s="144">
        <f t="shared" si="1065"/>
        <v>40</v>
      </c>
      <c r="M3107" s="276"/>
      <c r="N3107" s="98"/>
      <c r="O3107" s="93">
        <f t="shared" si="1060"/>
        <v>0</v>
      </c>
      <c r="ON3107" s="100">
        <f t="shared" si="1051"/>
        <v>0</v>
      </c>
    </row>
    <row r="3108" spans="1:404" ht="23.25" customHeight="1">
      <c r="A3108" s="97" t="str">
        <f t="shared" si="1061"/>
        <v>002/COMERZIA-VG-2166-34700-S1-B</v>
      </c>
      <c r="B3108" s="95">
        <v>44704</v>
      </c>
      <c r="C3108" s="97">
        <f t="shared" ca="1" si="1062"/>
        <v>-360</v>
      </c>
      <c r="D3108" s="112" t="s">
        <v>2431</v>
      </c>
      <c r="E3108" s="123" t="s">
        <v>2432</v>
      </c>
      <c r="F3108" s="98">
        <f t="shared" ca="1" si="1063"/>
        <v>0</v>
      </c>
      <c r="G3108" s="110">
        <f ca="1">SUMIF($A:E,$A3108,K:K)</f>
        <v>0</v>
      </c>
      <c r="H3108" s="97" t="s">
        <v>1593</v>
      </c>
      <c r="I3108" s="175">
        <v>66</v>
      </c>
      <c r="J3108" s="115">
        <v>66</v>
      </c>
      <c r="K3108" s="143">
        <f t="shared" si="1064"/>
        <v>0</v>
      </c>
      <c r="L3108" s="144">
        <f t="shared" si="1065"/>
        <v>66</v>
      </c>
      <c r="M3108" s="276"/>
      <c r="N3108" s="98"/>
      <c r="O3108" s="93">
        <f t="shared" si="1060"/>
        <v>0</v>
      </c>
      <c r="ON3108" s="100">
        <f t="shared" si="1051"/>
        <v>0</v>
      </c>
    </row>
    <row r="3109" spans="1:404" ht="23.25" customHeight="1">
      <c r="A3109" s="97" t="str">
        <f t="shared" si="1061"/>
        <v>002/COMERZIA-VG-2166-61300-S3-B</v>
      </c>
      <c r="B3109" s="95">
        <v>44704</v>
      </c>
      <c r="C3109" s="97">
        <f t="shared" ca="1" si="1062"/>
        <v>-360</v>
      </c>
      <c r="D3109" s="112" t="s">
        <v>2431</v>
      </c>
      <c r="E3109" s="123" t="s">
        <v>704</v>
      </c>
      <c r="F3109" s="98">
        <f t="shared" ca="1" si="1063"/>
        <v>0</v>
      </c>
      <c r="G3109" s="110">
        <f ca="1">SUMIF($A:E,$A3109,K:K)</f>
        <v>0</v>
      </c>
      <c r="H3109" s="97" t="s">
        <v>1593</v>
      </c>
      <c r="I3109" s="175">
        <v>64</v>
      </c>
      <c r="J3109" s="115">
        <v>64</v>
      </c>
      <c r="K3109" s="143">
        <f t="shared" si="1064"/>
        <v>0</v>
      </c>
      <c r="L3109" s="144">
        <f t="shared" si="1065"/>
        <v>64</v>
      </c>
      <c r="M3109" s="276"/>
      <c r="N3109" s="98"/>
      <c r="O3109" s="93">
        <f t="shared" si="1060"/>
        <v>0</v>
      </c>
      <c r="ON3109" s="100">
        <f t="shared" si="1051"/>
        <v>0</v>
      </c>
    </row>
    <row r="3110" spans="1:404" ht="23.25" customHeight="1">
      <c r="A3110" s="97" t="str">
        <f t="shared" si="1061"/>
        <v>002/COMERZIA-VG-2168-57700-S3-B</v>
      </c>
      <c r="B3110" s="95">
        <v>44704</v>
      </c>
      <c r="C3110" s="97">
        <f t="shared" ca="1" si="1062"/>
        <v>-360</v>
      </c>
      <c r="D3110" s="112" t="s">
        <v>2431</v>
      </c>
      <c r="E3110" s="123" t="s">
        <v>1065</v>
      </c>
      <c r="F3110" s="98">
        <f t="shared" ca="1" si="1063"/>
        <v>0</v>
      </c>
      <c r="G3110" s="110">
        <f ca="1">SUMIF($A:E,$A3110,K:K)</f>
        <v>0</v>
      </c>
      <c r="H3110" s="97" t="s">
        <v>1593</v>
      </c>
      <c r="I3110" s="175">
        <v>16</v>
      </c>
      <c r="J3110" s="115">
        <v>16</v>
      </c>
      <c r="K3110" s="143">
        <f t="shared" si="1064"/>
        <v>0</v>
      </c>
      <c r="L3110" s="144">
        <f t="shared" si="1065"/>
        <v>16</v>
      </c>
      <c r="M3110" s="276"/>
      <c r="N3110" s="98"/>
      <c r="O3110" s="93">
        <f t="shared" si="1060"/>
        <v>0</v>
      </c>
      <c r="ON3110" s="100">
        <f t="shared" si="1051"/>
        <v>0</v>
      </c>
    </row>
    <row r="3111" spans="1:404" ht="23.25" customHeight="1">
      <c r="A3111" s="97" t="str">
        <f t="shared" si="1061"/>
        <v>001/COMERZIA-VG-2166-01700-B3-B</v>
      </c>
      <c r="B3111" s="95">
        <v>44659</v>
      </c>
      <c r="C3111" s="97">
        <f t="shared" ca="1" si="1062"/>
        <v>-405</v>
      </c>
      <c r="D3111" s="112" t="s">
        <v>2433</v>
      </c>
      <c r="E3111" s="123" t="s">
        <v>2357</v>
      </c>
      <c r="F3111" s="98">
        <f t="shared" ca="1" si="1063"/>
        <v>0</v>
      </c>
      <c r="G3111" s="110">
        <f ca="1">SUMIF($A:E,$A3111,K:K)</f>
        <v>0</v>
      </c>
      <c r="H3111" s="97" t="s">
        <v>1593</v>
      </c>
      <c r="I3111" s="175">
        <v>64</v>
      </c>
      <c r="J3111" s="115">
        <v>64</v>
      </c>
      <c r="K3111" s="143">
        <f t="shared" si="1064"/>
        <v>0</v>
      </c>
      <c r="L3111" s="144">
        <f t="shared" si="1065"/>
        <v>64</v>
      </c>
      <c r="M3111" s="276"/>
      <c r="N3111" s="98">
        <v>6</v>
      </c>
      <c r="O3111" s="93">
        <f t="shared" si="1060"/>
        <v>0</v>
      </c>
      <c r="ON3111" s="100">
        <f t="shared" si="1051"/>
        <v>0</v>
      </c>
    </row>
    <row r="3112" spans="1:404" ht="23.25" customHeight="1">
      <c r="A3112" s="97" t="str">
        <f t="shared" ref="A3112:A3137" si="1066">D3112&amp;E3112</f>
        <v>001/COMERZIA-VG-2166-02624-S3-B</v>
      </c>
      <c r="B3112" s="95">
        <v>44659</v>
      </c>
      <c r="C3112" s="97">
        <f t="shared" ref="C3112:C3137" ca="1" si="1067">B3112-TODAY()</f>
        <v>-405</v>
      </c>
      <c r="D3112" s="112" t="s">
        <v>2433</v>
      </c>
      <c r="E3112" s="123" t="s">
        <v>1233</v>
      </c>
      <c r="F3112" s="98">
        <f t="shared" ca="1" si="1063"/>
        <v>0</v>
      </c>
      <c r="G3112" s="110">
        <f ca="1">SUMIF($A:E,$A3112,K:K)</f>
        <v>0</v>
      </c>
      <c r="H3112" s="97" t="s">
        <v>1593</v>
      </c>
      <c r="I3112" s="175">
        <v>16</v>
      </c>
      <c r="J3112" s="115">
        <v>16</v>
      </c>
      <c r="K3112" s="143">
        <f t="shared" si="1064"/>
        <v>0</v>
      </c>
      <c r="L3112" s="144">
        <f t="shared" si="1065"/>
        <v>16</v>
      </c>
      <c r="M3112" s="276"/>
      <c r="N3112" s="98"/>
      <c r="O3112" s="93">
        <f t="shared" si="1060"/>
        <v>0</v>
      </c>
      <c r="ON3112" s="100">
        <f t="shared" si="1051"/>
        <v>0</v>
      </c>
    </row>
    <row r="3113" spans="1:404" ht="23.25" customHeight="1">
      <c r="A3113" s="97" t="str">
        <f t="shared" si="1066"/>
        <v>001/COMERZIA-VG-2166-02700-S3-B</v>
      </c>
      <c r="B3113" s="95">
        <v>44659</v>
      </c>
      <c r="C3113" s="97">
        <f t="shared" ca="1" si="1067"/>
        <v>-405</v>
      </c>
      <c r="D3113" s="112" t="s">
        <v>2433</v>
      </c>
      <c r="E3113" s="123" t="s">
        <v>1234</v>
      </c>
      <c r="F3113" s="98">
        <f t="shared" ca="1" si="1063"/>
        <v>0</v>
      </c>
      <c r="G3113" s="110">
        <f ca="1">SUMIF($A:E,$A3113,K:K)</f>
        <v>0</v>
      </c>
      <c r="H3113" s="97" t="s">
        <v>1593</v>
      </c>
      <c r="I3113" s="175">
        <v>45</v>
      </c>
      <c r="J3113" s="115">
        <v>45</v>
      </c>
      <c r="K3113" s="143">
        <f t="shared" si="1064"/>
        <v>0</v>
      </c>
      <c r="L3113" s="144">
        <f t="shared" si="1065"/>
        <v>45</v>
      </c>
      <c r="M3113" s="276"/>
      <c r="N3113" s="98"/>
      <c r="O3113" s="93">
        <f t="shared" si="1060"/>
        <v>0</v>
      </c>
      <c r="ON3113" s="100">
        <f t="shared" si="1051"/>
        <v>0</v>
      </c>
    </row>
    <row r="3114" spans="1:404" ht="23.25" customHeight="1">
      <c r="A3114" s="97" t="str">
        <f t="shared" si="1066"/>
        <v>001/COMERZIA-VG-2166-02724-S3-B</v>
      </c>
      <c r="B3114" s="95">
        <v>44659</v>
      </c>
      <c r="C3114" s="97">
        <f t="shared" ca="1" si="1067"/>
        <v>-405</v>
      </c>
      <c r="D3114" s="112" t="s">
        <v>2433</v>
      </c>
      <c r="E3114" s="123" t="s">
        <v>2434</v>
      </c>
      <c r="F3114" s="98">
        <f t="shared" ca="1" si="1063"/>
        <v>0</v>
      </c>
      <c r="G3114" s="110">
        <f ca="1">SUMIF($A:E,$A3114,K:K)</f>
        <v>0</v>
      </c>
      <c r="H3114" s="97" t="s">
        <v>1593</v>
      </c>
      <c r="I3114" s="175">
        <v>15</v>
      </c>
      <c r="J3114" s="115">
        <v>15</v>
      </c>
      <c r="K3114" s="143">
        <f t="shared" si="1064"/>
        <v>0</v>
      </c>
      <c r="L3114" s="144">
        <f t="shared" si="1065"/>
        <v>15</v>
      </c>
      <c r="M3114" s="276"/>
      <c r="N3114" s="98"/>
      <c r="O3114" s="93">
        <f t="shared" si="1060"/>
        <v>0</v>
      </c>
      <c r="ON3114" s="100">
        <f t="shared" si="1051"/>
        <v>0</v>
      </c>
    </row>
    <row r="3115" spans="1:404" ht="23.25" customHeight="1">
      <c r="A3115" s="97" t="str">
        <f t="shared" si="1066"/>
        <v>001/COMERZIA-VG-2166-05600-S1-B</v>
      </c>
      <c r="B3115" s="95">
        <v>44659</v>
      </c>
      <c r="C3115" s="97">
        <f t="shared" ca="1" si="1067"/>
        <v>-405</v>
      </c>
      <c r="D3115" s="112" t="s">
        <v>2433</v>
      </c>
      <c r="E3115" s="123" t="s">
        <v>1235</v>
      </c>
      <c r="F3115" s="98">
        <f t="shared" ca="1" si="1063"/>
        <v>0</v>
      </c>
      <c r="G3115" s="110">
        <f ca="1">SUMIF($A:E,$A3115,K:K)</f>
        <v>0</v>
      </c>
      <c r="H3115" s="97" t="s">
        <v>1593</v>
      </c>
      <c r="I3115" s="175">
        <v>140</v>
      </c>
      <c r="J3115" s="115">
        <v>140</v>
      </c>
      <c r="K3115" s="143">
        <f t="shared" si="1064"/>
        <v>0</v>
      </c>
      <c r="L3115" s="144">
        <f t="shared" si="1065"/>
        <v>140</v>
      </c>
      <c r="M3115" s="276"/>
      <c r="N3115" s="98"/>
      <c r="O3115" s="93">
        <f t="shared" si="1060"/>
        <v>0</v>
      </c>
      <c r="ON3115" s="100">
        <f t="shared" si="1051"/>
        <v>0</v>
      </c>
    </row>
    <row r="3116" spans="1:404" ht="23.25" customHeight="1">
      <c r="A3116" s="97" t="str">
        <f t="shared" si="1066"/>
        <v>001/COMERZIA-VG-2166-05624-S1-B</v>
      </c>
      <c r="B3116" s="95">
        <v>44659</v>
      </c>
      <c r="C3116" s="97">
        <f t="shared" ca="1" si="1067"/>
        <v>-405</v>
      </c>
      <c r="D3116" s="112" t="s">
        <v>2433</v>
      </c>
      <c r="E3116" s="123" t="s">
        <v>1236</v>
      </c>
      <c r="F3116" s="98">
        <f t="shared" ca="1" si="1063"/>
        <v>0</v>
      </c>
      <c r="G3116" s="110">
        <f ca="1">SUMIF($A:E,$A3116,K:K)</f>
        <v>0</v>
      </c>
      <c r="H3116" s="97" t="s">
        <v>1593</v>
      </c>
      <c r="I3116" s="175">
        <v>35</v>
      </c>
      <c r="J3116" s="115">
        <v>35</v>
      </c>
      <c r="K3116" s="143">
        <f t="shared" si="1064"/>
        <v>0</v>
      </c>
      <c r="L3116" s="144">
        <f t="shared" si="1065"/>
        <v>35</v>
      </c>
      <c r="M3116" s="276"/>
      <c r="N3116" s="98"/>
      <c r="O3116" s="93">
        <f t="shared" si="1060"/>
        <v>0</v>
      </c>
      <c r="ON3116" s="100">
        <f t="shared" si="1051"/>
        <v>0</v>
      </c>
    </row>
    <row r="3117" spans="1:404" ht="23.25" customHeight="1">
      <c r="A3117" s="97" t="str">
        <f t="shared" si="1066"/>
        <v>001/COMERZIA-VG-2166-05800-S1-B</v>
      </c>
      <c r="B3117" s="95">
        <v>44659</v>
      </c>
      <c r="C3117" s="97">
        <f t="shared" ca="1" si="1067"/>
        <v>-405</v>
      </c>
      <c r="D3117" s="112" t="s">
        <v>2433</v>
      </c>
      <c r="E3117" s="123" t="s">
        <v>944</v>
      </c>
      <c r="F3117" s="98">
        <f t="shared" ca="1" si="1063"/>
        <v>0</v>
      </c>
      <c r="G3117" s="110">
        <f ca="1">SUMIF($A:E,$A3117,K:K)</f>
        <v>0</v>
      </c>
      <c r="H3117" s="97" t="s">
        <v>1593</v>
      </c>
      <c r="I3117" s="175">
        <v>160</v>
      </c>
      <c r="J3117" s="115">
        <v>160</v>
      </c>
      <c r="K3117" s="143">
        <f t="shared" si="1064"/>
        <v>0</v>
      </c>
      <c r="L3117" s="144">
        <f t="shared" si="1065"/>
        <v>160</v>
      </c>
      <c r="M3117" s="276"/>
      <c r="N3117" s="98"/>
      <c r="O3117" s="93">
        <f t="shared" si="1060"/>
        <v>0</v>
      </c>
      <c r="ON3117" s="100">
        <f t="shared" si="1051"/>
        <v>0</v>
      </c>
    </row>
    <row r="3118" spans="1:404" ht="23.25" customHeight="1">
      <c r="A3118" s="97" t="str">
        <f t="shared" si="1066"/>
        <v>001/COMERZIA-VG-2166-05824-S1-B</v>
      </c>
      <c r="B3118" s="95">
        <v>44659</v>
      </c>
      <c r="C3118" s="97">
        <f t="shared" ca="1" si="1067"/>
        <v>-405</v>
      </c>
      <c r="D3118" s="112" t="s">
        <v>2433</v>
      </c>
      <c r="E3118" s="123" t="s">
        <v>1237</v>
      </c>
      <c r="F3118" s="98">
        <f t="shared" ca="1" si="1063"/>
        <v>0</v>
      </c>
      <c r="G3118" s="110">
        <f ca="1">SUMIF($A:E,$A3118,K:K)</f>
        <v>0</v>
      </c>
      <c r="H3118" s="97" t="s">
        <v>1593</v>
      </c>
      <c r="I3118" s="175">
        <v>40</v>
      </c>
      <c r="J3118" s="115">
        <v>40</v>
      </c>
      <c r="K3118" s="143">
        <f t="shared" si="1064"/>
        <v>0</v>
      </c>
      <c r="L3118" s="144">
        <f t="shared" si="1065"/>
        <v>40</v>
      </c>
      <c r="M3118" s="276"/>
      <c r="N3118" s="98"/>
      <c r="O3118" s="93">
        <f t="shared" si="1060"/>
        <v>0</v>
      </c>
      <c r="ON3118" s="100">
        <f t="shared" si="1051"/>
        <v>0</v>
      </c>
    </row>
    <row r="3119" spans="1:404" ht="23.25" customHeight="1">
      <c r="A3119" s="97" t="str">
        <f t="shared" si="1066"/>
        <v>001/COMERZIA-VG-2166-07000-S1-B</v>
      </c>
      <c r="B3119" s="95">
        <v>44659</v>
      </c>
      <c r="C3119" s="97">
        <f t="shared" ca="1" si="1067"/>
        <v>-405</v>
      </c>
      <c r="D3119" s="112" t="s">
        <v>2433</v>
      </c>
      <c r="E3119" s="123" t="s">
        <v>589</v>
      </c>
      <c r="F3119" s="98">
        <f t="shared" ca="1" si="1063"/>
        <v>0</v>
      </c>
      <c r="G3119" s="110">
        <f ca="1">SUMIF($A:E,$A3119,K:K)</f>
        <v>0</v>
      </c>
      <c r="H3119" s="97" t="s">
        <v>1593</v>
      </c>
      <c r="I3119" s="175">
        <v>126</v>
      </c>
      <c r="J3119" s="115">
        <v>126</v>
      </c>
      <c r="K3119" s="143">
        <f t="shared" si="1064"/>
        <v>0</v>
      </c>
      <c r="L3119" s="144">
        <f t="shared" si="1065"/>
        <v>126</v>
      </c>
      <c r="M3119" s="276"/>
      <c r="N3119" s="98">
        <v>6</v>
      </c>
      <c r="O3119" s="93">
        <f t="shared" si="1060"/>
        <v>0</v>
      </c>
      <c r="ON3119" s="100">
        <f t="shared" si="1051"/>
        <v>0</v>
      </c>
    </row>
    <row r="3120" spans="1:404" ht="23.25" customHeight="1">
      <c r="A3120" s="97" t="str">
        <f t="shared" si="1066"/>
        <v>001/COMERZIA-VG-2166-07100-S1-B</v>
      </c>
      <c r="B3120" s="95">
        <v>44659</v>
      </c>
      <c r="C3120" s="97">
        <f t="shared" ca="1" si="1067"/>
        <v>-405</v>
      </c>
      <c r="D3120" s="112" t="s">
        <v>2433</v>
      </c>
      <c r="E3120" s="123" t="s">
        <v>590</v>
      </c>
      <c r="F3120" s="98">
        <f t="shared" ca="1" si="1063"/>
        <v>0</v>
      </c>
      <c r="G3120" s="110">
        <f ca="1">SUMIF($A:E,$A3120,K:K)</f>
        <v>0</v>
      </c>
      <c r="H3120" s="97" t="s">
        <v>1593</v>
      </c>
      <c r="I3120" s="175">
        <v>288</v>
      </c>
      <c r="J3120" s="115">
        <v>288</v>
      </c>
      <c r="K3120" s="143">
        <f t="shared" si="1064"/>
        <v>0</v>
      </c>
      <c r="L3120" s="144">
        <f t="shared" si="1065"/>
        <v>288</v>
      </c>
      <c r="M3120" s="276"/>
      <c r="N3120" s="98">
        <v>6</v>
      </c>
      <c r="O3120" s="93">
        <f t="shared" si="1060"/>
        <v>0</v>
      </c>
      <c r="ON3120" s="100">
        <f t="shared" si="1051"/>
        <v>0</v>
      </c>
    </row>
    <row r="3121" spans="1:404" ht="23.25" customHeight="1">
      <c r="A3121" s="97" t="str">
        <f t="shared" si="1066"/>
        <v>001/COMERZIA-VG-2166-28424-S1-B</v>
      </c>
      <c r="B3121" s="95">
        <v>44659</v>
      </c>
      <c r="C3121" s="97">
        <f t="shared" ca="1" si="1067"/>
        <v>-405</v>
      </c>
      <c r="D3121" s="112" t="s">
        <v>2433</v>
      </c>
      <c r="E3121" s="123" t="s">
        <v>2435</v>
      </c>
      <c r="F3121" s="98">
        <f t="shared" ca="1" si="1063"/>
        <v>0</v>
      </c>
      <c r="G3121" s="110">
        <f ca="1">SUMIF($A:E,$A3121,K:K)</f>
        <v>0</v>
      </c>
      <c r="H3121" s="97" t="s">
        <v>1593</v>
      </c>
      <c r="I3121" s="175">
        <v>16</v>
      </c>
      <c r="J3121" s="115">
        <v>16</v>
      </c>
      <c r="K3121" s="143">
        <f t="shared" si="1064"/>
        <v>0</v>
      </c>
      <c r="L3121" s="144">
        <f t="shared" si="1065"/>
        <v>16</v>
      </c>
      <c r="M3121" s="276"/>
      <c r="N3121" s="98"/>
      <c r="O3121" s="93">
        <f t="shared" si="1060"/>
        <v>0</v>
      </c>
      <c r="ON3121" s="100">
        <f t="shared" si="1051"/>
        <v>0</v>
      </c>
    </row>
    <row r="3122" spans="1:404" ht="23.25" customHeight="1">
      <c r="A3122" s="97" t="str">
        <f t="shared" si="1066"/>
        <v>001/COMERZIA-VG-2166-28524-S1-B</v>
      </c>
      <c r="B3122" s="95">
        <v>44659</v>
      </c>
      <c r="C3122" s="97">
        <f t="shared" ca="1" si="1067"/>
        <v>-405</v>
      </c>
      <c r="D3122" s="112" t="s">
        <v>2433</v>
      </c>
      <c r="E3122" s="123" t="s">
        <v>772</v>
      </c>
      <c r="F3122" s="98">
        <f t="shared" ca="1" si="1063"/>
        <v>0</v>
      </c>
      <c r="G3122" s="110">
        <f ca="1">SUMIF($A:E,$A3122,K:K)</f>
        <v>0</v>
      </c>
      <c r="H3122" s="97" t="s">
        <v>1593</v>
      </c>
      <c r="I3122" s="175">
        <v>15</v>
      </c>
      <c r="J3122" s="115">
        <v>15</v>
      </c>
      <c r="K3122" s="143">
        <f t="shared" si="1064"/>
        <v>0</v>
      </c>
      <c r="L3122" s="144">
        <f t="shared" si="1065"/>
        <v>15</v>
      </c>
      <c r="M3122" s="276"/>
      <c r="N3122" s="98"/>
      <c r="O3122" s="93">
        <f t="shared" si="1060"/>
        <v>0</v>
      </c>
      <c r="ON3122" s="100">
        <f t="shared" si="1051"/>
        <v>0</v>
      </c>
    </row>
    <row r="3123" spans="1:404" ht="23.25" customHeight="1">
      <c r="A3123" s="97" t="str">
        <f t="shared" si="1066"/>
        <v>001/COMERZIA-VG-2166-33224-S1-B</v>
      </c>
      <c r="B3123" s="95">
        <v>44659</v>
      </c>
      <c r="C3123" s="97">
        <f t="shared" ca="1" si="1067"/>
        <v>-405</v>
      </c>
      <c r="D3123" s="112" t="s">
        <v>2433</v>
      </c>
      <c r="E3123" s="123" t="s">
        <v>498</v>
      </c>
      <c r="F3123" s="98">
        <f t="shared" ca="1" si="1063"/>
        <v>0</v>
      </c>
      <c r="G3123" s="110">
        <f ca="1">SUMIF($A:E,$A3123,K:K)</f>
        <v>0</v>
      </c>
      <c r="H3123" s="97" t="s">
        <v>1593</v>
      </c>
      <c r="I3123" s="175">
        <v>16</v>
      </c>
      <c r="J3123" s="115">
        <v>16</v>
      </c>
      <c r="K3123" s="143">
        <f t="shared" si="1064"/>
        <v>0</v>
      </c>
      <c r="L3123" s="144">
        <f t="shared" si="1065"/>
        <v>16</v>
      </c>
      <c r="M3123" s="276"/>
      <c r="N3123" s="98"/>
      <c r="O3123" s="93">
        <f t="shared" si="1060"/>
        <v>0</v>
      </c>
      <c r="ON3123" s="100">
        <f t="shared" si="1051"/>
        <v>0</v>
      </c>
    </row>
    <row r="3124" spans="1:404" ht="23.25" customHeight="1">
      <c r="A3124" s="97" t="str">
        <f t="shared" si="1066"/>
        <v>001/COMERZIA-VG-2166-34600-S1-B</v>
      </c>
      <c r="B3124" s="95">
        <v>44659</v>
      </c>
      <c r="C3124" s="97">
        <f t="shared" ca="1" si="1067"/>
        <v>-405</v>
      </c>
      <c r="D3124" s="112" t="s">
        <v>2433</v>
      </c>
      <c r="E3124" s="123" t="s">
        <v>728</v>
      </c>
      <c r="F3124" s="98">
        <f t="shared" ca="1" si="1063"/>
        <v>0</v>
      </c>
      <c r="G3124" s="110">
        <f ca="1">SUMIF($A:E,$A3124,K:K)</f>
        <v>0</v>
      </c>
      <c r="H3124" s="97" t="s">
        <v>1593</v>
      </c>
      <c r="I3124" s="175">
        <v>36</v>
      </c>
      <c r="J3124" s="115">
        <v>36</v>
      </c>
      <c r="K3124" s="143">
        <f t="shared" si="1064"/>
        <v>0</v>
      </c>
      <c r="L3124" s="144">
        <f t="shared" si="1065"/>
        <v>36</v>
      </c>
      <c r="M3124" s="276"/>
      <c r="N3124" s="98"/>
      <c r="O3124" s="93">
        <f t="shared" si="1060"/>
        <v>0</v>
      </c>
      <c r="ON3124" s="100">
        <f t="shared" si="1051"/>
        <v>0</v>
      </c>
    </row>
    <row r="3125" spans="1:404" ht="23.25" customHeight="1">
      <c r="A3125" s="97" t="str">
        <f t="shared" si="1066"/>
        <v>001/COMERZIA-VG-2166-34700-S1-B</v>
      </c>
      <c r="B3125" s="95">
        <v>44659</v>
      </c>
      <c r="C3125" s="97">
        <f t="shared" ca="1" si="1067"/>
        <v>-405</v>
      </c>
      <c r="D3125" s="112" t="s">
        <v>2433</v>
      </c>
      <c r="E3125" s="123" t="s">
        <v>2432</v>
      </c>
      <c r="F3125" s="98" t="str">
        <f t="shared" ref="F3125" si="1068">MID(E3125,13,2)</f>
        <v>B</v>
      </c>
      <c r="G3125" s="110">
        <f ca="1">SUMIF($A:E,$A3125,K:K)</f>
        <v>136</v>
      </c>
      <c r="H3125" s="97" t="s">
        <v>1593</v>
      </c>
      <c r="I3125" s="175">
        <v>165</v>
      </c>
      <c r="J3125" s="115">
        <v>165</v>
      </c>
      <c r="K3125" s="143">
        <f t="shared" si="1064"/>
        <v>136</v>
      </c>
      <c r="L3125" s="144">
        <f t="shared" si="1065"/>
        <v>29</v>
      </c>
      <c r="M3125" s="276"/>
      <c r="N3125" s="98">
        <v>3</v>
      </c>
      <c r="O3125" s="93">
        <f t="shared" si="1060"/>
        <v>82.424242424242422</v>
      </c>
      <c r="OA3125" s="100">
        <v>7</v>
      </c>
      <c r="OB3125" s="100">
        <v>8</v>
      </c>
      <c r="OC3125" s="100">
        <v>5</v>
      </c>
      <c r="OD3125" s="100">
        <v>6</v>
      </c>
      <c r="OF3125" s="100">
        <v>2</v>
      </c>
      <c r="OG3125" s="100">
        <v>4</v>
      </c>
      <c r="OH3125" s="100">
        <v>12</v>
      </c>
      <c r="OI3125" s="100">
        <v>2</v>
      </c>
      <c r="OJ3125" s="100">
        <v>8</v>
      </c>
      <c r="OK3125" s="100">
        <v>8</v>
      </c>
      <c r="OM3125" s="100">
        <v>6</v>
      </c>
      <c r="ON3125" s="100">
        <f t="shared" si="1051"/>
        <v>68</v>
      </c>
    </row>
    <row r="3126" spans="1:404" ht="23.25" customHeight="1">
      <c r="A3126" s="97" t="str">
        <f t="shared" si="1066"/>
        <v>001/COMERZIA-VG-2166-34800-S1-B</v>
      </c>
      <c r="B3126" s="95">
        <v>44659</v>
      </c>
      <c r="C3126" s="97">
        <f t="shared" ca="1" si="1067"/>
        <v>-405</v>
      </c>
      <c r="D3126" s="112" t="s">
        <v>2433</v>
      </c>
      <c r="E3126" s="123" t="s">
        <v>2436</v>
      </c>
      <c r="F3126" s="98">
        <f t="shared" ca="1" si="1063"/>
        <v>0</v>
      </c>
      <c r="G3126" s="110">
        <f ca="1">SUMIF($A:E,$A3126,K:K)</f>
        <v>0</v>
      </c>
      <c r="H3126" s="97" t="s">
        <v>1593</v>
      </c>
      <c r="I3126" s="175">
        <v>72</v>
      </c>
      <c r="J3126" s="115">
        <v>72</v>
      </c>
      <c r="K3126" s="143">
        <f t="shared" si="1064"/>
        <v>0</v>
      </c>
      <c r="L3126" s="144">
        <f t="shared" si="1065"/>
        <v>72</v>
      </c>
      <c r="M3126" s="276"/>
      <c r="N3126" s="98"/>
      <c r="O3126" s="93">
        <f t="shared" si="1060"/>
        <v>0</v>
      </c>
      <c r="ON3126" s="100">
        <f t="shared" si="1051"/>
        <v>0</v>
      </c>
    </row>
    <row r="3127" spans="1:404" ht="23.25" customHeight="1">
      <c r="A3127" s="97" t="str">
        <f t="shared" si="1066"/>
        <v>001/COMERZIA-VG-2166-52624-S2-B</v>
      </c>
      <c r="B3127" s="95">
        <v>44659</v>
      </c>
      <c r="C3127" s="97">
        <f t="shared" ca="1" si="1067"/>
        <v>-405</v>
      </c>
      <c r="D3127" s="112" t="s">
        <v>2433</v>
      </c>
      <c r="E3127" s="123" t="s">
        <v>1238</v>
      </c>
      <c r="F3127" s="98">
        <f t="shared" ca="1" si="1063"/>
        <v>0</v>
      </c>
      <c r="G3127" s="110">
        <f ca="1">SUMIF($A:E,$A3127,K:K)</f>
        <v>0</v>
      </c>
      <c r="H3127" s="97" t="s">
        <v>1593</v>
      </c>
      <c r="I3127" s="175">
        <v>24</v>
      </c>
      <c r="J3127" s="115">
        <v>24</v>
      </c>
      <c r="K3127" s="143">
        <f t="shared" si="1064"/>
        <v>0</v>
      </c>
      <c r="L3127" s="144">
        <f t="shared" si="1065"/>
        <v>24</v>
      </c>
      <c r="M3127" s="276"/>
      <c r="N3127" s="98"/>
      <c r="O3127" s="93">
        <f t="shared" si="1060"/>
        <v>0</v>
      </c>
      <c r="ON3127" s="100">
        <f t="shared" si="1051"/>
        <v>0</v>
      </c>
    </row>
    <row r="3128" spans="1:404" ht="23.25" customHeight="1">
      <c r="A3128" s="97" t="str">
        <f t="shared" si="1066"/>
        <v>001/COMERZIA-VG-2166-57300-S1-B</v>
      </c>
      <c r="B3128" s="95">
        <v>44659</v>
      </c>
      <c r="C3128" s="97">
        <f t="shared" ca="1" si="1067"/>
        <v>-405</v>
      </c>
      <c r="D3128" s="112" t="s">
        <v>2433</v>
      </c>
      <c r="E3128" s="123" t="s">
        <v>1708</v>
      </c>
      <c r="F3128" s="98">
        <f t="shared" ca="1" si="1063"/>
        <v>0</v>
      </c>
      <c r="G3128" s="110">
        <f ca="1">SUMIF($A:E,$A3128,K:K)</f>
        <v>0</v>
      </c>
      <c r="H3128" s="97" t="s">
        <v>1593</v>
      </c>
      <c r="I3128" s="175">
        <v>60</v>
      </c>
      <c r="J3128" s="115">
        <v>60</v>
      </c>
      <c r="K3128" s="143">
        <f t="shared" si="1064"/>
        <v>0</v>
      </c>
      <c r="L3128" s="144">
        <f t="shared" si="1065"/>
        <v>60</v>
      </c>
      <c r="M3128" s="276"/>
      <c r="N3128" s="98"/>
      <c r="O3128" s="93">
        <f t="shared" si="1060"/>
        <v>0</v>
      </c>
      <c r="ON3128" s="100">
        <f t="shared" si="1051"/>
        <v>0</v>
      </c>
    </row>
    <row r="3129" spans="1:404" ht="23.25" customHeight="1">
      <c r="A3129" s="97" t="str">
        <f t="shared" si="1066"/>
        <v>001/COMERZIA-VG-2166-61300-S3-B</v>
      </c>
      <c r="B3129" s="95">
        <v>44659</v>
      </c>
      <c r="C3129" s="97">
        <f t="shared" ca="1" si="1067"/>
        <v>-405</v>
      </c>
      <c r="D3129" s="112" t="s">
        <v>2433</v>
      </c>
      <c r="E3129" s="123" t="s">
        <v>704</v>
      </c>
      <c r="F3129" s="98">
        <f t="shared" ca="1" si="1063"/>
        <v>0</v>
      </c>
      <c r="G3129" s="110">
        <f ca="1">SUMIF($A:E,$A3129,K:K)</f>
        <v>0</v>
      </c>
      <c r="H3129" s="97" t="s">
        <v>1593</v>
      </c>
      <c r="I3129" s="175">
        <v>112</v>
      </c>
      <c r="J3129" s="115">
        <v>112</v>
      </c>
      <c r="K3129" s="143">
        <f t="shared" si="1064"/>
        <v>0</v>
      </c>
      <c r="L3129" s="144">
        <f t="shared" si="1065"/>
        <v>112</v>
      </c>
      <c r="M3129" s="276"/>
      <c r="N3129" s="98"/>
      <c r="O3129" s="93">
        <f t="shared" si="1060"/>
        <v>0</v>
      </c>
      <c r="ON3129" s="100">
        <f t="shared" si="1051"/>
        <v>0</v>
      </c>
    </row>
    <row r="3130" spans="1:404" ht="23.25" customHeight="1">
      <c r="A3130" s="97" t="str">
        <f t="shared" si="1066"/>
        <v>001/COMERZIA-VG-2166-64800-S1-B</v>
      </c>
      <c r="B3130" s="95">
        <v>44659</v>
      </c>
      <c r="C3130" s="97">
        <f t="shared" ca="1" si="1067"/>
        <v>-405</v>
      </c>
      <c r="D3130" s="112" t="s">
        <v>2433</v>
      </c>
      <c r="E3130" s="123" t="s">
        <v>636</v>
      </c>
      <c r="F3130" s="98">
        <f t="shared" ca="1" si="1063"/>
        <v>0</v>
      </c>
      <c r="G3130" s="110">
        <f ca="1">SUMIF($A:E,$A3130,K:K)</f>
        <v>0</v>
      </c>
      <c r="H3130" s="97" t="s">
        <v>1593</v>
      </c>
      <c r="I3130" s="175">
        <v>32</v>
      </c>
      <c r="J3130" s="115">
        <v>32</v>
      </c>
      <c r="K3130" s="143">
        <f t="shared" si="1064"/>
        <v>0</v>
      </c>
      <c r="L3130" s="144">
        <f t="shared" si="1065"/>
        <v>32</v>
      </c>
      <c r="M3130" s="276"/>
      <c r="N3130" s="98"/>
      <c r="O3130" s="93">
        <f t="shared" si="1060"/>
        <v>0</v>
      </c>
      <c r="ON3130" s="100">
        <f t="shared" si="1051"/>
        <v>0</v>
      </c>
    </row>
    <row r="3131" spans="1:404" ht="23.25" customHeight="1">
      <c r="A3131" s="97" t="str">
        <f t="shared" si="1066"/>
        <v>001/COMERZIA-VG-2166-65100-S4-B</v>
      </c>
      <c r="B3131" s="95">
        <v>44659</v>
      </c>
      <c r="C3131" s="97">
        <f t="shared" ca="1" si="1067"/>
        <v>-405</v>
      </c>
      <c r="D3131" s="112" t="s">
        <v>2433</v>
      </c>
      <c r="E3131" s="123" t="s">
        <v>2437</v>
      </c>
      <c r="F3131" s="98" t="str">
        <f t="shared" ref="F3131" si="1069">MID(E3131,13,2)</f>
        <v>B</v>
      </c>
      <c r="G3131" s="110">
        <f ca="1">SUMIF($A:E,$A3131,K:K)</f>
        <v>30</v>
      </c>
      <c r="H3131" s="97" t="s">
        <v>1593</v>
      </c>
      <c r="I3131" s="175">
        <v>48</v>
      </c>
      <c r="J3131" s="115">
        <v>48</v>
      </c>
      <c r="K3131" s="143">
        <f t="shared" si="1064"/>
        <v>30</v>
      </c>
      <c r="L3131" s="144">
        <f t="shared" si="1065"/>
        <v>18</v>
      </c>
      <c r="M3131" s="276"/>
      <c r="N3131" s="98">
        <v>3</v>
      </c>
      <c r="O3131" s="93">
        <f t="shared" si="1060"/>
        <v>62.5</v>
      </c>
      <c r="OJ3131" s="100">
        <v>9</v>
      </c>
      <c r="OK3131" s="100">
        <v>3</v>
      </c>
      <c r="OM3131" s="100">
        <v>3</v>
      </c>
      <c r="ON3131" s="100">
        <f t="shared" si="1051"/>
        <v>15</v>
      </c>
    </row>
    <row r="3132" spans="1:404" ht="23.25" customHeight="1">
      <c r="A3132" s="97" t="str">
        <f t="shared" si="1066"/>
        <v>001/COMERZIA-VG-2166-66400-S3-B</v>
      </c>
      <c r="B3132" s="95">
        <v>44659</v>
      </c>
      <c r="C3132" s="97">
        <f t="shared" ca="1" si="1067"/>
        <v>-405</v>
      </c>
      <c r="D3132" s="112" t="s">
        <v>2433</v>
      </c>
      <c r="E3132" s="123" t="s">
        <v>2438</v>
      </c>
      <c r="F3132" s="98">
        <f t="shared" ca="1" si="1063"/>
        <v>0</v>
      </c>
      <c r="G3132" s="110">
        <f ca="1">SUMIF($A:E,$A3132,K:K)</f>
        <v>0</v>
      </c>
      <c r="H3132" s="97" t="s">
        <v>1593</v>
      </c>
      <c r="I3132" s="175">
        <v>64</v>
      </c>
      <c r="J3132" s="115">
        <v>64</v>
      </c>
      <c r="K3132" s="143">
        <f t="shared" si="1064"/>
        <v>0</v>
      </c>
      <c r="L3132" s="144">
        <f t="shared" si="1065"/>
        <v>64</v>
      </c>
      <c r="M3132" s="276"/>
      <c r="N3132" s="98"/>
      <c r="O3132" s="93">
        <f t="shared" si="1060"/>
        <v>0</v>
      </c>
      <c r="ON3132" s="100">
        <f t="shared" si="1051"/>
        <v>0</v>
      </c>
    </row>
    <row r="3133" spans="1:404" ht="23.25" customHeight="1">
      <c r="A3133" s="97" t="str">
        <f t="shared" si="1066"/>
        <v>001/COMERZIA-VG-2166-66600-S3-B</v>
      </c>
      <c r="B3133" s="95">
        <v>44659</v>
      </c>
      <c r="C3133" s="97">
        <f t="shared" ca="1" si="1067"/>
        <v>-405</v>
      </c>
      <c r="D3133" s="112" t="s">
        <v>2433</v>
      </c>
      <c r="E3133" s="123" t="s">
        <v>2133</v>
      </c>
      <c r="F3133" s="98">
        <f t="shared" ca="1" si="1063"/>
        <v>0</v>
      </c>
      <c r="G3133" s="110">
        <f ca="1">SUMIF($A:E,$A3133,K:K)</f>
        <v>0</v>
      </c>
      <c r="H3133" s="97" t="s">
        <v>1593</v>
      </c>
      <c r="I3133" s="175">
        <v>56</v>
      </c>
      <c r="J3133" s="115">
        <v>56</v>
      </c>
      <c r="K3133" s="143">
        <f t="shared" si="1064"/>
        <v>0</v>
      </c>
      <c r="L3133" s="144">
        <f t="shared" si="1065"/>
        <v>56</v>
      </c>
      <c r="M3133" s="276"/>
      <c r="N3133" s="98"/>
      <c r="O3133" s="93">
        <f t="shared" si="1060"/>
        <v>0</v>
      </c>
      <c r="ON3133" s="100">
        <f t="shared" si="1051"/>
        <v>0</v>
      </c>
    </row>
    <row r="3134" spans="1:404" ht="23.25" customHeight="1">
      <c r="A3134" s="97" t="str">
        <f t="shared" si="1066"/>
        <v>001/COMERZIA-VG-2168-18600-S1-B</v>
      </c>
      <c r="B3134" s="95">
        <v>44659</v>
      </c>
      <c r="C3134" s="97">
        <f t="shared" ca="1" si="1067"/>
        <v>-405</v>
      </c>
      <c r="D3134" s="112" t="s">
        <v>2433</v>
      </c>
      <c r="E3134" s="123" t="s">
        <v>993</v>
      </c>
      <c r="F3134" s="98">
        <f t="shared" ca="1" si="1063"/>
        <v>0</v>
      </c>
      <c r="G3134" s="110">
        <f ca="1">SUMIF($A:E,$A3134,K:K)</f>
        <v>0</v>
      </c>
      <c r="H3134" s="97" t="s">
        <v>1593</v>
      </c>
      <c r="I3134" s="175">
        <v>48</v>
      </c>
      <c r="J3134" s="115">
        <v>48</v>
      </c>
      <c r="K3134" s="143">
        <f t="shared" si="1064"/>
        <v>0</v>
      </c>
      <c r="L3134" s="144">
        <f t="shared" si="1065"/>
        <v>48</v>
      </c>
      <c r="M3134" s="276"/>
      <c r="N3134" s="98"/>
      <c r="O3134" s="93">
        <f t="shared" si="1060"/>
        <v>0</v>
      </c>
      <c r="ON3134" s="100">
        <f t="shared" si="1051"/>
        <v>0</v>
      </c>
    </row>
    <row r="3135" spans="1:404" ht="23.25" customHeight="1">
      <c r="A3135" s="97" t="str">
        <f t="shared" si="1066"/>
        <v>001/COMERZIA-VG-2168-47400-S1-B</v>
      </c>
      <c r="B3135" s="95">
        <v>44659</v>
      </c>
      <c r="C3135" s="97">
        <f t="shared" ca="1" si="1067"/>
        <v>-405</v>
      </c>
      <c r="D3135" s="112" t="s">
        <v>2433</v>
      </c>
      <c r="E3135" s="123" t="s">
        <v>251</v>
      </c>
      <c r="F3135" s="98">
        <f t="shared" ca="1" si="1063"/>
        <v>0</v>
      </c>
      <c r="G3135" s="110">
        <f ca="1">SUMIF($A:E,$A3135,K:K)</f>
        <v>0</v>
      </c>
      <c r="H3135" s="97" t="s">
        <v>1593</v>
      </c>
      <c r="I3135" s="175">
        <v>90</v>
      </c>
      <c r="J3135" s="115">
        <v>90</v>
      </c>
      <c r="K3135" s="143">
        <f t="shared" si="1064"/>
        <v>0</v>
      </c>
      <c r="L3135" s="144">
        <f t="shared" si="1065"/>
        <v>90</v>
      </c>
      <c r="M3135" s="276"/>
      <c r="N3135" s="98"/>
      <c r="O3135" s="93">
        <f t="shared" si="1060"/>
        <v>0</v>
      </c>
      <c r="ON3135" s="100">
        <f t="shared" si="1051"/>
        <v>0</v>
      </c>
    </row>
    <row r="3136" spans="1:404" ht="23.25" customHeight="1">
      <c r="A3136" s="97" t="str">
        <f t="shared" si="1066"/>
        <v>001/COMERZIA-VG-2168-57700-S3-B</v>
      </c>
      <c r="B3136" s="95">
        <v>44659</v>
      </c>
      <c r="C3136" s="97">
        <f t="shared" ca="1" si="1067"/>
        <v>-405</v>
      </c>
      <c r="D3136" s="112" t="s">
        <v>2433</v>
      </c>
      <c r="E3136" s="123" t="s">
        <v>1065</v>
      </c>
      <c r="F3136" s="92" t="str">
        <f t="shared" ref="F3136" si="1070">MID(E3136,13,2)</f>
        <v>B</v>
      </c>
      <c r="G3136" s="109">
        <f ca="1">SUMIF($A:E,$A3136,K:K)</f>
        <v>66</v>
      </c>
      <c r="H3136" s="97" t="s">
        <v>1593</v>
      </c>
      <c r="I3136" s="175">
        <v>64</v>
      </c>
      <c r="J3136" s="115">
        <v>64</v>
      </c>
      <c r="K3136" s="143">
        <f t="shared" si="1064"/>
        <v>66</v>
      </c>
      <c r="L3136" s="144">
        <f t="shared" si="1065"/>
        <v>-2</v>
      </c>
      <c r="M3136" s="276"/>
      <c r="N3136" s="98">
        <v>4</v>
      </c>
      <c r="O3136" s="93">
        <f t="shared" si="1060"/>
        <v>103.125</v>
      </c>
      <c r="OF3136" s="100">
        <v>4</v>
      </c>
      <c r="OG3136" s="100">
        <v>6</v>
      </c>
      <c r="OH3136" s="100">
        <v>4</v>
      </c>
      <c r="OJ3136" s="100">
        <v>11</v>
      </c>
      <c r="OM3136" s="100">
        <v>8</v>
      </c>
      <c r="ON3136" s="100">
        <f t="shared" si="1051"/>
        <v>33</v>
      </c>
    </row>
    <row r="3137" spans="1:404" ht="23.25" customHeight="1">
      <c r="A3137" s="97" t="str">
        <f t="shared" si="1066"/>
        <v>003/COMERZIA-VG-2166-01700-B3-B</v>
      </c>
      <c r="B3137" s="95">
        <v>44759</v>
      </c>
      <c r="C3137" s="97">
        <f t="shared" ca="1" si="1067"/>
        <v>-305</v>
      </c>
      <c r="D3137" s="112" t="s">
        <v>2439</v>
      </c>
      <c r="E3137" s="123" t="s">
        <v>2357</v>
      </c>
      <c r="F3137" s="98">
        <f t="shared" ca="1" si="1063"/>
        <v>0</v>
      </c>
      <c r="G3137" s="110">
        <f ca="1">SUMIF($A:E,$A3137,K:K)</f>
        <v>0</v>
      </c>
      <c r="H3137" s="97" t="s">
        <v>1593</v>
      </c>
      <c r="I3137" s="175">
        <v>96</v>
      </c>
      <c r="J3137" s="115">
        <v>96</v>
      </c>
      <c r="K3137" s="143">
        <f t="shared" si="1064"/>
        <v>0</v>
      </c>
      <c r="L3137" s="144">
        <f t="shared" si="1065"/>
        <v>96</v>
      </c>
      <c r="M3137" s="276"/>
      <c r="N3137" s="98"/>
      <c r="O3137" s="93">
        <f t="shared" si="1060"/>
        <v>0</v>
      </c>
      <c r="ON3137" s="100">
        <f t="shared" si="1051"/>
        <v>0</v>
      </c>
    </row>
    <row r="3138" spans="1:404" ht="23.25" customHeight="1">
      <c r="A3138" s="97" t="str">
        <f t="shared" ref="A3138:A3176" si="1071">D3138&amp;E3138</f>
        <v>003/COMERZIA-VG-2166-02624-S3-B</v>
      </c>
      <c r="B3138" s="95">
        <v>44759</v>
      </c>
      <c r="C3138" s="97">
        <f t="shared" ref="C3138:C3160" ca="1" si="1072">B3138-TODAY()</f>
        <v>-305</v>
      </c>
      <c r="D3138" s="112" t="s">
        <v>2439</v>
      </c>
      <c r="E3138" s="123" t="s">
        <v>1233</v>
      </c>
      <c r="F3138" s="98">
        <f t="shared" ca="1" si="1063"/>
        <v>0</v>
      </c>
      <c r="G3138" s="110">
        <f ca="1">SUMIF($A:E,$A3138,K:K)</f>
        <v>0</v>
      </c>
      <c r="H3138" s="97" t="s">
        <v>1593</v>
      </c>
      <c r="I3138" s="175">
        <v>32</v>
      </c>
      <c r="J3138" s="115">
        <v>32</v>
      </c>
      <c r="K3138" s="143">
        <f t="shared" si="1064"/>
        <v>0</v>
      </c>
      <c r="L3138" s="144">
        <f t="shared" si="1065"/>
        <v>32</v>
      </c>
      <c r="M3138" s="276"/>
      <c r="N3138" s="98"/>
      <c r="O3138" s="93">
        <f t="shared" si="1060"/>
        <v>0</v>
      </c>
      <c r="ON3138" s="100">
        <f t="shared" si="1051"/>
        <v>0</v>
      </c>
    </row>
    <row r="3139" spans="1:404" ht="23.25" customHeight="1">
      <c r="A3139" s="97" t="str">
        <f t="shared" si="1071"/>
        <v>003/COMERZIA-VG-2166-02700-S3-B</v>
      </c>
      <c r="B3139" s="95">
        <v>44759</v>
      </c>
      <c r="C3139" s="97">
        <f t="shared" ca="1" si="1072"/>
        <v>-305</v>
      </c>
      <c r="D3139" s="112" t="s">
        <v>2439</v>
      </c>
      <c r="E3139" s="123" t="s">
        <v>1234</v>
      </c>
      <c r="F3139" s="98">
        <f t="shared" ca="1" si="1063"/>
        <v>0</v>
      </c>
      <c r="G3139" s="110">
        <f ca="1">SUMIF($A:E,$A3139,K:K)</f>
        <v>0</v>
      </c>
      <c r="H3139" s="97" t="s">
        <v>1593</v>
      </c>
      <c r="I3139" s="175">
        <v>60</v>
      </c>
      <c r="J3139" s="115">
        <v>60</v>
      </c>
      <c r="K3139" s="143">
        <f t="shared" si="1064"/>
        <v>0</v>
      </c>
      <c r="L3139" s="144">
        <f t="shared" si="1065"/>
        <v>60</v>
      </c>
      <c r="M3139" s="276"/>
      <c r="N3139" s="98"/>
      <c r="O3139" s="93">
        <f t="shared" si="1060"/>
        <v>0</v>
      </c>
      <c r="ON3139" s="100">
        <f t="shared" si="1051"/>
        <v>0</v>
      </c>
    </row>
    <row r="3140" spans="1:404" ht="23.25" customHeight="1">
      <c r="A3140" s="97" t="str">
        <f t="shared" si="1071"/>
        <v>003/COMERZIA-VG-2166-02724-S3-B</v>
      </c>
      <c r="B3140" s="95">
        <v>44759</v>
      </c>
      <c r="C3140" s="97">
        <f t="shared" ca="1" si="1072"/>
        <v>-305</v>
      </c>
      <c r="D3140" s="112" t="s">
        <v>2439</v>
      </c>
      <c r="E3140" s="123" t="s">
        <v>2434</v>
      </c>
      <c r="F3140" s="98">
        <f t="shared" ca="1" si="1063"/>
        <v>0</v>
      </c>
      <c r="G3140" s="110">
        <f ca="1">SUMIF($A:E,$A3140,K:K)</f>
        <v>0</v>
      </c>
      <c r="H3140" s="97" t="s">
        <v>1593</v>
      </c>
      <c r="I3140" s="175">
        <v>15</v>
      </c>
      <c r="J3140" s="115">
        <v>15</v>
      </c>
      <c r="K3140" s="143">
        <f t="shared" si="1064"/>
        <v>0</v>
      </c>
      <c r="L3140" s="144">
        <f t="shared" si="1065"/>
        <v>15</v>
      </c>
      <c r="M3140" s="276"/>
      <c r="N3140" s="98"/>
      <c r="O3140" s="93">
        <f t="shared" si="1060"/>
        <v>0</v>
      </c>
      <c r="ON3140" s="100">
        <f t="shared" ref="ON3140:ON3203" si="1073">SUM(NS3140:OM3140)</f>
        <v>0</v>
      </c>
    </row>
    <row r="3141" spans="1:404" ht="23.25" customHeight="1">
      <c r="A3141" s="97" t="str">
        <f t="shared" si="1071"/>
        <v>003/COMERZIA-VG-2166-05600-S1-B</v>
      </c>
      <c r="B3141" s="95">
        <v>44759</v>
      </c>
      <c r="C3141" s="97">
        <f t="shared" ca="1" si="1072"/>
        <v>-305</v>
      </c>
      <c r="D3141" s="112" t="s">
        <v>2439</v>
      </c>
      <c r="E3141" s="123" t="s">
        <v>1235</v>
      </c>
      <c r="F3141" s="98">
        <f t="shared" ca="1" si="1063"/>
        <v>0</v>
      </c>
      <c r="G3141" s="110">
        <f ca="1">SUMIF($A:E,$A3141,K:K)</f>
        <v>0</v>
      </c>
      <c r="H3141" s="97" t="s">
        <v>1593</v>
      </c>
      <c r="I3141" s="175">
        <v>140</v>
      </c>
      <c r="J3141" s="115">
        <v>140</v>
      </c>
      <c r="K3141" s="143">
        <f t="shared" si="1064"/>
        <v>0</v>
      </c>
      <c r="L3141" s="144">
        <f t="shared" si="1065"/>
        <v>140</v>
      </c>
      <c r="M3141" s="276"/>
      <c r="N3141" s="98"/>
      <c r="O3141" s="93">
        <f t="shared" si="1060"/>
        <v>0</v>
      </c>
      <c r="ON3141" s="100">
        <f t="shared" si="1073"/>
        <v>0</v>
      </c>
    </row>
    <row r="3142" spans="1:404" ht="23.25" customHeight="1">
      <c r="A3142" s="97" t="str">
        <f t="shared" si="1071"/>
        <v>003/COMERZIA-VG-2166-05624-S1-B</v>
      </c>
      <c r="B3142" s="95">
        <v>44759</v>
      </c>
      <c r="C3142" s="97">
        <f t="shared" ca="1" si="1072"/>
        <v>-305</v>
      </c>
      <c r="D3142" s="112" t="s">
        <v>2439</v>
      </c>
      <c r="E3142" s="123" t="s">
        <v>1236</v>
      </c>
      <c r="F3142" s="98">
        <f t="shared" ca="1" si="1063"/>
        <v>0</v>
      </c>
      <c r="G3142" s="110">
        <f ca="1">SUMIF($A:E,$A3142,K:K)</f>
        <v>0</v>
      </c>
      <c r="H3142" s="97" t="s">
        <v>1593</v>
      </c>
      <c r="I3142" s="175">
        <v>70</v>
      </c>
      <c r="J3142" s="115">
        <v>70</v>
      </c>
      <c r="K3142" s="143">
        <f t="shared" si="1064"/>
        <v>0</v>
      </c>
      <c r="L3142" s="144">
        <f t="shared" si="1065"/>
        <v>70</v>
      </c>
      <c r="M3142" s="276"/>
      <c r="N3142" s="98"/>
      <c r="O3142" s="93">
        <f t="shared" si="1060"/>
        <v>0</v>
      </c>
      <c r="ON3142" s="100">
        <f t="shared" si="1073"/>
        <v>0</v>
      </c>
    </row>
    <row r="3143" spans="1:404" ht="23.25" customHeight="1">
      <c r="A3143" s="97" t="str">
        <f t="shared" si="1071"/>
        <v>003/COMERZIA-VG-2166-05800-S1-B</v>
      </c>
      <c r="B3143" s="95">
        <v>44759</v>
      </c>
      <c r="C3143" s="97">
        <f t="shared" ca="1" si="1072"/>
        <v>-305</v>
      </c>
      <c r="D3143" s="112" t="s">
        <v>2439</v>
      </c>
      <c r="E3143" s="123" t="s">
        <v>944</v>
      </c>
      <c r="F3143" s="98">
        <f t="shared" ca="1" si="1063"/>
        <v>0</v>
      </c>
      <c r="G3143" s="110">
        <f ca="1">SUMIF($A:E,$A3143,K:K)</f>
        <v>0</v>
      </c>
      <c r="H3143" s="97" t="s">
        <v>1593</v>
      </c>
      <c r="I3143" s="175">
        <v>160</v>
      </c>
      <c r="J3143" s="115">
        <v>160</v>
      </c>
      <c r="K3143" s="143">
        <f t="shared" si="1064"/>
        <v>0</v>
      </c>
      <c r="L3143" s="144">
        <f t="shared" si="1065"/>
        <v>160</v>
      </c>
      <c r="M3143" s="276"/>
      <c r="N3143" s="98"/>
      <c r="O3143" s="93">
        <f t="shared" si="1060"/>
        <v>0</v>
      </c>
      <c r="ON3143" s="100">
        <f t="shared" si="1073"/>
        <v>0</v>
      </c>
    </row>
    <row r="3144" spans="1:404" ht="23.25" customHeight="1">
      <c r="A3144" s="97" t="str">
        <f t="shared" si="1071"/>
        <v>003/COMERZIA-VG-2166-05824-S1-B</v>
      </c>
      <c r="B3144" s="95">
        <v>44759</v>
      </c>
      <c r="C3144" s="97">
        <f t="shared" ca="1" si="1072"/>
        <v>-305</v>
      </c>
      <c r="D3144" s="112" t="s">
        <v>2439</v>
      </c>
      <c r="E3144" s="123" t="s">
        <v>1237</v>
      </c>
      <c r="F3144" s="98">
        <f t="shared" ca="1" si="1063"/>
        <v>0</v>
      </c>
      <c r="G3144" s="110">
        <f ca="1">SUMIF($A:E,$A3144,K:K)</f>
        <v>0</v>
      </c>
      <c r="H3144" s="97" t="s">
        <v>1593</v>
      </c>
      <c r="I3144" s="175">
        <v>80</v>
      </c>
      <c r="J3144" s="115">
        <v>80</v>
      </c>
      <c r="K3144" s="143">
        <f t="shared" si="1064"/>
        <v>0</v>
      </c>
      <c r="L3144" s="144">
        <f t="shared" si="1065"/>
        <v>80</v>
      </c>
      <c r="M3144" s="276"/>
      <c r="N3144" s="98"/>
      <c r="O3144" s="93">
        <f t="shared" si="1060"/>
        <v>0</v>
      </c>
      <c r="ON3144" s="100">
        <f t="shared" si="1073"/>
        <v>0</v>
      </c>
    </row>
    <row r="3145" spans="1:404" ht="23.25" customHeight="1">
      <c r="A3145" s="97" t="str">
        <f t="shared" si="1071"/>
        <v>003/COMERZIA-VG-2166-07000-S1-B</v>
      </c>
      <c r="B3145" s="95">
        <v>44759</v>
      </c>
      <c r="C3145" s="97">
        <f t="shared" ca="1" si="1072"/>
        <v>-305</v>
      </c>
      <c r="D3145" s="112" t="s">
        <v>2439</v>
      </c>
      <c r="E3145" s="123" t="s">
        <v>589</v>
      </c>
      <c r="F3145" s="98">
        <f t="shared" ca="1" si="1063"/>
        <v>0</v>
      </c>
      <c r="G3145" s="110">
        <f ca="1">SUMIF($A:E,$A3145,K:K)</f>
        <v>0</v>
      </c>
      <c r="H3145" s="97" t="s">
        <v>1593</v>
      </c>
      <c r="I3145" s="175">
        <v>63</v>
      </c>
      <c r="J3145" s="115">
        <v>63</v>
      </c>
      <c r="K3145" s="143">
        <f t="shared" si="1064"/>
        <v>0</v>
      </c>
      <c r="L3145" s="144">
        <f t="shared" si="1065"/>
        <v>63</v>
      </c>
      <c r="M3145" s="276"/>
      <c r="N3145" s="98"/>
      <c r="O3145" s="93">
        <f t="shared" si="1060"/>
        <v>0</v>
      </c>
      <c r="ON3145" s="100">
        <f t="shared" si="1073"/>
        <v>0</v>
      </c>
    </row>
    <row r="3146" spans="1:404" ht="23.25" customHeight="1">
      <c r="A3146" s="97" t="str">
        <f t="shared" si="1071"/>
        <v>003/COMERZIA-VG-2166-07100-S1-B</v>
      </c>
      <c r="B3146" s="95">
        <v>44759</v>
      </c>
      <c r="C3146" s="97">
        <f t="shared" ca="1" si="1072"/>
        <v>-305</v>
      </c>
      <c r="D3146" s="112" t="s">
        <v>2439</v>
      </c>
      <c r="E3146" s="123" t="s">
        <v>590</v>
      </c>
      <c r="F3146" s="98">
        <f t="shared" ca="1" si="1063"/>
        <v>0</v>
      </c>
      <c r="G3146" s="110">
        <f ca="1">SUMIF($A:E,$A3146,K:K)</f>
        <v>0</v>
      </c>
      <c r="H3146" s="97" t="s">
        <v>1593</v>
      </c>
      <c r="I3146" s="175">
        <v>96</v>
      </c>
      <c r="J3146" s="115">
        <v>96</v>
      </c>
      <c r="K3146" s="143">
        <f t="shared" si="1064"/>
        <v>0</v>
      </c>
      <c r="L3146" s="144">
        <f t="shared" si="1065"/>
        <v>96</v>
      </c>
      <c r="M3146" s="276"/>
      <c r="N3146" s="98"/>
      <c r="O3146" s="93">
        <f t="shared" si="1060"/>
        <v>0</v>
      </c>
      <c r="ON3146" s="100">
        <f t="shared" si="1073"/>
        <v>0</v>
      </c>
    </row>
    <row r="3147" spans="1:404" ht="23.25" customHeight="1">
      <c r="A3147" s="97" t="str">
        <f t="shared" si="1071"/>
        <v>003/COMERZIA-VG-2166-33224-S1-B</v>
      </c>
      <c r="B3147" s="95">
        <v>44759</v>
      </c>
      <c r="C3147" s="97">
        <f t="shared" ca="1" si="1072"/>
        <v>-305</v>
      </c>
      <c r="D3147" s="112" t="s">
        <v>2439</v>
      </c>
      <c r="E3147" s="123" t="s">
        <v>498</v>
      </c>
      <c r="F3147" s="98">
        <f t="shared" ca="1" si="1063"/>
        <v>0</v>
      </c>
      <c r="G3147" s="110">
        <f ca="1">SUMIF($A:E,$A3147,K:K)</f>
        <v>0</v>
      </c>
      <c r="H3147" s="97" t="s">
        <v>1593</v>
      </c>
      <c r="I3147" s="175">
        <v>16</v>
      </c>
      <c r="J3147" s="115">
        <v>16</v>
      </c>
      <c r="K3147" s="143">
        <f t="shared" si="1064"/>
        <v>0</v>
      </c>
      <c r="L3147" s="144">
        <f t="shared" si="1065"/>
        <v>16</v>
      </c>
      <c r="M3147" s="276"/>
      <c r="N3147" s="98"/>
      <c r="O3147" s="93">
        <f t="shared" si="1060"/>
        <v>0</v>
      </c>
      <c r="ON3147" s="100">
        <f t="shared" si="1073"/>
        <v>0</v>
      </c>
    </row>
    <row r="3148" spans="1:404" ht="23.25" customHeight="1">
      <c r="A3148" s="97" t="str">
        <f t="shared" si="1071"/>
        <v>003/COMERZIA-VG-2166-34700-S1-B</v>
      </c>
      <c r="B3148" s="95">
        <v>44759</v>
      </c>
      <c r="C3148" s="97">
        <f t="shared" ca="1" si="1072"/>
        <v>-305</v>
      </c>
      <c r="D3148" s="112" t="s">
        <v>2439</v>
      </c>
      <c r="E3148" s="123" t="s">
        <v>2432</v>
      </c>
      <c r="F3148" s="98">
        <f t="shared" ca="1" si="1063"/>
        <v>0</v>
      </c>
      <c r="G3148" s="110">
        <f ca="1">SUMIF($A:E,$A3148,K:K)</f>
        <v>0</v>
      </c>
      <c r="H3148" s="97" t="s">
        <v>1593</v>
      </c>
      <c r="I3148" s="175">
        <v>99</v>
      </c>
      <c r="J3148" s="115">
        <v>99</v>
      </c>
      <c r="K3148" s="143">
        <f t="shared" si="1064"/>
        <v>0</v>
      </c>
      <c r="L3148" s="144">
        <f t="shared" si="1065"/>
        <v>99</v>
      </c>
      <c r="M3148" s="276"/>
      <c r="N3148" s="98"/>
      <c r="O3148" s="93">
        <f t="shared" si="1060"/>
        <v>0</v>
      </c>
      <c r="ON3148" s="100">
        <f t="shared" si="1073"/>
        <v>0</v>
      </c>
    </row>
    <row r="3149" spans="1:404" ht="23.25" customHeight="1">
      <c r="A3149" s="97" t="str">
        <f t="shared" si="1071"/>
        <v>003/COMERZIA-VG-2166-34800-S1-B</v>
      </c>
      <c r="B3149" s="95">
        <v>44759</v>
      </c>
      <c r="C3149" s="97">
        <f t="shared" ca="1" si="1072"/>
        <v>-305</v>
      </c>
      <c r="D3149" s="112" t="s">
        <v>2439</v>
      </c>
      <c r="E3149" s="123" t="s">
        <v>2436</v>
      </c>
      <c r="F3149" s="98">
        <f t="shared" ca="1" si="1063"/>
        <v>0</v>
      </c>
      <c r="G3149" s="110">
        <f ca="1">SUMIF($A:E,$A3149,K:K)</f>
        <v>0</v>
      </c>
      <c r="H3149" s="97" t="s">
        <v>1593</v>
      </c>
      <c r="I3149" s="175">
        <v>72</v>
      </c>
      <c r="J3149" s="115">
        <v>72</v>
      </c>
      <c r="K3149" s="143">
        <f t="shared" si="1064"/>
        <v>0</v>
      </c>
      <c r="L3149" s="144">
        <f t="shared" si="1065"/>
        <v>72</v>
      </c>
      <c r="M3149" s="276"/>
      <c r="N3149" s="98"/>
      <c r="O3149" s="93">
        <f t="shared" si="1060"/>
        <v>0</v>
      </c>
      <c r="ON3149" s="100">
        <f t="shared" si="1073"/>
        <v>0</v>
      </c>
    </row>
    <row r="3150" spans="1:404" ht="23.25" customHeight="1">
      <c r="A3150" s="97" t="str">
        <f t="shared" si="1071"/>
        <v>003/COMERZIA-VG-2166-52624-S2-B</v>
      </c>
      <c r="B3150" s="95">
        <v>44759</v>
      </c>
      <c r="C3150" s="97">
        <f t="shared" ca="1" si="1072"/>
        <v>-305</v>
      </c>
      <c r="D3150" s="112" t="s">
        <v>2439</v>
      </c>
      <c r="E3150" s="123" t="s">
        <v>1238</v>
      </c>
      <c r="F3150" s="98">
        <f t="shared" ca="1" si="1063"/>
        <v>0</v>
      </c>
      <c r="G3150" s="110">
        <f ca="1">SUMIF($A:E,$A3150,K:K)</f>
        <v>0</v>
      </c>
      <c r="H3150" s="97" t="s">
        <v>1593</v>
      </c>
      <c r="I3150" s="175">
        <v>24</v>
      </c>
      <c r="J3150" s="115">
        <v>24</v>
      </c>
      <c r="K3150" s="143">
        <f t="shared" si="1064"/>
        <v>0</v>
      </c>
      <c r="L3150" s="144">
        <f t="shared" si="1065"/>
        <v>24</v>
      </c>
      <c r="M3150" s="276"/>
      <c r="N3150" s="98"/>
      <c r="O3150" s="93">
        <f t="shared" si="1060"/>
        <v>0</v>
      </c>
      <c r="ON3150" s="100">
        <f t="shared" si="1073"/>
        <v>0</v>
      </c>
    </row>
    <row r="3151" spans="1:404" ht="23.25" customHeight="1">
      <c r="A3151" s="97" t="str">
        <f t="shared" si="1071"/>
        <v>003/COMERZIA-VG-2166-57300-S1-B</v>
      </c>
      <c r="B3151" s="95">
        <v>44759</v>
      </c>
      <c r="C3151" s="97">
        <f t="shared" ca="1" si="1072"/>
        <v>-305</v>
      </c>
      <c r="D3151" s="112" t="s">
        <v>2439</v>
      </c>
      <c r="E3151" s="123" t="s">
        <v>1708</v>
      </c>
      <c r="F3151" s="98">
        <f t="shared" ca="1" si="1063"/>
        <v>0</v>
      </c>
      <c r="G3151" s="110">
        <f ca="1">SUMIF($A:E,$A3151,K:K)</f>
        <v>0</v>
      </c>
      <c r="H3151" s="97" t="s">
        <v>1593</v>
      </c>
      <c r="I3151" s="175">
        <v>60</v>
      </c>
      <c r="J3151" s="115">
        <v>60</v>
      </c>
      <c r="K3151" s="143">
        <f t="shared" si="1064"/>
        <v>0</v>
      </c>
      <c r="L3151" s="144">
        <f t="shared" si="1065"/>
        <v>60</v>
      </c>
      <c r="M3151" s="276"/>
      <c r="N3151" s="98"/>
      <c r="O3151" s="93">
        <f t="shared" si="1060"/>
        <v>0</v>
      </c>
      <c r="ON3151" s="100">
        <f t="shared" si="1073"/>
        <v>0</v>
      </c>
    </row>
    <row r="3152" spans="1:404" ht="23.25" customHeight="1">
      <c r="A3152" s="97" t="str">
        <f t="shared" si="1071"/>
        <v>003/COMERZIA-VG-2166-61300-S3-B</v>
      </c>
      <c r="B3152" s="95">
        <v>44759</v>
      </c>
      <c r="C3152" s="97">
        <f t="shared" ca="1" si="1072"/>
        <v>-305</v>
      </c>
      <c r="D3152" s="112" t="s">
        <v>2439</v>
      </c>
      <c r="E3152" s="123" t="s">
        <v>704</v>
      </c>
      <c r="F3152" s="98">
        <f ca="1">F3152:H3176=MID(E3152,13,2)</f>
        <v>0</v>
      </c>
      <c r="G3152" s="110">
        <f ca="1">SUMIF($A:E,$A3152,K:K)</f>
        <v>0</v>
      </c>
      <c r="H3152" s="97" t="s">
        <v>1593</v>
      </c>
      <c r="I3152" s="175">
        <v>96</v>
      </c>
      <c r="J3152" s="115">
        <v>96</v>
      </c>
      <c r="K3152" s="143">
        <f t="shared" si="1064"/>
        <v>0</v>
      </c>
      <c r="L3152" s="144">
        <f t="shared" si="1065"/>
        <v>96</v>
      </c>
      <c r="M3152" s="276"/>
      <c r="N3152" s="98"/>
      <c r="O3152" s="93">
        <f t="shared" si="1060"/>
        <v>0</v>
      </c>
      <c r="ON3152" s="100">
        <f t="shared" si="1073"/>
        <v>0</v>
      </c>
    </row>
    <row r="3153" spans="1:404" ht="23.25" customHeight="1">
      <c r="A3153" s="97" t="str">
        <f t="shared" si="1071"/>
        <v>003/COMERZIA-VG-2166-64800-S1-B</v>
      </c>
      <c r="B3153" s="95">
        <v>44759</v>
      </c>
      <c r="C3153" s="97">
        <f t="shared" ca="1" si="1072"/>
        <v>-305</v>
      </c>
      <c r="D3153" s="112" t="s">
        <v>2439</v>
      </c>
      <c r="E3153" s="123" t="s">
        <v>636</v>
      </c>
      <c r="F3153" s="98">
        <f t="shared" ref="F3153:F3166" ca="1" si="1074">F3153:H3176=MID(E3153,13,2)</f>
        <v>0</v>
      </c>
      <c r="G3153" s="110">
        <f ca="1">SUMIF($A:E,$A3153,K:K)</f>
        <v>0</v>
      </c>
      <c r="H3153" s="97" t="s">
        <v>1593</v>
      </c>
      <c r="I3153" s="175">
        <v>32</v>
      </c>
      <c r="J3153" s="115">
        <v>32</v>
      </c>
      <c r="K3153" s="143">
        <f t="shared" si="1064"/>
        <v>0</v>
      </c>
      <c r="L3153" s="144">
        <f t="shared" si="1065"/>
        <v>32</v>
      </c>
      <c r="M3153" s="276"/>
      <c r="N3153" s="98"/>
      <c r="O3153" s="93">
        <f t="shared" si="1060"/>
        <v>0</v>
      </c>
      <c r="ON3153" s="100">
        <f t="shared" si="1073"/>
        <v>0</v>
      </c>
    </row>
    <row r="3154" spans="1:404" ht="23.25" customHeight="1">
      <c r="A3154" s="97" t="str">
        <f t="shared" si="1071"/>
        <v>003/COMERZIA-VG-2166-65100-S4-B</v>
      </c>
      <c r="B3154" s="95">
        <v>44759</v>
      </c>
      <c r="C3154" s="97">
        <f t="shared" ca="1" si="1072"/>
        <v>-305</v>
      </c>
      <c r="D3154" s="112" t="s">
        <v>2439</v>
      </c>
      <c r="E3154" s="123" t="s">
        <v>2437</v>
      </c>
      <c r="F3154" s="98">
        <f t="shared" ca="1" si="1074"/>
        <v>0</v>
      </c>
      <c r="G3154" s="110">
        <f ca="1">SUMIF($A:E,$A3154,K:K)</f>
        <v>1</v>
      </c>
      <c r="H3154" s="97" t="s">
        <v>1593</v>
      </c>
      <c r="I3154" s="175">
        <v>48</v>
      </c>
      <c r="J3154" s="115">
        <v>48</v>
      </c>
      <c r="K3154" s="143">
        <f t="shared" si="1064"/>
        <v>0</v>
      </c>
      <c r="L3154" s="144">
        <f t="shared" si="1065"/>
        <v>48</v>
      </c>
      <c r="M3154" s="276"/>
      <c r="N3154" s="98"/>
      <c r="O3154" s="93">
        <f t="shared" si="1060"/>
        <v>0</v>
      </c>
      <c r="ON3154" s="100">
        <f t="shared" si="1073"/>
        <v>0</v>
      </c>
    </row>
    <row r="3155" spans="1:404" ht="23.25" customHeight="1">
      <c r="A3155" s="97" t="str">
        <f t="shared" si="1071"/>
        <v>003/COMERZIA-VG-2166-66400-S3-B</v>
      </c>
      <c r="B3155" s="95">
        <v>44759</v>
      </c>
      <c r="C3155" s="97">
        <f t="shared" ca="1" si="1072"/>
        <v>-305</v>
      </c>
      <c r="D3155" s="112" t="s">
        <v>2439</v>
      </c>
      <c r="E3155" s="123" t="s">
        <v>2438</v>
      </c>
      <c r="F3155" s="98">
        <f t="shared" ca="1" si="1074"/>
        <v>0</v>
      </c>
      <c r="G3155" s="110">
        <f ca="1">SUMIF($A:E,$A3155,K:K)</f>
        <v>1</v>
      </c>
      <c r="H3155" s="97" t="s">
        <v>1593</v>
      </c>
      <c r="I3155" s="175">
        <v>64</v>
      </c>
      <c r="J3155" s="115">
        <v>64</v>
      </c>
      <c r="K3155" s="143">
        <f t="shared" si="1064"/>
        <v>0</v>
      </c>
      <c r="L3155" s="144">
        <f t="shared" si="1065"/>
        <v>64</v>
      </c>
      <c r="M3155" s="276"/>
      <c r="N3155" s="98"/>
      <c r="O3155" s="93">
        <f t="shared" si="1060"/>
        <v>0</v>
      </c>
      <c r="ON3155" s="100">
        <f t="shared" si="1073"/>
        <v>0</v>
      </c>
    </row>
    <row r="3156" spans="1:404" ht="23.25" customHeight="1">
      <c r="A3156" s="97" t="str">
        <f t="shared" si="1071"/>
        <v>003/COMERZIA-VG-2166-66600-S3-B</v>
      </c>
      <c r="B3156" s="95">
        <v>44759</v>
      </c>
      <c r="C3156" s="97">
        <f t="shared" ca="1" si="1072"/>
        <v>-305</v>
      </c>
      <c r="D3156" s="112" t="s">
        <v>2439</v>
      </c>
      <c r="E3156" s="123" t="s">
        <v>2133</v>
      </c>
      <c r="F3156" s="98">
        <f t="shared" ca="1" si="1074"/>
        <v>0</v>
      </c>
      <c r="G3156" s="110">
        <f ca="1">SUMIF($A:E,$A3156,K:K)</f>
        <v>3</v>
      </c>
      <c r="H3156" s="97" t="s">
        <v>1593</v>
      </c>
      <c r="I3156" s="175">
        <v>56</v>
      </c>
      <c r="J3156" s="115">
        <v>56</v>
      </c>
      <c r="K3156" s="143">
        <f t="shared" si="1064"/>
        <v>0</v>
      </c>
      <c r="L3156" s="144">
        <f t="shared" si="1065"/>
        <v>56</v>
      </c>
      <c r="M3156" s="276"/>
      <c r="N3156" s="98"/>
      <c r="O3156" s="93">
        <f t="shared" si="1060"/>
        <v>0</v>
      </c>
      <c r="ON3156" s="100">
        <f t="shared" si="1073"/>
        <v>0</v>
      </c>
    </row>
    <row r="3157" spans="1:404" ht="23.25" customHeight="1">
      <c r="A3157" s="97" t="str">
        <f t="shared" si="1071"/>
        <v>003/COMERZIA-VG-2168-18600-S1-B</v>
      </c>
      <c r="B3157" s="95">
        <v>44759</v>
      </c>
      <c r="C3157" s="97">
        <f t="shared" ca="1" si="1072"/>
        <v>-305</v>
      </c>
      <c r="D3157" s="112" t="s">
        <v>2439</v>
      </c>
      <c r="E3157" s="123" t="s">
        <v>993</v>
      </c>
      <c r="F3157" s="98">
        <f t="shared" ca="1" si="1074"/>
        <v>0</v>
      </c>
      <c r="G3157" s="110">
        <f ca="1">SUMIF($A:E,$A3157,K:K)</f>
        <v>4</v>
      </c>
      <c r="H3157" s="97" t="s">
        <v>1593</v>
      </c>
      <c r="I3157" s="175">
        <v>48</v>
      </c>
      <c r="J3157" s="115">
        <v>48</v>
      </c>
      <c r="K3157" s="143">
        <f t="shared" si="1064"/>
        <v>0</v>
      </c>
      <c r="L3157" s="144">
        <f t="shared" si="1065"/>
        <v>48</v>
      </c>
      <c r="M3157" s="276"/>
      <c r="N3157" s="98"/>
      <c r="O3157" s="93">
        <f t="shared" si="1060"/>
        <v>0</v>
      </c>
      <c r="ON3157" s="100">
        <f t="shared" si="1073"/>
        <v>0</v>
      </c>
    </row>
    <row r="3158" spans="1:404" ht="23.25" customHeight="1">
      <c r="A3158" s="97" t="str">
        <f t="shared" si="1071"/>
        <v>003/COMERZIA-VG-2168-47400-S1-B</v>
      </c>
      <c r="B3158" s="95">
        <v>44759</v>
      </c>
      <c r="C3158" s="97">
        <f t="shared" ca="1" si="1072"/>
        <v>-305</v>
      </c>
      <c r="D3158" s="112" t="s">
        <v>2439</v>
      </c>
      <c r="E3158" s="123" t="s">
        <v>251</v>
      </c>
      <c r="F3158" s="98">
        <f t="shared" ca="1" si="1074"/>
        <v>0</v>
      </c>
      <c r="G3158" s="110">
        <f ca="1">SUMIF($A:E,$A3158,K:K)</f>
        <v>2</v>
      </c>
      <c r="H3158" s="97" t="s">
        <v>1593</v>
      </c>
      <c r="I3158" s="175">
        <v>90</v>
      </c>
      <c r="J3158" s="115">
        <v>90</v>
      </c>
      <c r="K3158" s="143">
        <f t="shared" si="1064"/>
        <v>0</v>
      </c>
      <c r="L3158" s="144">
        <f t="shared" si="1065"/>
        <v>90</v>
      </c>
      <c r="M3158" s="276"/>
      <c r="N3158" s="98"/>
      <c r="O3158" s="93">
        <f t="shared" si="1060"/>
        <v>0</v>
      </c>
      <c r="ON3158" s="100">
        <f t="shared" si="1073"/>
        <v>0</v>
      </c>
    </row>
    <row r="3159" spans="1:404" ht="23.25" customHeight="1">
      <c r="A3159" s="97" t="str">
        <f t="shared" si="1071"/>
        <v>003/COMERZIA-VG-2168-57700-S3-B</v>
      </c>
      <c r="B3159" s="95">
        <v>44759</v>
      </c>
      <c r="C3159" s="97">
        <f t="shared" ca="1" si="1072"/>
        <v>-305</v>
      </c>
      <c r="D3159" s="112" t="s">
        <v>2439</v>
      </c>
      <c r="E3159" s="123" t="s">
        <v>1065</v>
      </c>
      <c r="F3159" s="98">
        <f t="shared" ca="1" si="1074"/>
        <v>0</v>
      </c>
      <c r="G3159" s="110">
        <f ca="1">SUMIF($A:E,$A3159,K:K)</f>
        <v>1</v>
      </c>
      <c r="H3159" s="97" t="s">
        <v>1593</v>
      </c>
      <c r="I3159" s="175">
        <v>64</v>
      </c>
      <c r="J3159" s="115">
        <v>64</v>
      </c>
      <c r="K3159" s="143">
        <f t="shared" si="1064"/>
        <v>0</v>
      </c>
      <c r="L3159" s="144">
        <f t="shared" si="1065"/>
        <v>64</v>
      </c>
      <c r="M3159" s="276"/>
      <c r="N3159" s="98"/>
      <c r="O3159" s="93">
        <f t="shared" si="1060"/>
        <v>0</v>
      </c>
      <c r="ON3159" s="100">
        <f t="shared" si="1073"/>
        <v>0</v>
      </c>
    </row>
    <row r="3160" spans="1:404" ht="23.25" customHeight="1">
      <c r="A3160" s="97" t="str">
        <f t="shared" si="1071"/>
        <v>004/COMERZIA-VG-2166-01700-B3-B</v>
      </c>
      <c r="B3160" s="95">
        <v>44795</v>
      </c>
      <c r="C3160" s="97">
        <f t="shared" ca="1" si="1072"/>
        <v>-269</v>
      </c>
      <c r="D3160" s="112" t="s">
        <v>2440</v>
      </c>
      <c r="E3160" s="123" t="s">
        <v>2357</v>
      </c>
      <c r="F3160" s="98">
        <f t="shared" ca="1" si="1074"/>
        <v>0</v>
      </c>
      <c r="G3160" s="110">
        <f ca="1">SUMIF($A:E,$A3160,K:K)</f>
        <v>2</v>
      </c>
      <c r="H3160" s="97" t="s">
        <v>1593</v>
      </c>
      <c r="I3160" s="175">
        <v>176</v>
      </c>
      <c r="J3160" s="115">
        <v>176</v>
      </c>
      <c r="K3160" s="143">
        <f t="shared" si="1064"/>
        <v>0</v>
      </c>
      <c r="L3160" s="144">
        <f t="shared" si="1065"/>
        <v>176</v>
      </c>
      <c r="M3160" s="276"/>
      <c r="N3160" s="98"/>
      <c r="O3160" s="93">
        <f t="shared" si="1060"/>
        <v>0</v>
      </c>
      <c r="ON3160" s="100">
        <f t="shared" si="1073"/>
        <v>0</v>
      </c>
    </row>
    <row r="3161" spans="1:404" ht="23.25" customHeight="1">
      <c r="A3161" s="97" t="str">
        <f t="shared" si="1071"/>
        <v>004/COMERZIA-VG-2166-02700-S3-B</v>
      </c>
      <c r="B3161" s="95">
        <v>44795</v>
      </c>
      <c r="C3161" s="97">
        <f t="shared" ref="C3161:C3176" ca="1" si="1075">B3161-TODAY()</f>
        <v>-269</v>
      </c>
      <c r="D3161" s="112" t="s">
        <v>2440</v>
      </c>
      <c r="E3161" s="123" t="s">
        <v>1234</v>
      </c>
      <c r="F3161" s="98">
        <f t="shared" ca="1" si="1074"/>
        <v>0</v>
      </c>
      <c r="G3161" s="110">
        <f ca="1">SUMIF($A:E,$A3161,K:K)</f>
        <v>1</v>
      </c>
      <c r="H3161" s="97" t="s">
        <v>1593</v>
      </c>
      <c r="I3161" s="175">
        <v>120</v>
      </c>
      <c r="J3161" s="115">
        <v>120</v>
      </c>
      <c r="K3161" s="143">
        <f t="shared" si="1064"/>
        <v>0</v>
      </c>
      <c r="L3161" s="144">
        <f t="shared" si="1065"/>
        <v>120</v>
      </c>
      <c r="M3161" s="276"/>
      <c r="N3161" s="98"/>
      <c r="O3161" s="93">
        <f t="shared" si="1060"/>
        <v>0</v>
      </c>
      <c r="ON3161" s="100">
        <f t="shared" si="1073"/>
        <v>0</v>
      </c>
    </row>
    <row r="3162" spans="1:404" ht="23.25" customHeight="1">
      <c r="A3162" s="97" t="str">
        <f t="shared" si="1071"/>
        <v>004/COMERZIA-VG-2166-02724-S3-B</v>
      </c>
      <c r="B3162" s="95">
        <v>44795</v>
      </c>
      <c r="C3162" s="97">
        <f t="shared" ca="1" si="1075"/>
        <v>-269</v>
      </c>
      <c r="D3162" s="112" t="s">
        <v>2440</v>
      </c>
      <c r="E3162" s="123" t="s">
        <v>2434</v>
      </c>
      <c r="F3162" s="98">
        <f t="shared" ca="1" si="1074"/>
        <v>0</v>
      </c>
      <c r="G3162" s="110">
        <f ca="1">SUMIF($A:E,$A3162,K:K)</f>
        <v>1</v>
      </c>
      <c r="H3162" s="97" t="s">
        <v>1593</v>
      </c>
      <c r="I3162" s="175">
        <v>30</v>
      </c>
      <c r="J3162" s="115">
        <v>30</v>
      </c>
      <c r="K3162" s="143">
        <f t="shared" si="1064"/>
        <v>0</v>
      </c>
      <c r="L3162" s="144">
        <f t="shared" si="1065"/>
        <v>30</v>
      </c>
      <c r="M3162" s="276"/>
      <c r="N3162" s="98"/>
      <c r="O3162" s="93">
        <f t="shared" si="1060"/>
        <v>0</v>
      </c>
      <c r="ON3162" s="100">
        <f t="shared" si="1073"/>
        <v>0</v>
      </c>
    </row>
    <row r="3163" spans="1:404" ht="23.25" customHeight="1">
      <c r="A3163" s="97" t="str">
        <f t="shared" si="1071"/>
        <v>004/COMERZIA-VG-2166-05600-S1-B</v>
      </c>
      <c r="B3163" s="95">
        <v>44795</v>
      </c>
      <c r="C3163" s="97">
        <f t="shared" ca="1" si="1075"/>
        <v>-269</v>
      </c>
      <c r="D3163" s="112" t="s">
        <v>2440</v>
      </c>
      <c r="E3163" s="123" t="s">
        <v>1235</v>
      </c>
      <c r="F3163" s="98">
        <f t="shared" ca="1" si="1074"/>
        <v>0</v>
      </c>
      <c r="G3163" s="110">
        <f ca="1">SUMIF($A:E,$A3163,K:K)</f>
        <v>1</v>
      </c>
      <c r="H3163" s="97" t="s">
        <v>1593</v>
      </c>
      <c r="I3163" s="175">
        <v>70</v>
      </c>
      <c r="J3163" s="115">
        <v>70</v>
      </c>
      <c r="K3163" s="143">
        <f t="shared" si="1064"/>
        <v>0</v>
      </c>
      <c r="L3163" s="144">
        <f t="shared" si="1065"/>
        <v>70</v>
      </c>
      <c r="M3163" s="276"/>
      <c r="N3163" s="98"/>
      <c r="O3163" s="93">
        <f t="shared" si="1060"/>
        <v>0</v>
      </c>
      <c r="ON3163" s="100">
        <f t="shared" si="1073"/>
        <v>0</v>
      </c>
    </row>
    <row r="3164" spans="1:404" ht="23.25" customHeight="1">
      <c r="A3164" s="97" t="str">
        <f t="shared" si="1071"/>
        <v>004/COMERZIA-VG-2166-05624-S1-B</v>
      </c>
      <c r="B3164" s="95">
        <v>44795</v>
      </c>
      <c r="C3164" s="97">
        <f t="shared" ca="1" si="1075"/>
        <v>-269</v>
      </c>
      <c r="D3164" s="112" t="s">
        <v>2440</v>
      </c>
      <c r="E3164" s="123" t="s">
        <v>1236</v>
      </c>
      <c r="F3164" s="98">
        <f t="shared" ca="1" si="1074"/>
        <v>0</v>
      </c>
      <c r="G3164" s="110">
        <f ca="1">SUMIF($A:E,$A3164,K:K)</f>
        <v>1</v>
      </c>
      <c r="H3164" s="97" t="s">
        <v>1593</v>
      </c>
      <c r="I3164" s="175">
        <v>70</v>
      </c>
      <c r="J3164" s="115">
        <v>70</v>
      </c>
      <c r="K3164" s="143">
        <f t="shared" si="1064"/>
        <v>0</v>
      </c>
      <c r="L3164" s="144">
        <f t="shared" si="1065"/>
        <v>70</v>
      </c>
      <c r="M3164" s="276"/>
      <c r="N3164" s="98"/>
      <c r="O3164" s="93">
        <f t="shared" si="1060"/>
        <v>0</v>
      </c>
      <c r="ON3164" s="100">
        <f t="shared" si="1073"/>
        <v>0</v>
      </c>
    </row>
    <row r="3165" spans="1:404" ht="23.25" customHeight="1">
      <c r="A3165" s="97" t="str">
        <f t="shared" si="1071"/>
        <v>004/COMERZIA-VG-2166-05800-S1-B</v>
      </c>
      <c r="B3165" s="95">
        <v>44795</v>
      </c>
      <c r="C3165" s="97">
        <f t="shared" ca="1" si="1075"/>
        <v>-269</v>
      </c>
      <c r="D3165" s="112" t="s">
        <v>2440</v>
      </c>
      <c r="E3165" s="123" t="s">
        <v>944</v>
      </c>
      <c r="F3165" s="98">
        <f t="shared" ca="1" si="1074"/>
        <v>0</v>
      </c>
      <c r="G3165" s="110">
        <f ca="1">SUMIF($A:E,$A3165,K:K)</f>
        <v>0</v>
      </c>
      <c r="H3165" s="97" t="s">
        <v>1593</v>
      </c>
      <c r="I3165" s="175">
        <v>80</v>
      </c>
      <c r="J3165" s="115">
        <v>80</v>
      </c>
      <c r="K3165" s="143">
        <f t="shared" si="1064"/>
        <v>0</v>
      </c>
      <c r="L3165" s="144">
        <f t="shared" si="1065"/>
        <v>80</v>
      </c>
      <c r="M3165" s="276"/>
      <c r="N3165" s="98"/>
      <c r="O3165" s="93">
        <f t="shared" ref="O3165:O3178" si="1076">K3165/J3165*100</f>
        <v>0</v>
      </c>
      <c r="ON3165" s="100">
        <f t="shared" si="1073"/>
        <v>0</v>
      </c>
    </row>
    <row r="3166" spans="1:404" ht="23.25" customHeight="1">
      <c r="A3166" s="97" t="str">
        <f t="shared" si="1071"/>
        <v>004/COMERZIA-VG-2166-05824-S1-B</v>
      </c>
      <c r="B3166" s="95">
        <v>44795</v>
      </c>
      <c r="C3166" s="97">
        <f t="shared" ca="1" si="1075"/>
        <v>-269</v>
      </c>
      <c r="D3166" s="112" t="s">
        <v>2440</v>
      </c>
      <c r="E3166" s="123" t="s">
        <v>1237</v>
      </c>
      <c r="F3166" s="98">
        <f t="shared" ca="1" si="1074"/>
        <v>0</v>
      </c>
      <c r="G3166" s="110">
        <f ca="1">SUMIF($A:E,$A3166,K:K)</f>
        <v>0</v>
      </c>
      <c r="H3166" s="97" t="s">
        <v>1593</v>
      </c>
      <c r="I3166" s="175">
        <v>80</v>
      </c>
      <c r="J3166" s="115">
        <v>80</v>
      </c>
      <c r="K3166" s="143">
        <f t="shared" si="1064"/>
        <v>0</v>
      </c>
      <c r="L3166" s="144">
        <f t="shared" si="1065"/>
        <v>80</v>
      </c>
      <c r="M3166" s="276"/>
      <c r="N3166" s="98"/>
      <c r="O3166" s="93">
        <f t="shared" si="1076"/>
        <v>0</v>
      </c>
      <c r="ON3166" s="100">
        <f t="shared" si="1073"/>
        <v>0</v>
      </c>
    </row>
    <row r="3167" spans="1:404" ht="26.25" customHeight="1">
      <c r="A3167" s="97" t="str">
        <f t="shared" si="1071"/>
        <v>004/COMERZIA-VG-2166-28424-S1-B</v>
      </c>
      <c r="B3167" s="95">
        <v>44795</v>
      </c>
      <c r="C3167" s="97">
        <f t="shared" ca="1" si="1075"/>
        <v>-269</v>
      </c>
      <c r="D3167" s="112" t="s">
        <v>2440</v>
      </c>
      <c r="E3167" s="123" t="s">
        <v>2435</v>
      </c>
      <c r="F3167" s="98">
        <f t="shared" ref="F3167:F3176" ca="1" si="1077">F3167:H3189=MID(E3167,13,2)</f>
        <v>0</v>
      </c>
      <c r="G3167" s="110">
        <f ca="1">SUMIF($A:E,$A3167,K:K)</f>
        <v>0</v>
      </c>
      <c r="H3167" s="97" t="s">
        <v>1593</v>
      </c>
      <c r="I3167" s="175">
        <v>16</v>
      </c>
      <c r="J3167" s="115">
        <v>16</v>
      </c>
      <c r="K3167" s="143">
        <f t="shared" si="1064"/>
        <v>0</v>
      </c>
      <c r="L3167" s="144">
        <f t="shared" si="1065"/>
        <v>16</v>
      </c>
      <c r="M3167" s="276"/>
      <c r="N3167" s="98"/>
      <c r="O3167" s="93">
        <f t="shared" si="1076"/>
        <v>0</v>
      </c>
      <c r="ON3167" s="100">
        <f t="shared" si="1073"/>
        <v>0</v>
      </c>
    </row>
    <row r="3168" spans="1:404" ht="23.25" customHeight="1">
      <c r="A3168" s="97" t="str">
        <f t="shared" si="1071"/>
        <v>004/COMERZIA-VG-2166-28524-S1-B</v>
      </c>
      <c r="B3168" s="95">
        <v>44795</v>
      </c>
      <c r="C3168" s="97">
        <f t="shared" ca="1" si="1075"/>
        <v>-269</v>
      </c>
      <c r="D3168" s="112" t="s">
        <v>2440</v>
      </c>
      <c r="E3168" s="123" t="s">
        <v>772</v>
      </c>
      <c r="F3168" s="98">
        <f t="shared" ca="1" si="1077"/>
        <v>0</v>
      </c>
      <c r="G3168" s="110">
        <f ca="1">SUMIF($A:E,$A3168,K:K)</f>
        <v>0</v>
      </c>
      <c r="H3168" s="97" t="s">
        <v>1593</v>
      </c>
      <c r="I3168" s="175">
        <v>30</v>
      </c>
      <c r="J3168" s="115">
        <v>30</v>
      </c>
      <c r="K3168" s="143">
        <f t="shared" ref="K3168:K3232" si="1078">SUM(P3168:BBC3168)</f>
        <v>0</v>
      </c>
      <c r="L3168" s="144">
        <f t="shared" ref="L3168:L3183" si="1079">J3168-K3168</f>
        <v>30</v>
      </c>
      <c r="M3168" s="276"/>
      <c r="N3168" s="98"/>
      <c r="O3168" s="93">
        <f t="shared" si="1076"/>
        <v>0</v>
      </c>
      <c r="ON3168" s="100">
        <f t="shared" si="1073"/>
        <v>0</v>
      </c>
    </row>
    <row r="3169" spans="1:404" ht="23.25" customHeight="1">
      <c r="A3169" s="97" t="str">
        <f t="shared" si="1071"/>
        <v>004/COMERZIA-VG-2166-33224-S1-B</v>
      </c>
      <c r="B3169" s="95">
        <v>44795</v>
      </c>
      <c r="C3169" s="97">
        <f t="shared" ca="1" si="1075"/>
        <v>-269</v>
      </c>
      <c r="D3169" s="112" t="s">
        <v>2440</v>
      </c>
      <c r="E3169" s="123" t="s">
        <v>498</v>
      </c>
      <c r="F3169" s="98">
        <f t="shared" ca="1" si="1077"/>
        <v>0</v>
      </c>
      <c r="G3169" s="110">
        <f ca="1">SUMIF($A:E,$A3169,K:K)</f>
        <v>0</v>
      </c>
      <c r="H3169" s="97" t="s">
        <v>1593</v>
      </c>
      <c r="I3169" s="175">
        <v>80</v>
      </c>
      <c r="J3169" s="115">
        <v>80</v>
      </c>
      <c r="K3169" s="143">
        <f t="shared" si="1078"/>
        <v>0</v>
      </c>
      <c r="L3169" s="144">
        <f t="shared" si="1079"/>
        <v>80</v>
      </c>
      <c r="M3169" s="276"/>
      <c r="N3169" s="98"/>
      <c r="O3169" s="93">
        <f t="shared" si="1076"/>
        <v>0</v>
      </c>
      <c r="ON3169" s="100">
        <f t="shared" si="1073"/>
        <v>0</v>
      </c>
    </row>
    <row r="3170" spans="1:404" ht="23.25" customHeight="1">
      <c r="A3170" s="97" t="str">
        <f t="shared" si="1071"/>
        <v>004/COMERZIA-VG-2166-34700-S1-B</v>
      </c>
      <c r="B3170" s="95">
        <v>44795</v>
      </c>
      <c r="C3170" s="97">
        <f t="shared" ca="1" si="1075"/>
        <v>-269</v>
      </c>
      <c r="D3170" s="112" t="s">
        <v>2440</v>
      </c>
      <c r="E3170" s="123" t="s">
        <v>2432</v>
      </c>
      <c r="F3170" s="98">
        <f t="shared" ca="1" si="1077"/>
        <v>0</v>
      </c>
      <c r="G3170" s="110">
        <f ca="1">SUMIF($A:E,$A3170,K:K)</f>
        <v>0</v>
      </c>
      <c r="H3170" s="97" t="s">
        <v>1593</v>
      </c>
      <c r="I3170" s="175">
        <v>66</v>
      </c>
      <c r="J3170" s="115">
        <v>66</v>
      </c>
      <c r="K3170" s="143">
        <f t="shared" si="1078"/>
        <v>0</v>
      </c>
      <c r="L3170" s="144">
        <f t="shared" si="1079"/>
        <v>66</v>
      </c>
      <c r="M3170" s="276"/>
      <c r="N3170" s="98"/>
      <c r="O3170" s="93">
        <f t="shared" si="1076"/>
        <v>0</v>
      </c>
      <c r="ON3170" s="100">
        <f t="shared" si="1073"/>
        <v>0</v>
      </c>
    </row>
    <row r="3171" spans="1:404" ht="23.25" customHeight="1">
      <c r="A3171" s="97" t="str">
        <f t="shared" si="1071"/>
        <v>004/COMERZIA-VG-2166-52624-S2-B</v>
      </c>
      <c r="B3171" s="95">
        <v>44795</v>
      </c>
      <c r="C3171" s="97">
        <f t="shared" ca="1" si="1075"/>
        <v>-269</v>
      </c>
      <c r="D3171" s="112" t="s">
        <v>2440</v>
      </c>
      <c r="E3171" s="123" t="s">
        <v>1238</v>
      </c>
      <c r="F3171" s="98">
        <f t="shared" ca="1" si="1077"/>
        <v>0</v>
      </c>
      <c r="G3171" s="110">
        <f ca="1">SUMIF($A:E,$A3171,K:K)</f>
        <v>0</v>
      </c>
      <c r="H3171" s="97" t="s">
        <v>1593</v>
      </c>
      <c r="I3171" s="175">
        <v>96</v>
      </c>
      <c r="J3171" s="115">
        <v>96</v>
      </c>
      <c r="K3171" s="143">
        <f t="shared" si="1078"/>
        <v>0</v>
      </c>
      <c r="L3171" s="144">
        <f t="shared" si="1079"/>
        <v>96</v>
      </c>
      <c r="M3171" s="276"/>
      <c r="N3171" s="98"/>
      <c r="O3171" s="93">
        <f t="shared" si="1076"/>
        <v>0</v>
      </c>
      <c r="ON3171" s="100">
        <f t="shared" si="1073"/>
        <v>0</v>
      </c>
    </row>
    <row r="3172" spans="1:404" ht="23.25" customHeight="1">
      <c r="A3172" s="97" t="str">
        <f t="shared" si="1071"/>
        <v>004/COMERZIA-VG-2166-61300-S3-B</v>
      </c>
      <c r="B3172" s="95">
        <v>44795</v>
      </c>
      <c r="C3172" s="97">
        <f t="shared" ca="1" si="1075"/>
        <v>-269</v>
      </c>
      <c r="D3172" s="112" t="s">
        <v>2440</v>
      </c>
      <c r="E3172" s="123" t="s">
        <v>704</v>
      </c>
      <c r="F3172" s="98">
        <f t="shared" ca="1" si="1077"/>
        <v>0</v>
      </c>
      <c r="G3172" s="110">
        <f ca="1">SUMIF($A:E,$A3172,K:K)</f>
        <v>0</v>
      </c>
      <c r="H3172" s="97" t="s">
        <v>1593</v>
      </c>
      <c r="I3172" s="175">
        <v>128</v>
      </c>
      <c r="J3172" s="115">
        <v>128</v>
      </c>
      <c r="K3172" s="143">
        <f t="shared" si="1078"/>
        <v>0</v>
      </c>
      <c r="L3172" s="144">
        <f t="shared" si="1079"/>
        <v>128</v>
      </c>
      <c r="M3172" s="276"/>
      <c r="N3172" s="98"/>
      <c r="O3172" s="93">
        <f t="shared" si="1076"/>
        <v>0</v>
      </c>
      <c r="ON3172" s="100">
        <f t="shared" si="1073"/>
        <v>0</v>
      </c>
    </row>
    <row r="3173" spans="1:404" ht="23.25" customHeight="1">
      <c r="A3173" s="97" t="str">
        <f t="shared" si="1071"/>
        <v>004/COMERZIA-VG-2168-57700-S3-B</v>
      </c>
      <c r="B3173" s="95">
        <v>44795</v>
      </c>
      <c r="C3173" s="97">
        <f t="shared" ca="1" si="1075"/>
        <v>-269</v>
      </c>
      <c r="D3173" s="112" t="s">
        <v>2440</v>
      </c>
      <c r="E3173" s="123" t="s">
        <v>1065</v>
      </c>
      <c r="F3173" s="98">
        <f t="shared" ca="1" si="1077"/>
        <v>0</v>
      </c>
      <c r="G3173" s="110">
        <f ca="1">SUMIF($A:E,$A3173,K:K)</f>
        <v>0</v>
      </c>
      <c r="H3173" s="97" t="s">
        <v>1593</v>
      </c>
      <c r="I3173" s="175">
        <v>128</v>
      </c>
      <c r="J3173" s="115">
        <v>128</v>
      </c>
      <c r="K3173" s="143">
        <f t="shared" si="1078"/>
        <v>0</v>
      </c>
      <c r="L3173" s="144">
        <f t="shared" si="1079"/>
        <v>128</v>
      </c>
      <c r="M3173" s="276"/>
      <c r="N3173" s="98"/>
      <c r="O3173" s="93">
        <f t="shared" si="1076"/>
        <v>0</v>
      </c>
      <c r="ON3173" s="100">
        <f t="shared" si="1073"/>
        <v>0</v>
      </c>
    </row>
    <row r="3174" spans="1:404" ht="23.25" customHeight="1">
      <c r="A3174" s="97" t="str">
        <f t="shared" si="1071"/>
        <v>001/COMERZIA-VG-2166-02700-01-A1 (phên)</v>
      </c>
      <c r="B3174" s="95">
        <v>44659</v>
      </c>
      <c r="C3174" s="97">
        <f t="shared" ca="1" si="1075"/>
        <v>-405</v>
      </c>
      <c r="D3174" s="112" t="s">
        <v>2433</v>
      </c>
      <c r="E3174" s="123" t="s">
        <v>2441</v>
      </c>
      <c r="F3174" s="98">
        <f t="shared" ca="1" si="1077"/>
        <v>0</v>
      </c>
      <c r="G3174" s="110">
        <f ca="1">SUMIF($A:E,$A3174,K:K)</f>
        <v>0</v>
      </c>
      <c r="H3174" s="97" t="s">
        <v>1593</v>
      </c>
      <c r="I3174" s="175">
        <v>60</v>
      </c>
      <c r="J3174" s="115">
        <v>60</v>
      </c>
      <c r="K3174" s="143">
        <f t="shared" si="1078"/>
        <v>0</v>
      </c>
      <c r="L3174" s="144">
        <f t="shared" si="1079"/>
        <v>60</v>
      </c>
      <c r="M3174" s="276"/>
      <c r="N3174" s="98"/>
      <c r="O3174" s="93">
        <f>K3174/J3174*100</f>
        <v>0</v>
      </c>
      <c r="ON3174" s="100">
        <f t="shared" si="1073"/>
        <v>0</v>
      </c>
    </row>
    <row r="3175" spans="1:404" ht="23.25" customHeight="1">
      <c r="A3175" s="97" t="str">
        <f t="shared" si="1071"/>
        <v>003/COMERZIA-VG-2166-02700-01-A1 (phên)</v>
      </c>
      <c r="B3175" s="95">
        <v>44759</v>
      </c>
      <c r="C3175" s="97">
        <f t="shared" ca="1" si="1075"/>
        <v>-305</v>
      </c>
      <c r="D3175" s="112" t="s">
        <v>2439</v>
      </c>
      <c r="E3175" s="123" t="s">
        <v>2441</v>
      </c>
      <c r="F3175" s="98">
        <f t="shared" ca="1" si="1077"/>
        <v>0</v>
      </c>
      <c r="G3175" s="110">
        <f ca="1">SUMIF($A:E,$A3175,K:K)</f>
        <v>0</v>
      </c>
      <c r="H3175" s="97" t="s">
        <v>1593</v>
      </c>
      <c r="I3175" s="175">
        <v>75</v>
      </c>
      <c r="J3175" s="115">
        <v>75</v>
      </c>
      <c r="K3175" s="143">
        <f t="shared" si="1078"/>
        <v>0</v>
      </c>
      <c r="L3175" s="144">
        <f t="shared" si="1079"/>
        <v>75</v>
      </c>
      <c r="M3175" s="276"/>
      <c r="N3175" s="98"/>
      <c r="O3175" s="93">
        <f t="shared" si="1076"/>
        <v>0</v>
      </c>
      <c r="ON3175" s="100">
        <f t="shared" si="1073"/>
        <v>0</v>
      </c>
    </row>
    <row r="3176" spans="1:404" ht="23.25" customHeight="1">
      <c r="A3176" s="97" t="str">
        <f t="shared" si="1071"/>
        <v>004/COMERZIA-VG-2166-02700-01-A1 (phên)</v>
      </c>
      <c r="B3176" s="95">
        <v>44795</v>
      </c>
      <c r="C3176" s="97">
        <f t="shared" ca="1" si="1075"/>
        <v>-269</v>
      </c>
      <c r="D3176" s="112" t="s">
        <v>2440</v>
      </c>
      <c r="E3176" s="123" t="s">
        <v>2441</v>
      </c>
      <c r="F3176" s="98">
        <f t="shared" ca="1" si="1077"/>
        <v>0</v>
      </c>
      <c r="G3176" s="110">
        <f ca="1">SUMIF($A:E,$A3176,K:K)</f>
        <v>0</v>
      </c>
      <c r="H3176" s="97" t="s">
        <v>1593</v>
      </c>
      <c r="I3176" s="175">
        <v>150</v>
      </c>
      <c r="J3176" s="115">
        <v>150</v>
      </c>
      <c r="K3176" s="143">
        <f t="shared" si="1078"/>
        <v>0</v>
      </c>
      <c r="L3176" s="144">
        <f t="shared" si="1079"/>
        <v>150</v>
      </c>
      <c r="M3176" s="276"/>
      <c r="N3176" s="98"/>
      <c r="O3176" s="93">
        <f t="shared" si="1076"/>
        <v>0</v>
      </c>
      <c r="ON3176" s="100">
        <f t="shared" si="1073"/>
        <v>0</v>
      </c>
    </row>
    <row r="3177" spans="1:404" ht="23.25" customHeight="1">
      <c r="A3177" s="97" t="str">
        <f t="shared" ref="A3177:A3178" si="1080">D3177&amp;E3177</f>
        <v>006/KHBS-22(027T/WESTELM-21)66-87000-S1-B</v>
      </c>
      <c r="B3177" s="95">
        <v>44573</v>
      </c>
      <c r="C3177" s="97">
        <f t="shared" ref="C3177:C3191" ca="1" si="1081">B3177-TODAY()</f>
        <v>-491</v>
      </c>
      <c r="D3177" s="111" t="s">
        <v>2442</v>
      </c>
      <c r="E3177" s="225" t="s">
        <v>1388</v>
      </c>
      <c r="F3177" s="98" t="str">
        <f t="shared" ref="F3177:F3183" si="1082">MID(E3177,13,2)</f>
        <v>B</v>
      </c>
      <c r="G3177" s="110">
        <f ca="1">SUMIF($A:E,$A3177,K:K)</f>
        <v>2</v>
      </c>
      <c r="H3177" s="97" t="s">
        <v>1593</v>
      </c>
      <c r="I3177" s="98">
        <v>2</v>
      </c>
      <c r="J3177" s="99">
        <v>2</v>
      </c>
      <c r="K3177" s="143">
        <f t="shared" si="1078"/>
        <v>2</v>
      </c>
      <c r="L3177" s="144">
        <f t="shared" si="1079"/>
        <v>0</v>
      </c>
      <c r="N3177" s="98">
        <v>1</v>
      </c>
      <c r="O3177" s="93">
        <f t="shared" si="1076"/>
        <v>100</v>
      </c>
      <c r="MY3177" s="100">
        <v>2</v>
      </c>
      <c r="ON3177" s="100">
        <f t="shared" si="1073"/>
        <v>0</v>
      </c>
    </row>
    <row r="3178" spans="1:404" ht="23.25" customHeight="1">
      <c r="A3178" s="127" t="str">
        <f t="shared" si="1080"/>
        <v>008/KHBS-22(035T/WESTELM-21)66-70337-02-B4</v>
      </c>
      <c r="B3178" s="126">
        <v>44573</v>
      </c>
      <c r="C3178" s="127">
        <f t="shared" ca="1" si="1081"/>
        <v>-491</v>
      </c>
      <c r="D3178" s="208" t="s">
        <v>2443</v>
      </c>
      <c r="E3178" s="226" t="s">
        <v>602</v>
      </c>
      <c r="F3178" s="132" t="str">
        <f t="shared" si="1082"/>
        <v>B4</v>
      </c>
      <c r="G3178" s="130">
        <f ca="1">SUMIF($A:E,$A3178,K:K)</f>
        <v>5</v>
      </c>
      <c r="H3178" s="139" t="s">
        <v>1743</v>
      </c>
      <c r="I3178" s="132">
        <v>5</v>
      </c>
      <c r="J3178" s="131">
        <v>5</v>
      </c>
      <c r="K3178" s="160">
        <f t="shared" si="1078"/>
        <v>5</v>
      </c>
      <c r="L3178" s="151">
        <f t="shared" si="1079"/>
        <v>0</v>
      </c>
      <c r="N3178" s="132">
        <v>3</v>
      </c>
      <c r="O3178" s="93">
        <f t="shared" si="1076"/>
        <v>100</v>
      </c>
      <c r="MY3178" s="100">
        <v>5</v>
      </c>
      <c r="ON3178" s="100">
        <f t="shared" si="1073"/>
        <v>0</v>
      </c>
    </row>
    <row r="3179" spans="1:404" ht="23.25" customHeight="1">
      <c r="A3179" s="97" t="str">
        <f t="shared" ref="A3179:A3189" si="1083">D3154&amp;E3154</f>
        <v>003/COMERZIA-VG-2166-65100-S4-B</v>
      </c>
      <c r="B3179" s="95">
        <v>44580</v>
      </c>
      <c r="C3179" s="97">
        <f t="shared" ca="1" si="1081"/>
        <v>-484</v>
      </c>
      <c r="D3179" s="112" t="s">
        <v>2444</v>
      </c>
      <c r="E3179" s="123" t="s">
        <v>588</v>
      </c>
      <c r="F3179" s="98" t="str">
        <f t="shared" si="1082"/>
        <v>A</v>
      </c>
      <c r="G3179" s="110">
        <f ca="1">SUMIF($A:E,$A3179,K:K)</f>
        <v>1</v>
      </c>
      <c r="H3179" s="97" t="s">
        <v>616</v>
      </c>
      <c r="I3179" s="175">
        <v>1</v>
      </c>
      <c r="J3179" s="115">
        <v>1</v>
      </c>
      <c r="K3179" s="143">
        <f t="shared" si="1078"/>
        <v>1</v>
      </c>
      <c r="L3179" s="144">
        <f t="shared" si="1079"/>
        <v>0</v>
      </c>
      <c r="N3179" s="98" t="s">
        <v>1776</v>
      </c>
      <c r="O3179" s="93">
        <f t="shared" ref="O3179:O3189" si="1084">K3179/J3179*100</f>
        <v>100</v>
      </c>
      <c r="NI3179" s="100">
        <v>1</v>
      </c>
      <c r="ON3179" s="100">
        <f t="shared" si="1073"/>
        <v>0</v>
      </c>
    </row>
    <row r="3180" spans="1:404" ht="23.25" customHeight="1">
      <c r="A3180" s="97" t="str">
        <f t="shared" si="1083"/>
        <v>003/COMERZIA-VG-2166-66400-S3-B</v>
      </c>
      <c r="B3180" s="95">
        <v>44580</v>
      </c>
      <c r="C3180" s="97">
        <f t="shared" ca="1" si="1081"/>
        <v>-484</v>
      </c>
      <c r="D3180" s="112" t="s">
        <v>2444</v>
      </c>
      <c r="E3180" s="123" t="s">
        <v>529</v>
      </c>
      <c r="F3180" s="98" t="str">
        <f t="shared" si="1082"/>
        <v>B</v>
      </c>
      <c r="G3180" s="110">
        <f ca="1">SUMIF($A:E,$A3180,K:K)</f>
        <v>1</v>
      </c>
      <c r="H3180" s="97" t="s">
        <v>616</v>
      </c>
      <c r="I3180" s="175">
        <v>1</v>
      </c>
      <c r="J3180" s="115">
        <v>1</v>
      </c>
      <c r="K3180" s="143">
        <f t="shared" si="1078"/>
        <v>1</v>
      </c>
      <c r="L3180" s="144">
        <f t="shared" si="1079"/>
        <v>0</v>
      </c>
      <c r="N3180" s="98">
        <v>4</v>
      </c>
      <c r="O3180" s="93">
        <f t="shared" si="1084"/>
        <v>100</v>
      </c>
      <c r="NE3180" s="100">
        <v>1</v>
      </c>
      <c r="ON3180" s="100">
        <f t="shared" si="1073"/>
        <v>0</v>
      </c>
    </row>
    <row r="3181" spans="1:404" ht="23.25" customHeight="1">
      <c r="A3181" s="97" t="str">
        <f t="shared" si="1083"/>
        <v>003/COMERZIA-VG-2166-66600-S3-B</v>
      </c>
      <c r="B3181" s="95">
        <v>44582</v>
      </c>
      <c r="C3181" s="97">
        <f t="shared" ca="1" si="1081"/>
        <v>-482</v>
      </c>
      <c r="D3181" s="112" t="s">
        <v>2445</v>
      </c>
      <c r="E3181" s="123" t="s">
        <v>2105</v>
      </c>
      <c r="F3181" s="98" t="str">
        <f t="shared" si="1082"/>
        <v>B</v>
      </c>
      <c r="G3181" s="110">
        <f ca="1">SUMIF($A:E,$A3181,K:K)</f>
        <v>3</v>
      </c>
      <c r="H3181" s="97" t="s">
        <v>616</v>
      </c>
      <c r="I3181" s="175">
        <v>3</v>
      </c>
      <c r="J3181" s="115">
        <v>3</v>
      </c>
      <c r="K3181" s="143">
        <f t="shared" si="1078"/>
        <v>3</v>
      </c>
      <c r="L3181" s="144">
        <f t="shared" si="1079"/>
        <v>0</v>
      </c>
      <c r="N3181" s="98">
        <v>6</v>
      </c>
      <c r="O3181" s="93">
        <f t="shared" si="1084"/>
        <v>100</v>
      </c>
      <c r="NI3181" s="100">
        <v>3</v>
      </c>
      <c r="ON3181" s="100">
        <f t="shared" si="1073"/>
        <v>0</v>
      </c>
    </row>
    <row r="3182" spans="1:404" ht="23.25" customHeight="1">
      <c r="A3182" s="97" t="str">
        <f t="shared" si="1083"/>
        <v>003/COMERZIA-VG-2168-18600-S1-B</v>
      </c>
      <c r="B3182" s="95">
        <v>44582</v>
      </c>
      <c r="C3182" s="97">
        <f t="shared" ca="1" si="1081"/>
        <v>-482</v>
      </c>
      <c r="D3182" s="112" t="s">
        <v>2445</v>
      </c>
      <c r="E3182" s="123" t="s">
        <v>249</v>
      </c>
      <c r="F3182" s="98" t="str">
        <f t="shared" si="1082"/>
        <v>B</v>
      </c>
      <c r="G3182" s="110">
        <f ca="1">SUMIF($A:E,$A3182,K:K)</f>
        <v>4</v>
      </c>
      <c r="H3182" s="97" t="s">
        <v>616</v>
      </c>
      <c r="I3182" s="175">
        <v>4</v>
      </c>
      <c r="J3182" s="115">
        <v>4</v>
      </c>
      <c r="K3182" s="143">
        <f t="shared" si="1078"/>
        <v>4</v>
      </c>
      <c r="L3182" s="144">
        <f t="shared" si="1079"/>
        <v>0</v>
      </c>
      <c r="N3182" s="98">
        <v>3</v>
      </c>
      <c r="O3182" s="93">
        <f t="shared" si="1084"/>
        <v>100</v>
      </c>
      <c r="NK3182" s="100">
        <v>4</v>
      </c>
      <c r="ON3182" s="100">
        <f t="shared" si="1073"/>
        <v>0</v>
      </c>
    </row>
    <row r="3183" spans="1:404" ht="23.25" customHeight="1">
      <c r="A3183" s="97" t="str">
        <f t="shared" si="1083"/>
        <v>003/COMERZIA-VG-2168-47400-S1-B</v>
      </c>
      <c r="B3183" s="95">
        <v>44582</v>
      </c>
      <c r="C3183" s="97">
        <f t="shared" ca="1" si="1081"/>
        <v>-482</v>
      </c>
      <c r="D3183" s="112" t="s">
        <v>2445</v>
      </c>
      <c r="E3183" s="123" t="s">
        <v>2446</v>
      </c>
      <c r="F3183" s="98" t="str">
        <f t="shared" si="1082"/>
        <v>B(</v>
      </c>
      <c r="G3183" s="110">
        <f ca="1">SUMIF($A:E,$A3183,K:K)</f>
        <v>2</v>
      </c>
      <c r="H3183" s="97" t="s">
        <v>616</v>
      </c>
      <c r="I3183" s="175">
        <v>2</v>
      </c>
      <c r="J3183" s="115">
        <v>2</v>
      </c>
      <c r="K3183" s="143">
        <f t="shared" si="1078"/>
        <v>2</v>
      </c>
      <c r="L3183" s="144">
        <f t="shared" si="1079"/>
        <v>0</v>
      </c>
      <c r="N3183" s="98">
        <v>3</v>
      </c>
      <c r="O3183" s="93">
        <f t="shared" si="1084"/>
        <v>100</v>
      </c>
      <c r="NI3183" s="100">
        <v>2</v>
      </c>
      <c r="ON3183" s="100">
        <f t="shared" si="1073"/>
        <v>0</v>
      </c>
    </row>
    <row r="3184" spans="1:404" ht="23.25" customHeight="1">
      <c r="A3184" s="97" t="str">
        <f t="shared" si="1083"/>
        <v>003/COMERZIA-VG-2168-57700-S3-B</v>
      </c>
      <c r="B3184" s="95">
        <v>44599</v>
      </c>
      <c r="C3184" s="97">
        <f t="shared" ca="1" si="1081"/>
        <v>-465</v>
      </c>
      <c r="D3184" s="112" t="s">
        <v>2447</v>
      </c>
      <c r="E3184" s="123" t="s">
        <v>2448</v>
      </c>
      <c r="F3184" s="98" t="str">
        <f t="shared" ref="F3184:F3191" si="1085">MID(E3184,13,2)</f>
        <v>B</v>
      </c>
      <c r="G3184" s="110">
        <f ca="1">SUMIF($A:E,$A3184,K:K)</f>
        <v>1</v>
      </c>
      <c r="H3184" s="112" t="s">
        <v>2452</v>
      </c>
      <c r="I3184" s="175">
        <v>1</v>
      </c>
      <c r="J3184" s="115">
        <v>1</v>
      </c>
      <c r="K3184" s="143">
        <f t="shared" si="1078"/>
        <v>1</v>
      </c>
      <c r="L3184" s="144">
        <f t="shared" ref="L3184:L3195" si="1086">J3184-K3184</f>
        <v>0</v>
      </c>
      <c r="N3184" s="98">
        <v>4</v>
      </c>
      <c r="O3184" s="93">
        <f t="shared" si="1084"/>
        <v>100</v>
      </c>
      <c r="NG3184" s="100">
        <v>1</v>
      </c>
      <c r="ON3184" s="100">
        <f t="shared" si="1073"/>
        <v>0</v>
      </c>
    </row>
    <row r="3185" spans="1:404" ht="23.25" customHeight="1">
      <c r="A3185" s="97" t="str">
        <f t="shared" si="1083"/>
        <v>004/COMERZIA-VG-2166-01700-B3-B</v>
      </c>
      <c r="B3185" s="95">
        <v>44599</v>
      </c>
      <c r="C3185" s="97">
        <f t="shared" ca="1" si="1081"/>
        <v>-465</v>
      </c>
      <c r="D3185" s="112" t="s">
        <v>2449</v>
      </c>
      <c r="E3185" s="123" t="s">
        <v>2448</v>
      </c>
      <c r="F3185" s="98" t="str">
        <f t="shared" si="1085"/>
        <v>B</v>
      </c>
      <c r="G3185" s="110">
        <f ca="1">SUMIF($A:E,$A3185,K:K)</f>
        <v>2</v>
      </c>
      <c r="H3185" s="112" t="s">
        <v>2452</v>
      </c>
      <c r="I3185" s="175">
        <v>2</v>
      </c>
      <c r="J3185" s="115">
        <v>2</v>
      </c>
      <c r="K3185" s="143">
        <f t="shared" si="1078"/>
        <v>2</v>
      </c>
      <c r="L3185" s="144">
        <f t="shared" si="1086"/>
        <v>0</v>
      </c>
      <c r="N3185" s="98">
        <v>4</v>
      </c>
      <c r="O3185" s="93">
        <f t="shared" si="1084"/>
        <v>100</v>
      </c>
      <c r="NG3185" s="100">
        <v>2</v>
      </c>
      <c r="ON3185" s="100">
        <f t="shared" si="1073"/>
        <v>0</v>
      </c>
    </row>
    <row r="3186" spans="1:404" ht="23.25" customHeight="1">
      <c r="A3186" s="97" t="str">
        <f t="shared" si="1083"/>
        <v>004/COMERZIA-VG-2166-02700-S3-B</v>
      </c>
      <c r="B3186" s="95">
        <v>44579</v>
      </c>
      <c r="C3186" s="97">
        <f t="shared" ca="1" si="1081"/>
        <v>-485</v>
      </c>
      <c r="D3186" s="112" t="s">
        <v>2450</v>
      </c>
      <c r="E3186" s="123" t="s">
        <v>2300</v>
      </c>
      <c r="F3186" s="98" t="str">
        <f t="shared" si="1085"/>
        <v>B</v>
      </c>
      <c r="G3186" s="110">
        <f ca="1">SUMIF($A:E,$A3186,K:K)</f>
        <v>1</v>
      </c>
      <c r="H3186" s="112" t="s">
        <v>2417</v>
      </c>
      <c r="I3186" s="175">
        <v>1</v>
      </c>
      <c r="J3186" s="115">
        <v>1</v>
      </c>
      <c r="K3186" s="143">
        <f t="shared" si="1078"/>
        <v>1</v>
      </c>
      <c r="L3186" s="144">
        <f t="shared" si="1086"/>
        <v>0</v>
      </c>
      <c r="N3186" s="98">
        <v>4</v>
      </c>
      <c r="O3186" s="93">
        <f t="shared" si="1084"/>
        <v>100</v>
      </c>
      <c r="NG3186" s="100">
        <v>1</v>
      </c>
      <c r="ON3186" s="100">
        <f t="shared" si="1073"/>
        <v>0</v>
      </c>
    </row>
    <row r="3187" spans="1:404" ht="23.25" customHeight="1">
      <c r="A3187" s="97" t="str">
        <f t="shared" si="1083"/>
        <v>004/COMERZIA-VG-2166-02724-S3-B</v>
      </c>
      <c r="B3187" s="95">
        <v>44579</v>
      </c>
      <c r="C3187" s="97">
        <f t="shared" ca="1" si="1081"/>
        <v>-485</v>
      </c>
      <c r="D3187" s="112" t="s">
        <v>2451</v>
      </c>
      <c r="E3187" s="123" t="s">
        <v>2299</v>
      </c>
      <c r="F3187" s="98" t="str">
        <f t="shared" si="1085"/>
        <v>B</v>
      </c>
      <c r="G3187" s="110">
        <f ca="1">SUMIF($A:E,$A3187,K:K)</f>
        <v>1</v>
      </c>
      <c r="H3187" s="400" t="s">
        <v>2453</v>
      </c>
      <c r="I3187" s="175">
        <v>1</v>
      </c>
      <c r="J3187" s="115">
        <v>1</v>
      </c>
      <c r="K3187" s="143">
        <f t="shared" si="1078"/>
        <v>1</v>
      </c>
      <c r="L3187" s="144">
        <f t="shared" si="1086"/>
        <v>0</v>
      </c>
      <c r="N3187" s="98">
        <v>4</v>
      </c>
      <c r="O3187" s="93">
        <f t="shared" si="1084"/>
        <v>100</v>
      </c>
      <c r="NG3187" s="100">
        <v>1</v>
      </c>
      <c r="ON3187" s="100">
        <f t="shared" si="1073"/>
        <v>0</v>
      </c>
    </row>
    <row r="3188" spans="1:404" ht="23.25" customHeight="1">
      <c r="A3188" s="97" t="str">
        <f t="shared" si="1083"/>
        <v>004/COMERZIA-VG-2166-05600-S1-B</v>
      </c>
      <c r="B3188" s="95">
        <v>44579</v>
      </c>
      <c r="C3188" s="97">
        <f t="shared" ca="1" si="1081"/>
        <v>-485</v>
      </c>
      <c r="D3188" s="112" t="s">
        <v>2451</v>
      </c>
      <c r="E3188" s="123" t="s">
        <v>2300</v>
      </c>
      <c r="F3188" s="98" t="str">
        <f t="shared" si="1085"/>
        <v>B</v>
      </c>
      <c r="G3188" s="110">
        <f ca="1">SUMIF($A:E,$A3188,K:K)</f>
        <v>1</v>
      </c>
      <c r="H3188" s="400"/>
      <c r="I3188" s="175">
        <v>1</v>
      </c>
      <c r="J3188" s="115">
        <v>1</v>
      </c>
      <c r="K3188" s="143">
        <f t="shared" si="1078"/>
        <v>1</v>
      </c>
      <c r="L3188" s="144">
        <f t="shared" si="1086"/>
        <v>0</v>
      </c>
      <c r="N3188" s="98">
        <v>4</v>
      </c>
      <c r="O3188" s="93">
        <f t="shared" si="1084"/>
        <v>100</v>
      </c>
      <c r="NG3188" s="100">
        <v>1</v>
      </c>
      <c r="ON3188" s="100">
        <f t="shared" si="1073"/>
        <v>0</v>
      </c>
    </row>
    <row r="3189" spans="1:404" ht="23.25" customHeight="1">
      <c r="A3189" s="97" t="str">
        <f t="shared" si="1083"/>
        <v>004/COMERZIA-VG-2166-05624-S1-B</v>
      </c>
      <c r="B3189" s="95">
        <v>44579</v>
      </c>
      <c r="C3189" s="97">
        <f t="shared" ca="1" si="1081"/>
        <v>-485</v>
      </c>
      <c r="D3189" s="112" t="s">
        <v>2451</v>
      </c>
      <c r="E3189" s="123" t="s">
        <v>1386</v>
      </c>
      <c r="F3189" s="98" t="str">
        <f t="shared" si="1085"/>
        <v>B</v>
      </c>
      <c r="G3189" s="110">
        <f ca="1">SUMIF($A:E,$A3189,K:K)</f>
        <v>1</v>
      </c>
      <c r="H3189" s="400"/>
      <c r="I3189" s="175">
        <v>1</v>
      </c>
      <c r="J3189" s="115">
        <v>1</v>
      </c>
      <c r="K3189" s="143">
        <f t="shared" si="1078"/>
        <v>1</v>
      </c>
      <c r="L3189" s="144">
        <f t="shared" si="1086"/>
        <v>0</v>
      </c>
      <c r="N3189" s="98">
        <v>4</v>
      </c>
      <c r="O3189" s="93">
        <f t="shared" si="1084"/>
        <v>100</v>
      </c>
      <c r="NG3189" s="100">
        <v>1</v>
      </c>
      <c r="ON3189" s="100">
        <f t="shared" si="1073"/>
        <v>0</v>
      </c>
    </row>
    <row r="3190" spans="1:404" ht="23.25" customHeight="1">
      <c r="A3190" s="97" t="str">
        <f t="shared" ref="A3190:A3191" si="1087">D3190&amp;E3190</f>
        <v>014/KHBS-2268-72800-L3-01</v>
      </c>
      <c r="B3190" s="95">
        <v>44586</v>
      </c>
      <c r="C3190" s="97">
        <f t="shared" ca="1" si="1081"/>
        <v>-478</v>
      </c>
      <c r="D3190" s="96" t="s">
        <v>2460</v>
      </c>
      <c r="E3190" s="94" t="s">
        <v>1066</v>
      </c>
      <c r="F3190" s="98" t="str">
        <f t="shared" si="1085"/>
        <v>01</v>
      </c>
      <c r="G3190" s="110">
        <f ca="1">SUMIF($A:E,$A3190,K:K)</f>
        <v>1</v>
      </c>
      <c r="H3190" s="97" t="s">
        <v>966</v>
      </c>
      <c r="I3190" s="98">
        <v>1</v>
      </c>
      <c r="J3190" s="99">
        <v>1</v>
      </c>
      <c r="K3190" s="143">
        <f t="shared" si="1078"/>
        <v>1</v>
      </c>
      <c r="L3190" s="144">
        <f t="shared" si="1086"/>
        <v>0</v>
      </c>
      <c r="N3190" s="98" t="s">
        <v>1776</v>
      </c>
      <c r="O3190" s="214"/>
      <c r="NI3190" s="100">
        <v>1</v>
      </c>
      <c r="ON3190" s="100">
        <f t="shared" si="1073"/>
        <v>0</v>
      </c>
    </row>
    <row r="3191" spans="1:404" ht="23.25" customHeight="1">
      <c r="A3191" s="97" t="str">
        <f t="shared" si="1087"/>
        <v>003T/WESTELM-2266-70337-03-B4</v>
      </c>
      <c r="B3191" s="95">
        <v>44647</v>
      </c>
      <c r="C3191" s="97">
        <f t="shared" ca="1" si="1081"/>
        <v>-417</v>
      </c>
      <c r="D3191" s="112" t="s">
        <v>2462</v>
      </c>
      <c r="E3191" s="123" t="s">
        <v>1117</v>
      </c>
      <c r="F3191" s="92" t="str">
        <f t="shared" si="1085"/>
        <v>B4</v>
      </c>
      <c r="G3191" s="109">
        <f ca="1">SUMIF($A:E,$A3191,K:K)</f>
        <v>110</v>
      </c>
      <c r="H3191" s="97" t="s">
        <v>2463</v>
      </c>
      <c r="I3191" s="175">
        <v>248</v>
      </c>
      <c r="J3191" s="115">
        <v>248</v>
      </c>
      <c r="K3191" s="143">
        <f t="shared" si="1078"/>
        <v>110</v>
      </c>
      <c r="L3191" s="144">
        <f t="shared" si="1086"/>
        <v>138</v>
      </c>
      <c r="N3191" s="98">
        <v>4</v>
      </c>
      <c r="O3191" s="93">
        <f t="shared" ref="O3191:O3199" si="1088">K3191/J3191*100</f>
        <v>44.354838709677416</v>
      </c>
      <c r="OI3191" s="100">
        <v>7</v>
      </c>
      <c r="OJ3191" s="100">
        <v>18</v>
      </c>
      <c r="OK3191" s="100">
        <v>10</v>
      </c>
      <c r="OM3191" s="100">
        <v>20</v>
      </c>
      <c r="ON3191" s="100">
        <f t="shared" si="1073"/>
        <v>55</v>
      </c>
    </row>
    <row r="3192" spans="1:404" ht="23.25" customHeight="1">
      <c r="A3192" s="97" t="str">
        <f t="shared" ref="A3192:A3203" si="1089">D3192&amp;E3192</f>
        <v>003T/WESTELM-2266-83237-02-B4</v>
      </c>
      <c r="B3192" s="95">
        <v>44647</v>
      </c>
      <c r="C3192" s="97">
        <f t="shared" ref="C3192:C3196" ca="1" si="1090">B3192-TODAY()</f>
        <v>-417</v>
      </c>
      <c r="D3192" s="112" t="s">
        <v>2462</v>
      </c>
      <c r="E3192" s="123" t="s">
        <v>1082</v>
      </c>
      <c r="F3192" s="92" t="str">
        <f t="shared" ref="F3192:F3195" si="1091">MID(E3192,13,2)</f>
        <v>B4</v>
      </c>
      <c r="G3192" s="109">
        <f ca="1">SUMIF($A:E,$A3192,K:K)</f>
        <v>138</v>
      </c>
      <c r="H3192" s="97" t="s">
        <v>2463</v>
      </c>
      <c r="I3192" s="175">
        <v>204</v>
      </c>
      <c r="J3192" s="115">
        <v>204</v>
      </c>
      <c r="K3192" s="143">
        <f t="shared" si="1078"/>
        <v>138</v>
      </c>
      <c r="L3192" s="144">
        <f t="shared" si="1086"/>
        <v>66</v>
      </c>
      <c r="N3192" s="98">
        <v>2</v>
      </c>
      <c r="O3192" s="93">
        <f>K3192/J3192*100</f>
        <v>67.64705882352942</v>
      </c>
      <c r="OG3192" s="100">
        <v>7</v>
      </c>
      <c r="OH3192" s="100">
        <v>12</v>
      </c>
      <c r="OI3192" s="100">
        <v>18</v>
      </c>
      <c r="OJ3192" s="100">
        <v>11</v>
      </c>
      <c r="OK3192" s="100">
        <v>11</v>
      </c>
      <c r="OM3192" s="100">
        <v>10</v>
      </c>
      <c r="ON3192" s="100">
        <f t="shared" si="1073"/>
        <v>69</v>
      </c>
    </row>
    <row r="3193" spans="1:404" ht="23.25" customHeight="1">
      <c r="A3193" s="97" t="str">
        <f t="shared" si="1089"/>
        <v>003T/WESTELM-2266-86800-S1-B</v>
      </c>
      <c r="B3193" s="95">
        <v>44647</v>
      </c>
      <c r="C3193" s="97">
        <f t="shared" ca="1" si="1090"/>
        <v>-417</v>
      </c>
      <c r="D3193" s="112" t="s">
        <v>2462</v>
      </c>
      <c r="E3193" s="123" t="s">
        <v>1386</v>
      </c>
      <c r="F3193" s="92" t="str">
        <f t="shared" si="1091"/>
        <v>B</v>
      </c>
      <c r="G3193" s="109">
        <f ca="1">SUMIF($A:E,$A3193,K:K)</f>
        <v>218</v>
      </c>
      <c r="H3193" s="97" t="s">
        <v>2463</v>
      </c>
      <c r="I3193" s="175">
        <v>200</v>
      </c>
      <c r="J3193" s="115">
        <v>200</v>
      </c>
      <c r="K3193" s="143">
        <f t="shared" si="1078"/>
        <v>218</v>
      </c>
      <c r="L3193" s="144">
        <f t="shared" si="1086"/>
        <v>-18</v>
      </c>
      <c r="N3193" s="98">
        <v>4</v>
      </c>
      <c r="O3193" s="93">
        <f t="shared" si="1088"/>
        <v>109.00000000000001</v>
      </c>
      <c r="NV3193" s="100">
        <v>12</v>
      </c>
      <c r="NY3193" s="100">
        <v>11</v>
      </c>
      <c r="OD3193" s="100">
        <v>10</v>
      </c>
      <c r="OF3193" s="100">
        <v>12</v>
      </c>
      <c r="OG3193" s="100">
        <v>7</v>
      </c>
      <c r="OI3193" s="100">
        <v>23</v>
      </c>
      <c r="OJ3193" s="100">
        <v>12</v>
      </c>
      <c r="OK3193" s="100">
        <v>10</v>
      </c>
      <c r="OM3193" s="100">
        <v>12</v>
      </c>
      <c r="ON3193" s="100">
        <f t="shared" si="1073"/>
        <v>109</v>
      </c>
    </row>
    <row r="3194" spans="1:404" ht="23.25" customHeight="1">
      <c r="A3194" s="97" t="str">
        <f t="shared" si="1089"/>
        <v>003T/WESTELM-2266-86900-S1-B</v>
      </c>
      <c r="B3194" s="95">
        <v>44647</v>
      </c>
      <c r="C3194" s="97">
        <f t="shared" ca="1" si="1090"/>
        <v>-417</v>
      </c>
      <c r="D3194" s="112" t="s">
        <v>2462</v>
      </c>
      <c r="E3194" s="123" t="s">
        <v>1387</v>
      </c>
      <c r="F3194" s="92" t="str">
        <f t="shared" si="1091"/>
        <v>B</v>
      </c>
      <c r="G3194" s="109">
        <f ca="1">SUMIF($A:E,$A3194,K:K)</f>
        <v>30</v>
      </c>
      <c r="H3194" s="97" t="s">
        <v>2463</v>
      </c>
      <c r="I3194" s="175">
        <v>152</v>
      </c>
      <c r="J3194" s="115">
        <v>152</v>
      </c>
      <c r="K3194" s="143">
        <f t="shared" si="1078"/>
        <v>30</v>
      </c>
      <c r="L3194" s="144">
        <f t="shared" si="1086"/>
        <v>122</v>
      </c>
      <c r="N3194" s="98">
        <v>2</v>
      </c>
      <c r="O3194" s="93">
        <f t="shared" si="1088"/>
        <v>19.736842105263158</v>
      </c>
      <c r="OJ3194" s="100">
        <v>6</v>
      </c>
      <c r="OK3194" s="100">
        <v>5</v>
      </c>
      <c r="OM3194" s="100">
        <v>4</v>
      </c>
      <c r="ON3194" s="100">
        <f t="shared" si="1073"/>
        <v>15</v>
      </c>
    </row>
    <row r="3195" spans="1:404" ht="23.25" customHeight="1">
      <c r="A3195" s="127" t="str">
        <f t="shared" si="1089"/>
        <v>003T/WESTELM-2268-70900-04-B</v>
      </c>
      <c r="B3195" s="126">
        <v>44647</v>
      </c>
      <c r="C3195" s="127">
        <f t="shared" ca="1" si="1090"/>
        <v>-417</v>
      </c>
      <c r="D3195" s="208" t="s">
        <v>2462</v>
      </c>
      <c r="E3195" s="226" t="s">
        <v>28</v>
      </c>
      <c r="F3195" s="312" t="str">
        <f t="shared" si="1091"/>
        <v>B</v>
      </c>
      <c r="G3195" s="313">
        <f ca="1">SUMIF($A:E,$A3195,K:K)</f>
        <v>420</v>
      </c>
      <c r="H3195" s="127" t="s">
        <v>2463</v>
      </c>
      <c r="I3195" s="203">
        <v>634</v>
      </c>
      <c r="J3195" s="134">
        <v>634</v>
      </c>
      <c r="K3195" s="160">
        <f t="shared" si="1078"/>
        <v>420</v>
      </c>
      <c r="L3195" s="151">
        <f t="shared" si="1086"/>
        <v>214</v>
      </c>
      <c r="N3195" s="132">
        <v>6</v>
      </c>
      <c r="O3195" s="93">
        <f t="shared" si="1088"/>
        <v>66.246056782334378</v>
      </c>
      <c r="OC3195" s="100">
        <v>40</v>
      </c>
      <c r="OD3195" s="100">
        <v>2</v>
      </c>
      <c r="OF3195" s="100">
        <v>21</v>
      </c>
      <c r="OG3195" s="100">
        <v>30</v>
      </c>
      <c r="OH3195" s="100">
        <v>27</v>
      </c>
      <c r="OI3195" s="100">
        <v>28</v>
      </c>
      <c r="OJ3195" s="100">
        <v>33</v>
      </c>
      <c r="OK3195" s="100">
        <v>22</v>
      </c>
      <c r="OM3195" s="100">
        <v>7</v>
      </c>
      <c r="ON3195" s="100">
        <f t="shared" si="1073"/>
        <v>210</v>
      </c>
    </row>
    <row r="3196" spans="1:404" ht="23.25" customHeight="1">
      <c r="A3196" s="97" t="str">
        <f t="shared" si="1089"/>
        <v>527/POTTERYPOT-VG-2166-51720-01-B4</v>
      </c>
      <c r="B3196" s="95">
        <v>44731</v>
      </c>
      <c r="C3196" s="97">
        <f t="shared" ca="1" si="1090"/>
        <v>-333</v>
      </c>
      <c r="D3196" s="112" t="s">
        <v>2464</v>
      </c>
      <c r="E3196" s="123" t="s">
        <v>2465</v>
      </c>
      <c r="F3196" s="92" t="str">
        <f t="shared" ref="F3196" si="1092">MID(E3196,13,2)</f>
        <v>B4</v>
      </c>
      <c r="G3196" s="109">
        <f ca="1">SUMIF($A:E,$A3196,K:K)</f>
        <v>0</v>
      </c>
      <c r="H3196" s="97" t="s">
        <v>2469</v>
      </c>
      <c r="I3196" s="175">
        <v>36</v>
      </c>
      <c r="J3196" s="115">
        <v>36</v>
      </c>
      <c r="K3196" s="143">
        <f t="shared" si="1078"/>
        <v>0</v>
      </c>
      <c r="L3196" s="144">
        <f t="shared" ref="L3196:L3202" si="1093">J3196-K3196</f>
        <v>36</v>
      </c>
      <c r="M3196" s="276"/>
      <c r="N3196" s="98"/>
      <c r="O3196" s="93">
        <f t="shared" si="1088"/>
        <v>0</v>
      </c>
      <c r="ON3196" s="100">
        <f t="shared" si="1073"/>
        <v>0</v>
      </c>
    </row>
    <row r="3197" spans="1:404" ht="23.25" customHeight="1">
      <c r="A3197" s="97" t="str">
        <f t="shared" si="1089"/>
        <v>527/POTTERYPOT-VG-2166-52721-S3-B4</v>
      </c>
      <c r="B3197" s="95">
        <v>44731</v>
      </c>
      <c r="C3197" s="97">
        <f t="shared" ref="C3197:C3203" ca="1" si="1094">B3197-TODAY()</f>
        <v>-333</v>
      </c>
      <c r="D3197" s="112" t="s">
        <v>2464</v>
      </c>
      <c r="E3197" s="123" t="s">
        <v>2466</v>
      </c>
      <c r="F3197" s="92" t="str">
        <f t="shared" ref="F3197:F3202" si="1095">MID(E3197,13,2)</f>
        <v>B4</v>
      </c>
      <c r="G3197" s="109">
        <f ca="1">SUMIF($A:E,$A3197,K:K)</f>
        <v>0</v>
      </c>
      <c r="H3197" s="97" t="s">
        <v>2469</v>
      </c>
      <c r="I3197" s="175">
        <v>30</v>
      </c>
      <c r="J3197" s="115">
        <v>30</v>
      </c>
      <c r="K3197" s="143">
        <f t="shared" si="1078"/>
        <v>0</v>
      </c>
      <c r="L3197" s="144">
        <f t="shared" si="1093"/>
        <v>30</v>
      </c>
      <c r="M3197" s="276"/>
      <c r="N3197" s="98"/>
      <c r="O3197" s="93">
        <f t="shared" si="1088"/>
        <v>0</v>
      </c>
      <c r="ON3197" s="100">
        <f t="shared" si="1073"/>
        <v>0</v>
      </c>
    </row>
    <row r="3198" spans="1:404" ht="23.25" customHeight="1">
      <c r="A3198" s="97" t="str">
        <f t="shared" si="1089"/>
        <v>527/POTTERYPOT-VG-2166-55120-02-B4</v>
      </c>
      <c r="B3198" s="95">
        <v>44731</v>
      </c>
      <c r="C3198" s="97">
        <f t="shared" ca="1" si="1094"/>
        <v>-333</v>
      </c>
      <c r="D3198" s="112" t="s">
        <v>2464</v>
      </c>
      <c r="E3198" s="123" t="s">
        <v>2467</v>
      </c>
      <c r="F3198" s="92" t="str">
        <f t="shared" si="1095"/>
        <v>B4</v>
      </c>
      <c r="G3198" s="109">
        <f ca="1">SUMIF($A:E,$A3198,K:K)</f>
        <v>0</v>
      </c>
      <c r="H3198" s="97" t="s">
        <v>2469</v>
      </c>
      <c r="I3198" s="175">
        <v>126</v>
      </c>
      <c r="J3198" s="115">
        <v>126</v>
      </c>
      <c r="K3198" s="143">
        <f t="shared" si="1078"/>
        <v>0</v>
      </c>
      <c r="L3198" s="144">
        <f t="shared" si="1093"/>
        <v>126</v>
      </c>
      <c r="M3198" s="276"/>
      <c r="N3198" s="98"/>
      <c r="O3198" s="93">
        <f t="shared" si="1088"/>
        <v>0</v>
      </c>
      <c r="ON3198" s="100">
        <f t="shared" si="1073"/>
        <v>0</v>
      </c>
    </row>
    <row r="3199" spans="1:404" ht="23.25" customHeight="1">
      <c r="A3199" s="97" t="str">
        <f t="shared" si="1089"/>
        <v>527/POTTERYPOT-VG-2166-61320-L2-B4</v>
      </c>
      <c r="B3199" s="95">
        <v>44731</v>
      </c>
      <c r="C3199" s="97">
        <f t="shared" ca="1" si="1094"/>
        <v>-333</v>
      </c>
      <c r="D3199" s="112" t="s">
        <v>2464</v>
      </c>
      <c r="E3199" s="123" t="s">
        <v>2468</v>
      </c>
      <c r="F3199" s="92" t="str">
        <f t="shared" si="1095"/>
        <v>B4</v>
      </c>
      <c r="G3199" s="109">
        <f ca="1">SUMIF($A:E,$A3199,K:K)</f>
        <v>0</v>
      </c>
      <c r="H3199" s="97" t="s">
        <v>2469</v>
      </c>
      <c r="I3199" s="175">
        <v>32</v>
      </c>
      <c r="J3199" s="115">
        <v>32</v>
      </c>
      <c r="K3199" s="143">
        <f t="shared" si="1078"/>
        <v>0</v>
      </c>
      <c r="L3199" s="144">
        <f t="shared" si="1093"/>
        <v>32</v>
      </c>
      <c r="M3199" s="276"/>
      <c r="N3199" s="98"/>
      <c r="O3199" s="93">
        <f t="shared" si="1088"/>
        <v>0</v>
      </c>
      <c r="ON3199" s="100">
        <f t="shared" si="1073"/>
        <v>0</v>
      </c>
    </row>
    <row r="3200" spans="1:404" ht="23.25" customHeight="1">
      <c r="A3200" s="97" t="str">
        <f t="shared" si="1089"/>
        <v>527/POTTERYPOT-VG-2166-77700-02-A</v>
      </c>
      <c r="B3200" s="95">
        <v>44731</v>
      </c>
      <c r="C3200" s="97">
        <f t="shared" ca="1" si="1094"/>
        <v>-333</v>
      </c>
      <c r="D3200" s="112" t="s">
        <v>2464</v>
      </c>
      <c r="E3200" s="123" t="s">
        <v>1199</v>
      </c>
      <c r="F3200" s="92" t="str">
        <f t="shared" si="1095"/>
        <v>A</v>
      </c>
      <c r="G3200" s="109">
        <f ca="1">SUMIF($A:E,$A3200,K:K)</f>
        <v>0</v>
      </c>
      <c r="H3200" s="97" t="s">
        <v>2469</v>
      </c>
      <c r="I3200" s="175">
        <v>32</v>
      </c>
      <c r="J3200" s="115">
        <v>32</v>
      </c>
      <c r="K3200" s="143">
        <f t="shared" si="1078"/>
        <v>0</v>
      </c>
      <c r="L3200" s="144">
        <f t="shared" si="1093"/>
        <v>32</v>
      </c>
      <c r="M3200" s="276"/>
      <c r="N3200" s="98"/>
      <c r="O3200" s="93">
        <f t="shared" ref="O3200:O3240" si="1096">K3200/J3200*100</f>
        <v>0</v>
      </c>
      <c r="ON3200" s="100">
        <f t="shared" si="1073"/>
        <v>0</v>
      </c>
    </row>
    <row r="3201" spans="1:404" ht="23.25" customHeight="1">
      <c r="A3201" s="97" t="str">
        <f t="shared" si="1089"/>
        <v>527/POTTERYPOT-VG-2166-77900-01-A</v>
      </c>
      <c r="B3201" s="95">
        <v>44731</v>
      </c>
      <c r="C3201" s="97">
        <f t="shared" ca="1" si="1094"/>
        <v>-333</v>
      </c>
      <c r="D3201" s="112" t="s">
        <v>2464</v>
      </c>
      <c r="E3201" s="123" t="s">
        <v>1200</v>
      </c>
      <c r="F3201" s="92" t="str">
        <f t="shared" si="1095"/>
        <v>A</v>
      </c>
      <c r="G3201" s="109">
        <f ca="1">SUMIF($A:E,$A3201,K:K)</f>
        <v>0</v>
      </c>
      <c r="H3201" s="97" t="s">
        <v>2469</v>
      </c>
      <c r="I3201" s="175">
        <v>16</v>
      </c>
      <c r="J3201" s="115">
        <v>16</v>
      </c>
      <c r="K3201" s="143">
        <f t="shared" si="1078"/>
        <v>0</v>
      </c>
      <c r="L3201" s="144">
        <f t="shared" si="1093"/>
        <v>16</v>
      </c>
      <c r="M3201" s="276"/>
      <c r="N3201" s="98"/>
      <c r="O3201" s="93">
        <f t="shared" si="1096"/>
        <v>0</v>
      </c>
      <c r="ON3201" s="100">
        <f t="shared" si="1073"/>
        <v>0</v>
      </c>
    </row>
    <row r="3202" spans="1:404" ht="23.25" customHeight="1">
      <c r="A3202" s="97" t="str">
        <f t="shared" si="1089"/>
        <v>527/POTTERYPOT-VG-2166-77900-02-A</v>
      </c>
      <c r="B3202" s="95">
        <v>44731</v>
      </c>
      <c r="C3202" s="97">
        <f t="shared" ca="1" si="1094"/>
        <v>-333</v>
      </c>
      <c r="D3202" s="112" t="s">
        <v>2464</v>
      </c>
      <c r="E3202" s="123" t="s">
        <v>1591</v>
      </c>
      <c r="F3202" s="92" t="str">
        <f t="shared" si="1095"/>
        <v>A</v>
      </c>
      <c r="G3202" s="109">
        <f ca="1">SUMIF($A:E,$A3202,K:K)</f>
        <v>0</v>
      </c>
      <c r="H3202" s="97" t="s">
        <v>2469</v>
      </c>
      <c r="I3202" s="175">
        <v>16</v>
      </c>
      <c r="J3202" s="115">
        <v>16</v>
      </c>
      <c r="K3202" s="143">
        <f t="shared" si="1078"/>
        <v>0</v>
      </c>
      <c r="L3202" s="144">
        <f t="shared" si="1093"/>
        <v>16</v>
      </c>
      <c r="M3202" s="276"/>
      <c r="N3202" s="98"/>
      <c r="O3202" s="93">
        <f t="shared" si="1096"/>
        <v>0</v>
      </c>
      <c r="ON3202" s="100">
        <f t="shared" si="1073"/>
        <v>0</v>
      </c>
    </row>
    <row r="3203" spans="1:404" ht="23.25" customHeight="1">
      <c r="A3203" s="97" t="str">
        <f t="shared" si="1089"/>
        <v xml:space="preserve">	061/HACA-HK-VG-2166-02500-S2-B</v>
      </c>
      <c r="B3203" s="95">
        <v>44723</v>
      </c>
      <c r="C3203" s="97">
        <f t="shared" ca="1" si="1094"/>
        <v>-341</v>
      </c>
      <c r="D3203" s="112" t="s">
        <v>2470</v>
      </c>
      <c r="E3203" s="123" t="s">
        <v>2471</v>
      </c>
      <c r="F3203" s="92" t="str">
        <f t="shared" ref="F3203:F3213" si="1097">MID(E3203,13,2)</f>
        <v>B</v>
      </c>
      <c r="G3203" s="109">
        <f ca="1">SUMIF($A:E,$A3203,K:K)</f>
        <v>0</v>
      </c>
      <c r="H3203" s="97" t="s">
        <v>2469</v>
      </c>
      <c r="I3203" s="175">
        <v>20</v>
      </c>
      <c r="J3203" s="115">
        <v>20</v>
      </c>
      <c r="K3203" s="143">
        <f t="shared" si="1078"/>
        <v>0</v>
      </c>
      <c r="L3203" s="144">
        <f t="shared" ref="L3203:L3214" si="1098">J3203-K3203</f>
        <v>20</v>
      </c>
      <c r="M3203" s="276"/>
      <c r="N3203" s="98"/>
      <c r="O3203" s="93">
        <f t="shared" si="1096"/>
        <v>0</v>
      </c>
      <c r="ON3203" s="100">
        <f t="shared" si="1073"/>
        <v>0</v>
      </c>
    </row>
    <row r="3204" spans="1:404" ht="23.25" customHeight="1">
      <c r="A3204" s="97" t="str">
        <f t="shared" ref="A3204:A3216" si="1099">D3204&amp;E3204</f>
        <v xml:space="preserve">	061/HACA-HK-VG-2166-02700-02-B</v>
      </c>
      <c r="B3204" s="95">
        <v>44723</v>
      </c>
      <c r="C3204" s="97">
        <f t="shared" ref="C3204:C3216" ca="1" si="1100">B3204-TODAY()</f>
        <v>-341</v>
      </c>
      <c r="D3204" s="112" t="s">
        <v>2470</v>
      </c>
      <c r="E3204" s="123" t="s">
        <v>2472</v>
      </c>
      <c r="F3204" s="92" t="str">
        <f t="shared" si="1097"/>
        <v>B</v>
      </c>
      <c r="G3204" s="109">
        <f ca="1">SUMIF($A:E,$A3204,K:K)</f>
        <v>0</v>
      </c>
      <c r="H3204" s="97" t="s">
        <v>2469</v>
      </c>
      <c r="I3204" s="175">
        <v>27</v>
      </c>
      <c r="J3204" s="115">
        <v>27</v>
      </c>
      <c r="K3204" s="143">
        <f t="shared" si="1078"/>
        <v>0</v>
      </c>
      <c r="L3204" s="144">
        <f t="shared" si="1098"/>
        <v>27</v>
      </c>
      <c r="M3204" s="276"/>
      <c r="N3204" s="98"/>
      <c r="O3204" s="93">
        <f t="shared" si="1096"/>
        <v>0</v>
      </c>
      <c r="ON3204" s="100">
        <f t="shared" ref="ON3204:ON3267" si="1101">SUM(NS3204:OM3204)</f>
        <v>0</v>
      </c>
    </row>
    <row r="3205" spans="1:404" ht="23.25" customHeight="1">
      <c r="A3205" s="97" t="str">
        <f t="shared" si="1099"/>
        <v xml:space="preserve">	061/HACA-HK-VG-2166-06422-S3-B</v>
      </c>
      <c r="B3205" s="95">
        <v>44723</v>
      </c>
      <c r="C3205" s="97">
        <f t="shared" ca="1" si="1100"/>
        <v>-341</v>
      </c>
      <c r="D3205" s="112" t="s">
        <v>2470</v>
      </c>
      <c r="E3205" s="123" t="s">
        <v>1171</v>
      </c>
      <c r="F3205" s="92" t="str">
        <f t="shared" si="1097"/>
        <v>B</v>
      </c>
      <c r="G3205" s="109">
        <f ca="1">SUMIF($A:E,$A3205,K:K)</f>
        <v>0</v>
      </c>
      <c r="H3205" s="97" t="s">
        <v>2469</v>
      </c>
      <c r="I3205" s="175">
        <v>30</v>
      </c>
      <c r="J3205" s="115">
        <v>30</v>
      </c>
      <c r="K3205" s="143">
        <f t="shared" si="1078"/>
        <v>0</v>
      </c>
      <c r="L3205" s="144">
        <f t="shared" si="1098"/>
        <v>30</v>
      </c>
      <c r="M3205" s="276"/>
      <c r="N3205" s="98"/>
      <c r="O3205" s="93">
        <f t="shared" si="1096"/>
        <v>0</v>
      </c>
      <c r="ON3205" s="100">
        <f t="shared" si="1101"/>
        <v>0</v>
      </c>
    </row>
    <row r="3206" spans="1:404" ht="23.25" customHeight="1">
      <c r="A3206" s="97" t="str">
        <f t="shared" si="1099"/>
        <v xml:space="preserve">	061/HACA-HK-VG-2166-06700-S2-B</v>
      </c>
      <c r="B3206" s="95">
        <v>44723</v>
      </c>
      <c r="C3206" s="97">
        <f t="shared" ca="1" si="1100"/>
        <v>-341</v>
      </c>
      <c r="D3206" s="112" t="s">
        <v>2470</v>
      </c>
      <c r="E3206" s="123" t="s">
        <v>582</v>
      </c>
      <c r="F3206" s="92" t="str">
        <f t="shared" si="1097"/>
        <v>B</v>
      </c>
      <c r="G3206" s="109">
        <f ca="1">SUMIF($A:E,$A3206,K:K)</f>
        <v>0</v>
      </c>
      <c r="H3206" s="97" t="s">
        <v>2469</v>
      </c>
      <c r="I3206" s="175">
        <v>84</v>
      </c>
      <c r="J3206" s="115">
        <v>84</v>
      </c>
      <c r="K3206" s="143">
        <f t="shared" si="1078"/>
        <v>0</v>
      </c>
      <c r="L3206" s="144">
        <f t="shared" si="1098"/>
        <v>84</v>
      </c>
      <c r="M3206" s="276"/>
      <c r="N3206" s="98"/>
      <c r="O3206" s="93">
        <f t="shared" si="1096"/>
        <v>0</v>
      </c>
      <c r="ON3206" s="100">
        <f t="shared" si="1101"/>
        <v>0</v>
      </c>
    </row>
    <row r="3207" spans="1:404" ht="23.25" customHeight="1">
      <c r="A3207" s="97" t="str">
        <f t="shared" si="1099"/>
        <v xml:space="preserve">	061/HACA-HK-VG-2166-07400-S1-B</v>
      </c>
      <c r="B3207" s="95">
        <v>44723</v>
      </c>
      <c r="C3207" s="97">
        <f t="shared" ca="1" si="1100"/>
        <v>-341</v>
      </c>
      <c r="D3207" s="112" t="s">
        <v>2470</v>
      </c>
      <c r="E3207" s="123" t="s">
        <v>1577</v>
      </c>
      <c r="F3207" s="92" t="str">
        <f t="shared" si="1097"/>
        <v>B</v>
      </c>
      <c r="G3207" s="109">
        <f ca="1">SUMIF($A:E,$A3207,K:K)</f>
        <v>0</v>
      </c>
      <c r="H3207" s="97" t="s">
        <v>2469</v>
      </c>
      <c r="I3207" s="175">
        <v>50</v>
      </c>
      <c r="J3207" s="115">
        <v>50</v>
      </c>
      <c r="K3207" s="143">
        <f t="shared" si="1078"/>
        <v>0</v>
      </c>
      <c r="L3207" s="144">
        <f t="shared" si="1098"/>
        <v>50</v>
      </c>
      <c r="M3207" s="276"/>
      <c r="N3207" s="98"/>
      <c r="O3207" s="93">
        <f t="shared" si="1096"/>
        <v>0</v>
      </c>
      <c r="ON3207" s="100">
        <f t="shared" si="1101"/>
        <v>0</v>
      </c>
    </row>
    <row r="3208" spans="1:404" ht="23.25" customHeight="1">
      <c r="A3208" s="97" t="str">
        <f t="shared" si="1099"/>
        <v xml:space="preserve">	061/HACA-HK-VG-2166-07800-S3-B</v>
      </c>
      <c r="B3208" s="95">
        <v>44723</v>
      </c>
      <c r="C3208" s="97">
        <f t="shared" ca="1" si="1100"/>
        <v>-341</v>
      </c>
      <c r="D3208" s="112" t="s">
        <v>2470</v>
      </c>
      <c r="E3208" s="123" t="s">
        <v>867</v>
      </c>
      <c r="F3208" s="92" t="str">
        <f t="shared" si="1097"/>
        <v>B</v>
      </c>
      <c r="G3208" s="109">
        <f ca="1">SUMIF($A:E,$A3208,K:K)</f>
        <v>0</v>
      </c>
      <c r="H3208" s="97" t="s">
        <v>2469</v>
      </c>
      <c r="I3208" s="175">
        <v>50</v>
      </c>
      <c r="J3208" s="115">
        <v>50</v>
      </c>
      <c r="K3208" s="143">
        <f t="shared" si="1078"/>
        <v>0</v>
      </c>
      <c r="L3208" s="144">
        <f t="shared" si="1098"/>
        <v>50</v>
      </c>
      <c r="M3208" s="276"/>
      <c r="N3208" s="98"/>
      <c r="O3208" s="93">
        <f t="shared" si="1096"/>
        <v>0</v>
      </c>
      <c r="ON3208" s="100">
        <f t="shared" si="1101"/>
        <v>0</v>
      </c>
    </row>
    <row r="3209" spans="1:404" ht="23.25" customHeight="1">
      <c r="A3209" s="97" t="str">
        <f t="shared" si="1099"/>
        <v xml:space="preserve">	061/HACA-HK-VG-2166-09700-S1-B</v>
      </c>
      <c r="B3209" s="95">
        <v>44723</v>
      </c>
      <c r="C3209" s="97">
        <f t="shared" ca="1" si="1100"/>
        <v>-341</v>
      </c>
      <c r="D3209" s="112" t="s">
        <v>2470</v>
      </c>
      <c r="E3209" s="123" t="s">
        <v>2473</v>
      </c>
      <c r="F3209" s="92" t="str">
        <f t="shared" si="1097"/>
        <v>B</v>
      </c>
      <c r="G3209" s="109">
        <f ca="1">SUMIF($A:E,$A3209,K:K)</f>
        <v>0</v>
      </c>
      <c r="H3209" s="97" t="s">
        <v>2469</v>
      </c>
      <c r="I3209" s="175">
        <v>80</v>
      </c>
      <c r="J3209" s="115">
        <v>80</v>
      </c>
      <c r="K3209" s="143">
        <f t="shared" si="1078"/>
        <v>0</v>
      </c>
      <c r="L3209" s="144">
        <f t="shared" si="1098"/>
        <v>80</v>
      </c>
      <c r="M3209" s="276"/>
      <c r="N3209" s="98"/>
      <c r="O3209" s="93">
        <f t="shared" si="1096"/>
        <v>0</v>
      </c>
      <c r="ON3209" s="100">
        <f t="shared" si="1101"/>
        <v>0</v>
      </c>
    </row>
    <row r="3210" spans="1:404" ht="23.25" customHeight="1">
      <c r="A3210" s="97" t="str">
        <f t="shared" si="1099"/>
        <v xml:space="preserve">	061/HACA-HK-VG-2166-12522-B2-B</v>
      </c>
      <c r="B3210" s="95">
        <v>44723</v>
      </c>
      <c r="C3210" s="97">
        <f t="shared" ca="1" si="1100"/>
        <v>-341</v>
      </c>
      <c r="D3210" s="112" t="s">
        <v>2470</v>
      </c>
      <c r="E3210" s="123" t="s">
        <v>632</v>
      </c>
      <c r="F3210" s="92" t="str">
        <f t="shared" si="1097"/>
        <v>B</v>
      </c>
      <c r="G3210" s="109">
        <f ca="1">SUMIF($A:E,$A3210,K:K)</f>
        <v>0</v>
      </c>
      <c r="H3210" s="97" t="s">
        <v>2469</v>
      </c>
      <c r="I3210" s="175">
        <v>24</v>
      </c>
      <c r="J3210" s="115">
        <v>24</v>
      </c>
      <c r="K3210" s="143">
        <f t="shared" si="1078"/>
        <v>0</v>
      </c>
      <c r="L3210" s="144">
        <f t="shared" si="1098"/>
        <v>24</v>
      </c>
      <c r="M3210" s="276"/>
      <c r="N3210" s="98"/>
      <c r="O3210" s="93">
        <f t="shared" si="1096"/>
        <v>0</v>
      </c>
      <c r="ON3210" s="100">
        <f t="shared" si="1101"/>
        <v>0</v>
      </c>
    </row>
    <row r="3211" spans="1:404" ht="23.25" customHeight="1">
      <c r="A3211" s="97" t="str">
        <f t="shared" si="1099"/>
        <v xml:space="preserve">	061/HACA-HK-VG-2166-54100-02-B</v>
      </c>
      <c r="B3211" s="95">
        <v>44723</v>
      </c>
      <c r="C3211" s="97">
        <f t="shared" ca="1" si="1100"/>
        <v>-341</v>
      </c>
      <c r="D3211" s="112" t="s">
        <v>2470</v>
      </c>
      <c r="E3211" s="123" t="s">
        <v>630</v>
      </c>
      <c r="F3211" s="92" t="str">
        <f t="shared" si="1097"/>
        <v>B</v>
      </c>
      <c r="G3211" s="109">
        <f ca="1">SUMIF($A:E,$A3211,K:K)</f>
        <v>0</v>
      </c>
      <c r="H3211" s="97" t="s">
        <v>2469</v>
      </c>
      <c r="I3211" s="175">
        <v>40</v>
      </c>
      <c r="J3211" s="115">
        <v>40</v>
      </c>
      <c r="K3211" s="143">
        <f t="shared" si="1078"/>
        <v>0</v>
      </c>
      <c r="L3211" s="144">
        <f t="shared" si="1098"/>
        <v>40</v>
      </c>
      <c r="M3211" s="276"/>
      <c r="N3211" s="98"/>
      <c r="O3211" s="93">
        <f t="shared" si="1096"/>
        <v>0</v>
      </c>
      <c r="ON3211" s="100">
        <f t="shared" si="1101"/>
        <v>0</v>
      </c>
    </row>
    <row r="3212" spans="1:404" ht="23.25" customHeight="1">
      <c r="A3212" s="97" t="str">
        <f t="shared" si="1099"/>
        <v xml:space="preserve">	061/HACA-HK-VG-2166-66600-03-B</v>
      </c>
      <c r="B3212" s="95">
        <v>44723</v>
      </c>
      <c r="C3212" s="97">
        <f t="shared" ca="1" si="1100"/>
        <v>-341</v>
      </c>
      <c r="D3212" s="112" t="s">
        <v>2470</v>
      </c>
      <c r="E3212" s="123" t="s">
        <v>1711</v>
      </c>
      <c r="F3212" s="92" t="str">
        <f t="shared" si="1097"/>
        <v>B</v>
      </c>
      <c r="G3212" s="109">
        <f ca="1">SUMIF($A:E,$A3212,K:K)</f>
        <v>0</v>
      </c>
      <c r="H3212" s="97" t="s">
        <v>2469</v>
      </c>
      <c r="I3212" s="175">
        <v>44</v>
      </c>
      <c r="J3212" s="115">
        <v>44</v>
      </c>
      <c r="K3212" s="143">
        <f t="shared" si="1078"/>
        <v>0</v>
      </c>
      <c r="L3212" s="144">
        <f t="shared" si="1098"/>
        <v>44</v>
      </c>
      <c r="M3212" s="276"/>
      <c r="N3212" s="98"/>
      <c r="O3212" s="93">
        <f t="shared" si="1096"/>
        <v>0</v>
      </c>
      <c r="ON3212" s="100">
        <f t="shared" si="1101"/>
        <v>0</v>
      </c>
    </row>
    <row r="3213" spans="1:404" ht="23.25" customHeight="1">
      <c r="A3213" s="97" t="str">
        <f t="shared" si="1099"/>
        <v xml:space="preserve">	061/HACA-HK-VG-2166-70300-B3-B</v>
      </c>
      <c r="B3213" s="95">
        <v>44723</v>
      </c>
      <c r="C3213" s="97">
        <f t="shared" ca="1" si="1100"/>
        <v>-341</v>
      </c>
      <c r="D3213" s="112" t="s">
        <v>2470</v>
      </c>
      <c r="E3213" s="123" t="s">
        <v>2474</v>
      </c>
      <c r="F3213" s="92" t="str">
        <f t="shared" si="1097"/>
        <v>B</v>
      </c>
      <c r="G3213" s="109">
        <f ca="1">SUMIF($A:E,$A3213,K:K)</f>
        <v>0</v>
      </c>
      <c r="H3213" s="97" t="s">
        <v>2469</v>
      </c>
      <c r="I3213" s="175">
        <v>24</v>
      </c>
      <c r="J3213" s="115">
        <v>24</v>
      </c>
      <c r="K3213" s="143">
        <f t="shared" si="1078"/>
        <v>0</v>
      </c>
      <c r="L3213" s="144">
        <f t="shared" si="1098"/>
        <v>24</v>
      </c>
      <c r="M3213" s="276"/>
      <c r="N3213" s="98"/>
      <c r="O3213" s="93">
        <f t="shared" si="1096"/>
        <v>0</v>
      </c>
      <c r="ON3213" s="100">
        <f t="shared" si="1101"/>
        <v>0</v>
      </c>
    </row>
    <row r="3214" spans="1:404" ht="23.25" customHeight="1">
      <c r="A3214" s="97" t="str">
        <f t="shared" si="1099"/>
        <v xml:space="preserve">	061/HACA-HK-VG-2166-70322-B3-B</v>
      </c>
      <c r="B3214" s="95">
        <v>44723</v>
      </c>
      <c r="C3214" s="97">
        <f t="shared" ca="1" si="1100"/>
        <v>-341</v>
      </c>
      <c r="D3214" s="112" t="s">
        <v>2470</v>
      </c>
      <c r="E3214" s="123" t="s">
        <v>1075</v>
      </c>
      <c r="F3214" s="92" t="str">
        <f t="shared" ref="F3214:F3215" si="1102">MID(E3214,13,2)</f>
        <v>B</v>
      </c>
      <c r="G3214" s="109">
        <f ca="1">SUMIF($A:E,$A3214,K:K)</f>
        <v>0</v>
      </c>
      <c r="H3214" s="97" t="s">
        <v>2469</v>
      </c>
      <c r="I3214" s="175">
        <v>24</v>
      </c>
      <c r="J3214" s="115">
        <v>24</v>
      </c>
      <c r="K3214" s="143">
        <f t="shared" si="1078"/>
        <v>0</v>
      </c>
      <c r="L3214" s="144">
        <f t="shared" si="1098"/>
        <v>24</v>
      </c>
      <c r="M3214" s="276"/>
      <c r="N3214" s="98"/>
      <c r="O3214" s="93">
        <f t="shared" si="1096"/>
        <v>0</v>
      </c>
      <c r="ON3214" s="100">
        <f t="shared" si="1101"/>
        <v>0</v>
      </c>
    </row>
    <row r="3215" spans="1:404" ht="23.25" customHeight="1">
      <c r="A3215" s="97" t="str">
        <f t="shared" si="1099"/>
        <v>001/HUBSCH-VG-2168-57800-01-B</v>
      </c>
      <c r="B3215" s="95">
        <v>44641</v>
      </c>
      <c r="C3215" s="97">
        <f t="shared" ca="1" si="1100"/>
        <v>-423</v>
      </c>
      <c r="D3215" s="96" t="s">
        <v>2475</v>
      </c>
      <c r="E3215" s="94" t="s">
        <v>2476</v>
      </c>
      <c r="F3215" s="98" t="str">
        <f t="shared" si="1102"/>
        <v>B</v>
      </c>
      <c r="G3215" s="110">
        <f ca="1">SUMIF($A:E,$A3215,K:K)</f>
        <v>190</v>
      </c>
      <c r="H3215" s="97" t="s">
        <v>2477</v>
      </c>
      <c r="I3215" s="98">
        <v>144</v>
      </c>
      <c r="J3215" s="99">
        <v>144</v>
      </c>
      <c r="K3215" s="143">
        <f t="shared" si="1078"/>
        <v>190</v>
      </c>
      <c r="L3215" s="144">
        <f t="shared" ref="L3215" si="1103">J3215-K3215</f>
        <v>-46</v>
      </c>
      <c r="M3215" s="276"/>
      <c r="N3215" s="98">
        <v>1</v>
      </c>
      <c r="O3215" s="93">
        <f t="shared" si="1096"/>
        <v>131.94444444444443</v>
      </c>
      <c r="OD3215" s="100">
        <v>39</v>
      </c>
      <c r="OF3215" s="100">
        <v>15</v>
      </c>
      <c r="OH3215" s="100">
        <v>9</v>
      </c>
      <c r="OI3215" s="100">
        <v>9</v>
      </c>
      <c r="OJ3215" s="100">
        <v>13</v>
      </c>
      <c r="OK3215" s="100">
        <v>8</v>
      </c>
      <c r="OM3215" s="100">
        <v>2</v>
      </c>
      <c r="ON3215" s="100">
        <f t="shared" si="1101"/>
        <v>95</v>
      </c>
    </row>
    <row r="3216" spans="1:404" ht="23.25" customHeight="1">
      <c r="A3216" s="97" t="str">
        <f t="shared" si="1099"/>
        <v>007/SQUARE-VG-2166-06422-S3-B</v>
      </c>
      <c r="B3216" s="95">
        <v>44713</v>
      </c>
      <c r="C3216" s="97">
        <f t="shared" ca="1" si="1100"/>
        <v>-351</v>
      </c>
      <c r="D3216" s="112" t="s">
        <v>2478</v>
      </c>
      <c r="E3216" s="123" t="s">
        <v>1171</v>
      </c>
      <c r="F3216" s="98" t="str">
        <f t="shared" ref="F3216:F3230" si="1104">MID(E3216,13,2)</f>
        <v>B</v>
      </c>
      <c r="G3216" s="110">
        <f ca="1">SUMIF($A:E,$A3216,K:K)</f>
        <v>0</v>
      </c>
      <c r="H3216" s="112" t="s">
        <v>2480</v>
      </c>
      <c r="I3216" s="115">
        <v>60</v>
      </c>
      <c r="J3216" s="115">
        <v>60</v>
      </c>
      <c r="K3216" s="143">
        <f t="shared" si="1078"/>
        <v>0</v>
      </c>
      <c r="L3216" s="144">
        <f t="shared" ref="L3216:L3230" si="1105">J3216-K3216</f>
        <v>60</v>
      </c>
      <c r="M3216" s="276"/>
      <c r="N3216" s="98"/>
      <c r="O3216" s="93">
        <f t="shared" si="1096"/>
        <v>0</v>
      </c>
      <c r="ON3216" s="100">
        <f t="shared" si="1101"/>
        <v>0</v>
      </c>
    </row>
    <row r="3217" spans="1:404" ht="23.25" customHeight="1">
      <c r="A3217" s="97" t="str">
        <f t="shared" ref="A3217:A3232" si="1106">D3217&amp;E3217</f>
        <v>007/SQUARE-VG-2166-06722-S2-B</v>
      </c>
      <c r="B3217" s="95">
        <v>44713</v>
      </c>
      <c r="C3217" s="97">
        <f t="shared" ref="C3217:C3232" ca="1" si="1107">B3217-TODAY()</f>
        <v>-351</v>
      </c>
      <c r="D3217" s="112" t="s">
        <v>2478</v>
      </c>
      <c r="E3217" s="123" t="s">
        <v>1623</v>
      </c>
      <c r="F3217" s="98" t="str">
        <f t="shared" si="1104"/>
        <v>B</v>
      </c>
      <c r="G3217" s="110">
        <f ca="1">SUMIF($A:E,$A3217,K:K)</f>
        <v>0</v>
      </c>
      <c r="H3217" s="112" t="s">
        <v>2088</v>
      </c>
      <c r="I3217" s="115">
        <v>84</v>
      </c>
      <c r="J3217" s="115">
        <v>84</v>
      </c>
      <c r="K3217" s="143">
        <f t="shared" si="1078"/>
        <v>0</v>
      </c>
      <c r="L3217" s="144">
        <f t="shared" si="1105"/>
        <v>84</v>
      </c>
      <c r="M3217" s="276"/>
      <c r="N3217" s="98"/>
      <c r="O3217" s="93">
        <f t="shared" si="1096"/>
        <v>0</v>
      </c>
      <c r="ON3217" s="100">
        <f t="shared" si="1101"/>
        <v>0</v>
      </c>
    </row>
    <row r="3218" spans="1:404" ht="23.25" customHeight="1">
      <c r="A3218" s="97" t="str">
        <f t="shared" si="1106"/>
        <v>007/SQUARE-VG-2166-07000-S1-B</v>
      </c>
      <c r="B3218" s="95">
        <v>44713</v>
      </c>
      <c r="C3218" s="97">
        <f t="shared" ca="1" si="1107"/>
        <v>-351</v>
      </c>
      <c r="D3218" s="112" t="s">
        <v>2478</v>
      </c>
      <c r="E3218" s="123" t="s">
        <v>589</v>
      </c>
      <c r="F3218" s="98" t="str">
        <f t="shared" si="1104"/>
        <v>B</v>
      </c>
      <c r="G3218" s="110">
        <f ca="1">SUMIF($A:E,$A3218,K:K)</f>
        <v>0</v>
      </c>
      <c r="H3218" s="112" t="s">
        <v>2088</v>
      </c>
      <c r="I3218" s="175">
        <v>50</v>
      </c>
      <c r="J3218" s="115">
        <v>50</v>
      </c>
      <c r="K3218" s="143">
        <f t="shared" si="1078"/>
        <v>0</v>
      </c>
      <c r="L3218" s="144">
        <f t="shared" si="1105"/>
        <v>50</v>
      </c>
      <c r="M3218" s="276"/>
      <c r="N3218" s="98"/>
      <c r="O3218" s="93">
        <f t="shared" si="1096"/>
        <v>0</v>
      </c>
      <c r="ON3218" s="100">
        <f t="shared" si="1101"/>
        <v>0</v>
      </c>
    </row>
    <row r="3219" spans="1:404" ht="23.25" customHeight="1">
      <c r="A3219" s="97" t="str">
        <f t="shared" si="1106"/>
        <v>007/SQUARE-VG-2166-07100-S1-B</v>
      </c>
      <c r="B3219" s="95">
        <v>44713</v>
      </c>
      <c r="C3219" s="97">
        <f t="shared" ca="1" si="1107"/>
        <v>-351</v>
      </c>
      <c r="D3219" s="112" t="s">
        <v>2478</v>
      </c>
      <c r="E3219" s="123" t="s">
        <v>590</v>
      </c>
      <c r="F3219" s="98" t="str">
        <f t="shared" si="1104"/>
        <v>B</v>
      </c>
      <c r="G3219" s="110">
        <f ca="1">SUMIF($A:E,$A3219,K:K)</f>
        <v>0</v>
      </c>
      <c r="H3219" s="112" t="s">
        <v>2088</v>
      </c>
      <c r="I3219" s="115">
        <v>192</v>
      </c>
      <c r="J3219" s="115">
        <v>192</v>
      </c>
      <c r="K3219" s="143">
        <f t="shared" si="1078"/>
        <v>0</v>
      </c>
      <c r="L3219" s="144">
        <f t="shared" si="1105"/>
        <v>192</v>
      </c>
      <c r="M3219" s="276"/>
      <c r="N3219" s="98"/>
      <c r="O3219" s="93">
        <f t="shared" si="1096"/>
        <v>0</v>
      </c>
      <c r="ON3219" s="100">
        <f t="shared" si="1101"/>
        <v>0</v>
      </c>
    </row>
    <row r="3220" spans="1:404" ht="23.25" customHeight="1">
      <c r="A3220" s="97" t="str">
        <f t="shared" si="1106"/>
        <v>007/SQUARE-VG-2166-07200-S1-B</v>
      </c>
      <c r="B3220" s="95">
        <v>44713</v>
      </c>
      <c r="C3220" s="97">
        <f t="shared" ca="1" si="1107"/>
        <v>-351</v>
      </c>
      <c r="D3220" s="112" t="s">
        <v>2478</v>
      </c>
      <c r="E3220" s="123" t="s">
        <v>591</v>
      </c>
      <c r="F3220" s="98" t="str">
        <f t="shared" si="1104"/>
        <v>B</v>
      </c>
      <c r="G3220" s="110">
        <f ca="1">SUMIF($A:E,$A3220,K:K)</f>
        <v>0</v>
      </c>
      <c r="H3220" s="112" t="s">
        <v>2088</v>
      </c>
      <c r="I3220" s="115">
        <v>288</v>
      </c>
      <c r="J3220" s="115">
        <v>288</v>
      </c>
      <c r="K3220" s="143">
        <f t="shared" si="1078"/>
        <v>0</v>
      </c>
      <c r="L3220" s="144">
        <f t="shared" si="1105"/>
        <v>288</v>
      </c>
      <c r="M3220" s="276"/>
      <c r="N3220" s="98"/>
      <c r="O3220" s="93">
        <f t="shared" si="1096"/>
        <v>0</v>
      </c>
      <c r="ON3220" s="100">
        <f t="shared" si="1101"/>
        <v>0</v>
      </c>
    </row>
    <row r="3221" spans="1:404" ht="23.25" customHeight="1">
      <c r="A3221" s="97" t="str">
        <f t="shared" si="1106"/>
        <v>007/SQUARE-VG-2166-28401-S1-B</v>
      </c>
      <c r="B3221" s="95">
        <v>44713</v>
      </c>
      <c r="C3221" s="97">
        <f t="shared" ca="1" si="1107"/>
        <v>-351</v>
      </c>
      <c r="D3221" s="112" t="s">
        <v>2478</v>
      </c>
      <c r="E3221" s="123" t="s">
        <v>2041</v>
      </c>
      <c r="F3221" s="98" t="str">
        <f t="shared" si="1104"/>
        <v>B</v>
      </c>
      <c r="G3221" s="110">
        <f ca="1">SUMIF($A:E,$A3221,K:K)</f>
        <v>0</v>
      </c>
      <c r="H3221" s="112" t="s">
        <v>2481</v>
      </c>
      <c r="I3221" s="115">
        <v>48</v>
      </c>
      <c r="J3221" s="115">
        <v>48</v>
      </c>
      <c r="K3221" s="143">
        <f t="shared" si="1078"/>
        <v>0</v>
      </c>
      <c r="L3221" s="144">
        <f t="shared" si="1105"/>
        <v>48</v>
      </c>
      <c r="M3221" s="276"/>
      <c r="N3221" s="98"/>
      <c r="O3221" s="93">
        <f t="shared" si="1096"/>
        <v>0</v>
      </c>
      <c r="ON3221" s="100">
        <f t="shared" si="1101"/>
        <v>0</v>
      </c>
    </row>
    <row r="3222" spans="1:404" ht="23.25" customHeight="1">
      <c r="A3222" s="97" t="str">
        <f t="shared" si="1106"/>
        <v>007/SQUARE-VG-2166-28501-S1-B</v>
      </c>
      <c r="B3222" s="95">
        <v>44713</v>
      </c>
      <c r="C3222" s="97">
        <f t="shared" ca="1" si="1107"/>
        <v>-351</v>
      </c>
      <c r="D3222" s="112" t="s">
        <v>2478</v>
      </c>
      <c r="E3222" s="123" t="s">
        <v>2042</v>
      </c>
      <c r="F3222" s="98" t="str">
        <f t="shared" si="1104"/>
        <v>B</v>
      </c>
      <c r="G3222" s="110">
        <f ca="1">SUMIF($A:E,$A3222,K:K)</f>
        <v>0</v>
      </c>
      <c r="H3222" s="112" t="s">
        <v>2481</v>
      </c>
      <c r="I3222" s="115">
        <v>90</v>
      </c>
      <c r="J3222" s="115">
        <v>90</v>
      </c>
      <c r="K3222" s="143">
        <f t="shared" si="1078"/>
        <v>0</v>
      </c>
      <c r="L3222" s="144">
        <f t="shared" si="1105"/>
        <v>90</v>
      </c>
      <c r="M3222" s="276"/>
      <c r="N3222" s="98"/>
      <c r="O3222" s="93">
        <f t="shared" si="1096"/>
        <v>0</v>
      </c>
      <c r="ON3222" s="100">
        <f t="shared" si="1101"/>
        <v>0</v>
      </c>
    </row>
    <row r="3223" spans="1:404" ht="23.25" customHeight="1">
      <c r="A3223" s="97" t="str">
        <f t="shared" si="1106"/>
        <v>007/SQUARE-VG-2166-34600-S1-B</v>
      </c>
      <c r="B3223" s="95">
        <v>44713</v>
      </c>
      <c r="C3223" s="97">
        <f t="shared" ca="1" si="1107"/>
        <v>-351</v>
      </c>
      <c r="D3223" s="112" t="s">
        <v>2478</v>
      </c>
      <c r="E3223" s="123" t="s">
        <v>728</v>
      </c>
      <c r="F3223" s="98" t="str">
        <f t="shared" si="1104"/>
        <v>B</v>
      </c>
      <c r="G3223" s="110">
        <f ca="1">SUMIF($A:E,$A3223,K:K)</f>
        <v>0</v>
      </c>
      <c r="H3223" s="112" t="s">
        <v>2481</v>
      </c>
      <c r="I3223" s="115">
        <v>18</v>
      </c>
      <c r="J3223" s="115">
        <v>18</v>
      </c>
      <c r="K3223" s="143">
        <f t="shared" si="1078"/>
        <v>0</v>
      </c>
      <c r="L3223" s="144">
        <f t="shared" si="1105"/>
        <v>18</v>
      </c>
      <c r="M3223" s="276"/>
      <c r="N3223" s="98"/>
      <c r="O3223" s="93">
        <f t="shared" si="1096"/>
        <v>0</v>
      </c>
      <c r="ON3223" s="100">
        <f t="shared" si="1101"/>
        <v>0</v>
      </c>
    </row>
    <row r="3224" spans="1:404" ht="23.25" customHeight="1">
      <c r="A3224" s="97" t="str">
        <f t="shared" si="1106"/>
        <v>007/SQUARE-VG-2166-34700-S1-B</v>
      </c>
      <c r="B3224" s="95">
        <v>44713</v>
      </c>
      <c r="C3224" s="97">
        <f t="shared" ca="1" si="1107"/>
        <v>-351</v>
      </c>
      <c r="D3224" s="112" t="s">
        <v>2478</v>
      </c>
      <c r="E3224" s="123" t="s">
        <v>2432</v>
      </c>
      <c r="F3224" s="98" t="str">
        <f t="shared" si="1104"/>
        <v>B</v>
      </c>
      <c r="G3224" s="110">
        <f ca="1">SUMIF($A:E,$A3224,K:K)</f>
        <v>0</v>
      </c>
      <c r="H3224" s="112" t="s">
        <v>2481</v>
      </c>
      <c r="I3224" s="115">
        <v>99</v>
      </c>
      <c r="J3224" s="115">
        <v>99</v>
      </c>
      <c r="K3224" s="143">
        <f t="shared" si="1078"/>
        <v>0</v>
      </c>
      <c r="L3224" s="144">
        <f t="shared" si="1105"/>
        <v>99</v>
      </c>
      <c r="M3224" s="276"/>
      <c r="N3224" s="98"/>
      <c r="O3224" s="93">
        <f t="shared" si="1096"/>
        <v>0</v>
      </c>
      <c r="ON3224" s="100">
        <f t="shared" si="1101"/>
        <v>0</v>
      </c>
    </row>
    <row r="3225" spans="1:404" ht="23.25" customHeight="1">
      <c r="A3225" s="97" t="str">
        <f t="shared" si="1106"/>
        <v>007/SQUARE-VG-2166-34800-S1-B</v>
      </c>
      <c r="B3225" s="95">
        <v>44713</v>
      </c>
      <c r="C3225" s="97">
        <f t="shared" ca="1" si="1107"/>
        <v>-351</v>
      </c>
      <c r="D3225" s="112" t="s">
        <v>2478</v>
      </c>
      <c r="E3225" s="123" t="s">
        <v>2436</v>
      </c>
      <c r="F3225" s="98" t="str">
        <f t="shared" si="1104"/>
        <v>B</v>
      </c>
      <c r="G3225" s="110">
        <f ca="1">SUMIF($A:E,$A3225,K:K)</f>
        <v>0</v>
      </c>
      <c r="H3225" s="112" t="s">
        <v>2481</v>
      </c>
      <c r="I3225" s="115">
        <v>108</v>
      </c>
      <c r="J3225" s="115">
        <v>108</v>
      </c>
      <c r="K3225" s="143">
        <f t="shared" si="1078"/>
        <v>0</v>
      </c>
      <c r="L3225" s="144">
        <f t="shared" si="1105"/>
        <v>108</v>
      </c>
      <c r="M3225" s="276"/>
      <c r="N3225" s="98"/>
      <c r="O3225" s="93">
        <f t="shared" si="1096"/>
        <v>0</v>
      </c>
      <c r="ON3225" s="100">
        <f t="shared" si="1101"/>
        <v>0</v>
      </c>
    </row>
    <row r="3226" spans="1:404" ht="23.25" customHeight="1">
      <c r="A3226" s="97" t="str">
        <f t="shared" si="1106"/>
        <v>007/SQUARE-VG-2166-53021-S3-B4</v>
      </c>
      <c r="B3226" s="95">
        <v>44713</v>
      </c>
      <c r="C3226" s="97">
        <f t="shared" ca="1" si="1107"/>
        <v>-351</v>
      </c>
      <c r="D3226" s="112" t="s">
        <v>2478</v>
      </c>
      <c r="E3226" s="123" t="s">
        <v>633</v>
      </c>
      <c r="F3226" s="98" t="str">
        <f t="shared" si="1104"/>
        <v>B4</v>
      </c>
      <c r="G3226" s="110">
        <f ca="1">SUMIF($A:E,$A3226,K:K)</f>
        <v>0</v>
      </c>
      <c r="H3226" s="112" t="s">
        <v>2480</v>
      </c>
      <c r="I3226" s="115">
        <v>48</v>
      </c>
      <c r="J3226" s="115">
        <v>48</v>
      </c>
      <c r="K3226" s="143">
        <f t="shared" si="1078"/>
        <v>0</v>
      </c>
      <c r="L3226" s="144">
        <f t="shared" si="1105"/>
        <v>48</v>
      </c>
      <c r="M3226" s="276"/>
      <c r="N3226" s="98"/>
      <c r="O3226" s="93">
        <f t="shared" si="1096"/>
        <v>0</v>
      </c>
      <c r="ON3226" s="100">
        <f t="shared" si="1101"/>
        <v>0</v>
      </c>
    </row>
    <row r="3227" spans="1:404" ht="23.25" customHeight="1">
      <c r="A3227" s="97" t="str">
        <f t="shared" si="1106"/>
        <v>007/SQUARE-VG-2166-70301-S4-B</v>
      </c>
      <c r="B3227" s="95">
        <v>44713</v>
      </c>
      <c r="C3227" s="97">
        <f t="shared" ca="1" si="1107"/>
        <v>-351</v>
      </c>
      <c r="D3227" s="112" t="s">
        <v>2478</v>
      </c>
      <c r="E3227" s="123" t="s">
        <v>2109</v>
      </c>
      <c r="F3227" s="98" t="str">
        <f t="shared" si="1104"/>
        <v>B</v>
      </c>
      <c r="G3227" s="110">
        <f ca="1">SUMIF($A:E,$A3227,K:K)</f>
        <v>0</v>
      </c>
      <c r="H3227" s="112" t="s">
        <v>2482</v>
      </c>
      <c r="I3227" s="115">
        <v>24</v>
      </c>
      <c r="J3227" s="115">
        <v>24</v>
      </c>
      <c r="K3227" s="143">
        <f t="shared" si="1078"/>
        <v>0</v>
      </c>
      <c r="L3227" s="144">
        <f t="shared" si="1105"/>
        <v>24</v>
      </c>
      <c r="M3227" s="276"/>
      <c r="N3227" s="98"/>
      <c r="O3227" s="93">
        <f t="shared" si="1096"/>
        <v>0</v>
      </c>
      <c r="ON3227" s="100">
        <f t="shared" si="1101"/>
        <v>0</v>
      </c>
    </row>
    <row r="3228" spans="1:404" ht="23.25" customHeight="1">
      <c r="A3228" s="97" t="str">
        <f t="shared" si="1106"/>
        <v>007/SQUARE-VG-2166-70322-B3-B</v>
      </c>
      <c r="B3228" s="95">
        <v>44713</v>
      </c>
      <c r="C3228" s="97">
        <f t="shared" ca="1" si="1107"/>
        <v>-351</v>
      </c>
      <c r="D3228" s="112" t="s">
        <v>2478</v>
      </c>
      <c r="E3228" s="123" t="s">
        <v>1075</v>
      </c>
      <c r="F3228" s="98" t="str">
        <f t="shared" si="1104"/>
        <v>B</v>
      </c>
      <c r="G3228" s="110">
        <f ca="1">SUMIF($A:E,$A3228,K:K)</f>
        <v>0</v>
      </c>
      <c r="H3228" s="112" t="s">
        <v>2483</v>
      </c>
      <c r="I3228" s="115">
        <v>24</v>
      </c>
      <c r="J3228" s="115">
        <v>24</v>
      </c>
      <c r="K3228" s="143">
        <f t="shared" si="1078"/>
        <v>0</v>
      </c>
      <c r="L3228" s="144">
        <f t="shared" si="1105"/>
        <v>24</v>
      </c>
      <c r="M3228" s="276"/>
      <c r="N3228" s="98"/>
      <c r="O3228" s="93">
        <f t="shared" si="1096"/>
        <v>0</v>
      </c>
      <c r="ON3228" s="100">
        <f t="shared" si="1101"/>
        <v>0</v>
      </c>
    </row>
    <row r="3229" spans="1:404" ht="23.25" customHeight="1">
      <c r="A3229" s="97" t="str">
        <f t="shared" si="1106"/>
        <v>007/SQUARE-VG-2166-77700-X3-B</v>
      </c>
      <c r="B3229" s="95">
        <v>44713</v>
      </c>
      <c r="C3229" s="97">
        <f t="shared" ca="1" si="1107"/>
        <v>-351</v>
      </c>
      <c r="D3229" s="112" t="s">
        <v>2478</v>
      </c>
      <c r="E3229" s="123" t="s">
        <v>2479</v>
      </c>
      <c r="F3229" s="98" t="str">
        <f t="shared" si="1104"/>
        <v>B</v>
      </c>
      <c r="G3229" s="110">
        <f ca="1">SUMIF($A:E,$A3229,K:K)</f>
        <v>0</v>
      </c>
      <c r="H3229" s="112" t="s">
        <v>2088</v>
      </c>
      <c r="I3229" s="115">
        <v>252</v>
      </c>
      <c r="J3229" s="115">
        <v>252</v>
      </c>
      <c r="K3229" s="143">
        <f t="shared" si="1078"/>
        <v>0</v>
      </c>
      <c r="L3229" s="144">
        <f t="shared" si="1105"/>
        <v>252</v>
      </c>
      <c r="M3229" s="276"/>
      <c r="N3229" s="98"/>
      <c r="O3229" s="93">
        <f t="shared" si="1096"/>
        <v>0</v>
      </c>
      <c r="ON3229" s="100">
        <f t="shared" si="1101"/>
        <v>0</v>
      </c>
    </row>
    <row r="3230" spans="1:404" ht="23.25" customHeight="1">
      <c r="A3230" s="97" t="str">
        <f t="shared" si="1106"/>
        <v>007/SQUARE-VG-2166-88101-S2-B</v>
      </c>
      <c r="B3230" s="95">
        <v>44713</v>
      </c>
      <c r="C3230" s="97">
        <f t="shared" ca="1" si="1107"/>
        <v>-351</v>
      </c>
      <c r="D3230" s="112" t="s">
        <v>2478</v>
      </c>
      <c r="E3230" s="123" t="s">
        <v>2110</v>
      </c>
      <c r="F3230" s="98" t="str">
        <f t="shared" si="1104"/>
        <v>B</v>
      </c>
      <c r="G3230" s="110">
        <f ca="1">SUMIF($A:E,$A3230,K:K)</f>
        <v>0</v>
      </c>
      <c r="H3230" s="112" t="s">
        <v>2481</v>
      </c>
      <c r="I3230" s="115">
        <v>48</v>
      </c>
      <c r="J3230" s="115">
        <v>48</v>
      </c>
      <c r="K3230" s="143">
        <f t="shared" si="1078"/>
        <v>0</v>
      </c>
      <c r="L3230" s="144">
        <f t="shared" si="1105"/>
        <v>48</v>
      </c>
      <c r="M3230" s="276"/>
      <c r="N3230" s="98"/>
      <c r="O3230" s="93">
        <f t="shared" si="1096"/>
        <v>0</v>
      </c>
      <c r="ON3230" s="100">
        <f t="shared" si="1101"/>
        <v>0</v>
      </c>
    </row>
    <row r="3231" spans="1:404" ht="23.25" customHeight="1">
      <c r="A3231" s="97" t="s">
        <v>2590</v>
      </c>
      <c r="B3231" s="95">
        <v>44655</v>
      </c>
      <c r="C3231" s="97">
        <v>89</v>
      </c>
      <c r="D3231" s="112" t="s">
        <v>2007</v>
      </c>
      <c r="E3231" s="123" t="s">
        <v>627</v>
      </c>
      <c r="F3231" s="98" t="s">
        <v>561</v>
      </c>
      <c r="G3231" s="110">
        <v>0</v>
      </c>
      <c r="H3231" s="97" t="s">
        <v>616</v>
      </c>
      <c r="I3231" s="175">
        <v>40</v>
      </c>
      <c r="J3231" s="115">
        <v>40</v>
      </c>
      <c r="K3231" s="143">
        <v>0</v>
      </c>
      <c r="L3231" s="144">
        <v>127</v>
      </c>
      <c r="M3231" s="98"/>
      <c r="N3231" s="98">
        <v>1</v>
      </c>
      <c r="O3231" s="93"/>
      <c r="OK3231" s="100">
        <v>15</v>
      </c>
      <c r="ON3231" s="100">
        <f t="shared" si="1101"/>
        <v>15</v>
      </c>
    </row>
    <row r="3232" spans="1:404" ht="23.25" customHeight="1">
      <c r="A3232" s="97" t="str">
        <f t="shared" si="1106"/>
        <v>039T/EUROMARKET-2166-02600-02-B</v>
      </c>
      <c r="B3232" s="95">
        <v>44709</v>
      </c>
      <c r="C3232" s="97">
        <f t="shared" ca="1" si="1107"/>
        <v>-355</v>
      </c>
      <c r="D3232" s="112" t="s">
        <v>2427</v>
      </c>
      <c r="E3232" s="123" t="s">
        <v>627</v>
      </c>
      <c r="F3232" s="98" t="str">
        <f t="shared" ref="F3232:F3249" si="1108">MID(E3232,13,2)</f>
        <v>B</v>
      </c>
      <c r="G3232" s="110">
        <f ca="1">SUMIF($A:E,$A3232,K:K)</f>
        <v>0</v>
      </c>
      <c r="H3232" s="97" t="s">
        <v>616</v>
      </c>
      <c r="I3232" s="175">
        <f>135-8</f>
        <v>127</v>
      </c>
      <c r="J3232" s="115">
        <f>135-8</f>
        <v>127</v>
      </c>
      <c r="K3232" s="143">
        <f t="shared" si="1078"/>
        <v>0</v>
      </c>
      <c r="L3232" s="144">
        <f t="shared" ref="L3232:L3249" si="1109">J3232-K3232</f>
        <v>127</v>
      </c>
      <c r="M3232" s="276"/>
      <c r="N3232" s="98"/>
      <c r="O3232" s="93">
        <f t="shared" si="1096"/>
        <v>0</v>
      </c>
      <c r="ON3232" s="100">
        <f t="shared" si="1101"/>
        <v>0</v>
      </c>
    </row>
    <row r="3233" spans="1:404" ht="23.25" customHeight="1">
      <c r="A3233" s="97" t="str">
        <f t="shared" ref="A3233:A3242" si="1110">D3233&amp;E3233</f>
        <v>039T/EUROMARKET-2166-02700-01-B</v>
      </c>
      <c r="B3233" s="95">
        <v>44709</v>
      </c>
      <c r="C3233" s="97">
        <f t="shared" ref="C3233:C3250" ca="1" si="1111">B3233-TODAY()</f>
        <v>-355</v>
      </c>
      <c r="D3233" s="112" t="s">
        <v>2427</v>
      </c>
      <c r="E3233" s="123" t="s">
        <v>628</v>
      </c>
      <c r="F3233" s="98" t="str">
        <f t="shared" si="1108"/>
        <v>B</v>
      </c>
      <c r="G3233" s="110">
        <f ca="1">SUMIF($A:E,$A3233,K:K)</f>
        <v>0</v>
      </c>
      <c r="H3233" s="97" t="s">
        <v>616</v>
      </c>
      <c r="I3233" s="175">
        <f>25-8</f>
        <v>17</v>
      </c>
      <c r="J3233" s="115">
        <f>25-8</f>
        <v>17</v>
      </c>
      <c r="K3233" s="143">
        <f t="shared" ref="K3233:K3296" si="1112">SUM(P3233:BBC3233)</f>
        <v>0</v>
      </c>
      <c r="L3233" s="144">
        <f t="shared" si="1109"/>
        <v>17</v>
      </c>
      <c r="M3233" s="276"/>
      <c r="N3233" s="98"/>
      <c r="O3233" s="93">
        <f t="shared" si="1096"/>
        <v>0</v>
      </c>
      <c r="ON3233" s="100">
        <f t="shared" si="1101"/>
        <v>0</v>
      </c>
    </row>
    <row r="3234" spans="1:404" ht="23.25" customHeight="1">
      <c r="A3234" s="97" t="str">
        <f t="shared" si="1110"/>
        <v>039T/EUROMARKET-2166-54100-01-B</v>
      </c>
      <c r="B3234" s="95">
        <v>44709</v>
      </c>
      <c r="C3234" s="97">
        <f t="shared" ca="1" si="1111"/>
        <v>-355</v>
      </c>
      <c r="D3234" s="112" t="s">
        <v>2427</v>
      </c>
      <c r="E3234" s="123" t="s">
        <v>629</v>
      </c>
      <c r="F3234" s="98" t="str">
        <f t="shared" si="1108"/>
        <v>B</v>
      </c>
      <c r="G3234" s="110">
        <f ca="1">SUMIF($A:E,$A3234,K:K)</f>
        <v>0</v>
      </c>
      <c r="H3234" s="97" t="s">
        <v>616</v>
      </c>
      <c r="I3234" s="175">
        <f>90-4</f>
        <v>86</v>
      </c>
      <c r="J3234" s="115">
        <f>90-4</f>
        <v>86</v>
      </c>
      <c r="K3234" s="143">
        <f t="shared" si="1112"/>
        <v>0</v>
      </c>
      <c r="L3234" s="144">
        <f t="shared" si="1109"/>
        <v>86</v>
      </c>
      <c r="M3234" s="276"/>
      <c r="N3234" s="98"/>
      <c r="O3234" s="93">
        <f t="shared" si="1096"/>
        <v>0</v>
      </c>
      <c r="ON3234" s="100">
        <f t="shared" si="1101"/>
        <v>0</v>
      </c>
    </row>
    <row r="3235" spans="1:404" ht="23.25" customHeight="1">
      <c r="A3235" s="97" t="str">
        <f t="shared" si="1110"/>
        <v>039T/EUROMARKET-2166-64700-S1-B</v>
      </c>
      <c r="B3235" s="95">
        <v>44709</v>
      </c>
      <c r="C3235" s="97">
        <f t="shared" ca="1" si="1111"/>
        <v>-355</v>
      </c>
      <c r="D3235" s="112" t="s">
        <v>2427</v>
      </c>
      <c r="E3235" s="123" t="s">
        <v>635</v>
      </c>
      <c r="F3235" s="98" t="str">
        <f t="shared" si="1108"/>
        <v>B</v>
      </c>
      <c r="G3235" s="110">
        <f ca="1">SUMIF($A:E,$A3235,K:K)</f>
        <v>0</v>
      </c>
      <c r="H3235" s="97" t="s">
        <v>616</v>
      </c>
      <c r="I3235" s="175">
        <v>360</v>
      </c>
      <c r="J3235" s="115">
        <v>360</v>
      </c>
      <c r="K3235" s="143">
        <f t="shared" si="1112"/>
        <v>0</v>
      </c>
      <c r="L3235" s="144">
        <f t="shared" si="1109"/>
        <v>360</v>
      </c>
      <c r="M3235" s="276"/>
      <c r="N3235" s="98"/>
      <c r="O3235" s="93">
        <f t="shared" si="1096"/>
        <v>0</v>
      </c>
      <c r="ON3235" s="100">
        <f t="shared" si="1101"/>
        <v>0</v>
      </c>
    </row>
    <row r="3236" spans="1:404" ht="23.25" customHeight="1">
      <c r="A3236" s="97" t="str">
        <f t="shared" si="1110"/>
        <v>039T/EUROMARKET-2166-64800-S1-B</v>
      </c>
      <c r="B3236" s="95">
        <v>44709</v>
      </c>
      <c r="C3236" s="97">
        <f t="shared" ca="1" si="1111"/>
        <v>-355</v>
      </c>
      <c r="D3236" s="112" t="s">
        <v>2427</v>
      </c>
      <c r="E3236" s="123" t="s">
        <v>636</v>
      </c>
      <c r="F3236" s="98" t="str">
        <f t="shared" si="1108"/>
        <v>B</v>
      </c>
      <c r="G3236" s="110">
        <f ca="1">SUMIF($A:E,$A3236,K:K)</f>
        <v>0</v>
      </c>
      <c r="H3236" s="97" t="s">
        <v>616</v>
      </c>
      <c r="I3236" s="175">
        <f>180-40</f>
        <v>140</v>
      </c>
      <c r="J3236" s="115">
        <f>180-40</f>
        <v>140</v>
      </c>
      <c r="K3236" s="143">
        <f t="shared" si="1112"/>
        <v>0</v>
      </c>
      <c r="L3236" s="144">
        <f t="shared" si="1109"/>
        <v>140</v>
      </c>
      <c r="M3236" s="276"/>
      <c r="N3236" s="98"/>
      <c r="O3236" s="93">
        <f t="shared" si="1096"/>
        <v>0</v>
      </c>
      <c r="ON3236" s="100">
        <f t="shared" si="1101"/>
        <v>0</v>
      </c>
    </row>
    <row r="3237" spans="1:404" ht="23.25" customHeight="1">
      <c r="A3237" s="97" t="str">
        <f t="shared" si="1110"/>
        <v>039T/EUROMARKET-2166-70300-02-B</v>
      </c>
      <c r="B3237" s="95">
        <v>44709</v>
      </c>
      <c r="C3237" s="97">
        <f t="shared" ca="1" si="1111"/>
        <v>-355</v>
      </c>
      <c r="D3237" s="112" t="s">
        <v>2427</v>
      </c>
      <c r="E3237" s="123" t="s">
        <v>47</v>
      </c>
      <c r="F3237" s="98" t="str">
        <f t="shared" si="1108"/>
        <v>B</v>
      </c>
      <c r="G3237" s="110">
        <f ca="1">SUMIF($A:E,$A3237,K:K)</f>
        <v>0</v>
      </c>
      <c r="H3237" s="97" t="s">
        <v>616</v>
      </c>
      <c r="I3237" s="175">
        <v>90</v>
      </c>
      <c r="J3237" s="115">
        <v>90</v>
      </c>
      <c r="K3237" s="143">
        <f t="shared" si="1112"/>
        <v>0</v>
      </c>
      <c r="L3237" s="144">
        <f t="shared" si="1109"/>
        <v>90</v>
      </c>
      <c r="M3237" s="276"/>
      <c r="N3237" s="98"/>
      <c r="O3237" s="93">
        <f t="shared" si="1096"/>
        <v>0</v>
      </c>
      <c r="ON3237" s="100">
        <f t="shared" si="1101"/>
        <v>0</v>
      </c>
    </row>
    <row r="3238" spans="1:404" ht="23.25" customHeight="1">
      <c r="A3238" s="97" t="str">
        <f t="shared" si="1110"/>
        <v>039T/EUROMARKET-2166-70300-03-B</v>
      </c>
      <c r="B3238" s="95">
        <v>44709</v>
      </c>
      <c r="C3238" s="97">
        <f t="shared" ca="1" si="1111"/>
        <v>-355</v>
      </c>
      <c r="D3238" s="112" t="s">
        <v>2427</v>
      </c>
      <c r="E3238" s="123" t="s">
        <v>25</v>
      </c>
      <c r="F3238" s="98" t="str">
        <f t="shared" si="1108"/>
        <v>B</v>
      </c>
      <c r="G3238" s="110">
        <f ca="1">SUMIF($A:E,$A3238,K:K)</f>
        <v>0</v>
      </c>
      <c r="H3238" s="97" t="s">
        <v>616</v>
      </c>
      <c r="I3238" s="175">
        <f>180-1</f>
        <v>179</v>
      </c>
      <c r="J3238" s="115">
        <f>180-1</f>
        <v>179</v>
      </c>
      <c r="K3238" s="143">
        <f t="shared" si="1112"/>
        <v>0</v>
      </c>
      <c r="L3238" s="144">
        <f t="shared" si="1109"/>
        <v>179</v>
      </c>
      <c r="M3238" s="276"/>
      <c r="N3238" s="98"/>
      <c r="O3238" s="93">
        <f t="shared" si="1096"/>
        <v>0</v>
      </c>
      <c r="ON3238" s="100">
        <f t="shared" si="1101"/>
        <v>0</v>
      </c>
    </row>
    <row r="3239" spans="1:404" ht="23.25" customHeight="1">
      <c r="A3239" s="97" t="str">
        <f t="shared" si="1110"/>
        <v>039T/EUROMARKET-2168-70900-03-B</v>
      </c>
      <c r="B3239" s="95">
        <v>44709</v>
      </c>
      <c r="C3239" s="97">
        <f t="shared" ca="1" si="1111"/>
        <v>-355</v>
      </c>
      <c r="D3239" s="112" t="s">
        <v>2427</v>
      </c>
      <c r="E3239" s="123" t="s">
        <v>27</v>
      </c>
      <c r="F3239" s="98" t="str">
        <f t="shared" si="1108"/>
        <v>B</v>
      </c>
      <c r="G3239" s="110">
        <f ca="1">SUMIF($A:E,$A3239,K:K)</f>
        <v>0</v>
      </c>
      <c r="H3239" s="97" t="s">
        <v>616</v>
      </c>
      <c r="I3239" s="175">
        <v>190</v>
      </c>
      <c r="J3239" s="115">
        <v>190</v>
      </c>
      <c r="K3239" s="143">
        <f t="shared" si="1112"/>
        <v>0</v>
      </c>
      <c r="L3239" s="144">
        <f t="shared" si="1109"/>
        <v>190</v>
      </c>
      <c r="M3239" s="276"/>
      <c r="N3239" s="98"/>
      <c r="O3239" s="93">
        <f t="shared" si="1096"/>
        <v>0</v>
      </c>
      <c r="ON3239" s="100">
        <f t="shared" si="1101"/>
        <v>0</v>
      </c>
    </row>
    <row r="3240" spans="1:404" ht="23.25" customHeight="1">
      <c r="A3240" s="97" t="str">
        <f t="shared" si="1110"/>
        <v>039T/EUROMARKET-2168-79900-01-B</v>
      </c>
      <c r="B3240" s="95">
        <v>44709</v>
      </c>
      <c r="C3240" s="97">
        <f t="shared" ca="1" si="1111"/>
        <v>-355</v>
      </c>
      <c r="D3240" s="112" t="s">
        <v>2427</v>
      </c>
      <c r="E3240" s="123" t="s">
        <v>1542</v>
      </c>
      <c r="F3240" s="98" t="str">
        <f t="shared" si="1108"/>
        <v>B</v>
      </c>
      <c r="G3240" s="110">
        <f ca="1">SUMIF($A:E,$A3240,K:K)</f>
        <v>0</v>
      </c>
      <c r="H3240" s="97" t="s">
        <v>616</v>
      </c>
      <c r="I3240" s="175">
        <f>30-4</f>
        <v>26</v>
      </c>
      <c r="J3240" s="115">
        <f>30-4</f>
        <v>26</v>
      </c>
      <c r="K3240" s="143">
        <f t="shared" si="1112"/>
        <v>0</v>
      </c>
      <c r="L3240" s="144">
        <f t="shared" si="1109"/>
        <v>26</v>
      </c>
      <c r="M3240" s="276"/>
      <c r="N3240" s="98"/>
      <c r="O3240" s="93">
        <f t="shared" si="1096"/>
        <v>0</v>
      </c>
      <c r="ON3240" s="100">
        <f t="shared" si="1101"/>
        <v>0</v>
      </c>
    </row>
    <row r="3241" spans="1:404" ht="23.25" customHeight="1">
      <c r="A3241" s="97" t="str">
        <f t="shared" si="1110"/>
        <v>039T/EUROMARKET-2166-02700-01-A1(phen)</v>
      </c>
      <c r="B3241" s="95">
        <v>44709</v>
      </c>
      <c r="C3241" s="97">
        <f t="shared" ca="1" si="1111"/>
        <v>-355</v>
      </c>
      <c r="D3241" s="112" t="s">
        <v>2427</v>
      </c>
      <c r="E3241" s="123" t="s">
        <v>427</v>
      </c>
      <c r="F3241" s="98" t="str">
        <f t="shared" si="1108"/>
        <v>A1</v>
      </c>
      <c r="G3241" s="110">
        <f ca="1">SUMIF($A:E,$A3241,K:K)</f>
        <v>0</v>
      </c>
      <c r="H3241" s="97" t="s">
        <v>616</v>
      </c>
      <c r="I3241" s="175">
        <v>17</v>
      </c>
      <c r="J3241" s="115">
        <v>17</v>
      </c>
      <c r="K3241" s="143">
        <f t="shared" si="1112"/>
        <v>0</v>
      </c>
      <c r="L3241" s="144">
        <f t="shared" si="1109"/>
        <v>17</v>
      </c>
      <c r="M3241" s="276"/>
      <c r="N3241" s="98"/>
      <c r="O3241" s="93">
        <f t="shared" ref="O3241:O3258" si="1113">K3241/J3241*100</f>
        <v>0</v>
      </c>
      <c r="ON3241" s="100">
        <f t="shared" si="1101"/>
        <v>0</v>
      </c>
    </row>
    <row r="3242" spans="1:404" ht="23.25" customHeight="1">
      <c r="A3242" s="97" t="str">
        <f t="shared" si="1110"/>
        <v>022/EUROMARKET-VG-2266-02600-02-B</v>
      </c>
      <c r="B3242" s="95">
        <v>44804</v>
      </c>
      <c r="C3242" s="97">
        <f t="shared" ca="1" si="1111"/>
        <v>-260</v>
      </c>
      <c r="D3242" s="112" t="s">
        <v>2484</v>
      </c>
      <c r="E3242" s="123" t="s">
        <v>627</v>
      </c>
      <c r="F3242" s="98" t="str">
        <f t="shared" si="1108"/>
        <v>B</v>
      </c>
      <c r="G3242" s="110">
        <f ca="1">SUMIF($A:E,$A3242,K:K)</f>
        <v>0</v>
      </c>
      <c r="H3242" s="97" t="s">
        <v>616</v>
      </c>
      <c r="I3242" s="175">
        <v>140</v>
      </c>
      <c r="J3242" s="115">
        <v>140</v>
      </c>
      <c r="K3242" s="143">
        <f t="shared" si="1112"/>
        <v>0</v>
      </c>
      <c r="L3242" s="144">
        <f t="shared" si="1109"/>
        <v>140</v>
      </c>
      <c r="N3242" s="98"/>
      <c r="O3242" s="93">
        <f t="shared" si="1113"/>
        <v>0</v>
      </c>
      <c r="ON3242" s="100">
        <f t="shared" si="1101"/>
        <v>0</v>
      </c>
    </row>
    <row r="3243" spans="1:404" ht="23.25" customHeight="1">
      <c r="A3243" s="97" t="str">
        <f t="shared" ref="A3243:A3252" si="1114">D3243&amp;E3243</f>
        <v>022/EUROMARKET-VG-2266-02700-01-B</v>
      </c>
      <c r="B3243" s="95">
        <v>44804</v>
      </c>
      <c r="C3243" s="97">
        <f t="shared" ca="1" si="1111"/>
        <v>-260</v>
      </c>
      <c r="D3243" s="112" t="s">
        <v>2484</v>
      </c>
      <c r="E3243" s="123" t="s">
        <v>628</v>
      </c>
      <c r="F3243" s="98" t="str">
        <f t="shared" si="1108"/>
        <v>B</v>
      </c>
      <c r="G3243" s="110">
        <f ca="1">SUMIF($A:E,$A3243,K:K)</f>
        <v>0</v>
      </c>
      <c r="H3243" s="97" t="s">
        <v>616</v>
      </c>
      <c r="I3243" s="175">
        <v>30</v>
      </c>
      <c r="J3243" s="115">
        <v>30</v>
      </c>
      <c r="K3243" s="143">
        <f t="shared" si="1112"/>
        <v>0</v>
      </c>
      <c r="L3243" s="144">
        <f t="shared" si="1109"/>
        <v>30</v>
      </c>
      <c r="N3243" s="98"/>
      <c r="O3243" s="93">
        <f t="shared" si="1113"/>
        <v>0</v>
      </c>
      <c r="ON3243" s="100">
        <f t="shared" si="1101"/>
        <v>0</v>
      </c>
    </row>
    <row r="3244" spans="1:404" ht="23.25" customHeight="1">
      <c r="A3244" s="97" t="str">
        <f t="shared" si="1114"/>
        <v>022/EUROMARKET-VG-2266-54100-01-B</v>
      </c>
      <c r="B3244" s="95">
        <v>44804</v>
      </c>
      <c r="C3244" s="97">
        <f t="shared" ca="1" si="1111"/>
        <v>-260</v>
      </c>
      <c r="D3244" s="112" t="s">
        <v>2484</v>
      </c>
      <c r="E3244" s="123" t="s">
        <v>629</v>
      </c>
      <c r="F3244" s="98" t="str">
        <f t="shared" si="1108"/>
        <v>B</v>
      </c>
      <c r="G3244" s="110">
        <f ca="1">SUMIF($A:E,$A3244,K:K)</f>
        <v>0</v>
      </c>
      <c r="H3244" s="97" t="s">
        <v>616</v>
      </c>
      <c r="I3244" s="175">
        <v>95</v>
      </c>
      <c r="J3244" s="115">
        <v>95</v>
      </c>
      <c r="K3244" s="143">
        <f t="shared" si="1112"/>
        <v>0</v>
      </c>
      <c r="L3244" s="144">
        <f t="shared" si="1109"/>
        <v>95</v>
      </c>
      <c r="N3244" s="98"/>
      <c r="O3244" s="93">
        <f t="shared" si="1113"/>
        <v>0</v>
      </c>
      <c r="ON3244" s="100">
        <f t="shared" si="1101"/>
        <v>0</v>
      </c>
    </row>
    <row r="3245" spans="1:404" ht="23.25" customHeight="1">
      <c r="A3245" s="97" t="str">
        <f t="shared" si="1114"/>
        <v>022/EUROMARKET-VG-2266-70300-02-B</v>
      </c>
      <c r="B3245" s="95">
        <v>44804</v>
      </c>
      <c r="C3245" s="97">
        <f t="shared" ca="1" si="1111"/>
        <v>-260</v>
      </c>
      <c r="D3245" s="112" t="s">
        <v>2484</v>
      </c>
      <c r="E3245" s="123" t="s">
        <v>47</v>
      </c>
      <c r="F3245" s="98" t="str">
        <f t="shared" si="1108"/>
        <v>B</v>
      </c>
      <c r="G3245" s="110">
        <f ca="1">SUMIF($A:E,$A3245,K:K)</f>
        <v>0</v>
      </c>
      <c r="H3245" s="97" t="s">
        <v>616</v>
      </c>
      <c r="I3245" s="175">
        <v>110</v>
      </c>
      <c r="J3245" s="115">
        <v>110</v>
      </c>
      <c r="K3245" s="143">
        <f t="shared" si="1112"/>
        <v>0</v>
      </c>
      <c r="L3245" s="144">
        <f>J3245-K3245</f>
        <v>110</v>
      </c>
      <c r="N3245" s="98"/>
      <c r="O3245" s="93">
        <f t="shared" si="1113"/>
        <v>0</v>
      </c>
      <c r="ON3245" s="100">
        <f t="shared" si="1101"/>
        <v>0</v>
      </c>
    </row>
    <row r="3246" spans="1:404" ht="23.25" customHeight="1">
      <c r="A3246" s="97" t="str">
        <f t="shared" si="1114"/>
        <v>022/EUROMARKET-VG-2266-70300-03-B</v>
      </c>
      <c r="B3246" s="95">
        <v>44804</v>
      </c>
      <c r="C3246" s="97">
        <f t="shared" ca="1" si="1111"/>
        <v>-260</v>
      </c>
      <c r="D3246" s="112" t="s">
        <v>2484</v>
      </c>
      <c r="E3246" s="123" t="s">
        <v>25</v>
      </c>
      <c r="F3246" s="98" t="str">
        <f t="shared" si="1108"/>
        <v>B</v>
      </c>
      <c r="G3246" s="110">
        <f ca="1">SUMIF($A:E,$A3246,K:K)</f>
        <v>0</v>
      </c>
      <c r="H3246" s="97" t="s">
        <v>616</v>
      </c>
      <c r="I3246" s="175">
        <v>185</v>
      </c>
      <c r="J3246" s="115">
        <v>185</v>
      </c>
      <c r="K3246" s="143">
        <f t="shared" si="1112"/>
        <v>0</v>
      </c>
      <c r="L3246" s="144">
        <f t="shared" si="1109"/>
        <v>185</v>
      </c>
      <c r="N3246" s="98"/>
      <c r="O3246" s="93">
        <f t="shared" si="1113"/>
        <v>0</v>
      </c>
      <c r="ON3246" s="100">
        <f t="shared" si="1101"/>
        <v>0</v>
      </c>
    </row>
    <row r="3247" spans="1:404" ht="23.25" customHeight="1">
      <c r="A3247" s="97" t="str">
        <f t="shared" si="1114"/>
        <v>022/EUROMARKET-VG-2268-70900-03-B</v>
      </c>
      <c r="B3247" s="95">
        <v>44804</v>
      </c>
      <c r="C3247" s="97">
        <f t="shared" ca="1" si="1111"/>
        <v>-260</v>
      </c>
      <c r="D3247" s="112" t="s">
        <v>2484</v>
      </c>
      <c r="E3247" s="123" t="s">
        <v>27</v>
      </c>
      <c r="F3247" s="98" t="str">
        <f t="shared" si="1108"/>
        <v>B</v>
      </c>
      <c r="G3247" s="110">
        <f ca="1">SUMIF($A:E,$A3247,K:K)</f>
        <v>0</v>
      </c>
      <c r="H3247" s="97" t="s">
        <v>616</v>
      </c>
      <c r="I3247" s="175">
        <v>190</v>
      </c>
      <c r="J3247" s="115">
        <v>190</v>
      </c>
      <c r="K3247" s="143">
        <f t="shared" si="1112"/>
        <v>0</v>
      </c>
      <c r="L3247" s="144">
        <f t="shared" si="1109"/>
        <v>190</v>
      </c>
      <c r="N3247" s="98"/>
      <c r="O3247" s="93">
        <f t="shared" si="1113"/>
        <v>0</v>
      </c>
      <c r="ON3247" s="100">
        <f t="shared" si="1101"/>
        <v>0</v>
      </c>
    </row>
    <row r="3248" spans="1:404" ht="23.25" customHeight="1">
      <c r="A3248" s="97" t="str">
        <f t="shared" si="1114"/>
        <v>022/EUROMARKET-VG-2268-79900-01-B</v>
      </c>
      <c r="B3248" s="95">
        <v>44804</v>
      </c>
      <c r="C3248" s="97">
        <f t="shared" ca="1" si="1111"/>
        <v>-260</v>
      </c>
      <c r="D3248" s="112" t="s">
        <v>2484</v>
      </c>
      <c r="E3248" s="123" t="s">
        <v>1542</v>
      </c>
      <c r="F3248" s="98" t="str">
        <f t="shared" si="1108"/>
        <v>B</v>
      </c>
      <c r="G3248" s="110">
        <f ca="1">SUMIF($A:E,$A3248,K:K)</f>
        <v>0</v>
      </c>
      <c r="H3248" s="97" t="s">
        <v>616</v>
      </c>
      <c r="I3248" s="175">
        <v>30</v>
      </c>
      <c r="J3248" s="115">
        <v>30</v>
      </c>
      <c r="K3248" s="143">
        <f t="shared" si="1112"/>
        <v>0</v>
      </c>
      <c r="L3248" s="144">
        <f t="shared" si="1109"/>
        <v>30</v>
      </c>
      <c r="N3248" s="98"/>
      <c r="O3248" s="93">
        <f t="shared" si="1113"/>
        <v>0</v>
      </c>
      <c r="ON3248" s="100">
        <f t="shared" si="1101"/>
        <v>0</v>
      </c>
    </row>
    <row r="3249" spans="1:404" ht="23.25" customHeight="1">
      <c r="A3249" s="97" t="str">
        <f t="shared" si="1114"/>
        <v>022/EUROMARKET-VG-2266-02700-01-A1-PH-XM</v>
      </c>
      <c r="B3249" s="95">
        <v>44804</v>
      </c>
      <c r="C3249" s="97">
        <f t="shared" ca="1" si="1111"/>
        <v>-260</v>
      </c>
      <c r="D3249" s="112" t="s">
        <v>2484</v>
      </c>
      <c r="E3249" s="123" t="s">
        <v>2485</v>
      </c>
      <c r="F3249" s="98" t="str">
        <f t="shared" si="1108"/>
        <v>A1</v>
      </c>
      <c r="G3249" s="110">
        <f ca="1">SUMIF($A:E,$A3249,K:K)</f>
        <v>0</v>
      </c>
      <c r="H3249" s="97" t="s">
        <v>616</v>
      </c>
      <c r="I3249" s="175">
        <v>30</v>
      </c>
      <c r="J3249" s="115">
        <v>30</v>
      </c>
      <c r="K3249" s="143">
        <f t="shared" si="1112"/>
        <v>0</v>
      </c>
      <c r="L3249" s="144">
        <f t="shared" si="1109"/>
        <v>30</v>
      </c>
      <c r="N3249" s="98"/>
      <c r="O3249" s="93">
        <f t="shared" si="1113"/>
        <v>0</v>
      </c>
      <c r="ON3249" s="100">
        <f t="shared" si="1101"/>
        <v>0</v>
      </c>
    </row>
    <row r="3250" spans="1:404" ht="23.25" customHeight="1">
      <c r="A3250" s="97" t="str">
        <f t="shared" si="1114"/>
        <v>021/EUROMARKET-VG-2266-64700-S1-B</v>
      </c>
      <c r="B3250" s="95">
        <v>44773</v>
      </c>
      <c r="C3250" s="97">
        <f t="shared" ca="1" si="1111"/>
        <v>-291</v>
      </c>
      <c r="D3250" s="112" t="s">
        <v>2486</v>
      </c>
      <c r="E3250" s="123" t="s">
        <v>635</v>
      </c>
      <c r="F3250" s="98" t="str">
        <f t="shared" ref="F3250:F3251" si="1115">MID(E3250,13,2)</f>
        <v>B</v>
      </c>
      <c r="G3250" s="110">
        <f ca="1">SUMIF($A:E,$A3250,K:K)</f>
        <v>0</v>
      </c>
      <c r="H3250" s="97" t="s">
        <v>616</v>
      </c>
      <c r="I3250" s="175">
        <v>400</v>
      </c>
      <c r="J3250" s="115">
        <v>400</v>
      </c>
      <c r="K3250" s="143">
        <f t="shared" si="1112"/>
        <v>0</v>
      </c>
      <c r="L3250" s="144">
        <f t="shared" ref="L3250:L3251" si="1116">J3250-K3250</f>
        <v>400</v>
      </c>
      <c r="N3250" s="98"/>
      <c r="O3250" s="93">
        <f t="shared" si="1113"/>
        <v>0</v>
      </c>
      <c r="ON3250" s="100">
        <f t="shared" si="1101"/>
        <v>0</v>
      </c>
    </row>
    <row r="3251" spans="1:404" ht="23.25" customHeight="1">
      <c r="A3251" s="97" t="str">
        <f t="shared" si="1114"/>
        <v>021/EUROMARKET-VG-2266-64800-S1-B</v>
      </c>
      <c r="B3251" s="95">
        <v>44773</v>
      </c>
      <c r="C3251" s="97">
        <f t="shared" ref="C3251:C3252" ca="1" si="1117">B3251-TODAY()</f>
        <v>-291</v>
      </c>
      <c r="D3251" s="112" t="s">
        <v>2486</v>
      </c>
      <c r="E3251" s="123" t="s">
        <v>636</v>
      </c>
      <c r="F3251" s="98" t="str">
        <f t="shared" si="1115"/>
        <v>B</v>
      </c>
      <c r="G3251" s="110">
        <f ca="1">SUMIF($A:E,$A3251,K:K)</f>
        <v>0</v>
      </c>
      <c r="H3251" s="97" t="s">
        <v>616</v>
      </c>
      <c r="I3251" s="175">
        <v>220</v>
      </c>
      <c r="J3251" s="115">
        <v>220</v>
      </c>
      <c r="K3251" s="143">
        <f t="shared" si="1112"/>
        <v>0</v>
      </c>
      <c r="L3251" s="144">
        <f t="shared" si="1116"/>
        <v>220</v>
      </c>
      <c r="N3251" s="98"/>
      <c r="O3251" s="93">
        <f t="shared" si="1113"/>
        <v>0</v>
      </c>
      <c r="ON3251" s="100">
        <f t="shared" si="1101"/>
        <v>0</v>
      </c>
    </row>
    <row r="3252" spans="1:404" ht="23.25" customHeight="1">
      <c r="A3252" s="97" t="str">
        <f t="shared" si="1114"/>
        <v>020/EUROMARKET-VG-2266-02600-02-B</v>
      </c>
      <c r="B3252" s="95">
        <v>44769</v>
      </c>
      <c r="C3252" s="97">
        <f t="shared" ca="1" si="1117"/>
        <v>-295</v>
      </c>
      <c r="D3252" s="112" t="s">
        <v>2487</v>
      </c>
      <c r="E3252" s="123" t="s">
        <v>627</v>
      </c>
      <c r="F3252" s="98" t="str">
        <f t="shared" ref="F3252:F3259" si="1118">MID(E3252,13,2)</f>
        <v>B</v>
      </c>
      <c r="G3252" s="110">
        <f ca="1">SUMIF($A:E,$A3252,K:K)</f>
        <v>0</v>
      </c>
      <c r="H3252" s="97" t="s">
        <v>616</v>
      </c>
      <c r="I3252" s="175">
        <v>170</v>
      </c>
      <c r="J3252" s="115">
        <v>170</v>
      </c>
      <c r="K3252" s="143">
        <f t="shared" si="1112"/>
        <v>0</v>
      </c>
      <c r="L3252" s="144">
        <f t="shared" ref="L3252:L3259" si="1119">J3252-K3252</f>
        <v>170</v>
      </c>
      <c r="N3252" s="98"/>
      <c r="O3252" s="93">
        <f t="shared" si="1113"/>
        <v>0</v>
      </c>
      <c r="ON3252" s="100">
        <f t="shared" si="1101"/>
        <v>0</v>
      </c>
    </row>
    <row r="3253" spans="1:404" ht="23.25" customHeight="1">
      <c r="A3253" s="97" t="str">
        <f t="shared" ref="A3253:A3262" si="1120">D3253&amp;E3253</f>
        <v>020/EUROMARKET-VG-2266-02700-01-B</v>
      </c>
      <c r="B3253" s="95">
        <v>44769</v>
      </c>
      <c r="C3253" s="97">
        <f t="shared" ref="C3253:C3260" ca="1" si="1121">B3253-TODAY()</f>
        <v>-295</v>
      </c>
      <c r="D3253" s="112" t="s">
        <v>2487</v>
      </c>
      <c r="E3253" s="123" t="s">
        <v>628</v>
      </c>
      <c r="F3253" s="98" t="str">
        <f t="shared" si="1118"/>
        <v>B</v>
      </c>
      <c r="G3253" s="110">
        <f ca="1">SUMIF($A:E,$A3253,K:K)</f>
        <v>0</v>
      </c>
      <c r="H3253" s="97" t="s">
        <v>616</v>
      </c>
      <c r="I3253" s="175">
        <v>35</v>
      </c>
      <c r="J3253" s="115">
        <v>35</v>
      </c>
      <c r="K3253" s="143">
        <f t="shared" si="1112"/>
        <v>0</v>
      </c>
      <c r="L3253" s="144">
        <f t="shared" si="1119"/>
        <v>35</v>
      </c>
      <c r="N3253" s="98"/>
      <c r="O3253" s="93">
        <f t="shared" si="1113"/>
        <v>0</v>
      </c>
      <c r="ON3253" s="100">
        <f t="shared" si="1101"/>
        <v>0</v>
      </c>
    </row>
    <row r="3254" spans="1:404" ht="23.25" customHeight="1">
      <c r="A3254" s="97" t="str">
        <f t="shared" si="1120"/>
        <v>020/EUROMARKET-VG-2266-54100-01-B</v>
      </c>
      <c r="B3254" s="95">
        <v>44769</v>
      </c>
      <c r="C3254" s="97">
        <f t="shared" ca="1" si="1121"/>
        <v>-295</v>
      </c>
      <c r="D3254" s="112" t="s">
        <v>2487</v>
      </c>
      <c r="E3254" s="123" t="s">
        <v>629</v>
      </c>
      <c r="F3254" s="98" t="str">
        <f t="shared" si="1118"/>
        <v>B</v>
      </c>
      <c r="G3254" s="110">
        <f ca="1">SUMIF($A:E,$A3254,K:K)</f>
        <v>0</v>
      </c>
      <c r="H3254" s="97" t="s">
        <v>616</v>
      </c>
      <c r="I3254" s="175">
        <v>115</v>
      </c>
      <c r="J3254" s="115">
        <v>115</v>
      </c>
      <c r="K3254" s="143">
        <f t="shared" si="1112"/>
        <v>0</v>
      </c>
      <c r="L3254" s="144">
        <f t="shared" si="1119"/>
        <v>115</v>
      </c>
      <c r="N3254" s="98"/>
      <c r="O3254" s="93">
        <f t="shared" si="1113"/>
        <v>0</v>
      </c>
      <c r="ON3254" s="100">
        <f t="shared" si="1101"/>
        <v>0</v>
      </c>
    </row>
    <row r="3255" spans="1:404" ht="23.25" customHeight="1">
      <c r="A3255" s="97" t="str">
        <f t="shared" si="1120"/>
        <v>020/EUROMARKET-VG-2266-70300-02-B</v>
      </c>
      <c r="B3255" s="95">
        <v>44769</v>
      </c>
      <c r="C3255" s="97">
        <f t="shared" ca="1" si="1121"/>
        <v>-295</v>
      </c>
      <c r="D3255" s="112" t="s">
        <v>2487</v>
      </c>
      <c r="E3255" s="123" t="s">
        <v>47</v>
      </c>
      <c r="F3255" s="98" t="str">
        <f t="shared" si="1118"/>
        <v>B</v>
      </c>
      <c r="G3255" s="110">
        <f ca="1">SUMIF($A:E,$A3255,K:K)</f>
        <v>0</v>
      </c>
      <c r="H3255" s="97" t="s">
        <v>616</v>
      </c>
      <c r="I3255" s="175">
        <v>160</v>
      </c>
      <c r="J3255" s="115">
        <v>160</v>
      </c>
      <c r="K3255" s="143">
        <f t="shared" si="1112"/>
        <v>0</v>
      </c>
      <c r="L3255" s="144">
        <f t="shared" si="1119"/>
        <v>160</v>
      </c>
      <c r="N3255" s="98"/>
      <c r="O3255" s="93">
        <f t="shared" si="1113"/>
        <v>0</v>
      </c>
      <c r="ON3255" s="100">
        <f t="shared" si="1101"/>
        <v>0</v>
      </c>
    </row>
    <row r="3256" spans="1:404" ht="23.25" customHeight="1">
      <c r="A3256" s="97" t="str">
        <f t="shared" si="1120"/>
        <v>020/EUROMARKET-VG-2266-70300-03-B</v>
      </c>
      <c r="B3256" s="95">
        <v>44769</v>
      </c>
      <c r="C3256" s="97">
        <f t="shared" ca="1" si="1121"/>
        <v>-295</v>
      </c>
      <c r="D3256" s="112" t="s">
        <v>2487</v>
      </c>
      <c r="E3256" s="123" t="s">
        <v>25</v>
      </c>
      <c r="F3256" s="98" t="str">
        <f t="shared" si="1118"/>
        <v>B</v>
      </c>
      <c r="G3256" s="110">
        <f ca="1">SUMIF($A:E,$A3256,K:K)</f>
        <v>0</v>
      </c>
      <c r="H3256" s="97" t="s">
        <v>616</v>
      </c>
      <c r="I3256" s="175">
        <v>220</v>
      </c>
      <c r="J3256" s="115">
        <v>220</v>
      </c>
      <c r="K3256" s="143">
        <f t="shared" si="1112"/>
        <v>0</v>
      </c>
      <c r="L3256" s="144">
        <f t="shared" si="1119"/>
        <v>220</v>
      </c>
      <c r="N3256" s="98"/>
      <c r="O3256" s="93">
        <f t="shared" si="1113"/>
        <v>0</v>
      </c>
      <c r="ON3256" s="100">
        <f t="shared" si="1101"/>
        <v>0</v>
      </c>
    </row>
    <row r="3257" spans="1:404" ht="23.25" customHeight="1">
      <c r="A3257" s="97" t="str">
        <f t="shared" si="1120"/>
        <v>020/EUROMARKET-VG-2268-70900-03-B</v>
      </c>
      <c r="B3257" s="95">
        <v>44769</v>
      </c>
      <c r="C3257" s="97">
        <f t="shared" ca="1" si="1121"/>
        <v>-295</v>
      </c>
      <c r="D3257" s="112" t="s">
        <v>2487</v>
      </c>
      <c r="E3257" s="123" t="s">
        <v>27</v>
      </c>
      <c r="F3257" s="98" t="str">
        <f t="shared" si="1118"/>
        <v>B</v>
      </c>
      <c r="G3257" s="110">
        <f ca="1">SUMIF($A:E,$A3257,K:K)</f>
        <v>0</v>
      </c>
      <c r="H3257" s="97" t="s">
        <v>616</v>
      </c>
      <c r="I3257" s="175">
        <v>230</v>
      </c>
      <c r="J3257" s="115">
        <v>230</v>
      </c>
      <c r="K3257" s="143">
        <f t="shared" si="1112"/>
        <v>0</v>
      </c>
      <c r="L3257" s="144">
        <f t="shared" si="1119"/>
        <v>230</v>
      </c>
      <c r="N3257" s="98"/>
      <c r="O3257" s="93">
        <f t="shared" si="1113"/>
        <v>0</v>
      </c>
      <c r="ON3257" s="100">
        <f t="shared" si="1101"/>
        <v>0</v>
      </c>
    </row>
    <row r="3258" spans="1:404" ht="23.25" customHeight="1">
      <c r="A3258" s="97" t="str">
        <f t="shared" si="1120"/>
        <v>020/EUROMARKET-VG-2268-79900-01-B</v>
      </c>
      <c r="B3258" s="95">
        <v>44769</v>
      </c>
      <c r="C3258" s="97">
        <f t="shared" ca="1" si="1121"/>
        <v>-295</v>
      </c>
      <c r="D3258" s="112" t="s">
        <v>2487</v>
      </c>
      <c r="E3258" s="123" t="s">
        <v>1542</v>
      </c>
      <c r="F3258" s="98" t="str">
        <f t="shared" si="1118"/>
        <v>B</v>
      </c>
      <c r="G3258" s="110">
        <f ca="1">SUMIF($A:E,$A3258,K:K)</f>
        <v>0</v>
      </c>
      <c r="H3258" s="97" t="s">
        <v>616</v>
      </c>
      <c r="I3258" s="175">
        <v>35</v>
      </c>
      <c r="J3258" s="115">
        <v>35</v>
      </c>
      <c r="K3258" s="143">
        <f t="shared" si="1112"/>
        <v>0</v>
      </c>
      <c r="L3258" s="144">
        <f t="shared" si="1119"/>
        <v>35</v>
      </c>
      <c r="N3258" s="98"/>
      <c r="O3258" s="93">
        <f t="shared" si="1113"/>
        <v>0</v>
      </c>
      <c r="ON3258" s="100">
        <f t="shared" si="1101"/>
        <v>0</v>
      </c>
    </row>
    <row r="3259" spans="1:404" ht="23.25" customHeight="1">
      <c r="A3259" s="97" t="str">
        <f t="shared" si="1120"/>
        <v>020/EUROMARKET-VG-2266-02700-01-A1-PH-XM</v>
      </c>
      <c r="B3259" s="95">
        <v>44769</v>
      </c>
      <c r="C3259" s="97">
        <f t="shared" ca="1" si="1121"/>
        <v>-295</v>
      </c>
      <c r="D3259" s="112" t="s">
        <v>2487</v>
      </c>
      <c r="E3259" s="123" t="s">
        <v>2485</v>
      </c>
      <c r="F3259" s="98" t="str">
        <f t="shared" si="1118"/>
        <v>A1</v>
      </c>
      <c r="G3259" s="110">
        <f ca="1">SUMIF($A:E,$A3259,K:K)</f>
        <v>0</v>
      </c>
      <c r="H3259" s="97" t="s">
        <v>616</v>
      </c>
      <c r="I3259" s="175">
        <v>35</v>
      </c>
      <c r="J3259" s="115">
        <v>35</v>
      </c>
      <c r="K3259" s="143">
        <f t="shared" si="1112"/>
        <v>0</v>
      </c>
      <c r="L3259" s="144">
        <f t="shared" si="1119"/>
        <v>35</v>
      </c>
      <c r="N3259" s="98"/>
      <c r="O3259" s="93">
        <f t="shared" ref="O3259:O3268" si="1122">K3259/J3259*100</f>
        <v>0</v>
      </c>
      <c r="ON3259" s="100">
        <f t="shared" si="1101"/>
        <v>0</v>
      </c>
    </row>
    <row r="3260" spans="1:404" ht="23.25" customHeight="1">
      <c r="A3260" s="97" t="str">
        <f t="shared" si="1120"/>
        <v>019/EUROMARKET-VG-2266-64700-S1-B</v>
      </c>
      <c r="B3260" s="95">
        <v>44746</v>
      </c>
      <c r="C3260" s="97">
        <f t="shared" ca="1" si="1121"/>
        <v>-318</v>
      </c>
      <c r="D3260" s="112" t="s">
        <v>2488</v>
      </c>
      <c r="E3260" s="123" t="s">
        <v>635</v>
      </c>
      <c r="F3260" s="98" t="str">
        <f t="shared" ref="F3260:F3261" si="1123">MID(E3260,13,2)</f>
        <v>B</v>
      </c>
      <c r="G3260" s="110">
        <f ca="1">SUMIF($A:E,$A3260,K:K)</f>
        <v>0</v>
      </c>
      <c r="H3260" s="97" t="s">
        <v>616</v>
      </c>
      <c r="I3260" s="175">
        <v>330</v>
      </c>
      <c r="J3260" s="115">
        <v>330</v>
      </c>
      <c r="K3260" s="143">
        <f t="shared" si="1112"/>
        <v>0</v>
      </c>
      <c r="L3260" s="144">
        <f t="shared" ref="L3260:L3261" si="1124">J3260-K3260</f>
        <v>330</v>
      </c>
      <c r="N3260" s="98"/>
      <c r="O3260" s="93">
        <f t="shared" si="1122"/>
        <v>0</v>
      </c>
      <c r="ON3260" s="100">
        <f t="shared" si="1101"/>
        <v>0</v>
      </c>
    </row>
    <row r="3261" spans="1:404" ht="23.25" customHeight="1">
      <c r="A3261" s="97" t="str">
        <f t="shared" si="1120"/>
        <v>019/EUROMARKET-VG-2266-64800-S1-B</v>
      </c>
      <c r="B3261" s="95">
        <v>44746</v>
      </c>
      <c r="C3261" s="97">
        <f t="shared" ref="C3261:C3262" ca="1" si="1125">B3261-TODAY()</f>
        <v>-318</v>
      </c>
      <c r="D3261" s="112" t="s">
        <v>2488</v>
      </c>
      <c r="E3261" s="123" t="s">
        <v>636</v>
      </c>
      <c r="F3261" s="98" t="str">
        <f t="shared" si="1123"/>
        <v>B</v>
      </c>
      <c r="G3261" s="110">
        <f ca="1">SUMIF($A:E,$A3261,K:K)</f>
        <v>0</v>
      </c>
      <c r="H3261" s="97" t="s">
        <v>616</v>
      </c>
      <c r="I3261" s="175">
        <v>180</v>
      </c>
      <c r="J3261" s="115">
        <v>180</v>
      </c>
      <c r="K3261" s="143">
        <f t="shared" si="1112"/>
        <v>0</v>
      </c>
      <c r="L3261" s="144">
        <f t="shared" si="1124"/>
        <v>180</v>
      </c>
      <c r="N3261" s="98"/>
      <c r="O3261" s="93">
        <f t="shared" si="1122"/>
        <v>0</v>
      </c>
      <c r="ON3261" s="100">
        <f t="shared" si="1101"/>
        <v>0</v>
      </c>
    </row>
    <row r="3262" spans="1:404" ht="23.25" customHeight="1">
      <c r="A3262" s="97" t="str">
        <f t="shared" si="1120"/>
        <v>018/EUROMARKET-VG-2266-02600-02-B</v>
      </c>
      <c r="B3262" s="95">
        <v>44741</v>
      </c>
      <c r="C3262" s="97">
        <f t="shared" ca="1" si="1125"/>
        <v>-323</v>
      </c>
      <c r="D3262" s="112" t="s">
        <v>2489</v>
      </c>
      <c r="E3262" s="123" t="s">
        <v>627</v>
      </c>
      <c r="F3262" s="98" t="str">
        <f t="shared" ref="F3262:F3270" si="1126">MID(E3262,13,2)</f>
        <v>B</v>
      </c>
      <c r="G3262" s="110">
        <f ca="1">SUMIF($A:E,$A3262,K:K)</f>
        <v>0</v>
      </c>
      <c r="H3262" s="97" t="s">
        <v>616</v>
      </c>
      <c r="I3262" s="175">
        <v>140</v>
      </c>
      <c r="J3262" s="115">
        <v>140</v>
      </c>
      <c r="K3262" s="143">
        <f t="shared" si="1112"/>
        <v>0</v>
      </c>
      <c r="L3262" s="144">
        <f t="shared" ref="L3262:L3269" si="1127">J3262-K3262</f>
        <v>140</v>
      </c>
      <c r="N3262" s="98"/>
      <c r="O3262" s="93">
        <f t="shared" si="1122"/>
        <v>0</v>
      </c>
      <c r="ON3262" s="100">
        <f t="shared" si="1101"/>
        <v>0</v>
      </c>
    </row>
    <row r="3263" spans="1:404" ht="23.25" customHeight="1">
      <c r="A3263" s="97" t="str">
        <f t="shared" ref="A3263:A3272" si="1128">D3263&amp;E3263</f>
        <v>018/EUROMARKET-VG-2266-02700-01-B</v>
      </c>
      <c r="B3263" s="95">
        <v>44741</v>
      </c>
      <c r="C3263" s="97">
        <f t="shared" ref="C3263:C3272" ca="1" si="1129">B3263-TODAY()</f>
        <v>-323</v>
      </c>
      <c r="D3263" s="112" t="s">
        <v>2489</v>
      </c>
      <c r="E3263" s="123" t="s">
        <v>628</v>
      </c>
      <c r="F3263" s="98" t="str">
        <f t="shared" si="1126"/>
        <v>B</v>
      </c>
      <c r="G3263" s="110">
        <f ca="1">SUMIF($A:E,$A3263,K:K)</f>
        <v>0</v>
      </c>
      <c r="H3263" s="97" t="s">
        <v>616</v>
      </c>
      <c r="I3263" s="175">
        <v>30</v>
      </c>
      <c r="J3263" s="115">
        <v>30</v>
      </c>
      <c r="K3263" s="143">
        <f t="shared" si="1112"/>
        <v>0</v>
      </c>
      <c r="L3263" s="144">
        <f t="shared" si="1127"/>
        <v>30</v>
      </c>
      <c r="N3263" s="98"/>
      <c r="O3263" s="93">
        <f t="shared" si="1122"/>
        <v>0</v>
      </c>
      <c r="ON3263" s="100">
        <f t="shared" si="1101"/>
        <v>0</v>
      </c>
    </row>
    <row r="3264" spans="1:404" ht="23.25" customHeight="1">
      <c r="A3264" s="97" t="str">
        <f t="shared" si="1128"/>
        <v>018/EUROMARKET-VG-2266-54100-01-B</v>
      </c>
      <c r="B3264" s="95">
        <v>44741</v>
      </c>
      <c r="C3264" s="97">
        <f t="shared" ca="1" si="1129"/>
        <v>-323</v>
      </c>
      <c r="D3264" s="112" t="s">
        <v>2489</v>
      </c>
      <c r="E3264" s="123" t="s">
        <v>629</v>
      </c>
      <c r="F3264" s="98" t="str">
        <f t="shared" si="1126"/>
        <v>B</v>
      </c>
      <c r="G3264" s="110">
        <f ca="1">SUMIF($A:E,$A3264,K:K)</f>
        <v>0</v>
      </c>
      <c r="H3264" s="97" t="s">
        <v>616</v>
      </c>
      <c r="I3264" s="175">
        <v>95</v>
      </c>
      <c r="J3264" s="115">
        <v>95</v>
      </c>
      <c r="K3264" s="143">
        <f t="shared" si="1112"/>
        <v>0</v>
      </c>
      <c r="L3264" s="144">
        <f t="shared" si="1127"/>
        <v>95</v>
      </c>
      <c r="N3264" s="98"/>
      <c r="O3264" s="93">
        <f t="shared" si="1122"/>
        <v>0</v>
      </c>
      <c r="ON3264" s="100">
        <f t="shared" si="1101"/>
        <v>0</v>
      </c>
    </row>
    <row r="3265" spans="1:404" ht="23.25" customHeight="1">
      <c r="A3265" s="97" t="str">
        <f t="shared" si="1128"/>
        <v>018/EUROMARKET-VG-2266-70300-02-B</v>
      </c>
      <c r="B3265" s="95">
        <v>44741</v>
      </c>
      <c r="C3265" s="97">
        <f t="shared" ca="1" si="1129"/>
        <v>-323</v>
      </c>
      <c r="D3265" s="112" t="s">
        <v>2489</v>
      </c>
      <c r="E3265" s="123" t="s">
        <v>47</v>
      </c>
      <c r="F3265" s="98" t="str">
        <f t="shared" si="1126"/>
        <v>B</v>
      </c>
      <c r="G3265" s="110">
        <f ca="1">SUMIF($A:E,$A3265,K:K)</f>
        <v>0</v>
      </c>
      <c r="H3265" s="97" t="s">
        <v>616</v>
      </c>
      <c r="I3265" s="175">
        <v>110</v>
      </c>
      <c r="J3265" s="115">
        <v>110</v>
      </c>
      <c r="K3265" s="143">
        <f t="shared" si="1112"/>
        <v>0</v>
      </c>
      <c r="L3265" s="144">
        <f t="shared" si="1127"/>
        <v>110</v>
      </c>
      <c r="N3265" s="98"/>
      <c r="O3265" s="93">
        <f t="shared" si="1122"/>
        <v>0</v>
      </c>
      <c r="ON3265" s="100">
        <f t="shared" si="1101"/>
        <v>0</v>
      </c>
    </row>
    <row r="3266" spans="1:404" ht="23.25" customHeight="1">
      <c r="A3266" s="97" t="str">
        <f t="shared" si="1128"/>
        <v>018/EUROMARKET-VG-2266-70300-03-B</v>
      </c>
      <c r="B3266" s="95">
        <v>44741</v>
      </c>
      <c r="C3266" s="97">
        <f t="shared" ca="1" si="1129"/>
        <v>-323</v>
      </c>
      <c r="D3266" s="112" t="s">
        <v>2489</v>
      </c>
      <c r="E3266" s="123" t="s">
        <v>25</v>
      </c>
      <c r="F3266" s="98" t="str">
        <f t="shared" si="1126"/>
        <v>B</v>
      </c>
      <c r="G3266" s="110">
        <f ca="1">SUMIF($A:E,$A3266,K:K)</f>
        <v>0</v>
      </c>
      <c r="H3266" s="97" t="s">
        <v>616</v>
      </c>
      <c r="I3266" s="175">
        <v>185</v>
      </c>
      <c r="J3266" s="115">
        <v>185</v>
      </c>
      <c r="K3266" s="143">
        <f t="shared" si="1112"/>
        <v>0</v>
      </c>
      <c r="L3266" s="144">
        <f t="shared" si="1127"/>
        <v>185</v>
      </c>
      <c r="N3266" s="98"/>
      <c r="O3266" s="93">
        <f t="shared" si="1122"/>
        <v>0</v>
      </c>
      <c r="ON3266" s="100">
        <f t="shared" si="1101"/>
        <v>0</v>
      </c>
    </row>
    <row r="3267" spans="1:404" ht="23.25" customHeight="1">
      <c r="A3267" s="97" t="str">
        <f t="shared" si="1128"/>
        <v>018/EUROMARKET-VG-2268-70900-03-B</v>
      </c>
      <c r="B3267" s="95">
        <v>44741</v>
      </c>
      <c r="C3267" s="97">
        <f t="shared" ca="1" si="1129"/>
        <v>-323</v>
      </c>
      <c r="D3267" s="112" t="s">
        <v>2489</v>
      </c>
      <c r="E3267" s="123" t="s">
        <v>27</v>
      </c>
      <c r="F3267" s="98" t="str">
        <f t="shared" si="1126"/>
        <v>B</v>
      </c>
      <c r="G3267" s="110">
        <f ca="1">SUMIF($A:E,$A3267,K:K)</f>
        <v>0</v>
      </c>
      <c r="H3267" s="97" t="s">
        <v>616</v>
      </c>
      <c r="I3267" s="175">
        <v>190</v>
      </c>
      <c r="J3267" s="115">
        <v>190</v>
      </c>
      <c r="K3267" s="143">
        <f t="shared" si="1112"/>
        <v>0</v>
      </c>
      <c r="L3267" s="144">
        <f t="shared" si="1127"/>
        <v>190</v>
      </c>
      <c r="N3267" s="98"/>
      <c r="O3267" s="93">
        <f t="shared" si="1122"/>
        <v>0</v>
      </c>
      <c r="ON3267" s="100">
        <f t="shared" si="1101"/>
        <v>0</v>
      </c>
    </row>
    <row r="3268" spans="1:404" ht="23.25" customHeight="1">
      <c r="A3268" s="97" t="str">
        <f t="shared" si="1128"/>
        <v>018/EUROMARKET-VG-2268-79900-01-B</v>
      </c>
      <c r="B3268" s="95">
        <v>44741</v>
      </c>
      <c r="C3268" s="97">
        <f t="shared" ca="1" si="1129"/>
        <v>-323</v>
      </c>
      <c r="D3268" s="112" t="s">
        <v>2489</v>
      </c>
      <c r="E3268" s="123" t="s">
        <v>1542</v>
      </c>
      <c r="F3268" s="98" t="str">
        <f t="shared" si="1126"/>
        <v>B</v>
      </c>
      <c r="G3268" s="110">
        <f ca="1">SUMIF($A:E,$A3268,K:K)</f>
        <v>0</v>
      </c>
      <c r="H3268" s="97" t="s">
        <v>616</v>
      </c>
      <c r="I3268" s="175">
        <v>30</v>
      </c>
      <c r="J3268" s="115">
        <v>30</v>
      </c>
      <c r="K3268" s="143">
        <f t="shared" si="1112"/>
        <v>0</v>
      </c>
      <c r="L3268" s="144">
        <f t="shared" si="1127"/>
        <v>30</v>
      </c>
      <c r="N3268" s="98"/>
      <c r="O3268" s="93">
        <f t="shared" si="1122"/>
        <v>0</v>
      </c>
      <c r="ON3268" s="100">
        <f t="shared" ref="ON3268:ON3331" si="1130">SUM(NS3268:OM3268)</f>
        <v>0</v>
      </c>
    </row>
    <row r="3269" spans="1:404" ht="23.25" customHeight="1">
      <c r="A3269" s="127" t="str">
        <f t="shared" si="1128"/>
        <v>018/EUROMARKET-VG-2266-02700-01-A1-PH-XM</v>
      </c>
      <c r="B3269" s="126">
        <v>44741</v>
      </c>
      <c r="C3269" s="127">
        <f t="shared" ca="1" si="1129"/>
        <v>-323</v>
      </c>
      <c r="D3269" s="208" t="s">
        <v>2489</v>
      </c>
      <c r="E3269" s="226" t="s">
        <v>2485</v>
      </c>
      <c r="F3269" s="132" t="str">
        <f t="shared" si="1126"/>
        <v>A1</v>
      </c>
      <c r="G3269" s="130">
        <f ca="1">SUMIF($A:E,$A3269,K:K)</f>
        <v>0</v>
      </c>
      <c r="H3269" s="127" t="s">
        <v>616</v>
      </c>
      <c r="I3269" s="203">
        <v>30</v>
      </c>
      <c r="J3269" s="134">
        <v>30</v>
      </c>
      <c r="K3269" s="160">
        <f t="shared" si="1112"/>
        <v>0</v>
      </c>
      <c r="L3269" s="151">
        <f t="shared" si="1127"/>
        <v>30</v>
      </c>
      <c r="N3269" s="132"/>
      <c r="O3269" s="228">
        <f t="shared" ref="O3269:O3323" si="1131">K3269/J3269*100</f>
        <v>0</v>
      </c>
      <c r="ON3269" s="100">
        <f t="shared" si="1130"/>
        <v>0</v>
      </c>
    </row>
    <row r="3270" spans="1:404" ht="23.25" customHeight="1">
      <c r="A3270" s="97" t="str">
        <f t="shared" si="1128"/>
        <v>519A/POTTEYPOT-VG-2166-75616-03-B</v>
      </c>
      <c r="B3270" s="95">
        <v>44735</v>
      </c>
      <c r="C3270" s="97">
        <f t="shared" ca="1" si="1129"/>
        <v>-329</v>
      </c>
      <c r="D3270" s="96" t="s">
        <v>2490</v>
      </c>
      <c r="E3270" s="94" t="s">
        <v>706</v>
      </c>
      <c r="F3270" s="98" t="str">
        <f t="shared" si="1126"/>
        <v>B</v>
      </c>
      <c r="G3270" s="110">
        <f ca="1">SUMIF($A:E,$A3270,K:K)</f>
        <v>0</v>
      </c>
      <c r="H3270" s="97" t="s">
        <v>616</v>
      </c>
      <c r="I3270" s="175">
        <v>108</v>
      </c>
      <c r="J3270" s="115">
        <v>108</v>
      </c>
      <c r="K3270" s="143">
        <f t="shared" si="1112"/>
        <v>0</v>
      </c>
      <c r="L3270" s="144">
        <f t="shared" ref="L3270" si="1132">J3270-K3270</f>
        <v>108</v>
      </c>
      <c r="M3270" s="276"/>
      <c r="N3270" s="98"/>
      <c r="O3270" s="93">
        <f t="shared" si="1131"/>
        <v>0</v>
      </c>
      <c r="ON3270" s="100">
        <f t="shared" si="1130"/>
        <v>0</v>
      </c>
    </row>
    <row r="3271" spans="1:404" ht="23.25" customHeight="1">
      <c r="A3271" s="97" t="str">
        <f t="shared" ref="A3271" si="1133">D3271&amp;E3271</f>
        <v>519A/POTTEYPOT-VG-2166-75616-03-B</v>
      </c>
      <c r="B3271" s="95">
        <v>44737</v>
      </c>
      <c r="C3271" s="97">
        <f t="shared" ref="C3271" ca="1" si="1134">B3271-TODAY()</f>
        <v>-327</v>
      </c>
      <c r="D3271" s="96" t="s">
        <v>2490</v>
      </c>
      <c r="E3271" s="94" t="s">
        <v>706</v>
      </c>
      <c r="F3271" s="98" t="str">
        <f t="shared" ref="F3271" si="1135">MID(E3271,13,2)</f>
        <v>B</v>
      </c>
      <c r="G3271" s="110">
        <f ca="1">SUMIF($A:E,$A3271,K:K)</f>
        <v>0</v>
      </c>
      <c r="H3271" s="97" t="s">
        <v>616</v>
      </c>
      <c r="I3271" s="175">
        <v>324</v>
      </c>
      <c r="J3271" s="115">
        <v>324</v>
      </c>
      <c r="K3271" s="143">
        <f t="shared" si="1112"/>
        <v>0</v>
      </c>
      <c r="L3271" s="144">
        <f t="shared" ref="L3271" si="1136">J3271-K3271</f>
        <v>324</v>
      </c>
      <c r="M3271" s="276"/>
      <c r="N3271" s="98"/>
      <c r="O3271" s="93">
        <f t="shared" si="1131"/>
        <v>0</v>
      </c>
      <c r="ON3271" s="100">
        <f t="shared" si="1130"/>
        <v>0</v>
      </c>
    </row>
    <row r="3272" spans="1:404" ht="23.25" customHeight="1">
      <c r="A3272" s="97" t="str">
        <f t="shared" si="1128"/>
        <v>066/HACA-HK-VG-2166-01722-B3-B</v>
      </c>
      <c r="B3272" s="95">
        <v>44739</v>
      </c>
      <c r="C3272" s="97">
        <f t="shared" ca="1" si="1129"/>
        <v>-325</v>
      </c>
      <c r="D3272" s="112" t="s">
        <v>2491</v>
      </c>
      <c r="E3272" s="123" t="s">
        <v>2492</v>
      </c>
      <c r="F3272" s="98" t="str">
        <f t="shared" ref="F3272:F3275" si="1137">MID(E3272,13,2)</f>
        <v>B</v>
      </c>
      <c r="G3272" s="110">
        <f ca="1">SUMIF($A:E,$A3272,K:K)</f>
        <v>0</v>
      </c>
      <c r="H3272" s="97" t="s">
        <v>2372</v>
      </c>
      <c r="I3272" s="98">
        <v>40</v>
      </c>
      <c r="J3272" s="99">
        <v>40</v>
      </c>
      <c r="K3272" s="143">
        <f t="shared" si="1112"/>
        <v>0</v>
      </c>
      <c r="L3272" s="144">
        <f t="shared" ref="L3272:L3275" si="1138">J3272-K3272</f>
        <v>40</v>
      </c>
      <c r="M3272" s="276"/>
      <c r="N3272" s="98"/>
      <c r="O3272" s="93">
        <f t="shared" si="1131"/>
        <v>0</v>
      </c>
      <c r="ON3272" s="100">
        <f t="shared" si="1130"/>
        <v>0</v>
      </c>
    </row>
    <row r="3273" spans="1:404" ht="23.25" customHeight="1">
      <c r="A3273" s="97" t="str">
        <f t="shared" ref="A3273:A3282" si="1139">D3273&amp;E3273</f>
        <v>066/HACA-HK-VG-2166-06722-S2-B</v>
      </c>
      <c r="B3273" s="95">
        <v>44739</v>
      </c>
      <c r="C3273" s="97">
        <f t="shared" ref="C3273:C3276" ca="1" si="1140">B3273-TODAY()</f>
        <v>-325</v>
      </c>
      <c r="D3273" s="112" t="s">
        <v>2491</v>
      </c>
      <c r="E3273" s="123" t="s">
        <v>1623</v>
      </c>
      <c r="F3273" s="98" t="str">
        <f t="shared" si="1137"/>
        <v>B</v>
      </c>
      <c r="G3273" s="110">
        <f ca="1">SUMIF($A:E,$A3273,K:K)</f>
        <v>0</v>
      </c>
      <c r="H3273" s="97" t="s">
        <v>2372</v>
      </c>
      <c r="I3273" s="98">
        <v>96</v>
      </c>
      <c r="J3273" s="99">
        <v>96</v>
      </c>
      <c r="K3273" s="143">
        <f t="shared" si="1112"/>
        <v>0</v>
      </c>
      <c r="L3273" s="144">
        <f t="shared" si="1138"/>
        <v>96</v>
      </c>
      <c r="M3273" s="276"/>
      <c r="N3273" s="98"/>
      <c r="O3273" s="93">
        <f t="shared" si="1131"/>
        <v>0</v>
      </c>
      <c r="ON3273" s="100">
        <f t="shared" si="1130"/>
        <v>0</v>
      </c>
    </row>
    <row r="3274" spans="1:404" ht="23.25" customHeight="1">
      <c r="A3274" s="97" t="str">
        <f t="shared" si="1139"/>
        <v>066/HACA-HK-VG-2166-12522-B2-B</v>
      </c>
      <c r="B3274" s="95">
        <v>44739</v>
      </c>
      <c r="C3274" s="97">
        <f t="shared" ca="1" si="1140"/>
        <v>-325</v>
      </c>
      <c r="D3274" s="112" t="s">
        <v>2491</v>
      </c>
      <c r="E3274" s="123" t="s">
        <v>632</v>
      </c>
      <c r="F3274" s="98" t="str">
        <f t="shared" si="1137"/>
        <v>B</v>
      </c>
      <c r="G3274" s="110">
        <f ca="1">SUMIF($A:E,$A3274,K:K)</f>
        <v>0</v>
      </c>
      <c r="H3274" s="97" t="s">
        <v>2372</v>
      </c>
      <c r="I3274" s="98">
        <v>24</v>
      </c>
      <c r="J3274" s="99">
        <v>24</v>
      </c>
      <c r="K3274" s="143">
        <f t="shared" si="1112"/>
        <v>0</v>
      </c>
      <c r="L3274" s="144">
        <f t="shared" si="1138"/>
        <v>24</v>
      </c>
      <c r="M3274" s="276"/>
      <c r="N3274" s="98"/>
      <c r="O3274" s="93">
        <f t="shared" si="1131"/>
        <v>0</v>
      </c>
      <c r="ON3274" s="100">
        <f t="shared" si="1130"/>
        <v>0</v>
      </c>
    </row>
    <row r="3275" spans="1:404" ht="23.25" customHeight="1">
      <c r="A3275" s="97" t="str">
        <f t="shared" si="1139"/>
        <v>066/HACA-HK-VG-2166-51012-S2-B</v>
      </c>
      <c r="B3275" s="95">
        <v>44739</v>
      </c>
      <c r="C3275" s="97">
        <f t="shared" ca="1" si="1140"/>
        <v>-325</v>
      </c>
      <c r="D3275" s="112" t="s">
        <v>2491</v>
      </c>
      <c r="E3275" s="123" t="s">
        <v>419</v>
      </c>
      <c r="F3275" s="98" t="str">
        <f t="shared" si="1137"/>
        <v>B</v>
      </c>
      <c r="G3275" s="110">
        <f ca="1">SUMIF($A:E,$A3275,K:K)</f>
        <v>0</v>
      </c>
      <c r="H3275" s="97" t="s">
        <v>2372</v>
      </c>
      <c r="I3275" s="98">
        <v>10</v>
      </c>
      <c r="J3275" s="99">
        <v>10</v>
      </c>
      <c r="K3275" s="143">
        <f t="shared" si="1112"/>
        <v>0</v>
      </c>
      <c r="L3275" s="144">
        <f t="shared" si="1138"/>
        <v>10</v>
      </c>
      <c r="M3275" s="276"/>
      <c r="N3275" s="98"/>
      <c r="O3275" s="93">
        <f t="shared" si="1131"/>
        <v>0</v>
      </c>
      <c r="ON3275" s="100">
        <f t="shared" si="1130"/>
        <v>0</v>
      </c>
    </row>
    <row r="3276" spans="1:404" ht="23.25" customHeight="1">
      <c r="A3276" s="97" t="str">
        <f t="shared" si="1139"/>
        <v>516/POTTERYPOT-VG-2166-75616-02-B</v>
      </c>
      <c r="B3276" s="95">
        <v>44739</v>
      </c>
      <c r="C3276" s="97">
        <f t="shared" ca="1" si="1140"/>
        <v>-325</v>
      </c>
      <c r="D3276" s="112" t="s">
        <v>2493</v>
      </c>
      <c r="E3276" s="123" t="s">
        <v>705</v>
      </c>
      <c r="F3276" s="98" t="str">
        <f t="shared" ref="F3276:F3281" si="1141">MID(E3276,13,2)</f>
        <v>B</v>
      </c>
      <c r="G3276" s="110">
        <f ca="1">SUMIF($A:E,$A3276,K:K)</f>
        <v>0</v>
      </c>
      <c r="H3276" s="97" t="s">
        <v>2372</v>
      </c>
      <c r="I3276" s="175">
        <v>324</v>
      </c>
      <c r="J3276" s="115">
        <v>324</v>
      </c>
      <c r="K3276" s="143">
        <f t="shared" si="1112"/>
        <v>0</v>
      </c>
      <c r="L3276" s="144">
        <f t="shared" ref="L3276:L3281" si="1142">J3276-K3276</f>
        <v>324</v>
      </c>
      <c r="M3276" s="276"/>
      <c r="N3276" s="98"/>
      <c r="O3276" s="93">
        <f t="shared" si="1131"/>
        <v>0</v>
      </c>
      <c r="ON3276" s="100">
        <f t="shared" si="1130"/>
        <v>0</v>
      </c>
    </row>
    <row r="3277" spans="1:404" ht="23.25" customHeight="1">
      <c r="A3277" s="97" t="str">
        <f t="shared" ref="A3277:A3281" si="1143">D3277&amp;E3277</f>
        <v>516/POTTERYPOT-VG-2166-75616-03-B</v>
      </c>
      <c r="B3277" s="95">
        <v>44739</v>
      </c>
      <c r="C3277" s="97">
        <f t="shared" ref="C3277:C3282" ca="1" si="1144">B3277-TODAY()</f>
        <v>-325</v>
      </c>
      <c r="D3277" s="112" t="s">
        <v>2493</v>
      </c>
      <c r="E3277" s="123" t="s">
        <v>706</v>
      </c>
      <c r="F3277" s="98" t="str">
        <f t="shared" si="1141"/>
        <v>B</v>
      </c>
      <c r="G3277" s="110">
        <f ca="1">SUMIF($A:E,$A3277,K:K)</f>
        <v>0</v>
      </c>
      <c r="H3277" s="97" t="s">
        <v>2372</v>
      </c>
      <c r="I3277" s="175">
        <v>216</v>
      </c>
      <c r="J3277" s="115">
        <v>216</v>
      </c>
      <c r="K3277" s="143">
        <f t="shared" si="1112"/>
        <v>0</v>
      </c>
      <c r="L3277" s="144">
        <f t="shared" si="1142"/>
        <v>216</v>
      </c>
      <c r="M3277" s="276"/>
      <c r="N3277" s="98"/>
      <c r="O3277" s="93">
        <f t="shared" si="1131"/>
        <v>0</v>
      </c>
      <c r="ON3277" s="100">
        <f t="shared" si="1130"/>
        <v>0</v>
      </c>
    </row>
    <row r="3278" spans="1:404" ht="23.25" customHeight="1">
      <c r="A3278" s="97" t="str">
        <f t="shared" si="1143"/>
        <v>516/POTTERYPOT-VG-2168-75616-02-B</v>
      </c>
      <c r="B3278" s="95">
        <v>44739</v>
      </c>
      <c r="C3278" s="97">
        <f t="shared" ca="1" si="1144"/>
        <v>-325</v>
      </c>
      <c r="D3278" s="112" t="s">
        <v>2493</v>
      </c>
      <c r="E3278" s="123" t="s">
        <v>987</v>
      </c>
      <c r="F3278" s="98" t="str">
        <f t="shared" si="1141"/>
        <v>B</v>
      </c>
      <c r="G3278" s="110">
        <f ca="1">SUMIF($A:E,$A3278,K:K)</f>
        <v>0</v>
      </c>
      <c r="H3278" s="97" t="s">
        <v>2372</v>
      </c>
      <c r="I3278" s="175">
        <v>144</v>
      </c>
      <c r="J3278" s="115">
        <v>144</v>
      </c>
      <c r="K3278" s="143">
        <f t="shared" si="1112"/>
        <v>0</v>
      </c>
      <c r="L3278" s="144">
        <f t="shared" si="1142"/>
        <v>144</v>
      </c>
      <c r="M3278" s="276"/>
      <c r="N3278" s="98"/>
      <c r="O3278" s="93">
        <f t="shared" si="1131"/>
        <v>0</v>
      </c>
      <c r="ON3278" s="100">
        <f t="shared" si="1130"/>
        <v>0</v>
      </c>
    </row>
    <row r="3279" spans="1:404" ht="23.25" customHeight="1">
      <c r="A3279" s="97" t="str">
        <f t="shared" si="1143"/>
        <v>516/POTTERYPOT-VG-2168-75916-S2-B</v>
      </c>
      <c r="B3279" s="95">
        <v>44739</v>
      </c>
      <c r="C3279" s="97">
        <f t="shared" ca="1" si="1144"/>
        <v>-325</v>
      </c>
      <c r="D3279" s="112" t="s">
        <v>2493</v>
      </c>
      <c r="E3279" s="123" t="s">
        <v>2494</v>
      </c>
      <c r="F3279" s="98" t="str">
        <f t="shared" si="1141"/>
        <v>B</v>
      </c>
      <c r="G3279" s="110">
        <f ca="1">SUMIF($A:E,$A3279,K:K)</f>
        <v>1</v>
      </c>
      <c r="H3279" s="97" t="s">
        <v>2372</v>
      </c>
      <c r="I3279" s="175">
        <v>36</v>
      </c>
      <c r="J3279" s="115">
        <v>36</v>
      </c>
      <c r="K3279" s="143">
        <f t="shared" si="1112"/>
        <v>0</v>
      </c>
      <c r="L3279" s="144">
        <f t="shared" si="1142"/>
        <v>36</v>
      </c>
      <c r="M3279" s="276"/>
      <c r="N3279" s="98"/>
      <c r="O3279" s="93">
        <f t="shared" si="1131"/>
        <v>0</v>
      </c>
      <c r="ON3279" s="100">
        <f t="shared" si="1130"/>
        <v>0</v>
      </c>
    </row>
    <row r="3280" spans="1:404" ht="23.25" customHeight="1">
      <c r="A3280" s="97" t="str">
        <f t="shared" si="1143"/>
        <v>516/POTTERYPOT-VG-2168-79316-05-B</v>
      </c>
      <c r="B3280" s="95">
        <v>44739</v>
      </c>
      <c r="C3280" s="97">
        <f t="shared" ca="1" si="1144"/>
        <v>-325</v>
      </c>
      <c r="D3280" s="112" t="s">
        <v>2493</v>
      </c>
      <c r="E3280" s="123" t="s">
        <v>714</v>
      </c>
      <c r="F3280" s="98" t="str">
        <f t="shared" si="1141"/>
        <v>B</v>
      </c>
      <c r="G3280" s="110">
        <f ca="1">SUMIF($A:E,$A3280,K:K)</f>
        <v>0</v>
      </c>
      <c r="H3280" s="97" t="s">
        <v>2372</v>
      </c>
      <c r="I3280" s="175">
        <v>168</v>
      </c>
      <c r="J3280" s="115">
        <v>168</v>
      </c>
      <c r="K3280" s="143">
        <f t="shared" si="1112"/>
        <v>0</v>
      </c>
      <c r="L3280" s="144">
        <f t="shared" si="1142"/>
        <v>168</v>
      </c>
      <c r="M3280" s="276"/>
      <c r="N3280" s="98"/>
      <c r="O3280" s="93">
        <f t="shared" si="1131"/>
        <v>0</v>
      </c>
      <c r="ON3280" s="100">
        <f t="shared" si="1130"/>
        <v>0</v>
      </c>
    </row>
    <row r="3281" spans="1:404" ht="23.25" customHeight="1">
      <c r="A3281" s="97" t="str">
        <f t="shared" si="1143"/>
        <v>516A/POTTERYPOT-VG-2168-79316-05-B</v>
      </c>
      <c r="B3281" s="95">
        <v>44737</v>
      </c>
      <c r="C3281" s="97">
        <f t="shared" ca="1" si="1144"/>
        <v>-327</v>
      </c>
      <c r="D3281" s="112" t="s">
        <v>2495</v>
      </c>
      <c r="E3281" s="123" t="s">
        <v>714</v>
      </c>
      <c r="F3281" s="98" t="str">
        <f t="shared" si="1141"/>
        <v>B</v>
      </c>
      <c r="G3281" s="110">
        <f ca="1">SUMIF($A:E,$A3281,K:K)</f>
        <v>0</v>
      </c>
      <c r="H3281" s="97" t="s">
        <v>2372</v>
      </c>
      <c r="I3281" s="175">
        <v>28</v>
      </c>
      <c r="J3281" s="115">
        <v>28</v>
      </c>
      <c r="K3281" s="143">
        <f t="shared" si="1112"/>
        <v>0</v>
      </c>
      <c r="L3281" s="144">
        <f t="shared" si="1142"/>
        <v>28</v>
      </c>
      <c r="M3281" s="276"/>
      <c r="N3281" s="98"/>
      <c r="O3281" s="93">
        <f t="shared" si="1131"/>
        <v>0</v>
      </c>
      <c r="ON3281" s="100">
        <f t="shared" si="1130"/>
        <v>0</v>
      </c>
    </row>
    <row r="3282" spans="1:404" ht="23.25" customHeight="1">
      <c r="A3282" s="97" t="str">
        <f t="shared" si="1139"/>
        <v>010/YAMATEI-VG-2166-00605-01-B</v>
      </c>
      <c r="B3282" s="95">
        <v>44731</v>
      </c>
      <c r="C3282" s="97">
        <f t="shared" ca="1" si="1144"/>
        <v>-333</v>
      </c>
      <c r="D3282" s="112" t="s">
        <v>2496</v>
      </c>
      <c r="E3282" s="123" t="s">
        <v>2313</v>
      </c>
      <c r="F3282" s="98" t="str">
        <f t="shared" ref="F3282:F3302" si="1145">MID(E3282,13,2)</f>
        <v>B</v>
      </c>
      <c r="G3282" s="110">
        <f ca="1">SUMIF($A:E,$A3282,K:K)</f>
        <v>0</v>
      </c>
      <c r="H3282" s="97" t="s">
        <v>2372</v>
      </c>
      <c r="I3282" s="175">
        <v>24</v>
      </c>
      <c r="J3282" s="115">
        <v>24</v>
      </c>
      <c r="K3282" s="143">
        <f t="shared" si="1112"/>
        <v>0</v>
      </c>
      <c r="L3282" s="144">
        <f t="shared" ref="L3282:L3314" si="1146">J3282-K3282</f>
        <v>24</v>
      </c>
      <c r="M3282" s="276"/>
      <c r="N3282" s="98"/>
      <c r="O3282" s="93">
        <f t="shared" si="1131"/>
        <v>0</v>
      </c>
      <c r="ON3282" s="100">
        <f t="shared" si="1130"/>
        <v>0</v>
      </c>
    </row>
    <row r="3283" spans="1:404" ht="23.25" customHeight="1">
      <c r="A3283" s="97" t="str">
        <f t="shared" ref="A3283:A3305" si="1147">D3283&amp;E3283</f>
        <v>010/YAMATEI-VG-2166-00605-L2-B</v>
      </c>
      <c r="B3283" s="95">
        <v>44731</v>
      </c>
      <c r="C3283" s="97">
        <f t="shared" ref="C3283:C3306" ca="1" si="1148">B3283-TODAY()</f>
        <v>-333</v>
      </c>
      <c r="D3283" s="112" t="s">
        <v>2496</v>
      </c>
      <c r="E3283" s="123" t="s">
        <v>2497</v>
      </c>
      <c r="F3283" s="98" t="str">
        <f t="shared" si="1145"/>
        <v>B</v>
      </c>
      <c r="G3283" s="110">
        <f ca="1">SUMIF($A:E,$A3283,K:K)</f>
        <v>1</v>
      </c>
      <c r="H3283" s="97" t="s">
        <v>2372</v>
      </c>
      <c r="I3283" s="175">
        <v>24</v>
      </c>
      <c r="J3283" s="115">
        <v>24</v>
      </c>
      <c r="K3283" s="143">
        <f t="shared" si="1112"/>
        <v>0</v>
      </c>
      <c r="L3283" s="144">
        <f t="shared" si="1146"/>
        <v>24</v>
      </c>
      <c r="M3283" s="276"/>
      <c r="N3283" s="98"/>
      <c r="O3283" s="93">
        <f t="shared" si="1131"/>
        <v>0</v>
      </c>
      <c r="ON3283" s="100">
        <f t="shared" si="1130"/>
        <v>0</v>
      </c>
    </row>
    <row r="3284" spans="1:404" ht="23.25" customHeight="1">
      <c r="A3284" s="97" t="str">
        <f t="shared" si="1147"/>
        <v>010/YAMATEI-VG-2166-01705-02-B</v>
      </c>
      <c r="B3284" s="95">
        <v>44731</v>
      </c>
      <c r="C3284" s="97">
        <f t="shared" ca="1" si="1148"/>
        <v>-333</v>
      </c>
      <c r="D3284" s="112" t="s">
        <v>2496</v>
      </c>
      <c r="E3284" s="123" t="s">
        <v>2498</v>
      </c>
      <c r="F3284" s="98" t="str">
        <f t="shared" si="1145"/>
        <v>B</v>
      </c>
      <c r="G3284" s="110">
        <f ca="1">SUMIF($A:E,$A3284,K:K)</f>
        <v>1</v>
      </c>
      <c r="H3284" s="97" t="s">
        <v>2372</v>
      </c>
      <c r="I3284" s="175">
        <v>20</v>
      </c>
      <c r="J3284" s="115">
        <v>20</v>
      </c>
      <c r="K3284" s="143">
        <f t="shared" si="1112"/>
        <v>0</v>
      </c>
      <c r="L3284" s="144">
        <f t="shared" si="1146"/>
        <v>20</v>
      </c>
      <c r="M3284" s="276"/>
      <c r="N3284" s="98"/>
      <c r="O3284" s="93">
        <f t="shared" si="1131"/>
        <v>0</v>
      </c>
      <c r="ON3284" s="100">
        <f t="shared" si="1130"/>
        <v>0</v>
      </c>
    </row>
    <row r="3285" spans="1:404" ht="23.25" customHeight="1">
      <c r="A3285" s="97" t="str">
        <f t="shared" si="1147"/>
        <v>010/YAMATEI-VG-2166-01705-03-B</v>
      </c>
      <c r="B3285" s="95">
        <v>44731</v>
      </c>
      <c r="C3285" s="97">
        <f t="shared" ca="1" si="1148"/>
        <v>-333</v>
      </c>
      <c r="D3285" s="112" t="s">
        <v>2496</v>
      </c>
      <c r="E3285" s="123" t="s">
        <v>2315</v>
      </c>
      <c r="F3285" s="98" t="str">
        <f t="shared" si="1145"/>
        <v>B</v>
      </c>
      <c r="G3285" s="110">
        <f ca="1">SUMIF($A:E,$A3285,K:K)</f>
        <v>0</v>
      </c>
      <c r="H3285" s="97" t="s">
        <v>2372</v>
      </c>
      <c r="I3285" s="175">
        <v>144</v>
      </c>
      <c r="J3285" s="115">
        <v>144</v>
      </c>
      <c r="K3285" s="143">
        <f t="shared" si="1112"/>
        <v>0</v>
      </c>
      <c r="L3285" s="144">
        <f t="shared" si="1146"/>
        <v>144</v>
      </c>
      <c r="M3285" s="276"/>
      <c r="N3285" s="98"/>
      <c r="O3285" s="93">
        <f t="shared" si="1131"/>
        <v>0</v>
      </c>
      <c r="ON3285" s="100">
        <f t="shared" si="1130"/>
        <v>0</v>
      </c>
    </row>
    <row r="3286" spans="1:404" ht="23.25" customHeight="1">
      <c r="A3286" s="97" t="str">
        <f t="shared" si="1147"/>
        <v>010/YAMATEI-VG-2166-01705-B2-B</v>
      </c>
      <c r="B3286" s="95">
        <v>44731</v>
      </c>
      <c r="C3286" s="97">
        <f t="shared" ca="1" si="1148"/>
        <v>-333</v>
      </c>
      <c r="D3286" s="112" t="s">
        <v>2496</v>
      </c>
      <c r="E3286" s="123" t="s">
        <v>2316</v>
      </c>
      <c r="F3286" s="98" t="str">
        <f t="shared" si="1145"/>
        <v>B</v>
      </c>
      <c r="G3286" s="110">
        <f ca="1">SUMIF($A:E,$A3286,K:K)</f>
        <v>0</v>
      </c>
      <c r="H3286" s="97" t="s">
        <v>2372</v>
      </c>
      <c r="I3286" s="175">
        <v>36</v>
      </c>
      <c r="J3286" s="115">
        <v>36</v>
      </c>
      <c r="K3286" s="143">
        <f t="shared" si="1112"/>
        <v>0</v>
      </c>
      <c r="L3286" s="144">
        <f t="shared" si="1146"/>
        <v>36</v>
      </c>
      <c r="M3286" s="276"/>
      <c r="N3286" s="98"/>
      <c r="O3286" s="93">
        <f t="shared" si="1131"/>
        <v>0</v>
      </c>
      <c r="ON3286" s="100">
        <f t="shared" si="1130"/>
        <v>0</v>
      </c>
    </row>
    <row r="3287" spans="1:404" ht="23.25" customHeight="1">
      <c r="A3287" s="97" t="str">
        <f t="shared" si="1147"/>
        <v>010/YAMATEI-VG-2166-02600-01-B</v>
      </c>
      <c r="B3287" s="95">
        <v>44731</v>
      </c>
      <c r="C3287" s="97">
        <f t="shared" ca="1" si="1148"/>
        <v>-333</v>
      </c>
      <c r="D3287" s="112" t="s">
        <v>2496</v>
      </c>
      <c r="E3287" s="123" t="s">
        <v>626</v>
      </c>
      <c r="F3287" s="98" t="str">
        <f t="shared" si="1145"/>
        <v>B</v>
      </c>
      <c r="G3287" s="110">
        <f ca="1">SUMIF($A:E,$A3287,K:K)</f>
        <v>0</v>
      </c>
      <c r="H3287" s="97" t="s">
        <v>2372</v>
      </c>
      <c r="I3287" s="175">
        <v>16</v>
      </c>
      <c r="J3287" s="115">
        <v>16</v>
      </c>
      <c r="K3287" s="143">
        <f t="shared" si="1112"/>
        <v>0</v>
      </c>
      <c r="L3287" s="144">
        <f t="shared" si="1146"/>
        <v>16</v>
      </c>
      <c r="M3287" s="276"/>
      <c r="N3287" s="98"/>
      <c r="O3287" s="93">
        <f t="shared" si="1131"/>
        <v>0</v>
      </c>
      <c r="ON3287" s="100">
        <f t="shared" si="1130"/>
        <v>0</v>
      </c>
    </row>
    <row r="3288" spans="1:404" ht="23.25" customHeight="1">
      <c r="A3288" s="97" t="str">
        <f t="shared" si="1147"/>
        <v>010/YAMATEI-VG-2166-02605-B2-B</v>
      </c>
      <c r="B3288" s="95">
        <v>44731</v>
      </c>
      <c r="C3288" s="97">
        <f t="shared" ca="1" si="1148"/>
        <v>-333</v>
      </c>
      <c r="D3288" s="112" t="s">
        <v>2496</v>
      </c>
      <c r="E3288" s="123" t="s">
        <v>2499</v>
      </c>
      <c r="F3288" s="98" t="str">
        <f t="shared" si="1145"/>
        <v>B</v>
      </c>
      <c r="G3288" s="110">
        <f ca="1">SUMIF($A:E,$A3288,K:K)</f>
        <v>0</v>
      </c>
      <c r="H3288" s="97" t="s">
        <v>2372</v>
      </c>
      <c r="I3288" s="175">
        <v>60</v>
      </c>
      <c r="J3288" s="115">
        <v>60</v>
      </c>
      <c r="K3288" s="143">
        <f t="shared" si="1112"/>
        <v>0</v>
      </c>
      <c r="L3288" s="144">
        <f t="shared" si="1146"/>
        <v>60</v>
      </c>
      <c r="M3288" s="276"/>
      <c r="N3288" s="98"/>
      <c r="O3288" s="93">
        <f t="shared" si="1131"/>
        <v>0</v>
      </c>
      <c r="ON3288" s="100">
        <f t="shared" si="1130"/>
        <v>0</v>
      </c>
    </row>
    <row r="3289" spans="1:404" ht="23.25" customHeight="1">
      <c r="A3289" s="97" t="str">
        <f t="shared" si="1147"/>
        <v>010/YAMATEI-VG-2166-02717-02-B</v>
      </c>
      <c r="B3289" s="95">
        <v>44731</v>
      </c>
      <c r="C3289" s="97">
        <f t="shared" ca="1" si="1148"/>
        <v>-333</v>
      </c>
      <c r="D3289" s="112" t="s">
        <v>2496</v>
      </c>
      <c r="E3289" s="123" t="s">
        <v>1576</v>
      </c>
      <c r="F3289" s="98" t="str">
        <f t="shared" si="1145"/>
        <v>B</v>
      </c>
      <c r="G3289" s="110">
        <f ca="1">SUMIF($A:E,$A3289,K:K)</f>
        <v>0</v>
      </c>
      <c r="H3289" s="97" t="s">
        <v>2372</v>
      </c>
      <c r="I3289" s="175">
        <v>36</v>
      </c>
      <c r="J3289" s="115">
        <v>36</v>
      </c>
      <c r="K3289" s="143">
        <f t="shared" si="1112"/>
        <v>0</v>
      </c>
      <c r="L3289" s="144">
        <f t="shared" si="1146"/>
        <v>36</v>
      </c>
      <c r="M3289" s="276"/>
      <c r="N3289" s="98"/>
      <c r="O3289" s="93">
        <f t="shared" si="1131"/>
        <v>0</v>
      </c>
      <c r="ON3289" s="100">
        <f t="shared" si="1130"/>
        <v>0</v>
      </c>
    </row>
    <row r="3290" spans="1:404" ht="23.25" customHeight="1">
      <c r="A3290" s="97" t="str">
        <f t="shared" si="1147"/>
        <v>010/YAMATEI-VG-2166-54105-02-B</v>
      </c>
      <c r="B3290" s="95">
        <v>44731</v>
      </c>
      <c r="C3290" s="97">
        <f t="shared" ca="1" si="1148"/>
        <v>-333</v>
      </c>
      <c r="D3290" s="112" t="s">
        <v>2496</v>
      </c>
      <c r="E3290" s="123" t="s">
        <v>2318</v>
      </c>
      <c r="F3290" s="98" t="str">
        <f t="shared" si="1145"/>
        <v>B</v>
      </c>
      <c r="G3290" s="110">
        <f ca="1">SUMIF($A:E,$A3290,K:K)</f>
        <v>0</v>
      </c>
      <c r="H3290" s="97" t="s">
        <v>2372</v>
      </c>
      <c r="I3290" s="175">
        <v>44</v>
      </c>
      <c r="J3290" s="115">
        <v>44</v>
      </c>
      <c r="K3290" s="143">
        <f t="shared" si="1112"/>
        <v>0</v>
      </c>
      <c r="L3290" s="144">
        <f t="shared" si="1146"/>
        <v>44</v>
      </c>
      <c r="M3290" s="276"/>
      <c r="N3290" s="98"/>
      <c r="O3290" s="93">
        <f t="shared" si="1131"/>
        <v>0</v>
      </c>
      <c r="ON3290" s="100">
        <f t="shared" si="1130"/>
        <v>0</v>
      </c>
    </row>
    <row r="3291" spans="1:404" ht="23.25" customHeight="1">
      <c r="A3291" s="97" t="str">
        <f t="shared" si="1147"/>
        <v>010/YAMATEI-VG-2166-55405-01-B</v>
      </c>
      <c r="B3291" s="95">
        <v>44731</v>
      </c>
      <c r="C3291" s="97">
        <f t="shared" ca="1" si="1148"/>
        <v>-333</v>
      </c>
      <c r="D3291" s="112" t="s">
        <v>2496</v>
      </c>
      <c r="E3291" s="123" t="s">
        <v>2319</v>
      </c>
      <c r="F3291" s="98" t="str">
        <f t="shared" si="1145"/>
        <v>B</v>
      </c>
      <c r="G3291" s="110">
        <f ca="1">SUMIF($A:E,$A3291,K:K)</f>
        <v>0</v>
      </c>
      <c r="H3291" s="97" t="s">
        <v>2372</v>
      </c>
      <c r="I3291" s="175">
        <v>12</v>
      </c>
      <c r="J3291" s="115">
        <v>12</v>
      </c>
      <c r="K3291" s="143">
        <f t="shared" si="1112"/>
        <v>0</v>
      </c>
      <c r="L3291" s="144">
        <f t="shared" si="1146"/>
        <v>12</v>
      </c>
      <c r="M3291" s="276"/>
      <c r="N3291" s="98"/>
      <c r="O3291" s="93">
        <f t="shared" si="1131"/>
        <v>0</v>
      </c>
      <c r="ON3291" s="100">
        <f t="shared" si="1130"/>
        <v>0</v>
      </c>
    </row>
    <row r="3292" spans="1:404" ht="23.25" customHeight="1">
      <c r="A3292" s="97" t="str">
        <f t="shared" si="1147"/>
        <v>010/YAMATEI-VG-2166-55405-03-B</v>
      </c>
      <c r="B3292" s="95">
        <v>44731</v>
      </c>
      <c r="C3292" s="97">
        <f t="shared" ca="1" si="1148"/>
        <v>-333</v>
      </c>
      <c r="D3292" s="112" t="s">
        <v>2496</v>
      </c>
      <c r="E3292" s="123" t="s">
        <v>2320</v>
      </c>
      <c r="F3292" s="98" t="str">
        <f t="shared" si="1145"/>
        <v>B</v>
      </c>
      <c r="G3292" s="110">
        <f ca="1">SUMIF($A:E,$A3292,K:K)</f>
        <v>0</v>
      </c>
      <c r="H3292" s="97" t="s">
        <v>2372</v>
      </c>
      <c r="I3292" s="175">
        <v>180</v>
      </c>
      <c r="J3292" s="115">
        <v>180</v>
      </c>
      <c r="K3292" s="143">
        <f t="shared" si="1112"/>
        <v>0</v>
      </c>
      <c r="L3292" s="144">
        <f t="shared" si="1146"/>
        <v>180</v>
      </c>
      <c r="M3292" s="276"/>
      <c r="N3292" s="98"/>
      <c r="O3292" s="93">
        <f t="shared" si="1131"/>
        <v>0</v>
      </c>
      <c r="ON3292" s="100">
        <f t="shared" si="1130"/>
        <v>0</v>
      </c>
    </row>
    <row r="3293" spans="1:404" ht="23.25" customHeight="1">
      <c r="A3293" s="97" t="str">
        <f t="shared" si="1147"/>
        <v>010/YAMATEI-VG-2166-55405-B2-B</v>
      </c>
      <c r="B3293" s="95">
        <v>44731</v>
      </c>
      <c r="C3293" s="97">
        <f t="shared" ca="1" si="1148"/>
        <v>-333</v>
      </c>
      <c r="D3293" s="112" t="s">
        <v>2496</v>
      </c>
      <c r="E3293" s="123" t="s">
        <v>2321</v>
      </c>
      <c r="F3293" s="98" t="str">
        <f t="shared" si="1145"/>
        <v>B</v>
      </c>
      <c r="G3293" s="110">
        <f ca="1">SUMIF($A:E,$A3293,K:K)</f>
        <v>0</v>
      </c>
      <c r="H3293" s="97" t="s">
        <v>2372</v>
      </c>
      <c r="I3293" s="175">
        <v>48</v>
      </c>
      <c r="J3293" s="115">
        <v>48</v>
      </c>
      <c r="K3293" s="143">
        <f t="shared" si="1112"/>
        <v>0</v>
      </c>
      <c r="L3293" s="144">
        <f t="shared" si="1146"/>
        <v>48</v>
      </c>
      <c r="M3293" s="276"/>
      <c r="N3293" s="98"/>
      <c r="O3293" s="93">
        <f t="shared" si="1131"/>
        <v>0</v>
      </c>
      <c r="ON3293" s="100">
        <f t="shared" si="1130"/>
        <v>0</v>
      </c>
    </row>
    <row r="3294" spans="1:404" ht="23.25" customHeight="1">
      <c r="A3294" s="97" t="str">
        <f t="shared" si="1147"/>
        <v>010/YAMATEI-VG-2166-55409-B2-B</v>
      </c>
      <c r="B3294" s="95">
        <v>44731</v>
      </c>
      <c r="C3294" s="97">
        <f t="shared" ca="1" si="1148"/>
        <v>-333</v>
      </c>
      <c r="D3294" s="112" t="s">
        <v>2496</v>
      </c>
      <c r="E3294" s="123" t="s">
        <v>2323</v>
      </c>
      <c r="F3294" s="98" t="str">
        <f t="shared" si="1145"/>
        <v>B</v>
      </c>
      <c r="G3294" s="110">
        <f ca="1">SUMIF($A:E,$A3294,K:K)</f>
        <v>0</v>
      </c>
      <c r="H3294" s="97" t="s">
        <v>2372</v>
      </c>
      <c r="I3294" s="175">
        <v>24</v>
      </c>
      <c r="J3294" s="115">
        <v>24</v>
      </c>
      <c r="K3294" s="143">
        <f t="shared" si="1112"/>
        <v>0</v>
      </c>
      <c r="L3294" s="144">
        <f t="shared" si="1146"/>
        <v>24</v>
      </c>
      <c r="M3294" s="276"/>
      <c r="N3294" s="98"/>
      <c r="O3294" s="93">
        <f t="shared" si="1131"/>
        <v>0</v>
      </c>
      <c r="ON3294" s="100">
        <f t="shared" si="1130"/>
        <v>0</v>
      </c>
    </row>
    <row r="3295" spans="1:404" ht="23.25" customHeight="1">
      <c r="A3295" s="97" t="str">
        <f t="shared" si="1147"/>
        <v>010/YAMATEI-VG-2166-70305-02-B</v>
      </c>
      <c r="B3295" s="95">
        <v>44731</v>
      </c>
      <c r="C3295" s="97">
        <f t="shared" ca="1" si="1148"/>
        <v>-333</v>
      </c>
      <c r="D3295" s="112" t="s">
        <v>2496</v>
      </c>
      <c r="E3295" s="123" t="s">
        <v>2500</v>
      </c>
      <c r="F3295" s="98" t="str">
        <f t="shared" si="1145"/>
        <v>B</v>
      </c>
      <c r="G3295" s="110">
        <f ca="1">SUMIF($A:E,$A3295,K:K)</f>
        <v>0</v>
      </c>
      <c r="H3295" s="97" t="s">
        <v>2372</v>
      </c>
      <c r="I3295" s="175">
        <v>16</v>
      </c>
      <c r="J3295" s="115">
        <v>16</v>
      </c>
      <c r="K3295" s="143">
        <f t="shared" si="1112"/>
        <v>0</v>
      </c>
      <c r="L3295" s="144">
        <f t="shared" si="1146"/>
        <v>16</v>
      </c>
      <c r="M3295" s="276"/>
      <c r="N3295" s="98"/>
      <c r="O3295" s="93">
        <f t="shared" si="1131"/>
        <v>0</v>
      </c>
      <c r="ON3295" s="100">
        <f t="shared" si="1130"/>
        <v>0</v>
      </c>
    </row>
    <row r="3296" spans="1:404" ht="23.25" customHeight="1">
      <c r="A3296" s="97" t="str">
        <f t="shared" si="1147"/>
        <v>010/YAMATEI-VG-2166-70305-B2-B</v>
      </c>
      <c r="B3296" s="95">
        <v>44731</v>
      </c>
      <c r="C3296" s="97">
        <f t="shared" ca="1" si="1148"/>
        <v>-333</v>
      </c>
      <c r="D3296" s="112" t="s">
        <v>2496</v>
      </c>
      <c r="E3296" s="123" t="s">
        <v>2327</v>
      </c>
      <c r="F3296" s="98" t="str">
        <f t="shared" si="1145"/>
        <v>B</v>
      </c>
      <c r="G3296" s="110">
        <f ca="1">SUMIF($A:E,$A3296,K:K)</f>
        <v>0</v>
      </c>
      <c r="H3296" s="97" t="s">
        <v>2372</v>
      </c>
      <c r="I3296" s="175">
        <v>210</v>
      </c>
      <c r="J3296" s="115">
        <v>210</v>
      </c>
      <c r="K3296" s="143">
        <f t="shared" si="1112"/>
        <v>0</v>
      </c>
      <c r="L3296" s="144">
        <f t="shared" si="1146"/>
        <v>210</v>
      </c>
      <c r="M3296" s="276"/>
      <c r="N3296" s="98"/>
      <c r="O3296" s="93">
        <f t="shared" si="1131"/>
        <v>0</v>
      </c>
      <c r="ON3296" s="100">
        <f t="shared" si="1130"/>
        <v>0</v>
      </c>
    </row>
    <row r="3297" spans="1:404" ht="23.25" customHeight="1">
      <c r="A3297" s="97" t="str">
        <f t="shared" si="1147"/>
        <v>010/YAMATEI-VG-2166-70309-02-B</v>
      </c>
      <c r="B3297" s="95">
        <v>44731</v>
      </c>
      <c r="C3297" s="97">
        <f t="shared" ca="1" si="1148"/>
        <v>-333</v>
      </c>
      <c r="D3297" s="112" t="s">
        <v>2496</v>
      </c>
      <c r="E3297" s="123" t="s">
        <v>1560</v>
      </c>
      <c r="F3297" s="98" t="str">
        <f t="shared" si="1145"/>
        <v>B</v>
      </c>
      <c r="G3297" s="110">
        <f ca="1">SUMIF($A:E,$A3297,K:K)</f>
        <v>0</v>
      </c>
      <c r="H3297" s="97" t="s">
        <v>2372</v>
      </c>
      <c r="I3297" s="175">
        <v>16</v>
      </c>
      <c r="J3297" s="115">
        <v>16</v>
      </c>
      <c r="K3297" s="143">
        <f t="shared" ref="K3297:K3360" si="1149">SUM(P3297:BBC3297)</f>
        <v>0</v>
      </c>
      <c r="L3297" s="144">
        <f t="shared" si="1146"/>
        <v>16</v>
      </c>
      <c r="M3297" s="276"/>
      <c r="N3297" s="98"/>
      <c r="O3297" s="93">
        <f t="shared" si="1131"/>
        <v>0</v>
      </c>
      <c r="ON3297" s="100">
        <f t="shared" si="1130"/>
        <v>0</v>
      </c>
    </row>
    <row r="3298" spans="1:404" ht="23.25" customHeight="1">
      <c r="A3298" s="97" t="str">
        <f t="shared" si="1147"/>
        <v>010/YAMATEI-VG-2166-70309-04-B</v>
      </c>
      <c r="B3298" s="95">
        <v>44731</v>
      </c>
      <c r="C3298" s="97">
        <f t="shared" ca="1" si="1148"/>
        <v>-333</v>
      </c>
      <c r="D3298" s="112" t="s">
        <v>2496</v>
      </c>
      <c r="E3298" s="123" t="s">
        <v>2329</v>
      </c>
      <c r="F3298" s="98" t="str">
        <f t="shared" si="1145"/>
        <v>B</v>
      </c>
      <c r="G3298" s="110">
        <f ca="1">SUMIF($A:E,$A3298,K:K)</f>
        <v>0</v>
      </c>
      <c r="H3298" s="97" t="s">
        <v>2372</v>
      </c>
      <c r="I3298" s="175">
        <v>63</v>
      </c>
      <c r="J3298" s="115">
        <v>63</v>
      </c>
      <c r="K3298" s="143">
        <f t="shared" si="1149"/>
        <v>0</v>
      </c>
      <c r="L3298" s="144">
        <f t="shared" si="1146"/>
        <v>63</v>
      </c>
      <c r="M3298" s="276"/>
      <c r="N3298" s="98"/>
      <c r="O3298" s="93">
        <f t="shared" si="1131"/>
        <v>0</v>
      </c>
      <c r="ON3298" s="100">
        <f t="shared" si="1130"/>
        <v>0</v>
      </c>
    </row>
    <row r="3299" spans="1:404" ht="23.25" customHeight="1">
      <c r="A3299" s="97" t="str">
        <f t="shared" si="1147"/>
        <v>010/YAMATEI-VG-2166-70309-B3-B</v>
      </c>
      <c r="B3299" s="95">
        <v>44731</v>
      </c>
      <c r="C3299" s="97">
        <f t="shared" ca="1" si="1148"/>
        <v>-333</v>
      </c>
      <c r="D3299" s="112" t="s">
        <v>2496</v>
      </c>
      <c r="E3299" s="123" t="s">
        <v>2501</v>
      </c>
      <c r="F3299" s="98" t="str">
        <f t="shared" si="1145"/>
        <v>B</v>
      </c>
      <c r="G3299" s="110">
        <f ca="1">SUMIF($A:E,$A3299,K:K)</f>
        <v>0</v>
      </c>
      <c r="H3299" s="97" t="s">
        <v>2372</v>
      </c>
      <c r="I3299" s="175">
        <v>32</v>
      </c>
      <c r="J3299" s="115">
        <v>32</v>
      </c>
      <c r="K3299" s="143">
        <f t="shared" si="1149"/>
        <v>0</v>
      </c>
      <c r="L3299" s="144">
        <f t="shared" si="1146"/>
        <v>32</v>
      </c>
      <c r="M3299" s="276"/>
      <c r="N3299" s="98"/>
      <c r="O3299" s="93">
        <f t="shared" si="1131"/>
        <v>0</v>
      </c>
      <c r="ON3299" s="100">
        <f t="shared" si="1130"/>
        <v>0</v>
      </c>
    </row>
    <row r="3300" spans="1:404" ht="23.25" customHeight="1">
      <c r="A3300" s="97" t="str">
        <f t="shared" si="1147"/>
        <v>010/YAMATEI-VG-2166-70309-X1-B</v>
      </c>
      <c r="B3300" s="95">
        <v>44731</v>
      </c>
      <c r="C3300" s="97">
        <f t="shared" ca="1" si="1148"/>
        <v>-333</v>
      </c>
      <c r="D3300" s="112" t="s">
        <v>2496</v>
      </c>
      <c r="E3300" s="123" t="s">
        <v>2502</v>
      </c>
      <c r="F3300" s="98" t="str">
        <f t="shared" si="1145"/>
        <v>B</v>
      </c>
      <c r="G3300" s="110">
        <f ca="1">SUMIF($A:E,$A3300,K:K)</f>
        <v>0</v>
      </c>
      <c r="H3300" s="97" t="s">
        <v>2372</v>
      </c>
      <c r="I3300" s="175">
        <v>64</v>
      </c>
      <c r="J3300" s="115">
        <v>64</v>
      </c>
      <c r="K3300" s="143">
        <f t="shared" si="1149"/>
        <v>0</v>
      </c>
      <c r="L3300" s="144">
        <f t="shared" si="1146"/>
        <v>64</v>
      </c>
      <c r="M3300" s="276"/>
      <c r="N3300" s="98"/>
      <c r="O3300" s="93">
        <f t="shared" si="1131"/>
        <v>0</v>
      </c>
      <c r="ON3300" s="100">
        <f t="shared" si="1130"/>
        <v>0</v>
      </c>
    </row>
    <row r="3301" spans="1:404" ht="23.25" customHeight="1">
      <c r="A3301" s="97" t="str">
        <f t="shared" si="1147"/>
        <v>010/YAMATEI-VG-2166-77905-03-B</v>
      </c>
      <c r="B3301" s="95">
        <v>44731</v>
      </c>
      <c r="C3301" s="97">
        <f t="shared" ca="1" si="1148"/>
        <v>-333</v>
      </c>
      <c r="D3301" s="112" t="s">
        <v>2496</v>
      </c>
      <c r="E3301" s="123" t="s">
        <v>2330</v>
      </c>
      <c r="F3301" s="98" t="str">
        <f t="shared" si="1145"/>
        <v>B</v>
      </c>
      <c r="G3301" s="110">
        <f ca="1">SUMIF($A:E,$A3301,K:K)</f>
        <v>0</v>
      </c>
      <c r="H3301" s="97" t="s">
        <v>2372</v>
      </c>
      <c r="I3301" s="175">
        <v>108</v>
      </c>
      <c r="J3301" s="115">
        <v>108</v>
      </c>
      <c r="K3301" s="143">
        <f t="shared" si="1149"/>
        <v>0</v>
      </c>
      <c r="L3301" s="144">
        <f t="shared" si="1146"/>
        <v>108</v>
      </c>
      <c r="M3301" s="276"/>
      <c r="N3301" s="98"/>
      <c r="O3301" s="93">
        <f t="shared" si="1131"/>
        <v>0</v>
      </c>
      <c r="ON3301" s="100">
        <f t="shared" si="1130"/>
        <v>0</v>
      </c>
    </row>
    <row r="3302" spans="1:404" ht="23.25" customHeight="1">
      <c r="A3302" s="97" t="str">
        <f t="shared" si="1147"/>
        <v>002T/WESTELM-2266-70337-03-B4</v>
      </c>
      <c r="B3302" s="95">
        <v>44636</v>
      </c>
      <c r="C3302" s="97">
        <f t="shared" ca="1" si="1148"/>
        <v>-428</v>
      </c>
      <c r="D3302" s="112" t="s">
        <v>2504</v>
      </c>
      <c r="E3302" s="123" t="s">
        <v>1117</v>
      </c>
      <c r="F3302" s="92" t="str">
        <f t="shared" si="1145"/>
        <v>B4</v>
      </c>
      <c r="G3302" s="109">
        <f ca="1">SUMIF($A:E,$A3302,K:K)</f>
        <v>140</v>
      </c>
      <c r="H3302" s="97" t="s">
        <v>2463</v>
      </c>
      <c r="I3302" s="175">
        <v>70</v>
      </c>
      <c r="J3302" s="115">
        <v>70</v>
      </c>
      <c r="K3302" s="143">
        <f t="shared" si="1149"/>
        <v>140</v>
      </c>
      <c r="L3302" s="144">
        <f t="shared" si="1146"/>
        <v>-70</v>
      </c>
      <c r="N3302" s="98">
        <v>4</v>
      </c>
      <c r="O3302" s="93">
        <f t="shared" si="1131"/>
        <v>200</v>
      </c>
      <c r="OD3302" s="100">
        <v>20</v>
      </c>
      <c r="OG3302" s="100">
        <v>29</v>
      </c>
      <c r="OH3302" s="100">
        <v>18</v>
      </c>
      <c r="OI3302" s="100">
        <v>3</v>
      </c>
      <c r="ON3302" s="100">
        <f t="shared" si="1130"/>
        <v>70</v>
      </c>
    </row>
    <row r="3303" spans="1:404" ht="23.25" customHeight="1">
      <c r="A3303" s="97" t="str">
        <f t="shared" si="1147"/>
        <v>002T/WESTELM-2266-83237-02-B4</v>
      </c>
      <c r="B3303" s="95">
        <v>44636</v>
      </c>
      <c r="C3303" s="97">
        <f t="shared" ca="1" si="1148"/>
        <v>-428</v>
      </c>
      <c r="D3303" s="112" t="s">
        <v>2504</v>
      </c>
      <c r="E3303" s="123" t="s">
        <v>1082</v>
      </c>
      <c r="F3303" s="92" t="str">
        <f t="shared" ref="F3303:F3314" si="1150">MID(E3303,13,2)</f>
        <v>B4</v>
      </c>
      <c r="G3303" s="109">
        <f ca="1">SUMIF($A:E,$A3303,K:K)</f>
        <v>220</v>
      </c>
      <c r="H3303" s="97" t="s">
        <v>2463</v>
      </c>
      <c r="I3303" s="115">
        <v>110</v>
      </c>
      <c r="J3303" s="115">
        <v>110</v>
      </c>
      <c r="K3303" s="143">
        <f t="shared" si="1149"/>
        <v>220</v>
      </c>
      <c r="L3303" s="144">
        <f t="shared" si="1146"/>
        <v>-110</v>
      </c>
      <c r="N3303" s="98">
        <v>2</v>
      </c>
      <c r="O3303" s="93">
        <f t="shared" si="1131"/>
        <v>200</v>
      </c>
      <c r="NS3303" s="100">
        <v>8</v>
      </c>
      <c r="NT3303" s="100">
        <v>4</v>
      </c>
      <c r="NU3303" s="100">
        <v>10</v>
      </c>
      <c r="NV3303" s="100">
        <v>6</v>
      </c>
      <c r="NY3303" s="100">
        <v>14</v>
      </c>
      <c r="NZ3303" s="100">
        <v>12</v>
      </c>
      <c r="OA3303" s="100">
        <v>12</v>
      </c>
      <c r="OB3303" s="100">
        <v>12</v>
      </c>
      <c r="OD3303" s="100">
        <v>17</v>
      </c>
      <c r="OF3303" s="100">
        <v>12</v>
      </c>
      <c r="OG3303" s="100">
        <v>3</v>
      </c>
      <c r="ON3303" s="100">
        <f t="shared" si="1130"/>
        <v>110</v>
      </c>
    </row>
    <row r="3304" spans="1:404" ht="23.25" customHeight="1">
      <c r="A3304" s="97" t="str">
        <f t="shared" si="1147"/>
        <v>002T/WESTELM-2266-86800-S1-B</v>
      </c>
      <c r="B3304" s="95">
        <v>44636</v>
      </c>
      <c r="C3304" s="97">
        <f t="shared" ca="1" si="1148"/>
        <v>-428</v>
      </c>
      <c r="D3304" s="112" t="s">
        <v>2504</v>
      </c>
      <c r="E3304" s="123" t="s">
        <v>1386</v>
      </c>
      <c r="F3304" s="92" t="str">
        <f t="shared" si="1150"/>
        <v>B</v>
      </c>
      <c r="G3304" s="109">
        <f ca="1">SUMIF($A:E,$A3304,K:K)</f>
        <v>100</v>
      </c>
      <c r="H3304" s="97" t="s">
        <v>2463</v>
      </c>
      <c r="I3304" s="175">
        <v>50</v>
      </c>
      <c r="J3304" s="115">
        <v>50</v>
      </c>
      <c r="K3304" s="143">
        <f t="shared" si="1149"/>
        <v>100</v>
      </c>
      <c r="L3304" s="144">
        <f t="shared" si="1146"/>
        <v>-50</v>
      </c>
      <c r="N3304" s="98">
        <v>4</v>
      </c>
      <c r="O3304" s="93">
        <f t="shared" si="1131"/>
        <v>200</v>
      </c>
      <c r="NZ3304" s="100">
        <v>11</v>
      </c>
      <c r="OA3304" s="100">
        <v>14</v>
      </c>
      <c r="OB3304" s="100">
        <v>12</v>
      </c>
      <c r="OC3304" s="100">
        <v>12</v>
      </c>
      <c r="OD3304" s="100">
        <v>1</v>
      </c>
      <c r="ON3304" s="100">
        <f t="shared" si="1130"/>
        <v>50</v>
      </c>
    </row>
    <row r="3305" spans="1:404" ht="23.25" customHeight="1">
      <c r="A3305" s="97" t="str">
        <f t="shared" si="1147"/>
        <v>002T/WESTELM-2266-86900-S1-B</v>
      </c>
      <c r="B3305" s="95">
        <v>44636</v>
      </c>
      <c r="C3305" s="97">
        <f t="shared" ca="1" si="1148"/>
        <v>-428</v>
      </c>
      <c r="D3305" s="112" t="s">
        <v>2504</v>
      </c>
      <c r="E3305" s="123" t="s">
        <v>1387</v>
      </c>
      <c r="F3305" s="92" t="str">
        <f t="shared" si="1150"/>
        <v>B</v>
      </c>
      <c r="G3305" s="109">
        <f ca="1">SUMIF($A:E,$A3305,K:K)</f>
        <v>80</v>
      </c>
      <c r="H3305" s="97" t="s">
        <v>2463</v>
      </c>
      <c r="I3305" s="115">
        <v>40</v>
      </c>
      <c r="J3305" s="115">
        <v>40</v>
      </c>
      <c r="K3305" s="143">
        <f t="shared" si="1149"/>
        <v>80</v>
      </c>
      <c r="L3305" s="144">
        <f t="shared" si="1146"/>
        <v>-40</v>
      </c>
      <c r="N3305" s="98">
        <v>2</v>
      </c>
      <c r="O3305" s="93">
        <f t="shared" si="1131"/>
        <v>200</v>
      </c>
      <c r="NU3305" s="100">
        <v>3</v>
      </c>
      <c r="NV3305" s="100">
        <v>3</v>
      </c>
      <c r="NY3305" s="100">
        <v>3</v>
      </c>
      <c r="NZ3305" s="100">
        <v>2</v>
      </c>
      <c r="OA3305" s="100">
        <v>4</v>
      </c>
      <c r="OB3305" s="100">
        <v>4</v>
      </c>
      <c r="OC3305" s="100">
        <v>4</v>
      </c>
      <c r="OD3305" s="100">
        <v>4</v>
      </c>
      <c r="OF3305" s="100">
        <v>4</v>
      </c>
      <c r="OG3305" s="100">
        <v>4</v>
      </c>
      <c r="OH3305" s="100">
        <v>4</v>
      </c>
      <c r="OJ3305" s="100">
        <v>1</v>
      </c>
      <c r="ON3305" s="100">
        <f t="shared" si="1130"/>
        <v>40</v>
      </c>
    </row>
    <row r="3306" spans="1:404" ht="23.25" customHeight="1">
      <c r="A3306" s="97" t="str">
        <f t="shared" ref="A3306" si="1151">D3279&amp;E3279</f>
        <v>516/POTTERYPOT-VG-2168-75916-S2-B</v>
      </c>
      <c r="B3306" s="95">
        <v>44588</v>
      </c>
      <c r="C3306" s="97">
        <f t="shared" ca="1" si="1148"/>
        <v>-476</v>
      </c>
      <c r="D3306" s="111" t="s">
        <v>2506</v>
      </c>
      <c r="E3306" s="225" t="s">
        <v>1366</v>
      </c>
      <c r="F3306" s="98" t="str">
        <f t="shared" si="1150"/>
        <v>B</v>
      </c>
      <c r="G3306" s="110">
        <f ca="1">SUMIF($A:E,$A3306,K:K)</f>
        <v>1</v>
      </c>
      <c r="H3306" s="97" t="s">
        <v>508</v>
      </c>
      <c r="I3306" s="98">
        <v>1</v>
      </c>
      <c r="J3306" s="99">
        <v>1</v>
      </c>
      <c r="K3306" s="143">
        <f t="shared" si="1149"/>
        <v>1</v>
      </c>
      <c r="L3306" s="144">
        <f t="shared" si="1146"/>
        <v>0</v>
      </c>
      <c r="N3306" s="98">
        <v>4</v>
      </c>
      <c r="O3306" s="93">
        <f t="shared" si="1131"/>
        <v>100</v>
      </c>
      <c r="NM3306" s="100">
        <v>1</v>
      </c>
      <c r="ON3306" s="100">
        <f t="shared" si="1130"/>
        <v>0</v>
      </c>
    </row>
    <row r="3307" spans="1:404" ht="23.25" customHeight="1">
      <c r="A3307" s="97" t="str">
        <f>D3283&amp;E3283</f>
        <v>010/YAMATEI-VG-2166-00605-L2-B</v>
      </c>
      <c r="B3307" s="95">
        <v>44602</v>
      </c>
      <c r="C3307" s="97">
        <f t="shared" ref="C3307:C3315" ca="1" si="1152">B3307-TODAY()</f>
        <v>-462</v>
      </c>
      <c r="D3307" s="112" t="s">
        <v>2507</v>
      </c>
      <c r="E3307" s="123" t="s">
        <v>1284</v>
      </c>
      <c r="F3307" s="98" t="str">
        <f t="shared" si="1150"/>
        <v>B</v>
      </c>
      <c r="G3307" s="110">
        <f ca="1">SUMIF($A:E,$A3307,K:K)</f>
        <v>1</v>
      </c>
      <c r="H3307" s="97" t="s">
        <v>508</v>
      </c>
      <c r="I3307" s="175">
        <v>1</v>
      </c>
      <c r="J3307" s="115">
        <v>1</v>
      </c>
      <c r="K3307" s="143">
        <f t="shared" si="1149"/>
        <v>1</v>
      </c>
      <c r="L3307" s="144">
        <f t="shared" si="1146"/>
        <v>0</v>
      </c>
      <c r="N3307" s="98">
        <v>4</v>
      </c>
      <c r="O3307" s="93">
        <f t="shared" si="1131"/>
        <v>100</v>
      </c>
      <c r="NN3307" s="100">
        <v>1</v>
      </c>
      <c r="ON3307" s="100">
        <f t="shared" si="1130"/>
        <v>0</v>
      </c>
    </row>
    <row r="3308" spans="1:404" ht="23.25" customHeight="1">
      <c r="A3308" s="97" t="str">
        <f>D3284&amp;E3284</f>
        <v>010/YAMATEI-VG-2166-01705-02-B</v>
      </c>
      <c r="B3308" s="95">
        <v>44602</v>
      </c>
      <c r="C3308" s="97">
        <f t="shared" ca="1" si="1152"/>
        <v>-462</v>
      </c>
      <c r="D3308" s="112" t="s">
        <v>2507</v>
      </c>
      <c r="E3308" s="123" t="s">
        <v>2508</v>
      </c>
      <c r="F3308" s="98" t="str">
        <f t="shared" si="1150"/>
        <v>B</v>
      </c>
      <c r="G3308" s="110">
        <f ca="1">SUMIF($A:E,$A3308,K:K)</f>
        <v>1</v>
      </c>
      <c r="H3308" s="97" t="s">
        <v>508</v>
      </c>
      <c r="I3308" s="175">
        <v>1</v>
      </c>
      <c r="J3308" s="115">
        <v>1</v>
      </c>
      <c r="K3308" s="143">
        <f t="shared" si="1149"/>
        <v>1</v>
      </c>
      <c r="L3308" s="144">
        <f t="shared" si="1146"/>
        <v>0</v>
      </c>
      <c r="N3308" s="98">
        <v>4</v>
      </c>
      <c r="O3308" s="93">
        <f t="shared" si="1131"/>
        <v>100</v>
      </c>
      <c r="NN3308" s="100">
        <v>1</v>
      </c>
      <c r="ON3308" s="100">
        <f t="shared" si="1130"/>
        <v>0</v>
      </c>
    </row>
    <row r="3309" spans="1:404" ht="23.25" customHeight="1">
      <c r="A3309" s="97" t="s">
        <v>2530</v>
      </c>
      <c r="B3309" s="95">
        <v>44669</v>
      </c>
      <c r="C3309" s="97">
        <v>62</v>
      </c>
      <c r="D3309" s="247" t="s">
        <v>2517</v>
      </c>
      <c r="E3309" s="123" t="s">
        <v>47</v>
      </c>
      <c r="F3309" s="98" t="s">
        <v>561</v>
      </c>
      <c r="G3309" s="110">
        <v>0</v>
      </c>
      <c r="H3309" s="97" t="s">
        <v>616</v>
      </c>
      <c r="I3309" s="175">
        <v>493</v>
      </c>
      <c r="J3309" s="115">
        <f>493-J3310-J3311</f>
        <v>100</v>
      </c>
      <c r="K3309" s="143">
        <f t="shared" si="1149"/>
        <v>200</v>
      </c>
      <c r="L3309" s="144">
        <f t="shared" si="1146"/>
        <v>-100</v>
      </c>
      <c r="M3309" s="98"/>
      <c r="N3309" s="98">
        <v>1</v>
      </c>
      <c r="O3309" s="93">
        <f t="shared" si="1131"/>
        <v>200</v>
      </c>
      <c r="OC3309" s="100">
        <v>1</v>
      </c>
      <c r="OD3309" s="100">
        <v>7</v>
      </c>
      <c r="OF3309" s="100">
        <v>13</v>
      </c>
      <c r="OG3309" s="100">
        <v>13</v>
      </c>
      <c r="OH3309" s="100">
        <v>14</v>
      </c>
      <c r="OI3309" s="100">
        <v>14</v>
      </c>
      <c r="OJ3309" s="100">
        <v>14</v>
      </c>
      <c r="OK3309" s="100">
        <v>12</v>
      </c>
      <c r="OM3309" s="100">
        <v>12</v>
      </c>
      <c r="ON3309" s="100">
        <f t="shared" si="1130"/>
        <v>100</v>
      </c>
    </row>
    <row r="3310" spans="1:404" ht="23.25" customHeight="1">
      <c r="A3310" s="97" t="str">
        <f>D3310&amp;E3310</f>
        <v>005T/WESTELM-2266-70300-02-B</v>
      </c>
      <c r="B3310" s="95">
        <v>44669</v>
      </c>
      <c r="C3310" s="97">
        <f ca="1">B3310-TODAY()</f>
        <v>-395</v>
      </c>
      <c r="D3310" s="247" t="s">
        <v>2517</v>
      </c>
      <c r="E3310" s="123" t="s">
        <v>47</v>
      </c>
      <c r="F3310" s="98" t="str">
        <f>MID(E3310,13,2)</f>
        <v>B</v>
      </c>
      <c r="G3310" s="110">
        <f ca="1">SUMIF($A:E,$A3310,K:K)</f>
        <v>676</v>
      </c>
      <c r="H3310" s="97" t="s">
        <v>616</v>
      </c>
      <c r="I3310" s="175">
        <v>493</v>
      </c>
      <c r="J3310" s="115">
        <v>100</v>
      </c>
      <c r="K3310" s="143">
        <f t="shared" si="1149"/>
        <v>200</v>
      </c>
      <c r="L3310" s="144">
        <f t="shared" ref="L3310" si="1153">J3310-K3310</f>
        <v>-100</v>
      </c>
      <c r="N3310" s="98">
        <v>2</v>
      </c>
      <c r="O3310" s="93">
        <f t="shared" si="1131"/>
        <v>200</v>
      </c>
      <c r="NZ3310" s="100">
        <v>20</v>
      </c>
      <c r="OA3310" s="100">
        <v>14</v>
      </c>
      <c r="OB3310" s="100">
        <v>14</v>
      </c>
      <c r="OC3310" s="100">
        <v>14</v>
      </c>
      <c r="OD3310" s="100">
        <v>7</v>
      </c>
      <c r="OF3310" s="100">
        <v>14</v>
      </c>
      <c r="OG3310" s="100">
        <v>6</v>
      </c>
      <c r="OH3310" s="100">
        <v>11</v>
      </c>
      <c r="ON3310" s="100">
        <f t="shared" si="1130"/>
        <v>100</v>
      </c>
    </row>
    <row r="3311" spans="1:404" ht="23.25" customHeight="1">
      <c r="A3311" s="97" t="str">
        <f t="shared" ref="A3311:A3315" si="1154">D3311&amp;E3311</f>
        <v>005T/WESTELM-2266-70300-02-B</v>
      </c>
      <c r="B3311" s="95">
        <v>44669</v>
      </c>
      <c r="C3311" s="97">
        <f t="shared" ca="1" si="1152"/>
        <v>-395</v>
      </c>
      <c r="D3311" s="247" t="s">
        <v>2517</v>
      </c>
      <c r="E3311" s="123" t="s">
        <v>47</v>
      </c>
      <c r="F3311" s="98" t="str">
        <f t="shared" ref="F3311" si="1155">MID(E3311,13,2)</f>
        <v>B</v>
      </c>
      <c r="G3311" s="110">
        <f ca="1">SUMIF($A:E,$A3311,K:K)</f>
        <v>676</v>
      </c>
      <c r="H3311" s="97" t="s">
        <v>616</v>
      </c>
      <c r="I3311" s="175">
        <v>493</v>
      </c>
      <c r="J3311" s="115">
        <v>293</v>
      </c>
      <c r="K3311" s="143">
        <f t="shared" si="1149"/>
        <v>276</v>
      </c>
      <c r="L3311" s="144">
        <f t="shared" si="1146"/>
        <v>17</v>
      </c>
      <c r="N3311" s="98">
        <v>3</v>
      </c>
      <c r="O3311" s="93">
        <f t="shared" si="1131"/>
        <v>94.197952218430032</v>
      </c>
      <c r="NZ3311" s="100">
        <v>7</v>
      </c>
      <c r="OA3311" s="100">
        <v>12</v>
      </c>
      <c r="OB3311" s="100">
        <v>12</v>
      </c>
      <c r="OC3311" s="100">
        <v>12</v>
      </c>
      <c r="OD3311" s="100">
        <v>12</v>
      </c>
      <c r="OF3311" s="100">
        <v>11</v>
      </c>
      <c r="OG3311" s="100">
        <v>12</v>
      </c>
      <c r="OH3311" s="100">
        <v>13</v>
      </c>
      <c r="OI3311" s="100">
        <v>12</v>
      </c>
      <c r="OJ3311" s="100">
        <v>12</v>
      </c>
      <c r="OK3311" s="100">
        <v>12</v>
      </c>
      <c r="OM3311" s="100">
        <v>11</v>
      </c>
      <c r="ON3311" s="100">
        <f t="shared" si="1130"/>
        <v>138</v>
      </c>
    </row>
    <row r="3312" spans="1:404" ht="23.25" customHeight="1">
      <c r="A3312" s="97" t="str">
        <f t="shared" si="1154"/>
        <v>005T/WESTELM-2266-70300-03-B</v>
      </c>
      <c r="B3312" s="95">
        <v>44669</v>
      </c>
      <c r="C3312" s="97">
        <f t="shared" ca="1" si="1152"/>
        <v>-395</v>
      </c>
      <c r="D3312" s="247" t="s">
        <v>2517</v>
      </c>
      <c r="E3312" s="123" t="s">
        <v>25</v>
      </c>
      <c r="F3312" s="98" t="str">
        <f t="shared" si="1150"/>
        <v>B</v>
      </c>
      <c r="G3312" s="110">
        <f ca="1">SUMIF($A:E,$A3312,K:K)</f>
        <v>58</v>
      </c>
      <c r="H3312" s="97" t="s">
        <v>616</v>
      </c>
      <c r="I3312" s="175">
        <v>390</v>
      </c>
      <c r="J3312" s="115">
        <v>390</v>
      </c>
      <c r="K3312" s="143">
        <f t="shared" si="1149"/>
        <v>58</v>
      </c>
      <c r="L3312" s="144">
        <f t="shared" si="1146"/>
        <v>332</v>
      </c>
      <c r="N3312" s="98">
        <v>6</v>
      </c>
      <c r="O3312" s="93">
        <f t="shared" si="1131"/>
        <v>14.871794871794872</v>
      </c>
      <c r="OM3312" s="100">
        <v>29</v>
      </c>
      <c r="ON3312" s="100">
        <f t="shared" si="1130"/>
        <v>29</v>
      </c>
    </row>
    <row r="3313" spans="1:404" ht="23.25" customHeight="1">
      <c r="A3313" s="97" t="str">
        <f t="shared" si="1154"/>
        <v>005T/WESTELM-2266-83200-01-B</v>
      </c>
      <c r="B3313" s="95">
        <v>44669</v>
      </c>
      <c r="C3313" s="97">
        <f t="shared" ca="1" si="1152"/>
        <v>-395</v>
      </c>
      <c r="D3313" s="247" t="s">
        <v>2517</v>
      </c>
      <c r="E3313" s="123" t="s">
        <v>901</v>
      </c>
      <c r="F3313" s="98" t="str">
        <f t="shared" si="1150"/>
        <v>B</v>
      </c>
      <c r="G3313" s="110">
        <f ca="1">SUMIF($A:E,$A3313,K:K)</f>
        <v>386</v>
      </c>
      <c r="H3313" s="97" t="s">
        <v>616</v>
      </c>
      <c r="I3313" s="175">
        <v>610</v>
      </c>
      <c r="J3313" s="115">
        <v>610</v>
      </c>
      <c r="K3313" s="143">
        <f t="shared" si="1149"/>
        <v>386</v>
      </c>
      <c r="L3313" s="144">
        <f t="shared" si="1146"/>
        <v>224</v>
      </c>
      <c r="N3313" s="120">
        <v>3</v>
      </c>
      <c r="O3313" s="93">
        <f t="shared" si="1131"/>
        <v>63.278688524590166</v>
      </c>
      <c r="OA3313" s="100">
        <v>12</v>
      </c>
      <c r="OB3313" s="100">
        <v>15</v>
      </c>
      <c r="OC3313" s="100">
        <v>20</v>
      </c>
      <c r="OD3313" s="100">
        <v>20</v>
      </c>
      <c r="OF3313" s="100">
        <v>20</v>
      </c>
      <c r="OG3313" s="100">
        <v>10</v>
      </c>
      <c r="OH3313" s="100">
        <v>15</v>
      </c>
      <c r="OI3313" s="100">
        <v>5</v>
      </c>
      <c r="OJ3313" s="100">
        <v>39</v>
      </c>
      <c r="OK3313" s="100">
        <v>17</v>
      </c>
      <c r="OM3313" s="100">
        <v>20</v>
      </c>
      <c r="ON3313" s="100">
        <f t="shared" si="1130"/>
        <v>193</v>
      </c>
    </row>
    <row r="3314" spans="1:404" ht="23.25" customHeight="1">
      <c r="A3314" s="97" t="str">
        <f t="shared" si="1154"/>
        <v>005T/WESTELM-2266-83200-02-B</v>
      </c>
      <c r="B3314" s="95">
        <v>44669</v>
      </c>
      <c r="C3314" s="97">
        <f t="shared" ca="1" si="1152"/>
        <v>-395</v>
      </c>
      <c r="D3314" s="247" t="s">
        <v>2517</v>
      </c>
      <c r="E3314" s="123" t="s">
        <v>850</v>
      </c>
      <c r="F3314" s="98" t="str">
        <f t="shared" si="1150"/>
        <v>B</v>
      </c>
      <c r="G3314" s="110">
        <f ca="1">SUMIF($A:E,$A3314,K:K)</f>
        <v>4</v>
      </c>
      <c r="H3314" s="97" t="s">
        <v>616</v>
      </c>
      <c r="I3314" s="175">
        <v>625</v>
      </c>
      <c r="J3314" s="115">
        <v>625</v>
      </c>
      <c r="K3314" s="143">
        <f t="shared" si="1149"/>
        <v>4</v>
      </c>
      <c r="L3314" s="144">
        <f t="shared" si="1146"/>
        <v>621</v>
      </c>
      <c r="N3314" s="98">
        <v>4</v>
      </c>
      <c r="O3314" s="93">
        <f t="shared" si="1131"/>
        <v>0.64</v>
      </c>
      <c r="OM3314" s="100">
        <v>2</v>
      </c>
      <c r="ON3314" s="100">
        <f t="shared" si="1130"/>
        <v>2</v>
      </c>
    </row>
    <row r="3315" spans="1:404" ht="23.25" customHeight="1">
      <c r="A3315" s="97" t="str">
        <f t="shared" si="1154"/>
        <v>001/OBI-VG_SR-2266-28401-S1-B</v>
      </c>
      <c r="B3315" s="95">
        <v>44603</v>
      </c>
      <c r="C3315" s="97">
        <f t="shared" ca="1" si="1152"/>
        <v>-461</v>
      </c>
      <c r="D3315" s="247" t="s">
        <v>2518</v>
      </c>
      <c r="E3315" s="123" t="s">
        <v>2041</v>
      </c>
      <c r="F3315" s="98" t="str">
        <f t="shared" ref="F3315:F3318" si="1156">MID(E3315,13,2)</f>
        <v>B</v>
      </c>
      <c r="G3315" s="110">
        <f ca="1">SUMIF($A:E,$A3315,K:K)</f>
        <v>4</v>
      </c>
      <c r="H3315" s="97" t="s">
        <v>616</v>
      </c>
      <c r="I3315" s="175">
        <v>2</v>
      </c>
      <c r="J3315" s="115">
        <v>2</v>
      </c>
      <c r="K3315" s="143">
        <f t="shared" si="1149"/>
        <v>4</v>
      </c>
      <c r="L3315" s="144">
        <f t="shared" ref="L3315:L3318" si="1157">J3315-K3315</f>
        <v>-2</v>
      </c>
      <c r="N3315" s="98">
        <v>1</v>
      </c>
      <c r="O3315" s="93">
        <f t="shared" si="1131"/>
        <v>200</v>
      </c>
      <c r="NV3315" s="100">
        <v>1</v>
      </c>
      <c r="NY3315" s="100">
        <v>1</v>
      </c>
      <c r="ON3315" s="100">
        <f t="shared" si="1130"/>
        <v>2</v>
      </c>
    </row>
    <row r="3316" spans="1:404" ht="23.25" customHeight="1">
      <c r="A3316" s="97" t="str">
        <f t="shared" ref="A3316:A3319" si="1158">D3316&amp;E3316</f>
        <v>001/OBI-VG_SR-2266-28501-S1-B</v>
      </c>
      <c r="B3316" s="95">
        <v>44603</v>
      </c>
      <c r="C3316" s="97">
        <f t="shared" ref="C3316:C3319" ca="1" si="1159">B3316-TODAY()</f>
        <v>-461</v>
      </c>
      <c r="D3316" s="247" t="s">
        <v>2518</v>
      </c>
      <c r="E3316" s="123" t="s">
        <v>2042</v>
      </c>
      <c r="F3316" s="98" t="str">
        <f t="shared" si="1156"/>
        <v>B</v>
      </c>
      <c r="G3316" s="110">
        <f ca="1">SUMIF($A:E,$A3316,K:K)</f>
        <v>4</v>
      </c>
      <c r="H3316" s="97" t="s">
        <v>616</v>
      </c>
      <c r="I3316" s="175">
        <v>2</v>
      </c>
      <c r="J3316" s="115">
        <v>2</v>
      </c>
      <c r="K3316" s="143">
        <f t="shared" si="1149"/>
        <v>4</v>
      </c>
      <c r="L3316" s="144">
        <f t="shared" si="1157"/>
        <v>-2</v>
      </c>
      <c r="N3316" s="98">
        <v>1</v>
      </c>
      <c r="O3316" s="93">
        <f t="shared" si="1131"/>
        <v>200</v>
      </c>
      <c r="NV3316" s="100">
        <v>1</v>
      </c>
      <c r="NY3316" s="100">
        <v>1</v>
      </c>
      <c r="ON3316" s="100">
        <f t="shared" si="1130"/>
        <v>2</v>
      </c>
    </row>
    <row r="3317" spans="1:404" ht="23.25" customHeight="1">
      <c r="A3317" s="97" t="str">
        <f t="shared" si="1158"/>
        <v>001/OBI-VG_SR-2266-61301-S3-B</v>
      </c>
      <c r="B3317" s="95">
        <v>44603</v>
      </c>
      <c r="C3317" s="97">
        <f t="shared" ca="1" si="1159"/>
        <v>-461</v>
      </c>
      <c r="D3317" s="247" t="s">
        <v>2518</v>
      </c>
      <c r="E3317" s="123" t="s">
        <v>2043</v>
      </c>
      <c r="F3317" s="98" t="str">
        <f t="shared" si="1156"/>
        <v>B</v>
      </c>
      <c r="G3317" s="110">
        <f ca="1">SUMIF($A:E,$A3317,K:K)</f>
        <v>2</v>
      </c>
      <c r="H3317" s="97" t="s">
        <v>616</v>
      </c>
      <c r="I3317" s="175">
        <v>1</v>
      </c>
      <c r="J3317" s="115">
        <v>1</v>
      </c>
      <c r="K3317" s="143">
        <f t="shared" si="1149"/>
        <v>2</v>
      </c>
      <c r="L3317" s="144">
        <f t="shared" si="1157"/>
        <v>-1</v>
      </c>
      <c r="N3317" s="98">
        <v>1</v>
      </c>
      <c r="O3317" s="93">
        <f t="shared" si="1131"/>
        <v>200</v>
      </c>
      <c r="NV3317" s="100">
        <v>1</v>
      </c>
      <c r="ON3317" s="100">
        <f t="shared" si="1130"/>
        <v>1</v>
      </c>
    </row>
    <row r="3318" spans="1:404" ht="23.25" customHeight="1">
      <c r="A3318" s="97" t="str">
        <f t="shared" si="1158"/>
        <v>001/OBI-VG_SR-2266-88101-S2-B</v>
      </c>
      <c r="B3318" s="95">
        <v>44603</v>
      </c>
      <c r="C3318" s="97">
        <f t="shared" ca="1" si="1159"/>
        <v>-461</v>
      </c>
      <c r="D3318" s="247" t="s">
        <v>2518</v>
      </c>
      <c r="E3318" s="123" t="s">
        <v>2110</v>
      </c>
      <c r="F3318" s="98" t="str">
        <f t="shared" si="1156"/>
        <v>B</v>
      </c>
      <c r="G3318" s="110">
        <f ca="1">SUMIF($A:E,$A3318,K:K)</f>
        <v>4</v>
      </c>
      <c r="H3318" s="97" t="s">
        <v>616</v>
      </c>
      <c r="I3318" s="175">
        <v>2</v>
      </c>
      <c r="J3318" s="115">
        <v>2</v>
      </c>
      <c r="K3318" s="143">
        <f t="shared" si="1149"/>
        <v>4</v>
      </c>
      <c r="L3318" s="144">
        <f t="shared" si="1157"/>
        <v>-2</v>
      </c>
      <c r="N3318" s="98">
        <v>1</v>
      </c>
      <c r="O3318" s="93">
        <f t="shared" si="1131"/>
        <v>200</v>
      </c>
      <c r="NV3318" s="100">
        <v>2</v>
      </c>
      <c r="ON3318" s="100">
        <f t="shared" si="1130"/>
        <v>2</v>
      </c>
    </row>
    <row r="3319" spans="1:404" ht="23.25" customHeight="1">
      <c r="A3319" s="97" t="str">
        <f t="shared" si="1158"/>
        <v>008/POTTERYPATCH-2166-01722-S4-B</v>
      </c>
      <c r="B3319" s="95">
        <v>44623</v>
      </c>
      <c r="C3319" s="97">
        <f t="shared" ca="1" si="1159"/>
        <v>-441</v>
      </c>
      <c r="D3319" s="112" t="s">
        <v>2520</v>
      </c>
      <c r="E3319" s="123" t="s">
        <v>1242</v>
      </c>
      <c r="F3319" s="98" t="str">
        <f t="shared" ref="F3319:F3321" si="1160">MID(E3319,13,2)</f>
        <v>B</v>
      </c>
      <c r="G3319" s="110">
        <f ca="1">SUMIF($A:E,$A3319,K:K)</f>
        <v>0</v>
      </c>
      <c r="H3319" s="97" t="s">
        <v>616</v>
      </c>
      <c r="I3319" s="175">
        <v>48</v>
      </c>
      <c r="J3319" s="115">
        <v>48</v>
      </c>
      <c r="K3319" s="143">
        <f t="shared" si="1149"/>
        <v>0</v>
      </c>
      <c r="L3319" s="144">
        <f t="shared" ref="L3319:L3332" si="1161">J3319-K3319</f>
        <v>48</v>
      </c>
      <c r="N3319" s="98">
        <v>4</v>
      </c>
      <c r="O3319" s="93">
        <f t="shared" si="1131"/>
        <v>0</v>
      </c>
      <c r="ON3319" s="100">
        <f t="shared" si="1130"/>
        <v>0</v>
      </c>
    </row>
    <row r="3320" spans="1:404" ht="23.25" customHeight="1">
      <c r="A3320" s="97" t="str">
        <f t="shared" ref="A3320:A3328" si="1162">D3320&amp;E3320</f>
        <v>008/POTTERYPATCH-2166-70322-B3-B</v>
      </c>
      <c r="B3320" s="95">
        <v>44623</v>
      </c>
      <c r="C3320" s="97">
        <f t="shared" ref="C3320:C3331" ca="1" si="1163">B3320-TODAY()</f>
        <v>-441</v>
      </c>
      <c r="D3320" s="112" t="s">
        <v>2520</v>
      </c>
      <c r="E3320" s="123" t="s">
        <v>1075</v>
      </c>
      <c r="F3320" s="98" t="str">
        <f t="shared" si="1160"/>
        <v>B</v>
      </c>
      <c r="G3320" s="110">
        <f ca="1">SUMIF($A:E,$A3320,K:K)</f>
        <v>128</v>
      </c>
      <c r="H3320" s="97" t="s">
        <v>616</v>
      </c>
      <c r="I3320" s="175">
        <v>64</v>
      </c>
      <c r="J3320" s="115">
        <v>64</v>
      </c>
      <c r="K3320" s="143">
        <f t="shared" si="1149"/>
        <v>128</v>
      </c>
      <c r="L3320" s="144">
        <f t="shared" si="1161"/>
        <v>-64</v>
      </c>
      <c r="N3320" s="98">
        <v>4</v>
      </c>
      <c r="O3320" s="93">
        <f t="shared" si="1131"/>
        <v>200</v>
      </c>
      <c r="NU3320" s="100">
        <v>4</v>
      </c>
      <c r="NV3320" s="100">
        <v>10</v>
      </c>
      <c r="NY3320" s="100">
        <v>10</v>
      </c>
      <c r="NZ3320" s="100">
        <v>10</v>
      </c>
      <c r="OA3320" s="100">
        <v>10</v>
      </c>
      <c r="OB3320" s="100">
        <v>10</v>
      </c>
      <c r="OC3320" s="100">
        <v>7</v>
      </c>
      <c r="OD3320" s="100">
        <v>3</v>
      </c>
      <c r="ON3320" s="100">
        <f t="shared" si="1130"/>
        <v>64</v>
      </c>
    </row>
    <row r="3321" spans="1:404" ht="23.25" customHeight="1">
      <c r="A3321" s="97" t="str">
        <f t="shared" si="1162"/>
        <v>008/POTTERYPATCH-2166-77712-L4-B</v>
      </c>
      <c r="B3321" s="95">
        <v>44623</v>
      </c>
      <c r="C3321" s="97">
        <f t="shared" ca="1" si="1163"/>
        <v>-441</v>
      </c>
      <c r="D3321" s="112" t="s">
        <v>2520</v>
      </c>
      <c r="E3321" s="123" t="s">
        <v>789</v>
      </c>
      <c r="F3321" s="98" t="str">
        <f t="shared" si="1160"/>
        <v>B</v>
      </c>
      <c r="G3321" s="110">
        <f ca="1">SUMIF($A:E,$A3321,K:K)</f>
        <v>24</v>
      </c>
      <c r="H3321" s="97" t="s">
        <v>616</v>
      </c>
      <c r="I3321" s="175">
        <v>12</v>
      </c>
      <c r="J3321" s="115">
        <v>12</v>
      </c>
      <c r="K3321" s="143">
        <f t="shared" si="1149"/>
        <v>24</v>
      </c>
      <c r="L3321" s="144">
        <f t="shared" si="1161"/>
        <v>-12</v>
      </c>
      <c r="N3321" s="98">
        <v>4</v>
      </c>
      <c r="O3321" s="93">
        <f t="shared" si="1131"/>
        <v>200</v>
      </c>
      <c r="OA3321" s="100">
        <v>4</v>
      </c>
      <c r="OB3321" s="100">
        <v>2</v>
      </c>
      <c r="OC3321" s="100">
        <v>6</v>
      </c>
      <c r="ON3321" s="100">
        <f t="shared" si="1130"/>
        <v>12</v>
      </c>
    </row>
    <row r="3322" spans="1:404" ht="23.25" customHeight="1">
      <c r="A3322" s="97" t="str">
        <f t="shared" si="1162"/>
        <v>004T/WESTELM-2266-70337-03-B4</v>
      </c>
      <c r="B3322" s="95">
        <v>44627</v>
      </c>
      <c r="C3322" s="97">
        <f t="shared" ca="1" si="1163"/>
        <v>-437</v>
      </c>
      <c r="D3322" s="247" t="s">
        <v>2521</v>
      </c>
      <c r="E3322" s="123" t="s">
        <v>1117</v>
      </c>
      <c r="F3322" s="98" t="s">
        <v>561</v>
      </c>
      <c r="G3322" s="110">
        <v>0</v>
      </c>
      <c r="H3322" s="97" t="s">
        <v>508</v>
      </c>
      <c r="I3322" s="175">
        <v>40</v>
      </c>
      <c r="J3322" s="115">
        <v>40</v>
      </c>
      <c r="K3322" s="143">
        <f t="shared" si="1149"/>
        <v>80</v>
      </c>
      <c r="L3322" s="144">
        <f t="shared" si="1161"/>
        <v>-40</v>
      </c>
      <c r="N3322" s="98">
        <v>4</v>
      </c>
      <c r="O3322" s="93">
        <f t="shared" si="1131"/>
        <v>200</v>
      </c>
      <c r="OA3322" s="100">
        <v>10</v>
      </c>
      <c r="OB3322" s="100">
        <v>20</v>
      </c>
      <c r="OD3322" s="100">
        <v>10</v>
      </c>
      <c r="ON3322" s="100">
        <f t="shared" si="1130"/>
        <v>40</v>
      </c>
    </row>
    <row r="3323" spans="1:404" ht="23.25" customHeight="1">
      <c r="A3323" s="97" t="str">
        <f t="shared" si="1162"/>
        <v>004T/WESTELM-2266-83200-01-B</v>
      </c>
      <c r="B3323" s="95">
        <v>44627</v>
      </c>
      <c r="C3323" s="97">
        <f t="shared" ca="1" si="1163"/>
        <v>-437</v>
      </c>
      <c r="D3323" s="247" t="s">
        <v>2521</v>
      </c>
      <c r="E3323" s="123" t="s">
        <v>901</v>
      </c>
      <c r="F3323" s="98" t="s">
        <v>561</v>
      </c>
      <c r="G3323" s="110">
        <v>0</v>
      </c>
      <c r="H3323" s="97" t="s">
        <v>508</v>
      </c>
      <c r="I3323" s="175">
        <v>40</v>
      </c>
      <c r="J3323" s="115">
        <v>40</v>
      </c>
      <c r="K3323" s="143">
        <f t="shared" si="1149"/>
        <v>80</v>
      </c>
      <c r="L3323" s="144">
        <f t="shared" si="1161"/>
        <v>-40</v>
      </c>
      <c r="N3323" s="98">
        <v>3</v>
      </c>
      <c r="O3323" s="93">
        <f t="shared" si="1131"/>
        <v>200</v>
      </c>
      <c r="NV3323" s="100">
        <v>10</v>
      </c>
      <c r="NY3323" s="100">
        <v>10</v>
      </c>
      <c r="NZ3323" s="100">
        <v>16</v>
      </c>
      <c r="OA3323" s="100">
        <v>4</v>
      </c>
      <c r="ON3323" s="100">
        <f t="shared" si="1130"/>
        <v>40</v>
      </c>
    </row>
    <row r="3324" spans="1:404" ht="23.25" customHeight="1">
      <c r="A3324" s="97" t="str">
        <f t="shared" si="1162"/>
        <v>004T/WESTELM-2266-83200-02-B</v>
      </c>
      <c r="B3324" s="95">
        <v>44627</v>
      </c>
      <c r="C3324" s="97">
        <f t="shared" ca="1" si="1163"/>
        <v>-437</v>
      </c>
      <c r="D3324" s="247" t="s">
        <v>2521</v>
      </c>
      <c r="E3324" s="123" t="s">
        <v>850</v>
      </c>
      <c r="F3324" s="98" t="s">
        <v>561</v>
      </c>
      <c r="G3324" s="110">
        <v>0</v>
      </c>
      <c r="H3324" s="97" t="s">
        <v>508</v>
      </c>
      <c r="I3324" s="175">
        <v>30</v>
      </c>
      <c r="J3324" s="115">
        <v>30</v>
      </c>
      <c r="K3324" s="143">
        <f t="shared" si="1149"/>
        <v>60</v>
      </c>
      <c r="L3324" s="144">
        <f t="shared" si="1161"/>
        <v>-30</v>
      </c>
      <c r="N3324" s="98">
        <v>4</v>
      </c>
      <c r="O3324" s="93">
        <f t="shared" ref="O3324:O3331" si="1164">K3324/J3324*100</f>
        <v>200</v>
      </c>
      <c r="NY3324" s="100">
        <v>7</v>
      </c>
      <c r="NZ3324" s="100">
        <v>12</v>
      </c>
      <c r="OA3324" s="100">
        <v>11</v>
      </c>
      <c r="ON3324" s="100">
        <f t="shared" si="1130"/>
        <v>30</v>
      </c>
    </row>
    <row r="3325" spans="1:404" ht="23.25" customHeight="1">
      <c r="A3325" s="97" t="str">
        <f t="shared" si="1162"/>
        <v>004T/WESTELM-2266-83237-02-B4</v>
      </c>
      <c r="B3325" s="95">
        <v>44627</v>
      </c>
      <c r="C3325" s="97">
        <f t="shared" ca="1" si="1163"/>
        <v>-437</v>
      </c>
      <c r="D3325" s="247" t="s">
        <v>2521</v>
      </c>
      <c r="E3325" s="123" t="s">
        <v>1082</v>
      </c>
      <c r="F3325" s="98" t="s">
        <v>561</v>
      </c>
      <c r="G3325" s="110">
        <v>0</v>
      </c>
      <c r="H3325" s="97" t="s">
        <v>508</v>
      </c>
      <c r="I3325" s="175">
        <v>30</v>
      </c>
      <c r="J3325" s="115">
        <v>30</v>
      </c>
      <c r="K3325" s="143">
        <f t="shared" si="1149"/>
        <v>0</v>
      </c>
      <c r="L3325" s="144">
        <f t="shared" si="1161"/>
        <v>30</v>
      </c>
      <c r="N3325" s="98">
        <v>2</v>
      </c>
      <c r="O3325" s="93">
        <f>K3325/J3325*100</f>
        <v>0</v>
      </c>
      <c r="ON3325" s="100">
        <f t="shared" si="1130"/>
        <v>0</v>
      </c>
    </row>
    <row r="3326" spans="1:404" ht="23.25" customHeight="1">
      <c r="A3326" s="97" t="str">
        <f t="shared" si="1162"/>
        <v>006T/WESTELM-2266-70300-02-B</v>
      </c>
      <c r="B3326" s="95">
        <v>44627</v>
      </c>
      <c r="C3326" s="97">
        <f t="shared" ca="1" si="1163"/>
        <v>-437</v>
      </c>
      <c r="D3326" s="247" t="s">
        <v>2522</v>
      </c>
      <c r="E3326" s="123" t="s">
        <v>47</v>
      </c>
      <c r="F3326" s="98" t="s">
        <v>561</v>
      </c>
      <c r="G3326" s="110">
        <v>0</v>
      </c>
      <c r="H3326" s="97" t="s">
        <v>508</v>
      </c>
      <c r="I3326" s="175">
        <v>240</v>
      </c>
      <c r="J3326" s="115">
        <v>240</v>
      </c>
      <c r="K3326" s="143">
        <f t="shared" si="1149"/>
        <v>88</v>
      </c>
      <c r="L3326" s="144">
        <f t="shared" si="1161"/>
        <v>152</v>
      </c>
      <c r="N3326" s="98">
        <v>2</v>
      </c>
      <c r="O3326" s="93">
        <f t="shared" si="1164"/>
        <v>36.666666666666664</v>
      </c>
      <c r="OH3326" s="100">
        <v>2</v>
      </c>
      <c r="OI3326" s="100">
        <v>7</v>
      </c>
      <c r="OJ3326" s="100">
        <v>7</v>
      </c>
      <c r="OK3326" s="100">
        <v>14</v>
      </c>
      <c r="OM3326" s="100">
        <v>14</v>
      </c>
      <c r="ON3326" s="100">
        <f t="shared" si="1130"/>
        <v>44</v>
      </c>
    </row>
    <row r="3327" spans="1:404" ht="23.25" customHeight="1">
      <c r="A3327" s="97" t="str">
        <f t="shared" si="1162"/>
        <v>007T/WESTELM-2266-83200-02-B</v>
      </c>
      <c r="B3327" s="95">
        <v>44627</v>
      </c>
      <c r="C3327" s="97">
        <f t="shared" ca="1" si="1163"/>
        <v>-437</v>
      </c>
      <c r="D3327" s="247" t="s">
        <v>2523</v>
      </c>
      <c r="E3327" s="123" t="s">
        <v>850</v>
      </c>
      <c r="F3327" s="92" t="str">
        <f t="shared" ref="F3327" si="1165">MID(E3327,13,2)</f>
        <v>B</v>
      </c>
      <c r="G3327" s="109">
        <f ca="1">SUMIF($A:E,$A3327,K:K)</f>
        <v>260</v>
      </c>
      <c r="H3327" s="97" t="s">
        <v>508</v>
      </c>
      <c r="I3327" s="175">
        <v>130</v>
      </c>
      <c r="J3327" s="115">
        <v>130</v>
      </c>
      <c r="K3327" s="143">
        <f t="shared" si="1149"/>
        <v>260</v>
      </c>
      <c r="L3327" s="144">
        <f t="shared" si="1161"/>
        <v>-130</v>
      </c>
      <c r="N3327" s="98">
        <v>4</v>
      </c>
      <c r="O3327" s="93">
        <f t="shared" si="1164"/>
        <v>200</v>
      </c>
      <c r="OA3327" s="100">
        <v>1</v>
      </c>
      <c r="OB3327" s="100">
        <v>11</v>
      </c>
      <c r="OC3327" s="100">
        <v>15</v>
      </c>
      <c r="OD3327" s="100">
        <v>8</v>
      </c>
      <c r="OF3327" s="100">
        <v>13</v>
      </c>
      <c r="OG3327" s="100">
        <v>8</v>
      </c>
      <c r="OH3327" s="100">
        <v>14</v>
      </c>
      <c r="OI3327" s="100">
        <v>19</v>
      </c>
      <c r="OJ3327" s="100">
        <v>14</v>
      </c>
      <c r="OK3327" s="100">
        <v>15</v>
      </c>
      <c r="OM3327" s="100">
        <v>12</v>
      </c>
      <c r="ON3327" s="100">
        <f t="shared" si="1130"/>
        <v>130</v>
      </c>
    </row>
    <row r="3328" spans="1:404" ht="23.25" customHeight="1">
      <c r="A3328" s="97" t="str">
        <f t="shared" si="1162"/>
        <v>024/KHBS-2166-01729-03-B</v>
      </c>
      <c r="B3328" s="95">
        <v>44604</v>
      </c>
      <c r="C3328" s="101">
        <f t="shared" ca="1" si="1163"/>
        <v>-460</v>
      </c>
      <c r="D3328" s="96" t="s">
        <v>2525</v>
      </c>
      <c r="E3328" s="94" t="s">
        <v>1092</v>
      </c>
      <c r="F3328" s="98" t="str">
        <f t="shared" ref="F3328:F3332" si="1166">MID(E3328,13,2)</f>
        <v>B</v>
      </c>
      <c r="G3328" s="110">
        <f ca="1">SUMIF($A:E,$A3328,K:K)</f>
        <v>4</v>
      </c>
      <c r="H3328" s="97" t="s">
        <v>616</v>
      </c>
      <c r="I3328" s="98">
        <v>2</v>
      </c>
      <c r="J3328" s="97">
        <v>2</v>
      </c>
      <c r="K3328" s="143">
        <f t="shared" si="1149"/>
        <v>4</v>
      </c>
      <c r="L3328" s="144">
        <f t="shared" si="1161"/>
        <v>-2</v>
      </c>
      <c r="N3328" s="98">
        <v>3</v>
      </c>
      <c r="O3328" s="93">
        <f t="shared" si="1164"/>
        <v>200</v>
      </c>
      <c r="NS3328" s="100">
        <v>2</v>
      </c>
      <c r="ON3328" s="100">
        <f t="shared" si="1130"/>
        <v>2</v>
      </c>
    </row>
    <row r="3329" spans="1:404" ht="23.25" customHeight="1">
      <c r="A3329" s="97" t="str">
        <f t="shared" ref="A3329:A3340" si="1167">D3329&amp;E3329</f>
        <v>024/KHBS-2166-79810-01-B</v>
      </c>
      <c r="B3329" s="95">
        <v>44604</v>
      </c>
      <c r="C3329" s="97">
        <f t="shared" ca="1" si="1163"/>
        <v>-460</v>
      </c>
      <c r="D3329" s="96" t="s">
        <v>2525</v>
      </c>
      <c r="E3329" s="94" t="s">
        <v>1367</v>
      </c>
      <c r="F3329" s="98" t="str">
        <f t="shared" si="1166"/>
        <v>B</v>
      </c>
      <c r="G3329" s="110">
        <f ca="1">SUMIF($A:E,$A3329,K:K)</f>
        <v>2</v>
      </c>
      <c r="H3329" s="97" t="s">
        <v>616</v>
      </c>
      <c r="I3329" s="98">
        <v>1</v>
      </c>
      <c r="J3329" s="97">
        <v>1</v>
      </c>
      <c r="K3329" s="143">
        <f t="shared" si="1149"/>
        <v>2</v>
      </c>
      <c r="L3329" s="144">
        <f t="shared" si="1161"/>
        <v>-1</v>
      </c>
      <c r="N3329" s="98">
        <v>6</v>
      </c>
      <c r="O3329" s="93">
        <f t="shared" si="1164"/>
        <v>200</v>
      </c>
      <c r="NY3329" s="100">
        <v>1</v>
      </c>
      <c r="ON3329" s="100">
        <f t="shared" si="1130"/>
        <v>1</v>
      </c>
    </row>
    <row r="3330" spans="1:404" ht="23.25" customHeight="1">
      <c r="A3330" s="97" t="str">
        <f t="shared" si="1167"/>
        <v>024/KHBS-2166-61337-B2-B4</v>
      </c>
      <c r="B3330" s="95">
        <v>44604</v>
      </c>
      <c r="C3330" s="97">
        <f t="shared" ca="1" si="1163"/>
        <v>-460</v>
      </c>
      <c r="D3330" s="96" t="s">
        <v>2525</v>
      </c>
      <c r="E3330" s="94" t="s">
        <v>2528</v>
      </c>
      <c r="F3330" s="98" t="str">
        <f t="shared" si="1166"/>
        <v>B4</v>
      </c>
      <c r="G3330" s="110">
        <f ca="1">SUMIF($A:E,$A3330,K:K)</f>
        <v>4</v>
      </c>
      <c r="H3330" s="97" t="s">
        <v>616</v>
      </c>
      <c r="I3330" s="98">
        <v>2</v>
      </c>
      <c r="J3330" s="97">
        <v>2</v>
      </c>
      <c r="K3330" s="143">
        <f t="shared" si="1149"/>
        <v>4</v>
      </c>
      <c r="L3330" s="144">
        <f t="shared" si="1161"/>
        <v>-2</v>
      </c>
      <c r="N3330" s="98">
        <v>2</v>
      </c>
      <c r="O3330" s="93">
        <f t="shared" si="1164"/>
        <v>200</v>
      </c>
      <c r="NV3330" s="100">
        <v>1</v>
      </c>
      <c r="NY3330" s="100">
        <v>1</v>
      </c>
      <c r="ON3330" s="100">
        <f t="shared" si="1130"/>
        <v>2</v>
      </c>
    </row>
    <row r="3331" spans="1:404" ht="23.25" customHeight="1">
      <c r="A3331" s="97" t="str">
        <f t="shared" si="1167"/>
        <v>024/KHBS-2166-55412-02-B</v>
      </c>
      <c r="B3331" s="95">
        <v>44604</v>
      </c>
      <c r="C3331" s="97">
        <f t="shared" ca="1" si="1163"/>
        <v>-460</v>
      </c>
      <c r="D3331" s="96" t="s">
        <v>2525</v>
      </c>
      <c r="E3331" s="94" t="s">
        <v>1440</v>
      </c>
      <c r="F3331" s="98" t="str">
        <f t="shared" si="1166"/>
        <v>B</v>
      </c>
      <c r="G3331" s="110">
        <f ca="1">SUMIF($A:E,$A3331,K:K)</f>
        <v>4</v>
      </c>
      <c r="H3331" s="97" t="s">
        <v>616</v>
      </c>
      <c r="I3331" s="98">
        <v>2</v>
      </c>
      <c r="J3331" s="97">
        <v>2</v>
      </c>
      <c r="K3331" s="143">
        <f t="shared" si="1149"/>
        <v>4</v>
      </c>
      <c r="L3331" s="144">
        <f t="shared" si="1161"/>
        <v>-2</v>
      </c>
      <c r="N3331" s="98">
        <v>3</v>
      </c>
      <c r="O3331" s="93">
        <f t="shared" si="1164"/>
        <v>200</v>
      </c>
      <c r="NZ3331" s="100">
        <v>2</v>
      </c>
      <c r="ON3331" s="100">
        <f t="shared" si="1130"/>
        <v>2</v>
      </c>
    </row>
    <row r="3332" spans="1:404" ht="23.25" customHeight="1">
      <c r="A3332" s="127" t="str">
        <f t="shared" si="1167"/>
        <v>020/KHBS-22( 006/ITIMASIA-21) 66-80136-02-B</v>
      </c>
      <c r="B3332" s="117">
        <v>44605</v>
      </c>
      <c r="C3332" s="127">
        <f t="shared" ref="C3332:C3341" ca="1" si="1168">B3332-TODAY()</f>
        <v>-459</v>
      </c>
      <c r="D3332" s="223" t="s">
        <v>2526</v>
      </c>
      <c r="E3332" s="251" t="s">
        <v>2215</v>
      </c>
      <c r="F3332" s="132" t="str">
        <f t="shared" si="1166"/>
        <v>-B</v>
      </c>
      <c r="G3332" s="130">
        <f ca="1">SUMIF($A:E,$A3332,K:K)</f>
        <v>32</v>
      </c>
      <c r="H3332" s="127" t="s">
        <v>616</v>
      </c>
      <c r="I3332" s="120">
        <v>16</v>
      </c>
      <c r="J3332" s="204">
        <v>16</v>
      </c>
      <c r="K3332" s="143">
        <f t="shared" si="1149"/>
        <v>32</v>
      </c>
      <c r="L3332" s="144">
        <f t="shared" si="1161"/>
        <v>-16</v>
      </c>
      <c r="N3332" s="120">
        <v>1</v>
      </c>
      <c r="O3332" s="93">
        <f t="shared" ref="O3332:O3343" si="1169">K3332/J3332*100</f>
        <v>200</v>
      </c>
      <c r="NT3332" s="100">
        <v>10</v>
      </c>
      <c r="NU3332" s="100">
        <v>6</v>
      </c>
      <c r="ON3332" s="100">
        <f t="shared" ref="ON3332:ON3395" si="1170">SUM(NS3332:OM3332)</f>
        <v>16</v>
      </c>
    </row>
    <row r="3333" spans="1:404" ht="23.25" customHeight="1">
      <c r="A3333" s="127" t="str">
        <f t="shared" si="1167"/>
        <v>021/KHBS-22(022T/EUROMARKET-21)66-87500-S1-B</v>
      </c>
      <c r="B3333" s="95">
        <v>44604</v>
      </c>
      <c r="C3333" s="97">
        <f t="shared" ca="1" si="1168"/>
        <v>-460</v>
      </c>
      <c r="D3333" s="111" t="s">
        <v>2527</v>
      </c>
      <c r="E3333" s="225" t="s">
        <v>1548</v>
      </c>
      <c r="F3333" s="98" t="str">
        <f t="shared" ref="F3333:F3344" si="1171">MID(E3333,13,2)</f>
        <v>B</v>
      </c>
      <c r="G3333" s="110">
        <f ca="1">SUMIF($A:E,$A3333,K:K)</f>
        <v>4</v>
      </c>
      <c r="H3333" s="97" t="s">
        <v>616</v>
      </c>
      <c r="I3333" s="98">
        <v>2</v>
      </c>
      <c r="J3333" s="99">
        <v>2</v>
      </c>
      <c r="K3333" s="143">
        <f t="shared" si="1149"/>
        <v>4</v>
      </c>
      <c r="L3333" s="144">
        <f t="shared" ref="L3333:L3336" si="1172">J3333-K3333</f>
        <v>-2</v>
      </c>
      <c r="N3333" s="98">
        <v>2</v>
      </c>
      <c r="O3333" s="93">
        <f t="shared" si="1169"/>
        <v>200</v>
      </c>
      <c r="NT3333" s="100">
        <v>2</v>
      </c>
      <c r="ON3333" s="100">
        <f t="shared" si="1170"/>
        <v>2</v>
      </c>
    </row>
    <row r="3334" spans="1:404" ht="23.25" customHeight="1">
      <c r="A3334" s="127" t="str">
        <f t="shared" si="1167"/>
        <v>023/KHBS-2168-75100-S1-B</v>
      </c>
      <c r="B3334" s="117">
        <v>44606</v>
      </c>
      <c r="C3334" s="101">
        <f t="shared" ca="1" si="1168"/>
        <v>-458</v>
      </c>
      <c r="D3334" s="118" t="s">
        <v>2529</v>
      </c>
      <c r="E3334" s="119" t="s">
        <v>318</v>
      </c>
      <c r="F3334" s="120" t="str">
        <f t="shared" si="1171"/>
        <v>B</v>
      </c>
      <c r="G3334" s="219">
        <f ca="1">SUMIF($A:E,$A3334,K:K)</f>
        <v>4</v>
      </c>
      <c r="H3334" s="127" t="s">
        <v>1593</v>
      </c>
      <c r="I3334" s="120">
        <v>2</v>
      </c>
      <c r="J3334" s="204">
        <v>2</v>
      </c>
      <c r="K3334" s="160">
        <f t="shared" si="1149"/>
        <v>4</v>
      </c>
      <c r="L3334" s="151">
        <f t="shared" si="1172"/>
        <v>-2</v>
      </c>
      <c r="N3334" s="120">
        <v>1</v>
      </c>
      <c r="O3334" s="93">
        <f t="shared" si="1169"/>
        <v>200</v>
      </c>
      <c r="NZ3334" s="100">
        <v>2</v>
      </c>
      <c r="ON3334" s="100">
        <f t="shared" si="1170"/>
        <v>2</v>
      </c>
    </row>
    <row r="3335" spans="1:404" ht="23.25" customHeight="1">
      <c r="A3335" s="127" t="str">
        <f t="shared" si="1167"/>
        <v>001/DPI Import-VG-2166-53200-F3-B</v>
      </c>
      <c r="B3335" s="95">
        <v>44629</v>
      </c>
      <c r="C3335" s="97">
        <f t="shared" ca="1" si="1168"/>
        <v>-435</v>
      </c>
      <c r="D3335" s="96" t="s">
        <v>2532</v>
      </c>
      <c r="E3335" s="94" t="s">
        <v>2533</v>
      </c>
      <c r="F3335" s="98" t="str">
        <f t="shared" si="1171"/>
        <v>B</v>
      </c>
      <c r="G3335" s="110">
        <f ca="1">SUMIF($A:E,$A3335,K:K)</f>
        <v>88</v>
      </c>
      <c r="H3335" s="97" t="s">
        <v>927</v>
      </c>
      <c r="I3335" s="98">
        <v>60</v>
      </c>
      <c r="J3335" s="99">
        <v>60</v>
      </c>
      <c r="K3335" s="143">
        <f t="shared" si="1149"/>
        <v>88</v>
      </c>
      <c r="L3335" s="144">
        <f t="shared" si="1172"/>
        <v>-28</v>
      </c>
      <c r="N3335" s="98">
        <v>2</v>
      </c>
      <c r="O3335" s="93">
        <f t="shared" si="1169"/>
        <v>146.66666666666666</v>
      </c>
      <c r="OH3335" s="100">
        <v>12</v>
      </c>
      <c r="OJ3335" s="100">
        <v>11</v>
      </c>
      <c r="OK3335" s="100">
        <v>9</v>
      </c>
      <c r="OM3335" s="100">
        <v>12</v>
      </c>
      <c r="ON3335" s="100">
        <f t="shared" si="1170"/>
        <v>44</v>
      </c>
    </row>
    <row r="3336" spans="1:404" ht="23.25" customHeight="1">
      <c r="A3336" s="127" t="str">
        <f t="shared" si="1167"/>
        <v>003_SR-22( Mullally -Costco)66-90006-S1-B</v>
      </c>
      <c r="B3336" s="163">
        <v>44602</v>
      </c>
      <c r="C3336" s="135">
        <f t="shared" ca="1" si="1168"/>
        <v>-462</v>
      </c>
      <c r="D3336" s="264" t="s">
        <v>2534</v>
      </c>
      <c r="E3336" s="388" t="s">
        <v>2349</v>
      </c>
      <c r="F3336" s="136" t="str">
        <f t="shared" si="1171"/>
        <v>B</v>
      </c>
      <c r="G3336" s="137">
        <f ca="1">SUMIF($A:E,$A3336,K:K)</f>
        <v>20</v>
      </c>
      <c r="H3336" s="389" t="s">
        <v>2535</v>
      </c>
      <c r="I3336" s="136">
        <v>10</v>
      </c>
      <c r="J3336" s="270">
        <v>10</v>
      </c>
      <c r="K3336" s="230">
        <f t="shared" si="1149"/>
        <v>20</v>
      </c>
      <c r="L3336" s="155">
        <f t="shared" si="1172"/>
        <v>-10</v>
      </c>
      <c r="N3336" s="136">
        <v>1</v>
      </c>
      <c r="O3336" s="93">
        <f t="shared" si="1169"/>
        <v>200</v>
      </c>
      <c r="NY3336" s="100">
        <v>10</v>
      </c>
      <c r="ON3336" s="100">
        <f t="shared" si="1170"/>
        <v>10</v>
      </c>
    </row>
    <row r="3337" spans="1:404" ht="23.25" customHeight="1">
      <c r="A3337" s="127" t="str">
        <f t="shared" si="1167"/>
        <v>021/KHBS-22(002/HOMESENSE-21)66-61337-S3-B4</v>
      </c>
      <c r="B3337" s="126">
        <v>44239</v>
      </c>
      <c r="C3337" s="127">
        <f t="shared" ca="1" si="1168"/>
        <v>-825</v>
      </c>
      <c r="D3337" s="272" t="s">
        <v>2536</v>
      </c>
      <c r="E3337" s="129" t="s">
        <v>1044</v>
      </c>
      <c r="F3337" s="132" t="str">
        <f t="shared" si="1171"/>
        <v>B4</v>
      </c>
      <c r="G3337" s="130">
        <f ca="1">SUMIF($A:E,$A3337,K:K)</f>
        <v>4</v>
      </c>
      <c r="H3337" s="127" t="s">
        <v>616</v>
      </c>
      <c r="I3337" s="132">
        <v>2</v>
      </c>
      <c r="J3337" s="131">
        <v>2</v>
      </c>
      <c r="K3337" s="160">
        <f t="shared" si="1149"/>
        <v>4</v>
      </c>
      <c r="L3337" s="151">
        <f t="shared" ref="L3337" si="1173">J3337-K3337</f>
        <v>-2</v>
      </c>
      <c r="N3337" s="132">
        <v>2</v>
      </c>
      <c r="O3337" s="93">
        <f t="shared" si="1169"/>
        <v>200</v>
      </c>
      <c r="NY3337" s="100">
        <v>2</v>
      </c>
      <c r="ON3337" s="100">
        <f t="shared" si="1170"/>
        <v>2</v>
      </c>
    </row>
    <row r="3338" spans="1:404" ht="23.25" customHeight="1">
      <c r="A3338" s="97" t="str">
        <f t="shared" si="1167"/>
        <v>028/KHBS-2266-01737-B3-B4</v>
      </c>
      <c r="B3338" s="95">
        <v>44612</v>
      </c>
      <c r="C3338" s="97">
        <f t="shared" ca="1" si="1168"/>
        <v>-452</v>
      </c>
      <c r="D3338" s="96" t="s">
        <v>2546</v>
      </c>
      <c r="E3338" s="94" t="s">
        <v>1180</v>
      </c>
      <c r="F3338" s="98" t="str">
        <f t="shared" si="1171"/>
        <v>B4</v>
      </c>
      <c r="G3338" s="110">
        <f ca="1">SUMIF($A:E,$A3338,K:K)</f>
        <v>2</v>
      </c>
      <c r="H3338" s="97" t="s">
        <v>616</v>
      </c>
      <c r="I3338" s="98">
        <v>1</v>
      </c>
      <c r="J3338" s="99">
        <v>1</v>
      </c>
      <c r="K3338" s="143">
        <f t="shared" si="1149"/>
        <v>2</v>
      </c>
      <c r="L3338" s="144">
        <f t="shared" ref="L3338:L3340" si="1174">J3338-K3338</f>
        <v>-1</v>
      </c>
      <c r="M3338" s="276"/>
      <c r="N3338" s="98">
        <v>2</v>
      </c>
      <c r="O3338" s="93">
        <f t="shared" si="1169"/>
        <v>200</v>
      </c>
      <c r="OC3338" s="100">
        <v>1</v>
      </c>
      <c r="ON3338" s="100">
        <f t="shared" si="1170"/>
        <v>1</v>
      </c>
    </row>
    <row r="3339" spans="1:404" ht="23.25" customHeight="1">
      <c r="A3339" s="97" t="str">
        <f t="shared" si="1167"/>
        <v>028/KHBS-2266-01737-02-B4</v>
      </c>
      <c r="B3339" s="95">
        <v>44612</v>
      </c>
      <c r="C3339" s="97">
        <f t="shared" ca="1" si="1168"/>
        <v>-452</v>
      </c>
      <c r="D3339" s="96" t="s">
        <v>2546</v>
      </c>
      <c r="E3339" s="94" t="s">
        <v>2401</v>
      </c>
      <c r="F3339" s="98" t="str">
        <f t="shared" si="1171"/>
        <v>B4</v>
      </c>
      <c r="G3339" s="110">
        <f ca="1">SUMIF($A:E,$A3339,K:K)</f>
        <v>2</v>
      </c>
      <c r="H3339" s="97" t="s">
        <v>616</v>
      </c>
      <c r="I3339" s="98">
        <v>1</v>
      </c>
      <c r="J3339" s="99">
        <v>1</v>
      </c>
      <c r="K3339" s="143">
        <f t="shared" si="1149"/>
        <v>2</v>
      </c>
      <c r="L3339" s="144">
        <f t="shared" si="1174"/>
        <v>-1</v>
      </c>
      <c r="M3339" s="276"/>
      <c r="N3339" s="98">
        <v>2</v>
      </c>
      <c r="O3339" s="93">
        <f t="shared" si="1169"/>
        <v>200</v>
      </c>
      <c r="OC3339" s="100">
        <v>1</v>
      </c>
      <c r="ON3339" s="100">
        <f t="shared" si="1170"/>
        <v>1</v>
      </c>
    </row>
    <row r="3340" spans="1:404" ht="23.25" customHeight="1">
      <c r="A3340" s="97" t="str">
        <f t="shared" si="1167"/>
        <v>028/KHBS-226-01737-04-B4</v>
      </c>
      <c r="B3340" s="95">
        <v>44612</v>
      </c>
      <c r="C3340" s="97">
        <f t="shared" ca="1" si="1168"/>
        <v>-452</v>
      </c>
      <c r="D3340" s="96" t="s">
        <v>2546</v>
      </c>
      <c r="E3340" s="94" t="s">
        <v>2547</v>
      </c>
      <c r="F3340" s="98" t="str">
        <f t="shared" ref="F3340" si="1175">MID(E3340,13,2)</f>
        <v>4</v>
      </c>
      <c r="G3340" s="110">
        <f ca="1">SUMIF($A:E,$A3340,K:K)</f>
        <v>4</v>
      </c>
      <c r="H3340" s="97" t="s">
        <v>616</v>
      </c>
      <c r="I3340" s="98">
        <v>2</v>
      </c>
      <c r="J3340" s="99">
        <v>2</v>
      </c>
      <c r="K3340" s="143">
        <f t="shared" si="1149"/>
        <v>4</v>
      </c>
      <c r="L3340" s="144">
        <f t="shared" si="1174"/>
        <v>-2</v>
      </c>
      <c r="M3340" s="276"/>
      <c r="N3340" s="98">
        <v>2</v>
      </c>
      <c r="O3340" s="93">
        <f t="shared" si="1169"/>
        <v>200</v>
      </c>
      <c r="OC3340" s="100">
        <v>2</v>
      </c>
      <c r="ON3340" s="100">
        <f t="shared" si="1170"/>
        <v>2</v>
      </c>
    </row>
    <row r="3341" spans="1:404" ht="23.25" customHeight="1">
      <c r="A3341" s="97" t="str">
        <f t="shared" ref="A3341:A3354" si="1176">D3341&amp;E3341</f>
        <v>026/KHBS-2266-85629-02-B</v>
      </c>
      <c r="B3341" s="95">
        <v>44612</v>
      </c>
      <c r="C3341" s="97">
        <f t="shared" ca="1" si="1168"/>
        <v>-452</v>
      </c>
      <c r="D3341" s="96" t="s">
        <v>2548</v>
      </c>
      <c r="E3341" s="94" t="s">
        <v>1765</v>
      </c>
      <c r="F3341" s="98" t="str">
        <f t="shared" si="1171"/>
        <v>B</v>
      </c>
      <c r="G3341" s="110">
        <f ca="1">SUMIF($A:E,$A3341,K:K)</f>
        <v>2</v>
      </c>
      <c r="H3341" s="97" t="s">
        <v>616</v>
      </c>
      <c r="I3341" s="98">
        <v>1</v>
      </c>
      <c r="J3341" s="99">
        <v>1</v>
      </c>
      <c r="K3341" s="143">
        <f t="shared" si="1149"/>
        <v>2</v>
      </c>
      <c r="L3341" s="144">
        <f t="shared" ref="L3341:L3348" si="1177">J3341-K3341</f>
        <v>-1</v>
      </c>
      <c r="M3341" s="276"/>
      <c r="N3341" s="98">
        <v>3</v>
      </c>
      <c r="O3341" s="93">
        <f t="shared" si="1169"/>
        <v>200</v>
      </c>
      <c r="OC3341" s="100">
        <v>1</v>
      </c>
      <c r="ON3341" s="100">
        <f t="shared" si="1170"/>
        <v>1</v>
      </c>
    </row>
    <row r="3342" spans="1:404" ht="23.25" customHeight="1">
      <c r="A3342" s="97" t="str">
        <f t="shared" si="1176"/>
        <v>026/KHBS-2266-06723-S2-B</v>
      </c>
      <c r="B3342" s="95">
        <v>44612</v>
      </c>
      <c r="C3342" s="97">
        <f t="shared" ref="C3342:C3354" ca="1" si="1178">B3342-TODAY()</f>
        <v>-452</v>
      </c>
      <c r="D3342" s="96" t="s">
        <v>2548</v>
      </c>
      <c r="E3342" s="94" t="s">
        <v>1226</v>
      </c>
      <c r="F3342" s="98" t="str">
        <f t="shared" si="1171"/>
        <v>B</v>
      </c>
      <c r="G3342" s="110">
        <f ca="1">SUMIF($A:E,$A3342,K:K)</f>
        <v>6</v>
      </c>
      <c r="H3342" s="97" t="s">
        <v>616</v>
      </c>
      <c r="I3342" s="98">
        <v>3</v>
      </c>
      <c r="J3342" s="99">
        <v>3</v>
      </c>
      <c r="K3342" s="143">
        <f t="shared" si="1149"/>
        <v>6</v>
      </c>
      <c r="L3342" s="144">
        <f t="shared" si="1177"/>
        <v>-3</v>
      </c>
      <c r="M3342" s="276"/>
      <c r="N3342" s="98">
        <v>6</v>
      </c>
      <c r="O3342" s="93">
        <f t="shared" si="1169"/>
        <v>200</v>
      </c>
      <c r="OC3342" s="100">
        <v>3</v>
      </c>
      <c r="ON3342" s="100">
        <f t="shared" si="1170"/>
        <v>3</v>
      </c>
    </row>
    <row r="3343" spans="1:404" ht="23.25" customHeight="1">
      <c r="A3343" s="97" t="str">
        <f t="shared" si="1176"/>
        <v>026/KHBS-2268-75200-S1-B</v>
      </c>
      <c r="B3343" s="95">
        <v>44612</v>
      </c>
      <c r="C3343" s="97">
        <f t="shared" ca="1" si="1178"/>
        <v>-452</v>
      </c>
      <c r="D3343" s="96" t="s">
        <v>2548</v>
      </c>
      <c r="E3343" s="94" t="s">
        <v>319</v>
      </c>
      <c r="F3343" s="98" t="str">
        <f t="shared" si="1171"/>
        <v>B</v>
      </c>
      <c r="G3343" s="110">
        <f ca="1">SUMIF($A:E,$A3343,K:K)</f>
        <v>8</v>
      </c>
      <c r="H3343" s="97" t="s">
        <v>616</v>
      </c>
      <c r="I3343" s="98">
        <v>4</v>
      </c>
      <c r="J3343" s="99">
        <v>4</v>
      </c>
      <c r="K3343" s="143">
        <f t="shared" si="1149"/>
        <v>8</v>
      </c>
      <c r="L3343" s="144">
        <f t="shared" si="1177"/>
        <v>-4</v>
      </c>
      <c r="M3343" s="276"/>
      <c r="N3343" s="98">
        <v>3</v>
      </c>
      <c r="O3343" s="93">
        <f t="shared" si="1169"/>
        <v>200</v>
      </c>
      <c r="OK3343" s="100">
        <v>4</v>
      </c>
      <c r="ON3343" s="100">
        <f t="shared" si="1170"/>
        <v>4</v>
      </c>
    </row>
    <row r="3344" spans="1:404" ht="23.25" customHeight="1">
      <c r="A3344" s="97" t="str">
        <f t="shared" si="1176"/>
        <v>026/KHBS-2266-06422-03-B</v>
      </c>
      <c r="B3344" s="95">
        <v>44612</v>
      </c>
      <c r="C3344" s="97">
        <f t="shared" ca="1" si="1178"/>
        <v>-452</v>
      </c>
      <c r="D3344" s="96" t="s">
        <v>2548</v>
      </c>
      <c r="E3344" s="94" t="s">
        <v>1189</v>
      </c>
      <c r="F3344" s="98" t="str">
        <f t="shared" si="1171"/>
        <v>B</v>
      </c>
      <c r="G3344" s="110">
        <f ca="1">SUMIF($A:E,$A3344,K:K)</f>
        <v>10</v>
      </c>
      <c r="H3344" s="97" t="s">
        <v>616</v>
      </c>
      <c r="I3344" s="98">
        <v>5</v>
      </c>
      <c r="J3344" s="99">
        <v>5</v>
      </c>
      <c r="K3344" s="143">
        <f t="shared" si="1149"/>
        <v>10</v>
      </c>
      <c r="L3344" s="144">
        <f t="shared" si="1177"/>
        <v>-5</v>
      </c>
      <c r="M3344" s="276"/>
      <c r="N3344" s="98">
        <v>6</v>
      </c>
      <c r="O3344" s="93">
        <f t="shared" ref="O3344:O3379" si="1179">K3344/J3344*100</f>
        <v>200</v>
      </c>
      <c r="OC3344" s="100">
        <v>5</v>
      </c>
      <c r="ON3344" s="100">
        <f t="shared" si="1170"/>
        <v>5</v>
      </c>
    </row>
    <row r="3345" spans="1:404" ht="23.25" customHeight="1">
      <c r="A3345" s="97" t="str">
        <f t="shared" si="1176"/>
        <v>027/KHBS-2268-75100-S1-B</v>
      </c>
      <c r="B3345" s="95">
        <v>44612</v>
      </c>
      <c r="C3345" s="97">
        <f t="shared" ca="1" si="1178"/>
        <v>-452</v>
      </c>
      <c r="D3345" s="96" t="s">
        <v>2549</v>
      </c>
      <c r="E3345" s="94" t="s">
        <v>318</v>
      </c>
      <c r="F3345" s="98" t="str">
        <f t="shared" ref="F3345:F3349" si="1180">MID(E3345,13,2)</f>
        <v>B</v>
      </c>
      <c r="G3345" s="110">
        <f ca="1">SUMIF($A:E,$A3345,K:K)</f>
        <v>4</v>
      </c>
      <c r="H3345" s="97" t="s">
        <v>616</v>
      </c>
      <c r="I3345" s="98">
        <v>2</v>
      </c>
      <c r="J3345" s="99">
        <v>2</v>
      </c>
      <c r="K3345" s="143">
        <f t="shared" si="1149"/>
        <v>4</v>
      </c>
      <c r="L3345" s="144">
        <f t="shared" si="1177"/>
        <v>-2</v>
      </c>
      <c r="M3345" s="276"/>
      <c r="N3345" s="98">
        <v>1</v>
      </c>
      <c r="O3345" s="93">
        <f t="shared" si="1179"/>
        <v>200</v>
      </c>
      <c r="OD3345" s="100">
        <v>2</v>
      </c>
      <c r="ON3345" s="100">
        <f t="shared" si="1170"/>
        <v>2</v>
      </c>
    </row>
    <row r="3346" spans="1:404" ht="23.25" customHeight="1">
      <c r="A3346" s="97" t="str">
        <f t="shared" si="1176"/>
        <v>002/HACA-HK-VG-2266-06722-S2-B</v>
      </c>
      <c r="B3346" s="95">
        <v>44729</v>
      </c>
      <c r="C3346" s="97">
        <f t="shared" ca="1" si="1178"/>
        <v>-335</v>
      </c>
      <c r="D3346" s="96" t="s">
        <v>2550</v>
      </c>
      <c r="E3346" s="94" t="s">
        <v>1623</v>
      </c>
      <c r="F3346" s="98" t="str">
        <f t="shared" si="1180"/>
        <v>B</v>
      </c>
      <c r="G3346" s="110">
        <f ca="1">SUMIF($A:E,$A3346,K:K)</f>
        <v>0</v>
      </c>
      <c r="H3346" s="97" t="s">
        <v>601</v>
      </c>
      <c r="I3346" s="98">
        <v>384</v>
      </c>
      <c r="J3346" s="99">
        <v>384</v>
      </c>
      <c r="K3346" s="143">
        <f t="shared" si="1149"/>
        <v>0</v>
      </c>
      <c r="L3346" s="144">
        <f t="shared" si="1177"/>
        <v>384</v>
      </c>
      <c r="M3346" s="276"/>
      <c r="N3346" s="98"/>
      <c r="O3346" s="93">
        <f t="shared" si="1179"/>
        <v>0</v>
      </c>
      <c r="ON3346" s="100">
        <f t="shared" si="1170"/>
        <v>0</v>
      </c>
    </row>
    <row r="3347" spans="1:404" ht="23.25" customHeight="1">
      <c r="A3347" s="97" t="str">
        <f t="shared" si="1176"/>
        <v>018/KHBS-2266-70300-03-B</v>
      </c>
      <c r="B3347" s="95">
        <v>44223</v>
      </c>
      <c r="C3347" s="97">
        <f t="shared" ca="1" si="1178"/>
        <v>-841</v>
      </c>
      <c r="D3347" s="112" t="s">
        <v>2551</v>
      </c>
      <c r="E3347" s="94" t="s">
        <v>25</v>
      </c>
      <c r="F3347" s="98" t="str">
        <f t="shared" si="1180"/>
        <v>B</v>
      </c>
      <c r="G3347" s="110">
        <f ca="1">SUMIF($A:E,$A3347,K:K)</f>
        <v>2</v>
      </c>
      <c r="H3347" s="318" t="s">
        <v>616</v>
      </c>
      <c r="I3347" s="98">
        <v>1</v>
      </c>
      <c r="J3347" s="99">
        <v>1</v>
      </c>
      <c r="K3347" s="143">
        <f t="shared" si="1149"/>
        <v>2</v>
      </c>
      <c r="L3347" s="144">
        <f t="shared" si="1177"/>
        <v>-1</v>
      </c>
      <c r="M3347" s="276"/>
      <c r="N3347" s="98">
        <v>6</v>
      </c>
      <c r="O3347" s="93">
        <f t="shared" si="1179"/>
        <v>200</v>
      </c>
      <c r="NZ3347" s="100">
        <v>1</v>
      </c>
      <c r="ON3347" s="100">
        <f t="shared" si="1170"/>
        <v>1</v>
      </c>
    </row>
    <row r="3348" spans="1:404" ht="23.25" customHeight="1">
      <c r="A3348" s="97" t="str">
        <f t="shared" si="1176"/>
        <v>018/KHBS-2266-64700-S1-B</v>
      </c>
      <c r="B3348" s="95">
        <v>44223</v>
      </c>
      <c r="C3348" s="97">
        <f t="shared" ca="1" si="1178"/>
        <v>-841</v>
      </c>
      <c r="D3348" s="112" t="s">
        <v>2551</v>
      </c>
      <c r="E3348" s="94" t="s">
        <v>635</v>
      </c>
      <c r="F3348" s="98" t="str">
        <f t="shared" si="1180"/>
        <v>B</v>
      </c>
      <c r="G3348" s="110">
        <f ca="1">SUMIF($A:E,$A3348,K:K)</f>
        <v>2</v>
      </c>
      <c r="H3348" s="318" t="s">
        <v>616</v>
      </c>
      <c r="I3348" s="98">
        <v>1</v>
      </c>
      <c r="J3348" s="99">
        <v>1</v>
      </c>
      <c r="K3348" s="143">
        <f t="shared" si="1149"/>
        <v>2</v>
      </c>
      <c r="L3348" s="144">
        <f t="shared" si="1177"/>
        <v>-1</v>
      </c>
      <c r="M3348" s="276"/>
      <c r="N3348" s="98">
        <v>3</v>
      </c>
      <c r="O3348" s="93">
        <f t="shared" si="1179"/>
        <v>200</v>
      </c>
      <c r="NZ3348" s="100">
        <v>1</v>
      </c>
      <c r="ON3348" s="100">
        <f t="shared" si="1170"/>
        <v>1</v>
      </c>
    </row>
    <row r="3349" spans="1:404" ht="23.25" customHeight="1">
      <c r="A3349" s="97" t="str">
        <f t="shared" si="1176"/>
        <v>001/SQUARE-VG-2266-51012-S2-B</v>
      </c>
      <c r="B3349" s="95">
        <v>44693</v>
      </c>
      <c r="C3349" s="97">
        <f t="shared" ca="1" si="1178"/>
        <v>-371</v>
      </c>
      <c r="D3349" s="247" t="s">
        <v>2552</v>
      </c>
      <c r="E3349" s="123" t="s">
        <v>419</v>
      </c>
      <c r="F3349" s="98" t="str">
        <f t="shared" si="1180"/>
        <v>B</v>
      </c>
      <c r="G3349" s="110">
        <f ca="1">SUMIF($A:E,$A3349,K:K)</f>
        <v>0</v>
      </c>
      <c r="H3349" s="112" t="s">
        <v>2481</v>
      </c>
      <c r="I3349" s="175">
        <v>30</v>
      </c>
      <c r="J3349" s="115">
        <v>30</v>
      </c>
      <c r="K3349" s="143">
        <f t="shared" si="1149"/>
        <v>0</v>
      </c>
      <c r="L3349" s="144">
        <f t="shared" ref="L3349:L3354" si="1181">J3349-K3349</f>
        <v>30</v>
      </c>
      <c r="M3349" s="276"/>
      <c r="N3349" s="98"/>
      <c r="O3349" s="93">
        <f t="shared" si="1179"/>
        <v>0</v>
      </c>
      <c r="ON3349" s="100">
        <f t="shared" si="1170"/>
        <v>0</v>
      </c>
    </row>
    <row r="3350" spans="1:404" ht="23.25" customHeight="1">
      <c r="A3350" s="97" t="str">
        <f t="shared" si="1176"/>
        <v>001/SQUARE-VG-2266-55412-S3-B</v>
      </c>
      <c r="B3350" s="95">
        <v>44693</v>
      </c>
      <c r="C3350" s="97">
        <f t="shared" ca="1" si="1178"/>
        <v>-371</v>
      </c>
      <c r="D3350" s="247" t="s">
        <v>2552</v>
      </c>
      <c r="E3350" s="123" t="s">
        <v>787</v>
      </c>
      <c r="F3350" s="98" t="str">
        <f t="shared" ref="F3350:F3354" si="1182">MID(E3350,13,2)</f>
        <v>B</v>
      </c>
      <c r="G3350" s="110">
        <f ca="1">SUMIF($A:E,$A3350,K:K)</f>
        <v>0</v>
      </c>
      <c r="H3350" s="112" t="s">
        <v>2554</v>
      </c>
      <c r="I3350" s="175">
        <v>12</v>
      </c>
      <c r="J3350" s="115">
        <v>12</v>
      </c>
      <c r="K3350" s="143">
        <f t="shared" si="1149"/>
        <v>0</v>
      </c>
      <c r="L3350" s="144">
        <f t="shared" si="1181"/>
        <v>12</v>
      </c>
      <c r="M3350" s="276"/>
      <c r="N3350" s="98"/>
      <c r="O3350" s="93">
        <f t="shared" si="1179"/>
        <v>0</v>
      </c>
      <c r="ON3350" s="100">
        <f t="shared" si="1170"/>
        <v>0</v>
      </c>
    </row>
    <row r="3351" spans="1:404" ht="23.25" customHeight="1">
      <c r="A3351" s="97" t="str">
        <f t="shared" si="1176"/>
        <v>001/SQUARE-VG-2266-75716-L2-B</v>
      </c>
      <c r="B3351" s="95">
        <v>44693</v>
      </c>
      <c r="C3351" s="97">
        <f t="shared" ca="1" si="1178"/>
        <v>-371</v>
      </c>
      <c r="D3351" s="247" t="s">
        <v>2552</v>
      </c>
      <c r="E3351" s="123" t="s">
        <v>2553</v>
      </c>
      <c r="F3351" s="98" t="str">
        <f t="shared" si="1182"/>
        <v>B</v>
      </c>
      <c r="G3351" s="110">
        <f ca="1">SUMIF($A:E,$A3351,K:K)</f>
        <v>0</v>
      </c>
      <c r="H3351" s="112" t="s">
        <v>2555</v>
      </c>
      <c r="I3351" s="175">
        <v>64</v>
      </c>
      <c r="J3351" s="115">
        <v>64</v>
      </c>
      <c r="K3351" s="143">
        <f t="shared" si="1149"/>
        <v>0</v>
      </c>
      <c r="L3351" s="144">
        <f t="shared" si="1181"/>
        <v>64</v>
      </c>
      <c r="M3351" s="276"/>
      <c r="N3351" s="98"/>
      <c r="O3351" s="93">
        <f t="shared" si="1179"/>
        <v>0</v>
      </c>
      <c r="ON3351" s="100">
        <f t="shared" si="1170"/>
        <v>0</v>
      </c>
    </row>
    <row r="3352" spans="1:404" ht="23.25" customHeight="1">
      <c r="A3352" s="97" t="str">
        <f t="shared" si="1176"/>
        <v>001/SQUARE-VG-2266-79516-02-B</v>
      </c>
      <c r="B3352" s="95">
        <v>44693</v>
      </c>
      <c r="C3352" s="97">
        <f t="shared" ca="1" si="1178"/>
        <v>-371</v>
      </c>
      <c r="D3352" s="247" t="s">
        <v>2552</v>
      </c>
      <c r="E3352" s="123" t="s">
        <v>710</v>
      </c>
      <c r="F3352" s="98" t="str">
        <f t="shared" si="1182"/>
        <v>B</v>
      </c>
      <c r="G3352" s="110">
        <f ca="1">SUMIF($A:E,$A3352,K:K)</f>
        <v>0</v>
      </c>
      <c r="H3352" s="112" t="s">
        <v>2556</v>
      </c>
      <c r="I3352" s="175">
        <v>16</v>
      </c>
      <c r="J3352" s="115">
        <v>16</v>
      </c>
      <c r="K3352" s="143">
        <f t="shared" si="1149"/>
        <v>0</v>
      </c>
      <c r="L3352" s="144">
        <f t="shared" si="1181"/>
        <v>16</v>
      </c>
      <c r="M3352" s="276"/>
      <c r="N3352" s="98"/>
      <c r="O3352" s="93">
        <f t="shared" si="1179"/>
        <v>0</v>
      </c>
      <c r="ON3352" s="100">
        <f t="shared" si="1170"/>
        <v>0</v>
      </c>
    </row>
    <row r="3353" spans="1:404" ht="23.25" customHeight="1">
      <c r="A3353" s="97" t="str">
        <f t="shared" si="1176"/>
        <v>001/SQUARE-VG-2268-75716-01-B</v>
      </c>
      <c r="B3353" s="95">
        <v>44693</v>
      </c>
      <c r="C3353" s="97">
        <f t="shared" ca="1" si="1178"/>
        <v>-371</v>
      </c>
      <c r="D3353" s="247" t="s">
        <v>2552</v>
      </c>
      <c r="E3353" s="123" t="s">
        <v>493</v>
      </c>
      <c r="F3353" s="98" t="str">
        <f t="shared" si="1182"/>
        <v>B</v>
      </c>
      <c r="G3353" s="110">
        <f ca="1">SUMIF($A:E,$A3353,K:K)</f>
        <v>0</v>
      </c>
      <c r="H3353" s="112" t="s">
        <v>2481</v>
      </c>
      <c r="I3353" s="175">
        <v>12</v>
      </c>
      <c r="J3353" s="115">
        <v>12</v>
      </c>
      <c r="K3353" s="143">
        <f t="shared" si="1149"/>
        <v>0</v>
      </c>
      <c r="L3353" s="144">
        <f t="shared" si="1181"/>
        <v>12</v>
      </c>
      <c r="M3353" s="276"/>
      <c r="N3353" s="98"/>
      <c r="O3353" s="93">
        <f t="shared" si="1179"/>
        <v>0</v>
      </c>
      <c r="ON3353" s="100">
        <f t="shared" si="1170"/>
        <v>0</v>
      </c>
    </row>
    <row r="3354" spans="1:404" ht="23.25" customHeight="1">
      <c r="A3354" s="97" t="str">
        <f t="shared" si="1176"/>
        <v>001/SQUARE-VG-2268-75916-S2-B</v>
      </c>
      <c r="B3354" s="95">
        <v>44693</v>
      </c>
      <c r="C3354" s="97">
        <f t="shared" ca="1" si="1178"/>
        <v>-371</v>
      </c>
      <c r="D3354" s="247" t="s">
        <v>2552</v>
      </c>
      <c r="E3354" s="123" t="s">
        <v>2494</v>
      </c>
      <c r="F3354" s="98" t="str">
        <f t="shared" si="1182"/>
        <v>B</v>
      </c>
      <c r="G3354" s="110">
        <f ca="1">SUMIF($A:E,$A3354,K:K)</f>
        <v>0</v>
      </c>
      <c r="H3354" s="112" t="s">
        <v>2481</v>
      </c>
      <c r="I3354" s="175">
        <v>12</v>
      </c>
      <c r="J3354" s="115">
        <v>12</v>
      </c>
      <c r="K3354" s="143">
        <f t="shared" si="1149"/>
        <v>0</v>
      </c>
      <c r="L3354" s="144">
        <f t="shared" si="1181"/>
        <v>12</v>
      </c>
      <c r="M3354" s="276"/>
      <c r="N3354" s="98"/>
      <c r="O3354" s="93">
        <f t="shared" si="1179"/>
        <v>0</v>
      </c>
      <c r="ON3354" s="100">
        <f t="shared" si="1170"/>
        <v>0</v>
      </c>
    </row>
    <row r="3355" spans="1:404" ht="23.25" customHeight="1">
      <c r="A3355" s="97" t="str">
        <f t="shared" ref="A3355:A3356" si="1183">D3355&amp;E3355</f>
        <v>001/SQUARE-VG-2266-55412-B2-B</v>
      </c>
      <c r="B3355" s="95">
        <v>44687</v>
      </c>
      <c r="C3355" s="97">
        <f t="shared" ref="C3355:C3356" ca="1" si="1184">B3355-TODAY()</f>
        <v>-377</v>
      </c>
      <c r="D3355" s="247" t="s">
        <v>2552</v>
      </c>
      <c r="E3355" s="94" t="s">
        <v>1004</v>
      </c>
      <c r="F3355" s="98" t="str">
        <f t="shared" ref="F3355:F3356" si="1185">MID(E3355,13,2)</f>
        <v>B</v>
      </c>
      <c r="G3355" s="110">
        <f ca="1">SUMIF($A:E,$A3355,K:K)</f>
        <v>0</v>
      </c>
      <c r="H3355" s="97" t="s">
        <v>2557</v>
      </c>
      <c r="I3355" s="98">
        <v>12</v>
      </c>
      <c r="J3355" s="99">
        <v>12</v>
      </c>
      <c r="K3355" s="143">
        <f t="shared" si="1149"/>
        <v>0</v>
      </c>
      <c r="L3355" s="144">
        <f t="shared" ref="L3355" si="1186">J3355-K3355</f>
        <v>12</v>
      </c>
      <c r="M3355" s="276"/>
      <c r="N3355" s="98"/>
      <c r="O3355" s="93">
        <f t="shared" si="1179"/>
        <v>0</v>
      </c>
      <c r="ON3355" s="100">
        <f t="shared" si="1170"/>
        <v>0</v>
      </c>
    </row>
    <row r="3356" spans="1:404" ht="23.25" customHeight="1">
      <c r="A3356" s="97" t="str">
        <f t="shared" si="1183"/>
        <v>001/HACA-HK-VG-22(đ1)66-01722-B3-B</v>
      </c>
      <c r="B3356" s="95">
        <v>44707</v>
      </c>
      <c r="C3356" s="97">
        <f t="shared" ca="1" si="1184"/>
        <v>-357</v>
      </c>
      <c r="D3356" s="112" t="s">
        <v>2559</v>
      </c>
      <c r="E3356" s="123" t="s">
        <v>2492</v>
      </c>
      <c r="F3356" s="98" t="str">
        <f t="shared" si="1185"/>
        <v>B</v>
      </c>
      <c r="G3356" s="110">
        <f ca="1">SUMIF($A:E,$A3356,K:K)</f>
        <v>0</v>
      </c>
      <c r="H3356" s="97" t="s">
        <v>601</v>
      </c>
      <c r="I3356" s="175">
        <v>60</v>
      </c>
      <c r="J3356" s="115">
        <v>60</v>
      </c>
      <c r="K3356" s="143">
        <f t="shared" si="1149"/>
        <v>0</v>
      </c>
      <c r="L3356" s="144">
        <f t="shared" ref="L3356:L3367" si="1187">J3356-K3356</f>
        <v>60</v>
      </c>
      <c r="M3356" s="276"/>
      <c r="N3356" s="98"/>
      <c r="O3356" s="93">
        <f t="shared" si="1179"/>
        <v>0</v>
      </c>
      <c r="ON3356" s="100">
        <f t="shared" si="1170"/>
        <v>0</v>
      </c>
    </row>
    <row r="3357" spans="1:404" ht="23.25" customHeight="1">
      <c r="A3357" s="97" t="str">
        <f t="shared" ref="A3357:A3362" si="1188">D3357&amp;E3357</f>
        <v>001/HACA-HK-VG-22(đ1)66-06422-S3-B</v>
      </c>
      <c r="B3357" s="95">
        <v>44707</v>
      </c>
      <c r="C3357" s="97">
        <f t="shared" ref="C3357:C3362" ca="1" si="1189">B3357-TODAY()</f>
        <v>-357</v>
      </c>
      <c r="D3357" s="112" t="s">
        <v>2559</v>
      </c>
      <c r="E3357" s="123" t="s">
        <v>1171</v>
      </c>
      <c r="F3357" s="98" t="str">
        <f t="shared" ref="F3357:F3367" si="1190">MID(E3357,13,2)</f>
        <v>B</v>
      </c>
      <c r="G3357" s="110">
        <f ca="1">SUMIF($A:E,$A3357,K:K)</f>
        <v>0</v>
      </c>
      <c r="H3357" s="97" t="s">
        <v>601</v>
      </c>
      <c r="I3357" s="175">
        <v>30</v>
      </c>
      <c r="J3357" s="115">
        <v>30</v>
      </c>
      <c r="K3357" s="143">
        <f t="shared" si="1149"/>
        <v>0</v>
      </c>
      <c r="L3357" s="144">
        <f t="shared" si="1187"/>
        <v>30</v>
      </c>
      <c r="M3357" s="276"/>
      <c r="N3357" s="98"/>
      <c r="O3357" s="93">
        <f t="shared" si="1179"/>
        <v>0</v>
      </c>
      <c r="ON3357" s="100">
        <f t="shared" si="1170"/>
        <v>0</v>
      </c>
    </row>
    <row r="3358" spans="1:404" ht="23.25" customHeight="1">
      <c r="A3358" s="97" t="str">
        <f t="shared" si="1188"/>
        <v>001/HACA-HK-VG-22(đ1)66-06722-S2-B</v>
      </c>
      <c r="B3358" s="95">
        <v>44707</v>
      </c>
      <c r="C3358" s="97">
        <f t="shared" ca="1" si="1189"/>
        <v>-357</v>
      </c>
      <c r="D3358" s="112" t="s">
        <v>2559</v>
      </c>
      <c r="E3358" s="123" t="s">
        <v>1623</v>
      </c>
      <c r="F3358" s="98" t="str">
        <f t="shared" si="1190"/>
        <v>B</v>
      </c>
      <c r="G3358" s="110">
        <f ca="1">SUMIF($A:E,$A3358,K:K)</f>
        <v>0</v>
      </c>
      <c r="H3358" s="97" t="s">
        <v>601</v>
      </c>
      <c r="I3358" s="175">
        <v>96</v>
      </c>
      <c r="J3358" s="115">
        <v>96</v>
      </c>
      <c r="K3358" s="143">
        <f t="shared" si="1149"/>
        <v>0</v>
      </c>
      <c r="L3358" s="144">
        <f t="shared" si="1187"/>
        <v>96</v>
      </c>
      <c r="M3358" s="276"/>
      <c r="N3358" s="98"/>
      <c r="O3358" s="93">
        <f t="shared" si="1179"/>
        <v>0</v>
      </c>
      <c r="ON3358" s="100">
        <f t="shared" si="1170"/>
        <v>0</v>
      </c>
    </row>
    <row r="3359" spans="1:404" ht="23.25" customHeight="1">
      <c r="A3359" s="97" t="str">
        <f t="shared" si="1188"/>
        <v>001/HACA-HK-VG-22(đ1)66-12522-B2-B</v>
      </c>
      <c r="B3359" s="95">
        <v>44707</v>
      </c>
      <c r="C3359" s="97">
        <f t="shared" ca="1" si="1189"/>
        <v>-357</v>
      </c>
      <c r="D3359" s="112" t="s">
        <v>2559</v>
      </c>
      <c r="E3359" s="123" t="s">
        <v>632</v>
      </c>
      <c r="F3359" s="98" t="str">
        <f t="shared" si="1190"/>
        <v>B</v>
      </c>
      <c r="G3359" s="110">
        <f ca="1">SUMIF($A:E,$A3359,K:K)</f>
        <v>0</v>
      </c>
      <c r="H3359" s="97" t="s">
        <v>601</v>
      </c>
      <c r="I3359" s="175">
        <v>24</v>
      </c>
      <c r="J3359" s="115">
        <v>24</v>
      </c>
      <c r="K3359" s="143">
        <f t="shared" si="1149"/>
        <v>0</v>
      </c>
      <c r="L3359" s="144">
        <f t="shared" si="1187"/>
        <v>24</v>
      </c>
      <c r="M3359" s="276"/>
      <c r="N3359" s="98"/>
      <c r="O3359" s="93">
        <f t="shared" si="1179"/>
        <v>0</v>
      </c>
      <c r="ON3359" s="100">
        <f t="shared" si="1170"/>
        <v>0</v>
      </c>
    </row>
    <row r="3360" spans="1:404" ht="23.25" customHeight="1">
      <c r="A3360" s="97" t="str">
        <f t="shared" si="1188"/>
        <v>001/HACA-HK-VG-22(đ1)66-51012-S2-B</v>
      </c>
      <c r="B3360" s="95">
        <v>44707</v>
      </c>
      <c r="C3360" s="97">
        <f t="shared" ca="1" si="1189"/>
        <v>-357</v>
      </c>
      <c r="D3360" s="112" t="s">
        <v>2559</v>
      </c>
      <c r="E3360" s="123" t="s">
        <v>419</v>
      </c>
      <c r="F3360" s="98" t="str">
        <f t="shared" si="1190"/>
        <v>B</v>
      </c>
      <c r="G3360" s="110">
        <f ca="1">SUMIF($A:E,$A3360,K:K)</f>
        <v>0</v>
      </c>
      <c r="H3360" s="97" t="s">
        <v>601</v>
      </c>
      <c r="I3360" s="175">
        <v>20</v>
      </c>
      <c r="J3360" s="115">
        <v>20</v>
      </c>
      <c r="K3360" s="143">
        <f t="shared" si="1149"/>
        <v>0</v>
      </c>
      <c r="L3360" s="144">
        <f t="shared" si="1187"/>
        <v>20</v>
      </c>
      <c r="M3360" s="276"/>
      <c r="N3360" s="98"/>
      <c r="O3360" s="93">
        <f t="shared" si="1179"/>
        <v>0</v>
      </c>
      <c r="ON3360" s="100">
        <f t="shared" si="1170"/>
        <v>0</v>
      </c>
    </row>
    <row r="3361" spans="1:404" ht="23.25" customHeight="1">
      <c r="A3361" s="97" t="str">
        <f t="shared" si="1188"/>
        <v>001/HACA-HK-VG-22(đ1)66-77712-X4-B</v>
      </c>
      <c r="B3361" s="95">
        <v>44707</v>
      </c>
      <c r="C3361" s="97">
        <f t="shared" ca="1" si="1189"/>
        <v>-357</v>
      </c>
      <c r="D3361" s="112" t="s">
        <v>2559</v>
      </c>
      <c r="E3361" s="123" t="s">
        <v>808</v>
      </c>
      <c r="F3361" s="98" t="str">
        <f t="shared" si="1190"/>
        <v>B</v>
      </c>
      <c r="G3361" s="110">
        <f ca="1">SUMIF($A:E,$A3361,K:K)</f>
        <v>0</v>
      </c>
      <c r="H3361" s="97" t="s">
        <v>601</v>
      </c>
      <c r="I3361" s="175">
        <v>32</v>
      </c>
      <c r="J3361" s="115">
        <v>32</v>
      </c>
      <c r="K3361" s="143">
        <f t="shared" ref="K3361:K3396" si="1191">SUM(P3361:BBC3361)</f>
        <v>0</v>
      </c>
      <c r="L3361" s="144">
        <f t="shared" si="1187"/>
        <v>32</v>
      </c>
      <c r="M3361" s="276"/>
      <c r="N3361" s="98"/>
      <c r="O3361" s="93">
        <f t="shared" si="1179"/>
        <v>0</v>
      </c>
      <c r="ON3361" s="100">
        <f t="shared" si="1170"/>
        <v>0</v>
      </c>
    </row>
    <row r="3362" spans="1:404" ht="23.25" customHeight="1">
      <c r="A3362" s="97" t="str">
        <f t="shared" si="1188"/>
        <v>001/HACA-HK-VG-22(đ2)66-01722-B3-B</v>
      </c>
      <c r="B3362" s="95">
        <v>44723</v>
      </c>
      <c r="C3362" s="97">
        <f t="shared" ca="1" si="1189"/>
        <v>-341</v>
      </c>
      <c r="D3362" s="112" t="s">
        <v>2560</v>
      </c>
      <c r="E3362" s="123" t="s">
        <v>2492</v>
      </c>
      <c r="F3362" s="98" t="str">
        <f t="shared" si="1190"/>
        <v>B</v>
      </c>
      <c r="G3362" s="110">
        <f ca="1">SUMIF($A:E,$A3362,K:K)</f>
        <v>0</v>
      </c>
      <c r="H3362" s="97" t="s">
        <v>601</v>
      </c>
      <c r="I3362" s="175">
        <v>60</v>
      </c>
      <c r="J3362" s="115">
        <v>60</v>
      </c>
      <c r="K3362" s="143">
        <f t="shared" si="1191"/>
        <v>0</v>
      </c>
      <c r="L3362" s="144">
        <f t="shared" si="1187"/>
        <v>60</v>
      </c>
      <c r="M3362" s="276"/>
      <c r="N3362" s="98"/>
      <c r="O3362" s="93">
        <f t="shared" si="1179"/>
        <v>0</v>
      </c>
      <c r="ON3362" s="100">
        <f t="shared" si="1170"/>
        <v>0</v>
      </c>
    </row>
    <row r="3363" spans="1:404" ht="23.25" customHeight="1">
      <c r="A3363" s="97" t="str">
        <f t="shared" ref="A3363:A3377" si="1192">D3363&amp;E3363</f>
        <v>001/HACA-HK-VG-22(đ2)66-06422-S3-B</v>
      </c>
      <c r="B3363" s="95">
        <v>44723</v>
      </c>
      <c r="C3363" s="97">
        <f t="shared" ref="C3363:C3368" ca="1" si="1193">B3363-TODAY()</f>
        <v>-341</v>
      </c>
      <c r="D3363" s="112" t="s">
        <v>2560</v>
      </c>
      <c r="E3363" s="123" t="s">
        <v>1171</v>
      </c>
      <c r="F3363" s="98" t="str">
        <f t="shared" si="1190"/>
        <v>B</v>
      </c>
      <c r="G3363" s="110">
        <f ca="1">SUMIF($A:E,$A3363,K:K)</f>
        <v>0</v>
      </c>
      <c r="H3363" s="97" t="s">
        <v>601</v>
      </c>
      <c r="I3363" s="175">
        <v>30</v>
      </c>
      <c r="J3363" s="115">
        <v>30</v>
      </c>
      <c r="K3363" s="143">
        <f t="shared" si="1191"/>
        <v>0</v>
      </c>
      <c r="L3363" s="144">
        <f t="shared" si="1187"/>
        <v>30</v>
      </c>
      <c r="M3363" s="276"/>
      <c r="N3363" s="98"/>
      <c r="O3363" s="93">
        <f t="shared" si="1179"/>
        <v>0</v>
      </c>
      <c r="ON3363" s="100">
        <f t="shared" si="1170"/>
        <v>0</v>
      </c>
    </row>
    <row r="3364" spans="1:404" ht="23.25" customHeight="1">
      <c r="A3364" s="97" t="str">
        <f t="shared" si="1192"/>
        <v>001/HACA-HK-VG-22(đ2)66-06722-S2-B</v>
      </c>
      <c r="B3364" s="95">
        <v>44723</v>
      </c>
      <c r="C3364" s="97">
        <f t="shared" ca="1" si="1193"/>
        <v>-341</v>
      </c>
      <c r="D3364" s="112" t="s">
        <v>2560</v>
      </c>
      <c r="E3364" s="123" t="s">
        <v>1623</v>
      </c>
      <c r="F3364" s="98" t="str">
        <f t="shared" si="1190"/>
        <v>B</v>
      </c>
      <c r="G3364" s="110">
        <f ca="1">SUMIF($A:E,$A3364,K:K)</f>
        <v>0</v>
      </c>
      <c r="H3364" s="97" t="s">
        <v>601</v>
      </c>
      <c r="I3364" s="175">
        <v>96</v>
      </c>
      <c r="J3364" s="115">
        <v>96</v>
      </c>
      <c r="K3364" s="143">
        <f t="shared" si="1191"/>
        <v>0</v>
      </c>
      <c r="L3364" s="144">
        <f t="shared" si="1187"/>
        <v>96</v>
      </c>
      <c r="M3364" s="276"/>
      <c r="N3364" s="98"/>
      <c r="O3364" s="93">
        <f t="shared" si="1179"/>
        <v>0</v>
      </c>
      <c r="ON3364" s="100">
        <f t="shared" si="1170"/>
        <v>0</v>
      </c>
    </row>
    <row r="3365" spans="1:404" ht="23.25" customHeight="1">
      <c r="A3365" s="97" t="str">
        <f t="shared" si="1192"/>
        <v>001/HACA-HK-VG-22(đ2)66-12522-B2-B</v>
      </c>
      <c r="B3365" s="95">
        <v>44723</v>
      </c>
      <c r="C3365" s="97">
        <f t="shared" ca="1" si="1193"/>
        <v>-341</v>
      </c>
      <c r="D3365" s="112" t="s">
        <v>2560</v>
      </c>
      <c r="E3365" s="123" t="s">
        <v>632</v>
      </c>
      <c r="F3365" s="98" t="str">
        <f t="shared" si="1190"/>
        <v>B</v>
      </c>
      <c r="G3365" s="110">
        <f ca="1">SUMIF($A:E,$A3365,K:K)</f>
        <v>0</v>
      </c>
      <c r="H3365" s="97" t="s">
        <v>601</v>
      </c>
      <c r="I3365" s="175">
        <v>24</v>
      </c>
      <c r="J3365" s="115">
        <v>24</v>
      </c>
      <c r="K3365" s="143">
        <f t="shared" si="1191"/>
        <v>0</v>
      </c>
      <c r="L3365" s="144">
        <f t="shared" si="1187"/>
        <v>24</v>
      </c>
      <c r="M3365" s="276"/>
      <c r="N3365" s="98"/>
      <c r="O3365" s="93">
        <f t="shared" si="1179"/>
        <v>0</v>
      </c>
      <c r="ON3365" s="100">
        <f t="shared" si="1170"/>
        <v>0</v>
      </c>
    </row>
    <row r="3366" spans="1:404" ht="23.25" customHeight="1">
      <c r="A3366" s="97" t="str">
        <f t="shared" si="1192"/>
        <v>001/HACA-HK-VG-22(đ2)66-51012-S2-B</v>
      </c>
      <c r="B3366" s="95">
        <v>44723</v>
      </c>
      <c r="C3366" s="97">
        <f t="shared" ca="1" si="1193"/>
        <v>-341</v>
      </c>
      <c r="D3366" s="112" t="s">
        <v>2560</v>
      </c>
      <c r="E3366" s="123" t="s">
        <v>419</v>
      </c>
      <c r="F3366" s="98" t="str">
        <f t="shared" si="1190"/>
        <v>B</v>
      </c>
      <c r="G3366" s="110">
        <f ca="1">SUMIF($A:E,$A3366,K:K)</f>
        <v>0</v>
      </c>
      <c r="H3366" s="97" t="s">
        <v>601</v>
      </c>
      <c r="I3366" s="175">
        <v>20</v>
      </c>
      <c r="J3366" s="115">
        <v>20</v>
      </c>
      <c r="K3366" s="143">
        <f t="shared" si="1191"/>
        <v>0</v>
      </c>
      <c r="L3366" s="144">
        <f t="shared" si="1187"/>
        <v>20</v>
      </c>
      <c r="M3366" s="276"/>
      <c r="N3366" s="98"/>
      <c r="O3366" s="93">
        <f t="shared" si="1179"/>
        <v>0</v>
      </c>
      <c r="ON3366" s="100">
        <f t="shared" si="1170"/>
        <v>0</v>
      </c>
    </row>
    <row r="3367" spans="1:404" ht="23.25" customHeight="1">
      <c r="A3367" s="97" t="str">
        <f t="shared" si="1192"/>
        <v>001/HACA-HK-VG-22(đ2)66-77712-X4-B</v>
      </c>
      <c r="B3367" s="95">
        <v>44723</v>
      </c>
      <c r="C3367" s="97">
        <f t="shared" ca="1" si="1193"/>
        <v>-341</v>
      </c>
      <c r="D3367" s="112" t="s">
        <v>2560</v>
      </c>
      <c r="E3367" s="123" t="s">
        <v>808</v>
      </c>
      <c r="F3367" s="98" t="str">
        <f t="shared" si="1190"/>
        <v>B</v>
      </c>
      <c r="G3367" s="110">
        <f ca="1">SUMIF($A:E,$A3367,K:K)</f>
        <v>0</v>
      </c>
      <c r="H3367" s="97" t="s">
        <v>601</v>
      </c>
      <c r="I3367" s="175">
        <v>32</v>
      </c>
      <c r="J3367" s="115">
        <v>32</v>
      </c>
      <c r="K3367" s="143">
        <f t="shared" si="1191"/>
        <v>0</v>
      </c>
      <c r="L3367" s="144">
        <f t="shared" si="1187"/>
        <v>32</v>
      </c>
      <c r="M3367" s="276"/>
      <c r="N3367" s="98"/>
      <c r="O3367" s="93">
        <f t="shared" si="1179"/>
        <v>0</v>
      </c>
      <c r="ON3367" s="100">
        <f t="shared" si="1170"/>
        <v>0</v>
      </c>
    </row>
    <row r="3368" spans="1:404" ht="23.25" customHeight="1">
      <c r="A3368" s="97" t="str">
        <f t="shared" si="1192"/>
        <v>003/FLOWER POWER-VG-2166-51620-S3-B</v>
      </c>
      <c r="B3368" s="95">
        <v>44671</v>
      </c>
      <c r="C3368" s="97">
        <f t="shared" ca="1" si="1193"/>
        <v>-393</v>
      </c>
      <c r="D3368" s="112" t="s">
        <v>2561</v>
      </c>
      <c r="E3368" s="123" t="s">
        <v>1374</v>
      </c>
      <c r="F3368" s="98" t="str">
        <f t="shared" ref="F3368:F3376" si="1194">MID(E3368,13,2)</f>
        <v>B</v>
      </c>
      <c r="G3368" s="110">
        <f ca="1">SUMIF($A:E,$A3368,K:K)</f>
        <v>0</v>
      </c>
      <c r="H3368" s="112" t="s">
        <v>2566</v>
      </c>
      <c r="I3368" s="175">
        <v>96</v>
      </c>
      <c r="J3368" s="115">
        <v>96</v>
      </c>
      <c r="K3368" s="143">
        <f t="shared" si="1191"/>
        <v>0</v>
      </c>
      <c r="L3368" s="144">
        <f t="shared" ref="L3368:L3376" si="1195">J3368-K3368</f>
        <v>96</v>
      </c>
      <c r="M3368" s="276"/>
      <c r="N3368" s="98"/>
      <c r="O3368" s="93">
        <f t="shared" si="1179"/>
        <v>0</v>
      </c>
      <c r="ON3368" s="100">
        <f t="shared" si="1170"/>
        <v>0</v>
      </c>
    </row>
    <row r="3369" spans="1:404" ht="23.25" customHeight="1">
      <c r="A3369" s="97" t="str">
        <f t="shared" si="1192"/>
        <v>003/FLOWER POWER-VG-2166-51720-S2-B</v>
      </c>
      <c r="B3369" s="95">
        <v>44671</v>
      </c>
      <c r="C3369" s="97">
        <f t="shared" ref="C3369:C3377" ca="1" si="1196">B3369-TODAY()</f>
        <v>-393</v>
      </c>
      <c r="D3369" s="112" t="s">
        <v>2561</v>
      </c>
      <c r="E3369" s="123" t="s">
        <v>1715</v>
      </c>
      <c r="F3369" s="98" t="str">
        <f t="shared" si="1194"/>
        <v>B</v>
      </c>
      <c r="G3369" s="110">
        <f ca="1">SUMIF($A:E,$A3369,K:K)</f>
        <v>0</v>
      </c>
      <c r="H3369" s="112" t="s">
        <v>2566</v>
      </c>
      <c r="I3369" s="175">
        <v>60</v>
      </c>
      <c r="J3369" s="115">
        <v>60</v>
      </c>
      <c r="K3369" s="143">
        <f t="shared" si="1191"/>
        <v>0</v>
      </c>
      <c r="L3369" s="144">
        <f t="shared" si="1195"/>
        <v>60</v>
      </c>
      <c r="M3369" s="276"/>
      <c r="N3369" s="98">
        <v>4</v>
      </c>
      <c r="O3369" s="93">
        <f t="shared" si="1179"/>
        <v>0</v>
      </c>
      <c r="ON3369" s="100">
        <f t="shared" si="1170"/>
        <v>0</v>
      </c>
    </row>
    <row r="3370" spans="1:404" ht="23.25" customHeight="1">
      <c r="A3370" s="97" t="str">
        <f t="shared" si="1192"/>
        <v>003/FLOWER POWER-VG-2166-52624-02-B</v>
      </c>
      <c r="B3370" s="95">
        <v>44671</v>
      </c>
      <c r="C3370" s="97">
        <f t="shared" ca="1" si="1196"/>
        <v>-393</v>
      </c>
      <c r="D3370" s="112" t="s">
        <v>2561</v>
      </c>
      <c r="E3370" s="123" t="s">
        <v>1716</v>
      </c>
      <c r="F3370" s="98" t="str">
        <f t="shared" si="1194"/>
        <v>B</v>
      </c>
      <c r="G3370" s="110">
        <f ca="1">SUMIF($A:E,$A3370,K:K)</f>
        <v>0</v>
      </c>
      <c r="H3370" s="112" t="s">
        <v>2566</v>
      </c>
      <c r="I3370" s="175">
        <v>48</v>
      </c>
      <c r="J3370" s="115">
        <v>48</v>
      </c>
      <c r="K3370" s="143">
        <f t="shared" si="1191"/>
        <v>0</v>
      </c>
      <c r="L3370" s="144">
        <f t="shared" si="1195"/>
        <v>48</v>
      </c>
      <c r="M3370" s="276"/>
      <c r="N3370" s="98"/>
      <c r="O3370" s="93">
        <f t="shared" si="1179"/>
        <v>0</v>
      </c>
      <c r="ON3370" s="100">
        <f t="shared" si="1170"/>
        <v>0</v>
      </c>
    </row>
    <row r="3371" spans="1:404" ht="23.25" customHeight="1">
      <c r="A3371" s="97" t="str">
        <f t="shared" si="1192"/>
        <v>003/FLOWER POWER-VG-2166-54120-B2-B</v>
      </c>
      <c r="B3371" s="95">
        <v>44671</v>
      </c>
      <c r="C3371" s="97">
        <f t="shared" ca="1" si="1196"/>
        <v>-393</v>
      </c>
      <c r="D3371" s="112" t="s">
        <v>2561</v>
      </c>
      <c r="E3371" s="123" t="s">
        <v>2562</v>
      </c>
      <c r="F3371" s="98" t="str">
        <f t="shared" si="1194"/>
        <v>B</v>
      </c>
      <c r="G3371" s="110">
        <f ca="1">SUMIF($A:E,$A3371,K:K)</f>
        <v>0</v>
      </c>
      <c r="H3371" s="112" t="s">
        <v>2566</v>
      </c>
      <c r="I3371" s="175">
        <v>48</v>
      </c>
      <c r="J3371" s="115">
        <v>48</v>
      </c>
      <c r="K3371" s="143">
        <f t="shared" si="1191"/>
        <v>0</v>
      </c>
      <c r="L3371" s="144">
        <f t="shared" si="1195"/>
        <v>48</v>
      </c>
      <c r="M3371" s="276"/>
      <c r="N3371" s="98"/>
      <c r="O3371" s="93">
        <f t="shared" si="1179"/>
        <v>0</v>
      </c>
      <c r="ON3371" s="100">
        <f t="shared" si="1170"/>
        <v>0</v>
      </c>
    </row>
    <row r="3372" spans="1:404" ht="23.25" customHeight="1">
      <c r="A3372" s="97" t="str">
        <f t="shared" si="1192"/>
        <v>003/FLOWER POWER-VG-2166-55120-S2-B</v>
      </c>
      <c r="B3372" s="95">
        <v>44671</v>
      </c>
      <c r="C3372" s="97">
        <f t="shared" ca="1" si="1196"/>
        <v>-393</v>
      </c>
      <c r="D3372" s="112" t="s">
        <v>2561</v>
      </c>
      <c r="E3372" s="123" t="s">
        <v>2563</v>
      </c>
      <c r="F3372" s="98" t="str">
        <f t="shared" si="1194"/>
        <v>B</v>
      </c>
      <c r="G3372" s="110">
        <f ca="1">SUMIF($A:E,$A3372,K:K)</f>
        <v>0</v>
      </c>
      <c r="H3372" s="112" t="s">
        <v>2566</v>
      </c>
      <c r="I3372" s="175">
        <v>96</v>
      </c>
      <c r="J3372" s="115">
        <v>96</v>
      </c>
      <c r="K3372" s="143">
        <f t="shared" si="1191"/>
        <v>0</v>
      </c>
      <c r="L3372" s="144">
        <f t="shared" si="1195"/>
        <v>96</v>
      </c>
      <c r="M3372" s="276"/>
      <c r="N3372" s="98">
        <v>6</v>
      </c>
      <c r="O3372" s="93">
        <f t="shared" si="1179"/>
        <v>0</v>
      </c>
      <c r="ON3372" s="100">
        <f t="shared" si="1170"/>
        <v>0</v>
      </c>
    </row>
    <row r="3373" spans="1:404" ht="23.25" customHeight="1">
      <c r="A3373" s="97" t="str">
        <f t="shared" si="1192"/>
        <v>003/FLOWER POWER-VG-2166-55424-S3-B</v>
      </c>
      <c r="B3373" s="95">
        <v>44671</v>
      </c>
      <c r="C3373" s="97">
        <f t="shared" ca="1" si="1196"/>
        <v>-393</v>
      </c>
      <c r="D3373" s="112" t="s">
        <v>2561</v>
      </c>
      <c r="E3373" s="123" t="s">
        <v>2564</v>
      </c>
      <c r="F3373" s="98" t="str">
        <f t="shared" si="1194"/>
        <v>B</v>
      </c>
      <c r="G3373" s="110">
        <f ca="1">SUMIF($A:E,$A3373,K:K)</f>
        <v>0</v>
      </c>
      <c r="H3373" s="112" t="s">
        <v>2566</v>
      </c>
      <c r="I3373" s="175">
        <v>120</v>
      </c>
      <c r="J3373" s="115">
        <v>120</v>
      </c>
      <c r="K3373" s="143">
        <f t="shared" si="1191"/>
        <v>0</v>
      </c>
      <c r="L3373" s="144">
        <f t="shared" si="1195"/>
        <v>120</v>
      </c>
      <c r="M3373" s="276"/>
      <c r="N3373" s="98"/>
      <c r="O3373" s="93">
        <f t="shared" si="1179"/>
        <v>0</v>
      </c>
      <c r="ON3373" s="100">
        <f t="shared" si="1170"/>
        <v>0</v>
      </c>
    </row>
    <row r="3374" spans="1:404" ht="23.25" customHeight="1">
      <c r="A3374" s="97" t="str">
        <f t="shared" si="1192"/>
        <v>003/FLOWER POWER-VG-2166-61320-S3-B</v>
      </c>
      <c r="B3374" s="95">
        <v>44671</v>
      </c>
      <c r="C3374" s="97">
        <f t="shared" ca="1" si="1196"/>
        <v>-393</v>
      </c>
      <c r="D3374" s="112" t="s">
        <v>2561</v>
      </c>
      <c r="E3374" s="123" t="s">
        <v>1721</v>
      </c>
      <c r="F3374" s="98" t="str">
        <f t="shared" si="1194"/>
        <v>B</v>
      </c>
      <c r="G3374" s="110">
        <f ca="1">SUMIF($A:E,$A3374,K:K)</f>
        <v>0</v>
      </c>
      <c r="H3374" s="112" t="s">
        <v>2566</v>
      </c>
      <c r="I3374" s="175">
        <v>64</v>
      </c>
      <c r="J3374" s="115">
        <v>64</v>
      </c>
      <c r="K3374" s="143">
        <f t="shared" si="1191"/>
        <v>0</v>
      </c>
      <c r="L3374" s="144">
        <f t="shared" si="1195"/>
        <v>64</v>
      </c>
      <c r="M3374" s="276"/>
      <c r="N3374" s="98"/>
      <c r="O3374" s="93">
        <f t="shared" si="1179"/>
        <v>0</v>
      </c>
      <c r="ON3374" s="100">
        <f t="shared" si="1170"/>
        <v>0</v>
      </c>
    </row>
    <row r="3375" spans="1:404" ht="23.25" customHeight="1">
      <c r="A3375" s="97" t="str">
        <f t="shared" si="1192"/>
        <v>003/FLOWER POWER-VG-2166-77705-L5-B</v>
      </c>
      <c r="B3375" s="95">
        <v>44671</v>
      </c>
      <c r="C3375" s="97">
        <f t="shared" ca="1" si="1196"/>
        <v>-393</v>
      </c>
      <c r="D3375" s="112" t="s">
        <v>2561</v>
      </c>
      <c r="E3375" s="123" t="s">
        <v>2565</v>
      </c>
      <c r="F3375" s="98" t="str">
        <f t="shared" si="1194"/>
        <v>B</v>
      </c>
      <c r="G3375" s="110">
        <f ca="1">SUMIF($A:E,$A3375,K:K)</f>
        <v>0</v>
      </c>
      <c r="H3375" s="112" t="s">
        <v>2566</v>
      </c>
      <c r="I3375" s="175">
        <v>56</v>
      </c>
      <c r="J3375" s="115">
        <v>56</v>
      </c>
      <c r="K3375" s="143">
        <f t="shared" si="1191"/>
        <v>0</v>
      </c>
      <c r="L3375" s="144">
        <f t="shared" si="1195"/>
        <v>56</v>
      </c>
      <c r="M3375" s="276"/>
      <c r="N3375" s="98"/>
      <c r="O3375" s="93">
        <f t="shared" si="1179"/>
        <v>0</v>
      </c>
      <c r="ON3375" s="100">
        <f t="shared" si="1170"/>
        <v>0</v>
      </c>
    </row>
    <row r="3376" spans="1:404" ht="23.25" customHeight="1">
      <c r="A3376" s="97" t="str">
        <f t="shared" si="1192"/>
        <v>003/FLOWER POWER-VG-2166-77724-04-B</v>
      </c>
      <c r="B3376" s="95">
        <v>44671</v>
      </c>
      <c r="C3376" s="97">
        <f t="shared" ca="1" si="1196"/>
        <v>-393</v>
      </c>
      <c r="D3376" s="112" t="s">
        <v>2561</v>
      </c>
      <c r="E3376" s="123" t="s">
        <v>1538</v>
      </c>
      <c r="F3376" s="98" t="str">
        <f t="shared" si="1194"/>
        <v>B</v>
      </c>
      <c r="G3376" s="110">
        <f ca="1">SUMIF($A:E,$A3376,K:K)</f>
        <v>0</v>
      </c>
      <c r="H3376" s="112" t="s">
        <v>2566</v>
      </c>
      <c r="I3376" s="175">
        <v>96</v>
      </c>
      <c r="J3376" s="115">
        <v>96</v>
      </c>
      <c r="K3376" s="143">
        <f t="shared" si="1191"/>
        <v>0</v>
      </c>
      <c r="L3376" s="144">
        <f t="shared" si="1195"/>
        <v>96</v>
      </c>
      <c r="M3376" s="276"/>
      <c r="N3376" s="98">
        <v>3</v>
      </c>
      <c r="O3376" s="93">
        <f t="shared" si="1179"/>
        <v>0</v>
      </c>
      <c r="ON3376" s="100">
        <f t="shared" si="1170"/>
        <v>0</v>
      </c>
    </row>
    <row r="3377" spans="1:404" ht="23.25" customHeight="1">
      <c r="A3377" s="97" t="str">
        <f t="shared" si="1192"/>
        <v>004/FLOWER POWER-VG-2166-52624-S2-B</v>
      </c>
      <c r="B3377" s="95">
        <v>44737</v>
      </c>
      <c r="C3377" s="97">
        <f t="shared" ca="1" si="1196"/>
        <v>-327</v>
      </c>
      <c r="D3377" s="111" t="s">
        <v>2567</v>
      </c>
      <c r="E3377" s="225" t="s">
        <v>1238</v>
      </c>
      <c r="F3377" s="98" t="str">
        <f t="shared" ref="F3377:F3380" si="1197">MID(E3377,13,2)</f>
        <v>B</v>
      </c>
      <c r="G3377" s="110">
        <f ca="1">SUMIF($A:E,$A3377,K:K)</f>
        <v>0</v>
      </c>
      <c r="H3377" s="112" t="s">
        <v>2566</v>
      </c>
      <c r="I3377" s="98">
        <v>96</v>
      </c>
      <c r="J3377" s="99">
        <v>96</v>
      </c>
      <c r="K3377" s="143">
        <f t="shared" si="1191"/>
        <v>0</v>
      </c>
      <c r="L3377" s="144">
        <f t="shared" ref="L3377:L3382" si="1198">J3377-K3377</f>
        <v>96</v>
      </c>
      <c r="M3377" s="276"/>
      <c r="N3377" s="98"/>
      <c r="O3377" s="93">
        <f t="shared" si="1179"/>
        <v>0</v>
      </c>
      <c r="ON3377" s="100">
        <f t="shared" si="1170"/>
        <v>0</v>
      </c>
    </row>
    <row r="3378" spans="1:404" ht="23.25" customHeight="1">
      <c r="A3378" s="97" t="str">
        <f t="shared" ref="A3378:A3390" si="1199">D3378&amp;E3378</f>
        <v>004/FLOWER POWER-VG-2166-55120-S2-B</v>
      </c>
      <c r="B3378" s="95">
        <v>44737</v>
      </c>
      <c r="C3378" s="97">
        <f t="shared" ref="C3378:C3390" ca="1" si="1200">B3378-TODAY()</f>
        <v>-327</v>
      </c>
      <c r="D3378" s="111" t="s">
        <v>2567</v>
      </c>
      <c r="E3378" s="225" t="s">
        <v>2563</v>
      </c>
      <c r="F3378" s="98" t="str">
        <f t="shared" si="1197"/>
        <v>B</v>
      </c>
      <c r="G3378" s="110">
        <f ca="1">SUMIF($A:E,$A3378,K:K)</f>
        <v>0</v>
      </c>
      <c r="H3378" s="112" t="s">
        <v>2566</v>
      </c>
      <c r="I3378" s="98">
        <v>180</v>
      </c>
      <c r="J3378" s="99">
        <v>180</v>
      </c>
      <c r="K3378" s="143">
        <f t="shared" si="1191"/>
        <v>0</v>
      </c>
      <c r="L3378" s="144">
        <f t="shared" si="1198"/>
        <v>180</v>
      </c>
      <c r="M3378" s="276"/>
      <c r="N3378" s="98"/>
      <c r="O3378" s="93">
        <f t="shared" si="1179"/>
        <v>0</v>
      </c>
      <c r="ON3378" s="100">
        <f t="shared" si="1170"/>
        <v>0</v>
      </c>
    </row>
    <row r="3379" spans="1:404" ht="23.25" customHeight="1">
      <c r="A3379" s="97" t="str">
        <f t="shared" si="1199"/>
        <v>004/FLOWER POWER-VG-2166-77724-L4-B</v>
      </c>
      <c r="B3379" s="95">
        <v>44737</v>
      </c>
      <c r="C3379" s="97">
        <f t="shared" ca="1" si="1200"/>
        <v>-327</v>
      </c>
      <c r="D3379" s="111" t="s">
        <v>2567</v>
      </c>
      <c r="E3379" s="225" t="s">
        <v>2568</v>
      </c>
      <c r="F3379" s="98" t="str">
        <f t="shared" si="1197"/>
        <v>B</v>
      </c>
      <c r="G3379" s="110">
        <f ca="1">SUMIF($A:E,$A3379,K:K)</f>
        <v>0</v>
      </c>
      <c r="H3379" s="112" t="s">
        <v>2566</v>
      </c>
      <c r="I3379" s="98">
        <v>84</v>
      </c>
      <c r="J3379" s="99">
        <v>84</v>
      </c>
      <c r="K3379" s="143">
        <f t="shared" si="1191"/>
        <v>0</v>
      </c>
      <c r="L3379" s="144">
        <f t="shared" si="1198"/>
        <v>84</v>
      </c>
      <c r="M3379" s="276"/>
      <c r="N3379" s="98"/>
      <c r="O3379" s="93">
        <f t="shared" si="1179"/>
        <v>0</v>
      </c>
      <c r="ON3379" s="100">
        <f t="shared" si="1170"/>
        <v>0</v>
      </c>
    </row>
    <row r="3380" spans="1:404" ht="23.25" customHeight="1">
      <c r="A3380" s="97" t="str">
        <f t="shared" si="1199"/>
        <v xml:space="preserve">	002/CLARIUS-VG-2166-82500-01-A1(phen)</v>
      </c>
      <c r="B3380" s="95">
        <v>44683</v>
      </c>
      <c r="C3380" s="97">
        <f t="shared" ca="1" si="1200"/>
        <v>-381</v>
      </c>
      <c r="D3380" s="112" t="s">
        <v>2012</v>
      </c>
      <c r="E3380" s="123" t="s">
        <v>2019</v>
      </c>
      <c r="F3380" s="92" t="str">
        <f t="shared" si="1197"/>
        <v>A1</v>
      </c>
      <c r="G3380" s="109">
        <f ca="1">SUMIF($A:E,$A3380,K:K)</f>
        <v>20</v>
      </c>
      <c r="H3380" s="97" t="s">
        <v>2569</v>
      </c>
      <c r="I3380" s="175">
        <v>24</v>
      </c>
      <c r="J3380" s="115">
        <v>24</v>
      </c>
      <c r="K3380" s="143">
        <f t="shared" si="1191"/>
        <v>0</v>
      </c>
      <c r="L3380" s="144">
        <f t="shared" si="1198"/>
        <v>24</v>
      </c>
      <c r="N3380" s="98"/>
      <c r="O3380" s="93">
        <f t="shared" ref="O3380:O3391" si="1201">K3380/J3380*100</f>
        <v>0</v>
      </c>
      <c r="ON3380" s="100">
        <f t="shared" si="1170"/>
        <v>0</v>
      </c>
    </row>
    <row r="3381" spans="1:404" ht="23.25" customHeight="1">
      <c r="A3381" s="97" t="str">
        <f t="shared" si="1199"/>
        <v xml:space="preserve">	002/CLARIUS-VG-2166-82500-02-A1(phen)</v>
      </c>
      <c r="B3381" s="95">
        <v>44683</v>
      </c>
      <c r="C3381" s="97">
        <f t="shared" ca="1" si="1200"/>
        <v>-381</v>
      </c>
      <c r="D3381" s="112" t="s">
        <v>2012</v>
      </c>
      <c r="E3381" s="123" t="s">
        <v>2020</v>
      </c>
      <c r="F3381" s="92" t="str">
        <f t="shared" ref="F3381:F3382" si="1202">MID(E3381,13,2)</f>
        <v>A1</v>
      </c>
      <c r="G3381" s="109">
        <f ca="1">SUMIF($A:E,$A3381,K:K)</f>
        <v>216</v>
      </c>
      <c r="H3381" s="97" t="s">
        <v>2569</v>
      </c>
      <c r="I3381" s="175">
        <v>72</v>
      </c>
      <c r="J3381" s="115">
        <v>72</v>
      </c>
      <c r="K3381" s="143">
        <f t="shared" si="1191"/>
        <v>144</v>
      </c>
      <c r="L3381" s="144">
        <f t="shared" si="1198"/>
        <v>-72</v>
      </c>
      <c r="N3381" s="98">
        <v>1</v>
      </c>
      <c r="O3381" s="93">
        <f t="shared" si="1201"/>
        <v>200</v>
      </c>
      <c r="OB3381" s="100">
        <v>12</v>
      </c>
      <c r="OC3381" s="100">
        <v>13</v>
      </c>
      <c r="OD3381" s="100">
        <v>8</v>
      </c>
      <c r="OF3381" s="100">
        <v>10</v>
      </c>
      <c r="OG3381" s="100">
        <v>13</v>
      </c>
      <c r="OI3381" s="100">
        <v>16</v>
      </c>
      <c r="ON3381" s="100">
        <f t="shared" si="1170"/>
        <v>72</v>
      </c>
    </row>
    <row r="3382" spans="1:404" ht="23.25" customHeight="1">
      <c r="A3382" s="97" t="str">
        <f t="shared" si="1199"/>
        <v xml:space="preserve">	002/CLARIUS-VG-2166-82500-02-A1(phen)</v>
      </c>
      <c r="B3382" s="95">
        <v>44683</v>
      </c>
      <c r="C3382" s="97">
        <f t="shared" ca="1" si="1200"/>
        <v>-381</v>
      </c>
      <c r="D3382" s="112" t="s">
        <v>2012</v>
      </c>
      <c r="E3382" s="123" t="s">
        <v>2020</v>
      </c>
      <c r="F3382" s="92" t="str">
        <f t="shared" si="1202"/>
        <v>A1</v>
      </c>
      <c r="G3382" s="109">
        <f ca="1">SUMIF($A:E,$A3382,K:K)</f>
        <v>216</v>
      </c>
      <c r="H3382" s="97" t="s">
        <v>2569</v>
      </c>
      <c r="I3382" s="175">
        <v>24</v>
      </c>
      <c r="J3382" s="115">
        <v>24</v>
      </c>
      <c r="K3382" s="143">
        <f t="shared" si="1191"/>
        <v>0</v>
      </c>
      <c r="L3382" s="144">
        <f t="shared" si="1198"/>
        <v>24</v>
      </c>
      <c r="N3382" s="98">
        <v>2</v>
      </c>
      <c r="O3382" s="93">
        <f t="shared" si="1201"/>
        <v>0</v>
      </c>
      <c r="ON3382" s="100">
        <f t="shared" si="1170"/>
        <v>0</v>
      </c>
    </row>
    <row r="3383" spans="1:404" ht="23.25" customHeight="1">
      <c r="A3383" s="97" t="str">
        <f t="shared" si="1199"/>
        <v>030/KHBS-2166-75716-01-B</v>
      </c>
      <c r="B3383" s="95">
        <v>44615</v>
      </c>
      <c r="C3383" s="97">
        <f t="shared" ca="1" si="1200"/>
        <v>-449</v>
      </c>
      <c r="D3383" s="96" t="s">
        <v>2570</v>
      </c>
      <c r="E3383" s="94" t="s">
        <v>707</v>
      </c>
      <c r="F3383" s="98" t="s">
        <v>561</v>
      </c>
      <c r="G3383" s="110">
        <v>0</v>
      </c>
      <c r="H3383" s="97" t="s">
        <v>508</v>
      </c>
      <c r="I3383" s="98">
        <v>4</v>
      </c>
      <c r="J3383" s="99">
        <v>4</v>
      </c>
      <c r="K3383" s="143">
        <f t="shared" si="1191"/>
        <v>8</v>
      </c>
      <c r="L3383" s="144">
        <f t="shared" ref="L3383" si="1203">J3383-K3383</f>
        <v>-4</v>
      </c>
      <c r="N3383" s="98">
        <v>3</v>
      </c>
      <c r="O3383" s="93">
        <f t="shared" si="1201"/>
        <v>200</v>
      </c>
      <c r="OJ3383" s="100">
        <v>4</v>
      </c>
      <c r="ON3383" s="100">
        <f t="shared" si="1170"/>
        <v>4</v>
      </c>
    </row>
    <row r="3384" spans="1:404" ht="23.25" customHeight="1">
      <c r="A3384" s="97" t="str">
        <f t="shared" si="1199"/>
        <v>001T/WESTELM-2266-90400-S1-A</v>
      </c>
      <c r="B3384" s="95">
        <v>44653</v>
      </c>
      <c r="C3384" s="97">
        <f t="shared" ca="1" si="1200"/>
        <v>-411</v>
      </c>
      <c r="D3384" s="96" t="s">
        <v>2571</v>
      </c>
      <c r="E3384" s="94" t="s">
        <v>2278</v>
      </c>
      <c r="F3384" s="98" t="s">
        <v>561</v>
      </c>
      <c r="G3384" s="110">
        <v>0</v>
      </c>
      <c r="H3384" s="97" t="s">
        <v>508</v>
      </c>
      <c r="I3384" s="98">
        <v>11</v>
      </c>
      <c r="J3384" s="99">
        <v>11</v>
      </c>
      <c r="K3384" s="143">
        <f t="shared" si="1191"/>
        <v>0</v>
      </c>
      <c r="L3384" s="144">
        <f t="shared" ref="L3384:L3385" si="1204">J3384-K3384</f>
        <v>11</v>
      </c>
      <c r="N3384" s="98"/>
      <c r="O3384" s="93">
        <f t="shared" si="1201"/>
        <v>0</v>
      </c>
      <c r="ON3384" s="100">
        <f t="shared" si="1170"/>
        <v>0</v>
      </c>
    </row>
    <row r="3385" spans="1:404" ht="23.25" customHeight="1">
      <c r="A3385" s="97" t="str">
        <f t="shared" ref="A3385" si="1205">D3385&amp;E3385</f>
        <v>001T/WESTELM-2266-90500-S1-A</v>
      </c>
      <c r="B3385" s="95">
        <v>44653</v>
      </c>
      <c r="C3385" s="97">
        <f t="shared" ref="C3385" ca="1" si="1206">B3385-TODAY()</f>
        <v>-411</v>
      </c>
      <c r="D3385" s="96" t="s">
        <v>2571</v>
      </c>
      <c r="E3385" s="94" t="s">
        <v>2279</v>
      </c>
      <c r="F3385" s="98" t="s">
        <v>561</v>
      </c>
      <c r="G3385" s="110">
        <v>0</v>
      </c>
      <c r="H3385" s="97" t="s">
        <v>508</v>
      </c>
      <c r="I3385" s="98">
        <v>7</v>
      </c>
      <c r="J3385" s="99">
        <v>7</v>
      </c>
      <c r="K3385" s="143">
        <f t="shared" si="1191"/>
        <v>0</v>
      </c>
      <c r="L3385" s="144">
        <f t="shared" si="1204"/>
        <v>7</v>
      </c>
      <c r="N3385" s="98"/>
      <c r="O3385" s="93">
        <f t="shared" si="1201"/>
        <v>0</v>
      </c>
      <c r="ON3385" s="100">
        <f t="shared" si="1170"/>
        <v>0</v>
      </c>
    </row>
    <row r="3386" spans="1:404" ht="23.25" customHeight="1">
      <c r="A3386" s="97" t="str">
        <f t="shared" si="1199"/>
        <v>023/EUROMARKET-21-VG66-64700-S1-B</v>
      </c>
      <c r="B3386" s="95">
        <v>44809</v>
      </c>
      <c r="C3386" s="97">
        <f t="shared" ca="1" si="1200"/>
        <v>-255</v>
      </c>
      <c r="D3386" s="96" t="s">
        <v>2572</v>
      </c>
      <c r="E3386" s="94" t="s">
        <v>635</v>
      </c>
      <c r="F3386" s="98" t="s">
        <v>561</v>
      </c>
      <c r="G3386" s="110">
        <v>0</v>
      </c>
      <c r="H3386" s="97" t="s">
        <v>508</v>
      </c>
      <c r="I3386" s="98">
        <v>280</v>
      </c>
      <c r="J3386" s="99">
        <v>280</v>
      </c>
      <c r="K3386" s="143">
        <f t="shared" si="1191"/>
        <v>0</v>
      </c>
      <c r="L3386" s="144">
        <f t="shared" ref="L3386:L3387" si="1207">J3386-K3386</f>
        <v>280</v>
      </c>
      <c r="N3386" s="98"/>
      <c r="O3386" s="93">
        <f t="shared" si="1201"/>
        <v>0</v>
      </c>
      <c r="ON3386" s="100">
        <f t="shared" si="1170"/>
        <v>0</v>
      </c>
    </row>
    <row r="3387" spans="1:404" ht="23.25" customHeight="1">
      <c r="A3387" s="97" t="str">
        <f t="shared" si="1199"/>
        <v>023/EUROMARKET-21-VG66-64800-S1-B</v>
      </c>
      <c r="B3387" s="95">
        <v>44809</v>
      </c>
      <c r="C3387" s="97">
        <f t="shared" ca="1" si="1200"/>
        <v>-255</v>
      </c>
      <c r="D3387" s="96" t="s">
        <v>2572</v>
      </c>
      <c r="E3387" s="94" t="s">
        <v>636</v>
      </c>
      <c r="F3387" s="98" t="s">
        <v>561</v>
      </c>
      <c r="G3387" s="110">
        <v>0</v>
      </c>
      <c r="H3387" s="97" t="s">
        <v>508</v>
      </c>
      <c r="I3387" s="98">
        <v>200</v>
      </c>
      <c r="J3387" s="99">
        <v>200</v>
      </c>
      <c r="K3387" s="143">
        <f t="shared" si="1191"/>
        <v>0</v>
      </c>
      <c r="L3387" s="144">
        <f t="shared" si="1207"/>
        <v>200</v>
      </c>
      <c r="N3387" s="98"/>
      <c r="O3387" s="93">
        <f t="shared" si="1201"/>
        <v>0</v>
      </c>
      <c r="ON3387" s="100">
        <f t="shared" si="1170"/>
        <v>0</v>
      </c>
    </row>
    <row r="3388" spans="1:404" ht="23.25" customHeight="1">
      <c r="A3388" s="97" t="str">
        <f t="shared" si="1199"/>
        <v>007A/SQUARE-2166-70301-S4-B</v>
      </c>
      <c r="B3388" s="95">
        <v>44736</v>
      </c>
      <c r="C3388" s="97">
        <f t="shared" ca="1" si="1200"/>
        <v>-328</v>
      </c>
      <c r="D3388" s="96" t="s">
        <v>2573</v>
      </c>
      <c r="E3388" s="94" t="s">
        <v>2109</v>
      </c>
      <c r="F3388" s="98" t="s">
        <v>561</v>
      </c>
      <c r="G3388" s="110">
        <v>0</v>
      </c>
      <c r="H3388" s="97" t="s">
        <v>508</v>
      </c>
      <c r="I3388" s="98">
        <v>200</v>
      </c>
      <c r="J3388" s="99">
        <v>200</v>
      </c>
      <c r="K3388" s="143">
        <f t="shared" si="1191"/>
        <v>0</v>
      </c>
      <c r="L3388" s="144">
        <f t="shared" ref="L3388:L3390" si="1208">J3388-K3388</f>
        <v>200</v>
      </c>
      <c r="N3388" s="98"/>
      <c r="O3388" s="93">
        <f t="shared" si="1201"/>
        <v>0</v>
      </c>
      <c r="ON3388" s="100">
        <f t="shared" si="1170"/>
        <v>0</v>
      </c>
    </row>
    <row r="3389" spans="1:404" ht="23.25" customHeight="1">
      <c r="A3389" s="97" t="str">
        <f t="shared" si="1199"/>
        <v>007A/SQUARE-2166-88101-S2-B</v>
      </c>
      <c r="B3389" s="95">
        <v>44736</v>
      </c>
      <c r="C3389" s="97">
        <f t="shared" ca="1" si="1200"/>
        <v>-328</v>
      </c>
      <c r="D3389" s="96" t="s">
        <v>2573</v>
      </c>
      <c r="E3389" s="94" t="s">
        <v>2110</v>
      </c>
      <c r="F3389" s="98" t="s">
        <v>561</v>
      </c>
      <c r="G3389" s="110">
        <v>0</v>
      </c>
      <c r="H3389" s="97" t="s">
        <v>508</v>
      </c>
      <c r="I3389" s="98">
        <v>200</v>
      </c>
      <c r="J3389" s="99">
        <v>200</v>
      </c>
      <c r="K3389" s="143">
        <f t="shared" si="1191"/>
        <v>0</v>
      </c>
      <c r="L3389" s="144">
        <f t="shared" si="1208"/>
        <v>200</v>
      </c>
      <c r="N3389" s="98"/>
      <c r="O3389" s="93">
        <f t="shared" si="1201"/>
        <v>0</v>
      </c>
      <c r="ON3389" s="100">
        <f t="shared" si="1170"/>
        <v>0</v>
      </c>
    </row>
    <row r="3390" spans="1:404" ht="23.25" customHeight="1">
      <c r="A3390" s="97" t="str">
        <f t="shared" si="1199"/>
        <v>025/KHBS-22(005/TK MAXX-21)66-01729-02-B</v>
      </c>
      <c r="B3390" s="95">
        <v>44612</v>
      </c>
      <c r="C3390" s="97">
        <f t="shared" ca="1" si="1200"/>
        <v>-452</v>
      </c>
      <c r="D3390" s="112" t="s">
        <v>2574</v>
      </c>
      <c r="E3390" s="123" t="s">
        <v>1091</v>
      </c>
      <c r="F3390" s="98" t="s">
        <v>561</v>
      </c>
      <c r="G3390" s="110">
        <v>0</v>
      </c>
      <c r="H3390" s="97" t="s">
        <v>508</v>
      </c>
      <c r="I3390" s="98">
        <v>1</v>
      </c>
      <c r="J3390" s="99">
        <v>1</v>
      </c>
      <c r="K3390" s="143">
        <f t="shared" si="1191"/>
        <v>2</v>
      </c>
      <c r="L3390" s="144">
        <f t="shared" si="1208"/>
        <v>-1</v>
      </c>
      <c r="N3390" s="98">
        <v>3</v>
      </c>
      <c r="O3390" s="93">
        <f t="shared" si="1201"/>
        <v>200</v>
      </c>
      <c r="OC3390" s="100">
        <v>1</v>
      </c>
      <c r="ON3390" s="100">
        <f t="shared" si="1170"/>
        <v>1</v>
      </c>
    </row>
    <row r="3391" spans="1:404" ht="23.25" customHeight="1">
      <c r="A3391" s="127" t="str">
        <f t="shared" ref="A3391:A3397" si="1209">D3391&amp;E3391</f>
        <v>025/KHBS-22(049T/WESTELM-21)66-88200-01-B</v>
      </c>
      <c r="B3391" s="126">
        <v>44612</v>
      </c>
      <c r="C3391" s="127">
        <f t="shared" ref="C3391:C3397" ca="1" si="1210">B3391-TODAY()</f>
        <v>-452</v>
      </c>
      <c r="D3391" s="394" t="s">
        <v>2575</v>
      </c>
      <c r="E3391" s="257" t="s">
        <v>1923</v>
      </c>
      <c r="F3391" s="132" t="s">
        <v>561</v>
      </c>
      <c r="G3391" s="130">
        <v>0</v>
      </c>
      <c r="H3391" s="127" t="s">
        <v>508</v>
      </c>
      <c r="I3391" s="132">
        <v>2</v>
      </c>
      <c r="J3391" s="131">
        <v>2</v>
      </c>
      <c r="K3391" s="160">
        <f t="shared" si="1191"/>
        <v>4</v>
      </c>
      <c r="L3391" s="151">
        <f t="shared" ref="L3391:L3396" si="1211">J3391-K3391</f>
        <v>-2</v>
      </c>
      <c r="N3391" s="132">
        <v>3</v>
      </c>
      <c r="O3391" s="93">
        <f t="shared" si="1201"/>
        <v>200</v>
      </c>
      <c r="OC3391" s="100">
        <v>2</v>
      </c>
      <c r="ON3391" s="100">
        <f t="shared" si="1170"/>
        <v>2</v>
      </c>
    </row>
    <row r="3392" spans="1:404" ht="23.25" customHeight="1">
      <c r="A3392" s="97" t="str">
        <f t="shared" si="1209"/>
        <v>190/POTTERYPOT-2168-72600-01-A</v>
      </c>
      <c r="B3392" s="95">
        <v>44669</v>
      </c>
      <c r="C3392" s="97">
        <f t="shared" ca="1" si="1210"/>
        <v>-395</v>
      </c>
      <c r="D3392" s="111" t="s">
        <v>2578</v>
      </c>
      <c r="E3392" s="225" t="s">
        <v>511</v>
      </c>
      <c r="F3392" s="98" t="str">
        <f t="shared" ref="F3392:F3394" si="1212">MID(E3392,13,2)</f>
        <v>A</v>
      </c>
      <c r="G3392" s="110">
        <f ca="1">SUMIF($A:E,$A3392,K:K)</f>
        <v>0</v>
      </c>
      <c r="H3392" s="97" t="s">
        <v>601</v>
      </c>
      <c r="I3392" s="98">
        <v>40</v>
      </c>
      <c r="J3392" s="99">
        <v>40</v>
      </c>
      <c r="K3392" s="143">
        <f t="shared" si="1191"/>
        <v>0</v>
      </c>
      <c r="L3392" s="144">
        <f t="shared" si="1211"/>
        <v>40</v>
      </c>
      <c r="N3392" s="98"/>
      <c r="O3392" s="93">
        <f t="shared" ref="O3392:O3393" si="1213">K3392/J3392*100</f>
        <v>0</v>
      </c>
      <c r="ON3392" s="100">
        <f t="shared" si="1170"/>
        <v>0</v>
      </c>
    </row>
    <row r="3393" spans="1:404" ht="23.25" customHeight="1">
      <c r="A3393" s="97" t="str">
        <f t="shared" si="1209"/>
        <v>190/POTTERYPOT-2168-72600-02-A</v>
      </c>
      <c r="B3393" s="95">
        <v>44669</v>
      </c>
      <c r="C3393" s="97">
        <f t="shared" ca="1" si="1210"/>
        <v>-395</v>
      </c>
      <c r="D3393" s="111" t="s">
        <v>2578</v>
      </c>
      <c r="E3393" s="225" t="s">
        <v>221</v>
      </c>
      <c r="F3393" s="98" t="str">
        <f t="shared" si="1212"/>
        <v>A</v>
      </c>
      <c r="G3393" s="110">
        <f ca="1">SUMIF($A:E,$A3393,K:K)</f>
        <v>28</v>
      </c>
      <c r="H3393" s="97" t="s">
        <v>601</v>
      </c>
      <c r="I3393" s="98">
        <v>40</v>
      </c>
      <c r="J3393" s="99">
        <v>40</v>
      </c>
      <c r="K3393" s="143">
        <f t="shared" si="1191"/>
        <v>28</v>
      </c>
      <c r="L3393" s="144">
        <f t="shared" si="1211"/>
        <v>12</v>
      </c>
      <c r="N3393" s="98" t="s">
        <v>1776</v>
      </c>
      <c r="O3393" s="93">
        <f t="shared" si="1213"/>
        <v>70</v>
      </c>
      <c r="OI3393" s="100">
        <v>4</v>
      </c>
      <c r="OJ3393" s="100">
        <v>4</v>
      </c>
      <c r="OK3393" s="100">
        <v>3</v>
      </c>
      <c r="OM3393" s="100">
        <v>3</v>
      </c>
      <c r="ON3393" s="100">
        <f t="shared" si="1170"/>
        <v>14</v>
      </c>
    </row>
    <row r="3394" spans="1:404" ht="23.25" customHeight="1">
      <c r="A3394" s="97" t="str">
        <f t="shared" si="1209"/>
        <v>035/KHBS-2266-07900-S3-B</v>
      </c>
      <c r="B3394" s="95">
        <v>44616</v>
      </c>
      <c r="C3394" s="97">
        <f t="shared" ca="1" si="1210"/>
        <v>-448</v>
      </c>
      <c r="D3394" s="96" t="s">
        <v>2586</v>
      </c>
      <c r="E3394" s="94" t="s">
        <v>595</v>
      </c>
      <c r="F3394" s="92" t="str">
        <f t="shared" si="1212"/>
        <v>B</v>
      </c>
      <c r="G3394" s="109">
        <f ca="1">SUMIF($A:E,$A3394,K:K)</f>
        <v>2</v>
      </c>
      <c r="H3394" s="97" t="s">
        <v>508</v>
      </c>
      <c r="I3394" s="98">
        <v>1</v>
      </c>
      <c r="J3394" s="99">
        <v>1</v>
      </c>
      <c r="K3394" s="143">
        <f t="shared" si="1191"/>
        <v>2</v>
      </c>
      <c r="L3394" s="144">
        <f t="shared" si="1211"/>
        <v>-1</v>
      </c>
      <c r="N3394" s="98">
        <v>2</v>
      </c>
      <c r="O3394" s="214"/>
      <c r="OH3394" s="100">
        <v>1</v>
      </c>
      <c r="ON3394" s="100">
        <f t="shared" si="1170"/>
        <v>1</v>
      </c>
    </row>
    <row r="3395" spans="1:404" ht="23.25" customHeight="1">
      <c r="A3395" s="97" t="str">
        <f t="shared" si="1209"/>
        <v>033/KHBS-2266-83237-02-B4</v>
      </c>
      <c r="B3395" s="95">
        <v>44616</v>
      </c>
      <c r="C3395" s="97">
        <f t="shared" ca="1" si="1210"/>
        <v>-448</v>
      </c>
      <c r="D3395" s="96" t="s">
        <v>2587</v>
      </c>
      <c r="E3395" s="94" t="s">
        <v>1082</v>
      </c>
      <c r="F3395" s="98" t="s">
        <v>561</v>
      </c>
      <c r="G3395" s="110">
        <v>0</v>
      </c>
      <c r="H3395" s="97" t="s">
        <v>508</v>
      </c>
      <c r="I3395" s="98">
        <v>1</v>
      </c>
      <c r="J3395" s="99">
        <v>1</v>
      </c>
      <c r="K3395" s="143">
        <f t="shared" si="1191"/>
        <v>2</v>
      </c>
      <c r="L3395" s="144">
        <f t="shared" si="1211"/>
        <v>-1</v>
      </c>
      <c r="N3395" s="98">
        <v>2</v>
      </c>
      <c r="O3395" s="93">
        <f t="shared" ref="O3395:O3398" si="1214">K3395/J3395*100</f>
        <v>200</v>
      </c>
      <c r="OH3395" s="100">
        <v>1</v>
      </c>
      <c r="ON3395" s="100">
        <f t="shared" si="1170"/>
        <v>1</v>
      </c>
    </row>
    <row r="3396" spans="1:404" ht="23.25" customHeight="1">
      <c r="A3396" s="97" t="str">
        <f t="shared" si="1209"/>
        <v>033/KHBS-2266-87500-S1-B</v>
      </c>
      <c r="B3396" s="95">
        <v>44616</v>
      </c>
      <c r="C3396" s="97">
        <f t="shared" ca="1" si="1210"/>
        <v>-448</v>
      </c>
      <c r="D3396" s="96" t="s">
        <v>2587</v>
      </c>
      <c r="E3396" s="94" t="s">
        <v>1548</v>
      </c>
      <c r="F3396" s="98" t="s">
        <v>561</v>
      </c>
      <c r="G3396" s="110">
        <v>0</v>
      </c>
      <c r="H3396" s="97" t="s">
        <v>508</v>
      </c>
      <c r="I3396" s="98">
        <v>2</v>
      </c>
      <c r="J3396" s="99">
        <v>2</v>
      </c>
      <c r="K3396" s="143">
        <f t="shared" si="1191"/>
        <v>4</v>
      </c>
      <c r="L3396" s="144">
        <f t="shared" si="1211"/>
        <v>-2</v>
      </c>
      <c r="N3396" s="98">
        <v>2</v>
      </c>
      <c r="O3396" s="93">
        <f t="shared" si="1214"/>
        <v>200</v>
      </c>
      <c r="OM3396" s="100">
        <v>2</v>
      </c>
      <c r="ON3396" s="100">
        <f t="shared" ref="ON3396:ON3398" si="1215">SUM(NS3396:OM3396)</f>
        <v>2</v>
      </c>
    </row>
    <row r="3397" spans="1:404" ht="23.25" customHeight="1">
      <c r="A3397" s="97" t="str">
        <f t="shared" si="1209"/>
        <v>037/KHBS-2266-84016-02-B</v>
      </c>
      <c r="B3397" s="95">
        <v>44617</v>
      </c>
      <c r="C3397" s="97">
        <f t="shared" ca="1" si="1210"/>
        <v>-447</v>
      </c>
      <c r="D3397" s="96" t="s">
        <v>2589</v>
      </c>
      <c r="E3397" s="94" t="s">
        <v>1165</v>
      </c>
      <c r="F3397" s="98" t="s">
        <v>561</v>
      </c>
      <c r="G3397" s="110">
        <v>0</v>
      </c>
      <c r="H3397" s="97" t="s">
        <v>508</v>
      </c>
      <c r="I3397" s="98">
        <v>2</v>
      </c>
      <c r="J3397" s="99">
        <v>2</v>
      </c>
      <c r="K3397" s="143">
        <f t="shared" ref="K3397" si="1216">SUM(P3397:BBC3397)</f>
        <v>4</v>
      </c>
      <c r="L3397" s="144">
        <f t="shared" ref="L3397" si="1217">J3397-K3397</f>
        <v>-2</v>
      </c>
      <c r="N3397" s="98">
        <v>2</v>
      </c>
      <c r="O3397" s="93">
        <f t="shared" si="1214"/>
        <v>200</v>
      </c>
      <c r="OJ3397" s="100">
        <v>2</v>
      </c>
      <c r="ON3397" s="100">
        <f t="shared" si="1215"/>
        <v>2</v>
      </c>
    </row>
    <row r="3398" spans="1:404" ht="23.25" customHeight="1">
      <c r="A3398" s="97" t="s">
        <v>2593</v>
      </c>
      <c r="B3398" s="95">
        <v>44620</v>
      </c>
      <c r="C3398" s="97">
        <v>-4</v>
      </c>
      <c r="D3398" s="96" t="s">
        <v>2594</v>
      </c>
      <c r="E3398" s="94" t="s">
        <v>1165</v>
      </c>
      <c r="F3398" s="98" t="s">
        <v>561</v>
      </c>
      <c r="G3398" s="110">
        <v>0</v>
      </c>
      <c r="H3398" s="97" t="s">
        <v>508</v>
      </c>
      <c r="I3398" s="98">
        <v>2</v>
      </c>
      <c r="J3398" s="99">
        <v>2</v>
      </c>
      <c r="K3398" s="143">
        <f t="shared" ref="K3398" si="1218">SUM(P3398:BBC3398)</f>
        <v>4</v>
      </c>
      <c r="L3398" s="144">
        <f t="shared" ref="L3398" si="1219">J3398-K3398</f>
        <v>-2</v>
      </c>
      <c r="M3398" s="98">
        <v>2</v>
      </c>
      <c r="N3398" s="98">
        <v>2</v>
      </c>
      <c r="O3398" s="93">
        <f t="shared" si="1214"/>
        <v>200</v>
      </c>
      <c r="OM3398" s="100">
        <v>2</v>
      </c>
      <c r="ON3398" s="100">
        <f t="shared" si="1215"/>
        <v>2</v>
      </c>
    </row>
  </sheetData>
  <autoFilter ref="A2:AYN3398" xr:uid="{00000000-0009-0000-0000-000001000000}">
    <sortState xmlns:xlrd2="http://schemas.microsoft.com/office/spreadsheetml/2017/richdata2" ref="A4:AYN2321">
      <sortCondition descending="1" ref="E2:E2321"/>
    </sortState>
  </autoFilter>
  <mergeCells count="21">
    <mergeCell ref="A1:A2"/>
    <mergeCell ref="F1:F2"/>
    <mergeCell ref="H1:H2"/>
    <mergeCell ref="J1:L1"/>
    <mergeCell ref="N1:N2"/>
    <mergeCell ref="B1:B2"/>
    <mergeCell ref="OO1:PS1"/>
    <mergeCell ref="H3187:H3189"/>
    <mergeCell ref="GT1:HX1"/>
    <mergeCell ref="FR1:GQ1"/>
    <mergeCell ref="P1:AO1"/>
    <mergeCell ref="AP1:BE1"/>
    <mergeCell ref="CF1:DH1"/>
    <mergeCell ref="DI1:EM1"/>
    <mergeCell ref="EN1:FQ1"/>
    <mergeCell ref="NS1:OM1"/>
    <mergeCell ref="MP1:NR1"/>
    <mergeCell ref="LK1:MO1"/>
    <mergeCell ref="KG1:LJ1"/>
    <mergeCell ref="JC1:KF1"/>
    <mergeCell ref="HY1:JB1"/>
  </mergeCells>
  <conditionalFormatting sqref="B1:C1">
    <cfRule type="duplicateValues" dxfId="450" priority="1016"/>
    <cfRule type="duplicateValues" dxfId="449" priority="1017"/>
  </conditionalFormatting>
  <conditionalFormatting sqref="A1">
    <cfRule type="duplicateValues" dxfId="448" priority="1014"/>
    <cfRule type="duplicateValues" dxfId="447" priority="1015"/>
  </conditionalFormatting>
  <conditionalFormatting sqref="O1 O2190 FX994 O266 O229 O239 O244 O257 O259 O263:O264 O268:O273 O275:O276 O278 O280:O287 O2193:O2196 O2198:O2200 O3:O189 O291:O847 O849:O1443 O1445:O2186 O2202:O2210 O2212:O2215 O2217:O2584 O2586:O1048576">
    <cfRule type="dataBar" priority="1012">
      <dataBar>
        <cfvo type="min"/>
        <cfvo type="max"/>
        <color rgb="FF63C384"/>
      </dataBar>
    </cfRule>
  </conditionalFormatting>
  <conditionalFormatting sqref="J2">
    <cfRule type="dataBar" priority="1009">
      <dataBar>
        <cfvo type="min"/>
        <cfvo type="max"/>
        <color rgb="FF638EC6"/>
      </dataBar>
    </cfRule>
  </conditionalFormatting>
  <conditionalFormatting sqref="B54">
    <cfRule type="duplicateValues" dxfId="446" priority="753"/>
  </conditionalFormatting>
  <conditionalFormatting sqref="B43">
    <cfRule type="duplicateValues" dxfId="445" priority="752"/>
  </conditionalFormatting>
  <conditionalFormatting sqref="B45:B46">
    <cfRule type="duplicateValues" dxfId="444" priority="745"/>
  </conditionalFormatting>
  <conditionalFormatting sqref="B239">
    <cfRule type="duplicateValues" dxfId="443" priority="738"/>
  </conditionalFormatting>
  <conditionalFormatting sqref="D239">
    <cfRule type="duplicateValues" dxfId="442" priority="737"/>
  </conditionalFormatting>
  <conditionalFormatting sqref="D235">
    <cfRule type="duplicateValues" dxfId="441" priority="734"/>
  </conditionalFormatting>
  <conditionalFormatting sqref="B235">
    <cfRule type="duplicateValues" dxfId="440" priority="730"/>
  </conditionalFormatting>
  <conditionalFormatting sqref="B38">
    <cfRule type="duplicateValues" dxfId="439" priority="727"/>
  </conditionalFormatting>
  <conditionalFormatting sqref="B40:C40">
    <cfRule type="duplicateValues" dxfId="438" priority="726"/>
  </conditionalFormatting>
  <conditionalFormatting sqref="B24">
    <cfRule type="duplicateValues" dxfId="437" priority="723"/>
  </conditionalFormatting>
  <conditionalFormatting sqref="B167:C167">
    <cfRule type="duplicateValues" dxfId="436" priority="722"/>
  </conditionalFormatting>
  <conditionalFormatting sqref="B288:C288">
    <cfRule type="duplicateValues" dxfId="435" priority="720"/>
  </conditionalFormatting>
  <conditionalFormatting sqref="B123:C124">
    <cfRule type="duplicateValues" dxfId="434" priority="718"/>
  </conditionalFormatting>
  <conditionalFormatting sqref="D123:D124">
    <cfRule type="duplicateValues" dxfId="433" priority="717"/>
  </conditionalFormatting>
  <conditionalFormatting sqref="C159">
    <cfRule type="duplicateValues" dxfId="432" priority="716"/>
  </conditionalFormatting>
  <conditionalFormatting sqref="C57">
    <cfRule type="duplicateValues" dxfId="431" priority="711"/>
  </conditionalFormatting>
  <conditionalFormatting sqref="C155">
    <cfRule type="duplicateValues" dxfId="430" priority="708"/>
  </conditionalFormatting>
  <conditionalFormatting sqref="B254:C255">
    <cfRule type="duplicateValues" dxfId="429" priority="706"/>
  </conditionalFormatting>
  <conditionalFormatting sqref="D254:D255">
    <cfRule type="duplicateValues" dxfId="428" priority="705"/>
  </conditionalFormatting>
  <conditionalFormatting sqref="B171:C171">
    <cfRule type="duplicateValues" dxfId="427" priority="704"/>
  </conditionalFormatting>
  <conditionalFormatting sqref="C1128 C972 B379:C379 C984">
    <cfRule type="duplicateValues" dxfId="426" priority="699"/>
  </conditionalFormatting>
  <conditionalFormatting sqref="B380:C385">
    <cfRule type="duplicateValues" dxfId="425" priority="697"/>
  </conditionalFormatting>
  <conditionalFormatting sqref="D380:D385">
    <cfRule type="duplicateValues" dxfId="424" priority="696"/>
  </conditionalFormatting>
  <conditionalFormatting sqref="B289">
    <cfRule type="duplicateValues" dxfId="423" priority="687"/>
  </conditionalFormatting>
  <conditionalFormatting sqref="B114:C114">
    <cfRule type="duplicateValues" dxfId="422" priority="686"/>
  </conditionalFormatting>
  <conditionalFormatting sqref="D114">
    <cfRule type="duplicateValues" dxfId="421" priority="685"/>
  </conditionalFormatting>
  <conditionalFormatting sqref="B125:C125">
    <cfRule type="duplicateValues" dxfId="420" priority="682"/>
  </conditionalFormatting>
  <conditionalFormatting sqref="D125">
    <cfRule type="duplicateValues" dxfId="419" priority="681"/>
  </conditionalFormatting>
  <conditionalFormatting sqref="C302">
    <cfRule type="duplicateValues" dxfId="418" priority="680"/>
  </conditionalFormatting>
  <conditionalFormatting sqref="B138:C139">
    <cfRule type="duplicateValues" dxfId="417" priority="677"/>
  </conditionalFormatting>
  <conditionalFormatting sqref="D138:D139">
    <cfRule type="duplicateValues" dxfId="416" priority="676"/>
  </conditionalFormatting>
  <conditionalFormatting sqref="B569:C569 B418:C420 C544">
    <cfRule type="duplicateValues" dxfId="415" priority="675"/>
  </conditionalFormatting>
  <conditionalFormatting sqref="B319:C319">
    <cfRule type="duplicateValues" dxfId="414" priority="674"/>
  </conditionalFormatting>
  <conditionalFormatting sqref="B127:C127">
    <cfRule type="duplicateValues" dxfId="413" priority="672"/>
  </conditionalFormatting>
  <conditionalFormatting sqref="C2454 B134:C134 B133 C137 B136">
    <cfRule type="duplicateValues" dxfId="412" priority="670"/>
  </conditionalFormatting>
  <conditionalFormatting sqref="D133:D134 D136">
    <cfRule type="duplicateValues" dxfId="411" priority="669"/>
  </conditionalFormatting>
  <conditionalFormatting sqref="B143:C143 B144">
    <cfRule type="duplicateValues" dxfId="410" priority="663"/>
  </conditionalFormatting>
  <conditionalFormatting sqref="D143">
    <cfRule type="duplicateValues" dxfId="409" priority="662"/>
  </conditionalFormatting>
  <conditionalFormatting sqref="B361:C361">
    <cfRule type="duplicateValues" dxfId="408" priority="661"/>
  </conditionalFormatting>
  <conditionalFormatting sqref="C527">
    <cfRule type="duplicateValues" dxfId="407" priority="660"/>
  </conditionalFormatting>
  <conditionalFormatting sqref="C410:C412">
    <cfRule type="duplicateValues" dxfId="406" priority="659"/>
  </conditionalFormatting>
  <conditionalFormatting sqref="C415 C417">
    <cfRule type="duplicateValues" dxfId="405" priority="656"/>
  </conditionalFormatting>
  <conditionalFormatting sqref="B246:C246">
    <cfRule type="duplicateValues" dxfId="404" priority="655"/>
  </conditionalFormatting>
  <conditionalFormatting sqref="D246">
    <cfRule type="duplicateValues" dxfId="403" priority="654"/>
  </conditionalFormatting>
  <conditionalFormatting sqref="B187:C187 B188">
    <cfRule type="duplicateValues" dxfId="402" priority="653"/>
  </conditionalFormatting>
  <conditionalFormatting sqref="C500">
    <cfRule type="duplicateValues" dxfId="401" priority="652"/>
  </conditionalFormatting>
  <conditionalFormatting sqref="C515">
    <cfRule type="duplicateValues" dxfId="400" priority="648"/>
  </conditionalFormatting>
  <conditionalFormatting sqref="B212:C212">
    <cfRule type="duplicateValues" dxfId="399" priority="647"/>
  </conditionalFormatting>
  <conditionalFormatting sqref="B145:C145">
    <cfRule type="duplicateValues" dxfId="398" priority="646"/>
  </conditionalFormatting>
  <conditionalFormatting sqref="B200:C200">
    <cfRule type="duplicateValues" dxfId="397" priority="645"/>
  </conditionalFormatting>
  <conditionalFormatting sqref="B355:C355">
    <cfRule type="duplicateValues" dxfId="396" priority="644"/>
  </conditionalFormatting>
  <conditionalFormatting sqref="C413">
    <cfRule type="duplicateValues" dxfId="395" priority="643"/>
  </conditionalFormatting>
  <conditionalFormatting sqref="B34 B19:B20 B4:C9">
    <cfRule type="duplicateValues" dxfId="394" priority="642"/>
  </conditionalFormatting>
  <conditionalFormatting sqref="D703:D704">
    <cfRule type="duplicateValues" dxfId="393" priority="641"/>
  </conditionalFormatting>
  <conditionalFormatting sqref="B703:B704">
    <cfRule type="duplicateValues" dxfId="392" priority="640"/>
  </conditionalFormatting>
  <conditionalFormatting sqref="C703:C704">
    <cfRule type="duplicateValues" dxfId="391" priority="639"/>
  </conditionalFormatting>
  <conditionalFormatting sqref="B775 B763 B718 B696 B614 B191 B765:B766 B768 B772 B777">
    <cfRule type="duplicateValues" dxfId="390" priority="637"/>
  </conditionalFormatting>
  <conditionalFormatting sqref="C191">
    <cfRule type="duplicateValues" dxfId="389" priority="633"/>
  </conditionalFormatting>
  <conditionalFormatting sqref="B548:C548">
    <cfRule type="duplicateValues" dxfId="388" priority="632"/>
  </conditionalFormatting>
  <conditionalFormatting sqref="D795">
    <cfRule type="duplicateValues" dxfId="387" priority="625"/>
  </conditionalFormatting>
  <conditionalFormatting sqref="B407:C407 B408 B410:B415 B417">
    <cfRule type="duplicateValues" dxfId="386" priority="105369"/>
  </conditionalFormatting>
  <conditionalFormatting sqref="B834:C835">
    <cfRule type="duplicateValues" dxfId="385" priority="621"/>
  </conditionalFormatting>
  <conditionalFormatting sqref="D834:D835">
    <cfRule type="duplicateValues" dxfId="384" priority="620"/>
  </conditionalFormatting>
  <conditionalFormatting sqref="B827:C828">
    <cfRule type="duplicateValues" dxfId="383" priority="607"/>
  </conditionalFormatting>
  <conditionalFormatting sqref="D827:D829">
    <cfRule type="duplicateValues" dxfId="382" priority="606"/>
  </conditionalFormatting>
  <conditionalFormatting sqref="B291:C291">
    <cfRule type="duplicateValues" dxfId="381" priority="605"/>
  </conditionalFormatting>
  <conditionalFormatting sqref="B894">
    <cfRule type="duplicateValues" dxfId="380" priority="603"/>
  </conditionalFormatting>
  <conditionalFormatting sqref="D894">
    <cfRule type="duplicateValues" dxfId="379" priority="602"/>
  </conditionalFormatting>
  <conditionalFormatting sqref="B886">
    <cfRule type="duplicateValues" dxfId="378" priority="601"/>
  </conditionalFormatting>
  <conditionalFormatting sqref="D886">
    <cfRule type="duplicateValues" dxfId="377" priority="600"/>
  </conditionalFormatting>
  <conditionalFormatting sqref="B888">
    <cfRule type="duplicateValues" dxfId="376" priority="598"/>
  </conditionalFormatting>
  <conditionalFormatting sqref="D888">
    <cfRule type="duplicateValues" dxfId="375" priority="597"/>
  </conditionalFormatting>
  <conditionalFormatting sqref="B892">
    <cfRule type="duplicateValues" dxfId="374" priority="595"/>
  </conditionalFormatting>
  <conditionalFormatting sqref="D892">
    <cfRule type="duplicateValues" dxfId="373" priority="594"/>
  </conditionalFormatting>
  <conditionalFormatting sqref="B874">
    <cfRule type="duplicateValues" dxfId="372" priority="589"/>
  </conditionalFormatting>
  <conditionalFormatting sqref="D874">
    <cfRule type="duplicateValues" dxfId="371" priority="588"/>
  </conditionalFormatting>
  <conditionalFormatting sqref="B876">
    <cfRule type="duplicateValues" dxfId="370" priority="586"/>
  </conditionalFormatting>
  <conditionalFormatting sqref="D876">
    <cfRule type="duplicateValues" dxfId="369" priority="585"/>
  </conditionalFormatting>
  <conditionalFormatting sqref="B884">
    <cfRule type="duplicateValues" dxfId="368" priority="583"/>
  </conditionalFormatting>
  <conditionalFormatting sqref="D884">
    <cfRule type="duplicateValues" dxfId="367" priority="582"/>
  </conditionalFormatting>
  <conditionalFormatting sqref="B879">
    <cfRule type="duplicateValues" dxfId="366" priority="577"/>
  </conditionalFormatting>
  <conditionalFormatting sqref="D879">
    <cfRule type="duplicateValues" dxfId="365" priority="576"/>
  </conditionalFormatting>
  <conditionalFormatting sqref="B877">
    <cfRule type="duplicateValues" dxfId="364" priority="574"/>
  </conditionalFormatting>
  <conditionalFormatting sqref="D877">
    <cfRule type="duplicateValues" dxfId="363" priority="573"/>
  </conditionalFormatting>
  <conditionalFormatting sqref="B863">
    <cfRule type="duplicateValues" dxfId="362" priority="571"/>
  </conditionalFormatting>
  <conditionalFormatting sqref="D863">
    <cfRule type="duplicateValues" dxfId="361" priority="570"/>
  </conditionalFormatting>
  <conditionalFormatting sqref="B865">
    <cfRule type="duplicateValues" dxfId="360" priority="568"/>
  </conditionalFormatting>
  <conditionalFormatting sqref="D865">
    <cfRule type="duplicateValues" dxfId="359" priority="567"/>
  </conditionalFormatting>
  <conditionalFormatting sqref="B190:C190">
    <cfRule type="duplicateValues" dxfId="358" priority="560"/>
  </conditionalFormatting>
  <conditionalFormatting sqref="B866">
    <cfRule type="duplicateValues" dxfId="357" priority="558"/>
  </conditionalFormatting>
  <conditionalFormatting sqref="D866">
    <cfRule type="duplicateValues" dxfId="356" priority="557"/>
  </conditionalFormatting>
  <conditionalFormatting sqref="B868">
    <cfRule type="duplicateValues" dxfId="355" priority="555"/>
  </conditionalFormatting>
  <conditionalFormatting sqref="D868">
    <cfRule type="duplicateValues" dxfId="354" priority="554"/>
  </conditionalFormatting>
  <conditionalFormatting sqref="B930">
    <cfRule type="duplicateValues" dxfId="353" priority="545"/>
  </conditionalFormatting>
  <conditionalFormatting sqref="D930">
    <cfRule type="duplicateValues" dxfId="352" priority="544"/>
  </conditionalFormatting>
  <conditionalFormatting sqref="B713:C713">
    <cfRule type="duplicateValues" dxfId="351" priority="542"/>
  </conditionalFormatting>
  <conditionalFormatting sqref="B938">
    <cfRule type="duplicateValues" dxfId="350" priority="541"/>
  </conditionalFormatting>
  <conditionalFormatting sqref="D938">
    <cfRule type="duplicateValues" dxfId="349" priority="540"/>
  </conditionalFormatting>
  <conditionalFormatting sqref="B940">
    <cfRule type="duplicateValues" dxfId="348" priority="538"/>
  </conditionalFormatting>
  <conditionalFormatting sqref="D940">
    <cfRule type="duplicateValues" dxfId="347" priority="537"/>
  </conditionalFormatting>
  <conditionalFormatting sqref="B812:C812">
    <cfRule type="duplicateValues" dxfId="346" priority="525"/>
  </conditionalFormatting>
  <conditionalFormatting sqref="D812">
    <cfRule type="duplicateValues" dxfId="345" priority="524"/>
  </conditionalFormatting>
  <conditionalFormatting sqref="D1033:D1034">
    <cfRule type="duplicateValues" dxfId="344" priority="516"/>
  </conditionalFormatting>
  <conditionalFormatting sqref="B1168:C1168">
    <cfRule type="duplicateValues" dxfId="343" priority="514"/>
  </conditionalFormatting>
  <conditionalFormatting sqref="B1170:C1170">
    <cfRule type="duplicateValues" dxfId="342" priority="512"/>
  </conditionalFormatting>
  <conditionalFormatting sqref="B1172:C1172">
    <cfRule type="duplicateValues" dxfId="341" priority="511"/>
  </conditionalFormatting>
  <conditionalFormatting sqref="C987">
    <cfRule type="duplicateValues" dxfId="340" priority="509"/>
  </conditionalFormatting>
  <conditionalFormatting sqref="D987">
    <cfRule type="duplicateValues" dxfId="339" priority="508"/>
  </conditionalFormatting>
  <conditionalFormatting sqref="C976">
    <cfRule type="duplicateValues" dxfId="338" priority="507"/>
  </conditionalFormatting>
  <conditionalFormatting sqref="B982:B984 B986:B988 B974:B979">
    <cfRule type="duplicateValues" dxfId="337" priority="107598"/>
  </conditionalFormatting>
  <conditionalFormatting sqref="D976">
    <cfRule type="duplicateValues" dxfId="336" priority="107599"/>
  </conditionalFormatting>
  <conditionalFormatting sqref="C979">
    <cfRule type="duplicateValues" dxfId="335" priority="505"/>
  </conditionalFormatting>
  <conditionalFormatting sqref="C983">
    <cfRule type="duplicateValues" dxfId="334" priority="503"/>
  </conditionalFormatting>
  <conditionalFormatting sqref="D983:D984">
    <cfRule type="duplicateValues" dxfId="333" priority="502"/>
  </conditionalFormatting>
  <conditionalFormatting sqref="B1204:C1204">
    <cfRule type="duplicateValues" dxfId="332" priority="496"/>
  </conditionalFormatting>
  <conditionalFormatting sqref="D1204">
    <cfRule type="duplicateValues" dxfId="331" priority="495"/>
  </conditionalFormatting>
  <conditionalFormatting sqref="B1148:C1148">
    <cfRule type="duplicateValues" dxfId="330" priority="493"/>
  </conditionalFormatting>
  <conditionalFormatting sqref="B1149:C1149">
    <cfRule type="duplicateValues" dxfId="329" priority="489"/>
  </conditionalFormatting>
  <conditionalFormatting sqref="B1151:C1151">
    <cfRule type="duplicateValues" dxfId="328" priority="487"/>
  </conditionalFormatting>
  <conditionalFormatting sqref="B1012:C1013 B1014:B1016">
    <cfRule type="duplicateValues" dxfId="327" priority="484"/>
  </conditionalFormatting>
  <conditionalFormatting sqref="D1012:D1013">
    <cfRule type="duplicateValues" dxfId="326" priority="483"/>
  </conditionalFormatting>
  <conditionalFormatting sqref="C1014:C1015">
    <cfRule type="duplicateValues" dxfId="325" priority="482"/>
  </conditionalFormatting>
  <conditionalFormatting sqref="D1014:D1015">
    <cfRule type="duplicateValues" dxfId="324" priority="481"/>
  </conditionalFormatting>
  <conditionalFormatting sqref="C1016">
    <cfRule type="duplicateValues" dxfId="323" priority="480"/>
  </conditionalFormatting>
  <conditionalFormatting sqref="D1016">
    <cfRule type="duplicateValues" dxfId="322" priority="479"/>
  </conditionalFormatting>
  <conditionalFormatting sqref="B1018:C1019">
    <cfRule type="duplicateValues" dxfId="321" priority="475"/>
  </conditionalFormatting>
  <conditionalFormatting sqref="D1018:D1019">
    <cfRule type="duplicateValues" dxfId="320" priority="474"/>
  </conditionalFormatting>
  <conditionalFormatting sqref="B1017:C1017">
    <cfRule type="duplicateValues" dxfId="319" priority="473"/>
  </conditionalFormatting>
  <conditionalFormatting sqref="D1017">
    <cfRule type="duplicateValues" dxfId="318" priority="472"/>
  </conditionalFormatting>
  <conditionalFormatting sqref="B1020:C1021">
    <cfRule type="duplicateValues" dxfId="317" priority="471"/>
  </conditionalFormatting>
  <conditionalFormatting sqref="D1020:D1021">
    <cfRule type="duplicateValues" dxfId="316" priority="470"/>
  </conditionalFormatting>
  <conditionalFormatting sqref="B1373">
    <cfRule type="duplicateValues" dxfId="315" priority="469"/>
  </conditionalFormatting>
  <conditionalFormatting sqref="D1373:D1374">
    <cfRule type="duplicateValues" dxfId="314" priority="468"/>
  </conditionalFormatting>
  <conditionalFormatting sqref="O848">
    <cfRule type="dataBar" priority="459">
      <dataBar>
        <cfvo type="min"/>
        <cfvo type="max"/>
        <color rgb="FF63C384"/>
      </dataBar>
    </cfRule>
  </conditionalFormatting>
  <conditionalFormatting sqref="B848:C849 C850">
    <cfRule type="duplicateValues" dxfId="313" priority="458"/>
  </conditionalFormatting>
  <conditionalFormatting sqref="D848:D850">
    <cfRule type="duplicateValues" dxfId="312" priority="457"/>
  </conditionalFormatting>
  <conditionalFormatting sqref="D1409">
    <cfRule type="duplicateValues" dxfId="311" priority="452"/>
  </conditionalFormatting>
  <conditionalFormatting sqref="C981">
    <cfRule type="duplicateValues" dxfId="310" priority="450"/>
  </conditionalFormatting>
  <conditionalFormatting sqref="B981">
    <cfRule type="duplicateValues" dxfId="309" priority="449"/>
  </conditionalFormatting>
  <conditionalFormatting sqref="D981">
    <cfRule type="duplicateValues" dxfId="308" priority="448"/>
  </conditionalFormatting>
  <conditionalFormatting sqref="D1444">
    <cfRule type="duplicateValues" dxfId="307" priority="445"/>
  </conditionalFormatting>
  <conditionalFormatting sqref="B1410:C1410">
    <cfRule type="duplicateValues" dxfId="306" priority="439"/>
  </conditionalFormatting>
  <conditionalFormatting sqref="D1410">
    <cfRule type="duplicateValues" dxfId="305" priority="438"/>
  </conditionalFormatting>
  <conditionalFormatting sqref="C1833:C1834">
    <cfRule type="duplicateValues" dxfId="304" priority="433"/>
  </conditionalFormatting>
  <conditionalFormatting sqref="B1847:C1848">
    <cfRule type="duplicateValues" dxfId="303" priority="431"/>
  </conditionalFormatting>
  <conditionalFormatting sqref="C1830:C1831">
    <cfRule type="duplicateValues" dxfId="302" priority="429"/>
  </conditionalFormatting>
  <conditionalFormatting sqref="B1849:C1849">
    <cfRule type="duplicateValues" dxfId="301" priority="427"/>
  </conditionalFormatting>
  <conditionalFormatting sqref="B1404:C1404">
    <cfRule type="duplicateValues" dxfId="300" priority="425"/>
  </conditionalFormatting>
  <conditionalFormatting sqref="D1404">
    <cfRule type="duplicateValues" dxfId="299" priority="424"/>
  </conditionalFormatting>
  <conditionalFormatting sqref="B1272:C1272">
    <cfRule type="duplicateValues" dxfId="298" priority="422"/>
  </conditionalFormatting>
  <conditionalFormatting sqref="D1272">
    <cfRule type="duplicateValues" dxfId="297" priority="421"/>
  </conditionalFormatting>
  <conditionalFormatting sqref="B2062:C2063">
    <cfRule type="duplicateValues" dxfId="296" priority="419"/>
  </conditionalFormatting>
  <conditionalFormatting sqref="C2067:C2070">
    <cfRule type="duplicateValues" dxfId="295" priority="415"/>
  </conditionalFormatting>
  <conditionalFormatting sqref="B2067:B2070">
    <cfRule type="duplicateValues" dxfId="294" priority="414"/>
  </conditionalFormatting>
  <conditionalFormatting sqref="B1639:C1639 B1640:B1642 B1644:B1645">
    <cfRule type="duplicateValues" dxfId="293" priority="412"/>
  </conditionalFormatting>
  <conditionalFormatting sqref="C1641">
    <cfRule type="duplicateValues" dxfId="292" priority="410"/>
  </conditionalFormatting>
  <conditionalFormatting sqref="C1840:C1842">
    <cfRule type="duplicateValues" dxfId="291" priority="403"/>
  </conditionalFormatting>
  <conditionalFormatting sqref="C1650">
    <cfRule type="duplicateValues" dxfId="290" priority="401"/>
  </conditionalFormatting>
  <conditionalFormatting sqref="B1652:C1652">
    <cfRule type="duplicateValues" dxfId="289" priority="399"/>
  </conditionalFormatting>
  <conditionalFormatting sqref="B1655:C1655">
    <cfRule type="duplicateValues" dxfId="288" priority="397"/>
  </conditionalFormatting>
  <conditionalFormatting sqref="B2089:C2089">
    <cfRule type="duplicateValues" dxfId="287" priority="393"/>
  </conditionalFormatting>
  <conditionalFormatting sqref="C1981">
    <cfRule type="duplicateValues" dxfId="286" priority="391"/>
  </conditionalFormatting>
  <conditionalFormatting sqref="O267 O2585 O190:O228 O274 O288:O290 O230:O238 O240:O243 O245:O256 O258 O260:O262 O265 O277 O279">
    <cfRule type="dataBar" priority="108900">
      <dataBar>
        <cfvo type="min"/>
        <cfvo type="max"/>
        <color rgb="FF63C384"/>
      </dataBar>
    </cfRule>
  </conditionalFormatting>
  <conditionalFormatting sqref="B1853:C1853">
    <cfRule type="duplicateValues" dxfId="285" priority="388"/>
  </conditionalFormatting>
  <conditionalFormatting sqref="B1759:C1759">
    <cfRule type="duplicateValues" dxfId="284" priority="385"/>
  </conditionalFormatting>
  <conditionalFormatting sqref="B980">
    <cfRule type="duplicateValues" dxfId="283" priority="380"/>
  </conditionalFormatting>
  <conditionalFormatting sqref="D980">
    <cfRule type="duplicateValues" dxfId="282" priority="379"/>
  </conditionalFormatting>
  <conditionalFormatting sqref="B1106:C1106">
    <cfRule type="duplicateValues" dxfId="281" priority="376"/>
  </conditionalFormatting>
  <conditionalFormatting sqref="D1106">
    <cfRule type="duplicateValues" dxfId="280" priority="375"/>
  </conditionalFormatting>
  <conditionalFormatting sqref="B1102:C1102">
    <cfRule type="duplicateValues" dxfId="279" priority="374"/>
  </conditionalFormatting>
  <conditionalFormatting sqref="D1102">
    <cfRule type="duplicateValues" dxfId="278" priority="373"/>
  </conditionalFormatting>
  <conditionalFormatting sqref="B985">
    <cfRule type="duplicateValues" dxfId="277" priority="371"/>
  </conditionalFormatting>
  <conditionalFormatting sqref="D985">
    <cfRule type="duplicateValues" dxfId="276" priority="370"/>
  </conditionalFormatting>
  <conditionalFormatting sqref="B1316">
    <cfRule type="duplicateValues" dxfId="275" priority="369"/>
  </conditionalFormatting>
  <conditionalFormatting sqref="D1316">
    <cfRule type="duplicateValues" dxfId="274" priority="368"/>
  </conditionalFormatting>
  <conditionalFormatting sqref="B1453:C1453">
    <cfRule type="duplicateValues" dxfId="273" priority="367"/>
  </conditionalFormatting>
  <conditionalFormatting sqref="D1453">
    <cfRule type="duplicateValues" dxfId="272" priority="366"/>
  </conditionalFormatting>
  <conditionalFormatting sqref="B1523">
    <cfRule type="duplicateValues" dxfId="271" priority="365"/>
  </conditionalFormatting>
  <conditionalFormatting sqref="B1980:B1982">
    <cfRule type="duplicateValues" dxfId="270" priority="360"/>
  </conditionalFormatting>
  <conditionalFormatting sqref="C1885">
    <cfRule type="duplicateValues" dxfId="269" priority="359"/>
  </conditionalFormatting>
  <conditionalFormatting sqref="B1883:C1883 B1884:B1887">
    <cfRule type="duplicateValues" dxfId="268" priority="358"/>
  </conditionalFormatting>
  <conditionalFormatting sqref="B1846:C1846">
    <cfRule type="duplicateValues" dxfId="267" priority="357"/>
  </conditionalFormatting>
  <conditionalFormatting sqref="B1760:C1760">
    <cfRule type="duplicateValues" dxfId="266" priority="353"/>
  </conditionalFormatting>
  <conditionalFormatting sqref="B1654">
    <cfRule type="duplicateValues" dxfId="265" priority="352"/>
  </conditionalFormatting>
  <conditionalFormatting sqref="B1651">
    <cfRule type="duplicateValues" dxfId="264" priority="351"/>
  </conditionalFormatting>
  <conditionalFormatting sqref="O2187:O2189 O2197 O2191:O2192">
    <cfRule type="dataBar" priority="342">
      <dataBar>
        <cfvo type="min"/>
        <cfvo type="max"/>
        <color rgb="FF63C384"/>
      </dataBar>
    </cfRule>
  </conditionalFormatting>
  <conditionalFormatting sqref="B2188:C2190 C2187 B2192:C2194 B2191 B2196 B2198:C2200">
    <cfRule type="duplicateValues" dxfId="263" priority="341"/>
  </conditionalFormatting>
  <conditionalFormatting sqref="C1824 C1826 C1828 C1844">
    <cfRule type="duplicateValues" dxfId="262" priority="338"/>
  </conditionalFormatting>
  <conditionalFormatting sqref="B1534">
    <cfRule type="duplicateValues" dxfId="261" priority="332"/>
  </conditionalFormatting>
  <conditionalFormatting sqref="C1651 B1649:C1649 C1654">
    <cfRule type="duplicateValues" dxfId="260" priority="109284"/>
  </conditionalFormatting>
  <conditionalFormatting sqref="B1684:C1684">
    <cfRule type="duplicateValues" dxfId="259" priority="319"/>
  </conditionalFormatting>
  <conditionalFormatting sqref="B1687:C1687">
    <cfRule type="duplicateValues" dxfId="258" priority="317"/>
  </conditionalFormatting>
  <conditionalFormatting sqref="C1980">
    <cfRule type="duplicateValues" dxfId="257" priority="315"/>
  </conditionalFormatting>
  <conditionalFormatting sqref="B2258">
    <cfRule type="duplicateValues" dxfId="256" priority="314"/>
  </conditionalFormatting>
  <conditionalFormatting sqref="B1340:C1340">
    <cfRule type="duplicateValues" dxfId="255" priority="310"/>
  </conditionalFormatting>
  <conditionalFormatting sqref="D1340">
    <cfRule type="duplicateValues" dxfId="254" priority="309"/>
  </conditionalFormatting>
  <conditionalFormatting sqref="B1979">
    <cfRule type="duplicateValues" dxfId="253" priority="307"/>
  </conditionalFormatting>
  <conditionalFormatting sqref="C1979">
    <cfRule type="duplicateValues" dxfId="252" priority="306"/>
  </conditionalFormatting>
  <conditionalFormatting sqref="C980">
    <cfRule type="duplicateValues" dxfId="251" priority="304"/>
  </conditionalFormatting>
  <conditionalFormatting sqref="B1705:C1705">
    <cfRule type="duplicateValues" dxfId="250" priority="303"/>
  </conditionalFormatting>
  <conditionalFormatting sqref="B264:C264">
    <cfRule type="duplicateValues" dxfId="249" priority="301"/>
  </conditionalFormatting>
  <conditionalFormatting sqref="D264">
    <cfRule type="duplicateValues" dxfId="248" priority="300"/>
  </conditionalFormatting>
  <conditionalFormatting sqref="B470:C470">
    <cfRule type="duplicateValues" dxfId="247" priority="299"/>
  </conditionalFormatting>
  <conditionalFormatting sqref="B1468:B1469">
    <cfRule type="duplicateValues" dxfId="246" priority="297"/>
  </conditionalFormatting>
  <conditionalFormatting sqref="D1468:D1469">
    <cfRule type="duplicateValues" dxfId="245" priority="296"/>
  </conditionalFormatting>
  <conditionalFormatting sqref="B622:C623">
    <cfRule type="duplicateValues" dxfId="244" priority="294"/>
  </conditionalFormatting>
  <conditionalFormatting sqref="B2025:C2025">
    <cfRule type="duplicateValues" dxfId="243" priority="292"/>
  </conditionalFormatting>
  <conditionalFormatting sqref="C2336 B889:C889 C890:C892">
    <cfRule type="duplicateValues" dxfId="242" priority="291"/>
  </conditionalFormatting>
  <conditionalFormatting sqref="D889">
    <cfRule type="duplicateValues" dxfId="241" priority="290"/>
  </conditionalFormatting>
  <conditionalFormatting sqref="B100:B101">
    <cfRule type="duplicateValues" dxfId="240" priority="288"/>
  </conditionalFormatting>
  <conditionalFormatting sqref="D100:D101">
    <cfRule type="duplicateValues" dxfId="239" priority="287"/>
  </conditionalFormatting>
  <conditionalFormatting sqref="B2064:C2066">
    <cfRule type="duplicateValues" dxfId="238" priority="110468"/>
  </conditionalFormatting>
  <conditionalFormatting sqref="C133">
    <cfRule type="duplicateValues" dxfId="237" priority="285"/>
  </conditionalFormatting>
  <conditionalFormatting sqref="B644">
    <cfRule type="duplicateValues" dxfId="236" priority="281"/>
  </conditionalFormatting>
  <conditionalFormatting sqref="B1707">
    <cfRule type="duplicateValues" dxfId="235" priority="279"/>
  </conditionalFormatting>
  <conditionalFormatting sqref="B1033:B1035">
    <cfRule type="duplicateValues" dxfId="234" priority="111193"/>
  </conditionalFormatting>
  <conditionalFormatting sqref="D974:D975 D978:D979">
    <cfRule type="duplicateValues" dxfId="233" priority="277"/>
  </conditionalFormatting>
  <conditionalFormatting sqref="B1325">
    <cfRule type="duplicateValues" dxfId="232" priority="276"/>
  </conditionalFormatting>
  <conditionalFormatting sqref="B967">
    <cfRule type="duplicateValues" dxfId="231" priority="275"/>
  </conditionalFormatting>
  <conditionalFormatting sqref="D967">
    <cfRule type="duplicateValues" dxfId="230" priority="274"/>
  </conditionalFormatting>
  <conditionalFormatting sqref="B968">
    <cfRule type="duplicateValues" dxfId="229" priority="271"/>
  </conditionalFormatting>
  <conditionalFormatting sqref="D968">
    <cfRule type="duplicateValues" dxfId="228" priority="270"/>
  </conditionalFormatting>
  <conditionalFormatting sqref="B1437:C1437">
    <cfRule type="duplicateValues" dxfId="227" priority="269"/>
  </conditionalFormatting>
  <conditionalFormatting sqref="D1437">
    <cfRule type="duplicateValues" dxfId="226" priority="268"/>
  </conditionalFormatting>
  <conditionalFormatting sqref="B1473:C1473 B1472">
    <cfRule type="duplicateValues" dxfId="225" priority="266"/>
  </conditionalFormatting>
  <conditionalFormatting sqref="D1472:D1473">
    <cfRule type="duplicateValues" dxfId="224" priority="265"/>
  </conditionalFormatting>
  <conditionalFormatting sqref="B1765">
    <cfRule type="duplicateValues" dxfId="223" priority="263"/>
  </conditionalFormatting>
  <conditionalFormatting sqref="B1769:B1770">
    <cfRule type="duplicateValues" dxfId="222" priority="260"/>
  </conditionalFormatting>
  <conditionalFormatting sqref="B960">
    <cfRule type="duplicateValues" dxfId="221" priority="257"/>
  </conditionalFormatting>
  <conditionalFormatting sqref="B945">
    <cfRule type="duplicateValues" dxfId="220" priority="255"/>
  </conditionalFormatting>
  <conditionalFormatting sqref="D945">
    <cfRule type="duplicateValues" dxfId="219" priority="254"/>
  </conditionalFormatting>
  <conditionalFormatting sqref="B925">
    <cfRule type="duplicateValues" dxfId="218" priority="252"/>
  </conditionalFormatting>
  <conditionalFormatting sqref="C925">
    <cfRule type="duplicateValues" dxfId="217" priority="251"/>
  </conditionalFormatting>
  <conditionalFormatting sqref="B850 B771 B762 B759 B643 B236 B224">
    <cfRule type="duplicateValues" dxfId="216" priority="250"/>
  </conditionalFormatting>
  <conditionalFormatting sqref="B450 B362 B397 B335 B300">
    <cfRule type="duplicateValues" dxfId="215" priority="243"/>
  </conditionalFormatting>
  <conditionalFormatting sqref="B535">
    <cfRule type="duplicateValues" dxfId="214" priority="241"/>
  </conditionalFormatting>
  <conditionalFormatting sqref="B302">
    <cfRule type="duplicateValues" dxfId="213" priority="239"/>
  </conditionalFormatting>
  <conditionalFormatting sqref="C1765:C1771">
    <cfRule type="duplicateValues" dxfId="212" priority="238"/>
  </conditionalFormatting>
  <conditionalFormatting sqref="B2153:C2153">
    <cfRule type="duplicateValues" dxfId="211" priority="235"/>
  </conditionalFormatting>
  <conditionalFormatting sqref="B181 B176:C176 B177:B179">
    <cfRule type="duplicateValues" dxfId="210" priority="112038"/>
  </conditionalFormatting>
  <conditionalFormatting sqref="B2233:C2233">
    <cfRule type="duplicateValues" dxfId="209" priority="229"/>
  </conditionalFormatting>
  <conditionalFormatting sqref="B881:B882">
    <cfRule type="duplicateValues" dxfId="208" priority="224"/>
  </conditionalFormatting>
  <conditionalFormatting sqref="D881:D882">
    <cfRule type="duplicateValues" dxfId="207" priority="223"/>
  </conditionalFormatting>
  <conditionalFormatting sqref="B57">
    <cfRule type="duplicateValues" dxfId="206" priority="217"/>
  </conditionalFormatting>
  <conditionalFormatting sqref="B1709">
    <cfRule type="duplicateValues" dxfId="205" priority="216"/>
  </conditionalFormatting>
  <conditionalFormatting sqref="B2613">
    <cfRule type="duplicateValues" dxfId="204" priority="214"/>
  </conditionalFormatting>
  <conditionalFormatting sqref="D3394:D3397 D3328:D3331 D3190 D3060 D3014:D3016 D2865 D2809:D2810 D2741 D2431 D2321:D2322 D2301:D2303 D1711:D1715 D1509:D1514 D1227:D1255 D887 D753 D675:D680 D558 D544 D234 D1:D2 D236:D238 D256:D263 D374:D376 D115:D122 D386:D405 D568 D560 D322:D353 D137 D144 D647:D659 D140:D142 D247:D253 D240:D245 D688:D694 D698:D701 D705:D712 D576:D597 D784:D794 D756:D762 D796:D811 D830:D833 D837:D844 D890 D893 D875 D885 D883 D880 D878 D864 D895:D900 D906:D909 D912:D924 D867 D869:D873 D928:D929 D931:D937 D939 D941:D944 D813:D823 D977 D982 D986 D1181:D1186 D1188:D1203 D1205:D1215 D1262:D1266 D988:D1011 D1375:D1403 D1638 D1025:D1031 D1722 D1754:D1758 D1445:D1452 D1271 D962:D966 D1821 D1405:D1408 D1094:D1101 D1273:D1315 D1103:D1105 D1454:D1467 D265:D283 D2331:D2343 D1470:D1471 D69:D87 D1411:D1436 D102:D113 D851:D862 D2419:D2424 D2455 D969:D973 D1438:D1443 D2459:D2462 D1474:D1487 D946:D957 D2547:D2555 D2558:D2565 D2567:D2573 D2581:D2584 D1107:D1117 D2615:D2642 D1317 D2656:D2659 D1120:D1121 D1717:D1719 D1321:D1339 D89:D99 D1035:D1092 D1123:D1126 D2812 D2816:D2836 D2838:D2841 D2872:D2880 D2883 D2943 D2965:D2967 D3024:D3025 D3031:D3039 D3041:D3047 D1341:D1372 D3068:D3069 D3215 D3270:D3271 D3334:D3336 D825:D826 D3338:D3346 D3383:D3389 D3399:D1048576">
    <cfRule type="duplicateValues" dxfId="203" priority="112385"/>
  </conditionalFormatting>
  <conditionalFormatting sqref="B52">
    <cfRule type="duplicateValues" dxfId="202" priority="209"/>
  </conditionalFormatting>
  <conditionalFormatting sqref="B2264 B1646 B1176">
    <cfRule type="duplicateValues" dxfId="201" priority="206"/>
  </conditionalFormatting>
  <conditionalFormatting sqref="B2361">
    <cfRule type="duplicateValues" dxfId="200" priority="205"/>
  </conditionalFormatting>
  <conditionalFormatting sqref="B898">
    <cfRule type="duplicateValues" dxfId="199" priority="204"/>
  </conditionalFormatting>
  <conditionalFormatting sqref="B904">
    <cfRule type="duplicateValues" dxfId="198" priority="203"/>
  </conditionalFormatting>
  <conditionalFormatting sqref="B1643">
    <cfRule type="duplicateValues" dxfId="197" priority="200"/>
  </conditionalFormatting>
  <conditionalFormatting sqref="B2083">
    <cfRule type="duplicateValues" dxfId="196" priority="199"/>
  </conditionalFormatting>
  <conditionalFormatting sqref="B1779 B1650 B1559">
    <cfRule type="duplicateValues" dxfId="195" priority="196"/>
  </conditionalFormatting>
  <conditionalFormatting sqref="B1955">
    <cfRule type="duplicateValues" dxfId="194" priority="195"/>
  </conditionalFormatting>
  <conditionalFormatting sqref="B2297 B2259 B2034 B2003">
    <cfRule type="duplicateValues" dxfId="193" priority="191"/>
  </conditionalFormatting>
  <conditionalFormatting sqref="B891">
    <cfRule type="duplicateValues" dxfId="192" priority="189"/>
  </conditionalFormatting>
  <conditionalFormatting sqref="D891">
    <cfRule type="duplicateValues" dxfId="191" priority="188"/>
  </conditionalFormatting>
  <conditionalFormatting sqref="B2177">
    <cfRule type="duplicateValues" dxfId="190" priority="186"/>
  </conditionalFormatting>
  <conditionalFormatting sqref="B2195">
    <cfRule type="duplicateValues" dxfId="189" priority="183"/>
  </conditionalFormatting>
  <conditionalFormatting sqref="B1140:B1142">
    <cfRule type="duplicateValues" dxfId="188" priority="112895"/>
  </conditionalFormatting>
  <conditionalFormatting sqref="C153">
    <cfRule type="duplicateValues" dxfId="187" priority="113266"/>
  </conditionalFormatting>
  <conditionalFormatting sqref="B1716">
    <cfRule type="duplicateValues" dxfId="186" priority="176"/>
  </conditionalFormatting>
  <conditionalFormatting sqref="D1716">
    <cfRule type="duplicateValues" dxfId="185" priority="175"/>
  </conditionalFormatting>
  <conditionalFormatting sqref="B1320">
    <cfRule type="duplicateValues" dxfId="184" priority="173"/>
  </conditionalFormatting>
  <conditionalFormatting sqref="D1320">
    <cfRule type="duplicateValues" dxfId="183" priority="172"/>
  </conditionalFormatting>
  <conditionalFormatting sqref="B1319">
    <cfRule type="duplicateValues" dxfId="182" priority="170"/>
  </conditionalFormatting>
  <conditionalFormatting sqref="D1319">
    <cfRule type="duplicateValues" dxfId="181" priority="169"/>
  </conditionalFormatting>
  <conditionalFormatting sqref="B1318:C1318 C1319">
    <cfRule type="duplicateValues" dxfId="180" priority="168"/>
  </conditionalFormatting>
  <conditionalFormatting sqref="D1318">
    <cfRule type="duplicateValues" dxfId="179" priority="167"/>
  </conditionalFormatting>
  <conditionalFormatting sqref="B88:C88">
    <cfRule type="duplicateValues" dxfId="178" priority="166"/>
  </conditionalFormatting>
  <conditionalFormatting sqref="D88">
    <cfRule type="duplicateValues" dxfId="177" priority="165"/>
  </conditionalFormatting>
  <conditionalFormatting sqref="D2298">
    <cfRule type="duplicateValues" dxfId="176" priority="154"/>
  </conditionalFormatting>
  <conditionalFormatting sqref="B2020:C2020 B2021">
    <cfRule type="duplicateValues" dxfId="175" priority="151"/>
  </conditionalFormatting>
  <conditionalFormatting sqref="B1906">
    <cfRule type="duplicateValues" dxfId="174" priority="149"/>
  </conditionalFormatting>
  <conditionalFormatting sqref="B1911">
    <cfRule type="duplicateValues" dxfId="173" priority="147"/>
  </conditionalFormatting>
  <conditionalFormatting sqref="B624">
    <cfRule type="duplicateValues" dxfId="172" priority="145"/>
  </conditionalFormatting>
  <conditionalFormatting sqref="B2350:B2351">
    <cfRule type="duplicateValues" dxfId="171" priority="143"/>
  </conditionalFormatting>
  <conditionalFormatting sqref="C53">
    <cfRule type="duplicateValues" dxfId="170" priority="141"/>
  </conditionalFormatting>
  <conditionalFormatting sqref="B53">
    <cfRule type="duplicateValues" dxfId="169" priority="140"/>
  </conditionalFormatting>
  <conditionalFormatting sqref="B2044">
    <cfRule type="duplicateValues" dxfId="168" priority="138"/>
  </conditionalFormatting>
  <conditionalFormatting sqref="C1320:C1321">
    <cfRule type="duplicateValues" dxfId="167" priority="136"/>
  </conditionalFormatting>
  <conditionalFormatting sqref="C51">
    <cfRule type="duplicateValues" dxfId="166" priority="135"/>
  </conditionalFormatting>
  <conditionalFormatting sqref="B51">
    <cfRule type="duplicateValues" dxfId="165" priority="134"/>
  </conditionalFormatting>
  <conditionalFormatting sqref="B2197">
    <cfRule type="duplicateValues" dxfId="164" priority="132"/>
  </conditionalFormatting>
  <conditionalFormatting sqref="B2477:C2477">
    <cfRule type="duplicateValues" dxfId="163" priority="128"/>
  </conditionalFormatting>
  <conditionalFormatting sqref="B2036:C2036">
    <cfRule type="duplicateValues" dxfId="162" priority="125"/>
  </conditionalFormatting>
  <conditionalFormatting sqref="B56">
    <cfRule type="duplicateValues" dxfId="161" priority="122"/>
  </conditionalFormatting>
  <conditionalFormatting sqref="B2022">
    <cfRule type="duplicateValues" dxfId="160" priority="121"/>
  </conditionalFormatting>
  <conditionalFormatting sqref="B2474:C2474">
    <cfRule type="duplicateValues" dxfId="159" priority="113"/>
  </conditionalFormatting>
  <conditionalFormatting sqref="B1647:C1647">
    <cfRule type="duplicateValues" dxfId="158" priority="111"/>
  </conditionalFormatting>
  <conditionalFormatting sqref="B2971:C2971">
    <cfRule type="duplicateValues" dxfId="157" priority="107"/>
  </conditionalFormatting>
  <conditionalFormatting sqref="B2995:C2995">
    <cfRule type="duplicateValues" dxfId="156" priority="105"/>
  </conditionalFormatting>
  <conditionalFormatting sqref="C624">
    <cfRule type="duplicateValues" dxfId="155" priority="104"/>
  </conditionalFormatting>
  <conditionalFormatting sqref="B2166:C2166">
    <cfRule type="duplicateValues" dxfId="154" priority="103"/>
  </conditionalFormatting>
  <conditionalFormatting sqref="B2783:C2783">
    <cfRule type="duplicateValues" dxfId="153" priority="101"/>
  </conditionalFormatting>
  <conditionalFormatting sqref="C2350:C2351">
    <cfRule type="duplicateValues" dxfId="152" priority="99"/>
  </conditionalFormatting>
  <conditionalFormatting sqref="B135">
    <cfRule type="duplicateValues" dxfId="151" priority="98"/>
  </conditionalFormatting>
  <conditionalFormatting sqref="D135">
    <cfRule type="duplicateValues" dxfId="150" priority="97"/>
  </conditionalFormatting>
  <conditionalFormatting sqref="B1520:C1520">
    <cfRule type="duplicateValues" dxfId="149" priority="95"/>
  </conditionalFormatting>
  <conditionalFormatting sqref="B2987:C2987">
    <cfRule type="duplicateValues" dxfId="148" priority="93"/>
  </conditionalFormatting>
  <conditionalFormatting sqref="B3021:C3023">
    <cfRule type="duplicateValues" dxfId="147" priority="91"/>
  </conditionalFormatting>
  <conditionalFormatting sqref="B2844:C2844">
    <cfRule type="duplicateValues" dxfId="146" priority="89"/>
  </conditionalFormatting>
  <conditionalFormatting sqref="B2984:C2984">
    <cfRule type="duplicateValues" dxfId="145" priority="81"/>
  </conditionalFormatting>
  <conditionalFormatting sqref="B2520:C2521">
    <cfRule type="duplicateValues" dxfId="144" priority="77"/>
  </conditionalFormatting>
  <conditionalFormatting sqref="N2520:N2521">
    <cfRule type="dataBar" priority="76">
      <dataBar>
        <cfvo type="min"/>
        <cfvo type="max"/>
        <color rgb="FF63C384"/>
      </dataBar>
    </cfRule>
  </conditionalFormatting>
  <conditionalFormatting sqref="B1370">
    <cfRule type="duplicateValues" dxfId="143" priority="68"/>
  </conditionalFormatting>
  <conditionalFormatting sqref="B1371">
    <cfRule type="duplicateValues" dxfId="142" priority="67"/>
  </conditionalFormatting>
  <conditionalFormatting sqref="B1374:B1377">
    <cfRule type="duplicateValues" dxfId="141" priority="66"/>
  </conditionalFormatting>
  <conditionalFormatting sqref="B1514">
    <cfRule type="duplicateValues" dxfId="140" priority="65"/>
  </conditionalFormatting>
  <conditionalFormatting sqref="B1598">
    <cfRule type="duplicateValues" dxfId="139" priority="64"/>
  </conditionalFormatting>
  <conditionalFormatting sqref="B2280:B2282">
    <cfRule type="duplicateValues" dxfId="138" priority="63"/>
  </conditionalFormatting>
  <conditionalFormatting sqref="B1631">
    <cfRule type="duplicateValues" dxfId="137" priority="62"/>
  </conditionalFormatting>
  <conditionalFormatting sqref="B2212 B2210 B2165 B1989">
    <cfRule type="duplicateValues" dxfId="136" priority="58"/>
  </conditionalFormatting>
  <conditionalFormatting sqref="B1630 B1628">
    <cfRule type="duplicateValues" dxfId="135" priority="56"/>
  </conditionalFormatting>
  <conditionalFormatting sqref="B3028:B3030">
    <cfRule type="duplicateValues" dxfId="134" priority="52"/>
  </conditionalFormatting>
  <conditionalFormatting sqref="B3399:C1048576 B3310:C3397 B2990:C2994 B2614:B2624 B2454 C2101:C2116 B1367:B1369 B1169:C1169 B939 B887 B705:C712 B240:B242 B55 B44 B1:C1 B237:B238 B18 B39:C39 B41:B42 B11:C12 B154:C154 C289 B25:B33 B132:C132 C156:C158 B115:C122 C13 B3:C3 C15 B172:C175 B545:C547 B128:C128 C177:C181 B137 B140:C142 C414 B162:C166 B247:C253 C144 B189:C189 B409:C409 B243:C245 C213:C242 B213:B223 B146:C146 C188 B356:C360 B16:C17 C147:C152 B147:B153 C160:C161 B155:B161 C408 B201:C211 B192:C199 B549:C568 C501 B502:C502 B421:C431 C432 B432:B433 C516 C503:C514 B517:C519 C520:C526 C528:C543 B290:C290 B829:C833 B256:C263 B292:C299 B893 B875 B885 B878 B867 B869:B873 B895:B897 B714:C717 B756:C758 B851:C859 B1171:C1171 C977:C978 C982 B1188:C1203 D1267:D1270 C1266:C1270 B1150:C1150 B1152:C1167 B1363 C988 B615:C621 C614 C696 C718 B764:C764 B767:C767 C765:C766 B769:C770 C768 C771:C772 B773:C774 B776:C776 C775 C777 B1022:B1032 B1205:C1266 B1271:C1271 C1832 B1378:B1403 B1405:C1409 C1640 B1648:C1648 B778:C811 B837:C844 C1843 B1653:C1653 C2079:C2088 B1850:C1852 B2071:C2078 B2090:C2100 C1845 B1761:C1764 B1103:C1105 B1773:C1778 C1884 C1825 C1829 C1822:C1823 C1835:C1839 C2 C1827 C985:C986 B1812 B1317 C1316:C1317 B1522 C1522:C1523 C1886:C1887 C1982 C2258:C2259 B1341:C1362 C1534 C973:C975 B1128 B1524:C1533 B1766:B1768 B1813:C1821 B1107:C1127 B1706:C1706 B265:C287 B1471:C1471 B102:C113 C41:C46 B625:C642 B860:B862 B2186:B2187 B471:C498 B647:C695 B1708:C1708 C18:C38 B21:B23 B35:B37 B645:B646 B1771:B1772 B1470 C1468:C1470 B926:B929 B225:B234 C643:C646 B760:C761 C759 C762:C763 B503:B516 B303:C318 B320:C334 B386:C396 B434:C449 B520:B534 B570:C613 B697:C702 B2228:C2232 B301:C301 C300 C335 C397 C362 C450 C499 B336:C354 B363:C376 B398:C406 B451:C469 B499:B501 B536:B544 C960 B890 C926:C945 B1438:C1452 C1472 B1854:C1882 B1129:C1139 B1273:C1315 B880 B883 B1143:C1147 B1688:C1704 C1707 C1709 B2154:C2164 B2609:B2612 C2609:C2624 C100:C101 C860:C888 C54:C56 B168:C170 B180 B2026:C2033 B864 B1173:C1175 C1176 C1642:C1646 B2265:C2279 B1177:C1186 B2234:C2257 C967:C971 C1325:C1327 B941:B944 B931:B937 B946:C959 B961:C966 B969:B973 B1036:B1101 B1326:C1339 B1411:C1436 B1454:C1467 B2362:B2368 C2361:C2368 B899:B903 B905:B924 B2455:C2473 B989:C1011 B1560:C1570 C1779 C1955 B2004:C2019 C2003 C2297 B1322:C1324 C893:C924 C1140:C1142 B2298:C2335 B1888:C1905 B58:C87 B1685:C1686 B89:C99 B719:C753 B1321 C1022:C1101 B813:C823 B2024:C2024 B1907:C1910 B2352:C2360 B2337:C2349 B2336 B2045:C2061 C2034 B2035:C2035 C1559 C1716 B2260:C2263 C2264:C2265 C2177 B2178:C2179 C2191 C2195:C2197 C2201 B1656:C1683 B1535:C1558 B1710:C1715 C1906 C1911 C2044 B2037:C2043 B2478:C2480 B1474:C1513 B1956:C1978 B1983:C1988 B2625:C2696 B2475:C2476 B2023 C2021:C2023 B1953:C1954 B2167:C2176 B2784:C2843 B1521:C1521 B2996:C3020 B2985:C2985 B2522:C2608 B1372 B1515:C1519 C1514 B1599:C1627 C1598 B2283:C2296 C2280:C2282 B1632:C1638 B1990:C2002 C1989 C2165 B1629:C1629 C1628 C1630:C1631 C1363:C1403 B3024:C3026 B3027 B3043:B3048 B2369:C2453 B1717:C1758 C1951:C1952 B2117:C2142 B1780:C1811 B2845:C2892 B2983 B2482:C2490 B2986 B2989 B3058:C3230 B1573:C1597 B2894:C2967 B2972:C2981 B2969:C2970 B825:C826 B1912:C1950 B2181:C2186 C2180 B2698:C2782 B2492:C2519 B2144:C2152 C3027:C3057 B3232:C3308">
    <cfRule type="duplicateValues" dxfId="133" priority="113483"/>
  </conditionalFormatting>
  <conditionalFormatting sqref="B2082">
    <cfRule type="duplicateValues" dxfId="132" priority="51"/>
  </conditionalFormatting>
  <conditionalFormatting sqref="B1951:B1952">
    <cfRule type="duplicateValues" dxfId="131" priority="50"/>
  </conditionalFormatting>
  <conditionalFormatting sqref="B2893:C2893">
    <cfRule type="duplicateValues" dxfId="130" priority="49"/>
  </conditionalFormatting>
  <conditionalFormatting sqref="B2982">
    <cfRule type="duplicateValues" dxfId="129" priority="46"/>
  </conditionalFormatting>
  <conditionalFormatting sqref="B2988">
    <cfRule type="duplicateValues" dxfId="128" priority="44"/>
  </conditionalFormatting>
  <conditionalFormatting sqref="C135:C136">
    <cfRule type="duplicateValues" dxfId="127" priority="42"/>
  </conditionalFormatting>
  <conditionalFormatting sqref="B2481:C2481">
    <cfRule type="duplicateValues" dxfId="126" priority="41"/>
  </conditionalFormatting>
  <conditionalFormatting sqref="C2988:C2989 C2986 C2982:C2983">
    <cfRule type="duplicateValues" dxfId="125" priority="39"/>
  </conditionalFormatting>
  <conditionalFormatting sqref="B1571:C1572">
    <cfRule type="duplicateValues" dxfId="124" priority="30"/>
  </conditionalFormatting>
  <conditionalFormatting sqref="B47:B50">
    <cfRule type="duplicateValues" dxfId="123" priority="113877"/>
  </conditionalFormatting>
  <conditionalFormatting sqref="C47:C50 C52">
    <cfRule type="duplicateValues" dxfId="122" priority="114024"/>
  </conditionalFormatting>
  <conditionalFormatting sqref="B3309:C3309">
    <cfRule type="duplicateValues" dxfId="121" priority="28"/>
  </conditionalFormatting>
  <conditionalFormatting sqref="B2968:C2968">
    <cfRule type="duplicateValues" dxfId="120" priority="26"/>
  </conditionalFormatting>
  <conditionalFormatting sqref="D824">
    <cfRule type="duplicateValues" dxfId="119" priority="24"/>
  </conditionalFormatting>
  <conditionalFormatting sqref="B824:C824">
    <cfRule type="duplicateValues" dxfId="118" priority="23"/>
  </conditionalFormatting>
  <conditionalFormatting sqref="B2180">
    <cfRule type="duplicateValues" dxfId="117" priority="22"/>
  </conditionalFormatting>
  <conditionalFormatting sqref="B2697:C2697">
    <cfRule type="duplicateValues" dxfId="116" priority="21"/>
  </conditionalFormatting>
  <conditionalFormatting sqref="B2491:C2491">
    <cfRule type="duplicateValues" dxfId="115" priority="19"/>
  </conditionalFormatting>
  <conditionalFormatting sqref="C14 B13:B15">
    <cfRule type="duplicateValues" dxfId="114" priority="114063"/>
  </conditionalFormatting>
  <conditionalFormatting sqref="D126">
    <cfRule type="duplicateValues" dxfId="113" priority="114106"/>
  </conditionalFormatting>
  <conditionalFormatting sqref="B186:C186">
    <cfRule type="duplicateValues" dxfId="112" priority="114201"/>
  </conditionalFormatting>
  <conditionalFormatting sqref="B126:C126">
    <cfRule type="duplicateValues" dxfId="111" priority="114287"/>
  </conditionalFormatting>
  <conditionalFormatting sqref="O2201 O2216 O2211">
    <cfRule type="dataBar" priority="116698">
      <dataBar>
        <cfvo type="min"/>
        <cfvo type="max"/>
        <color rgb="FF63C384"/>
      </dataBar>
    </cfRule>
  </conditionalFormatting>
  <conditionalFormatting sqref="B2202:C2209 B2201 B2211:C2211 C2210 B2213:C2227 C2212">
    <cfRule type="duplicateValues" dxfId="110" priority="116701"/>
  </conditionalFormatting>
  <conditionalFormatting sqref="C433">
    <cfRule type="duplicateValues" dxfId="109" priority="116821"/>
  </conditionalFormatting>
  <conditionalFormatting sqref="B377:C377">
    <cfRule type="duplicateValues" dxfId="108" priority="117474"/>
  </conditionalFormatting>
  <conditionalFormatting sqref="D377">
    <cfRule type="duplicateValues" dxfId="107" priority="117475"/>
  </conditionalFormatting>
  <conditionalFormatting sqref="B182:C184">
    <cfRule type="duplicateValues" dxfId="106" priority="117519"/>
  </conditionalFormatting>
  <conditionalFormatting sqref="B378:C378">
    <cfRule type="duplicateValues" dxfId="105" priority="118169"/>
  </conditionalFormatting>
  <conditionalFormatting sqref="D378">
    <cfRule type="duplicateValues" dxfId="104" priority="118170"/>
  </conditionalFormatting>
  <conditionalFormatting sqref="D379">
    <cfRule type="duplicateValues" dxfId="103" priority="118171"/>
  </conditionalFormatting>
  <conditionalFormatting sqref="B846:C847">
    <cfRule type="duplicateValues" dxfId="102" priority="118213"/>
  </conditionalFormatting>
  <conditionalFormatting sqref="D846:D847">
    <cfRule type="duplicateValues" dxfId="101" priority="118214"/>
  </conditionalFormatting>
  <conditionalFormatting sqref="B845:C845">
    <cfRule type="duplicateValues" dxfId="100" priority="118218"/>
  </conditionalFormatting>
  <conditionalFormatting sqref="D845">
    <cfRule type="duplicateValues" dxfId="99" priority="118219"/>
  </conditionalFormatting>
  <conditionalFormatting sqref="B1187:C1187">
    <cfRule type="duplicateValues" dxfId="98" priority="118304"/>
  </conditionalFormatting>
  <conditionalFormatting sqref="D1187">
    <cfRule type="duplicateValues" dxfId="97" priority="118305"/>
  </conditionalFormatting>
  <conditionalFormatting sqref="C1772">
    <cfRule type="duplicateValues" dxfId="96" priority="118974"/>
  </conditionalFormatting>
  <conditionalFormatting sqref="B1822:B1845">
    <cfRule type="duplicateValues" dxfId="95" priority="119013"/>
  </conditionalFormatting>
  <conditionalFormatting sqref="D1822">
    <cfRule type="duplicateValues" dxfId="94" priority="119014"/>
  </conditionalFormatting>
  <conditionalFormatting sqref="C1812">
    <cfRule type="duplicateValues" dxfId="93" priority="119053"/>
  </conditionalFormatting>
  <conditionalFormatting sqref="B185:C185">
    <cfRule type="duplicateValues" dxfId="92" priority="119658"/>
  </conditionalFormatting>
  <conditionalFormatting sqref="B129:C131">
    <cfRule type="duplicateValues" dxfId="91" priority="120267"/>
  </conditionalFormatting>
  <conditionalFormatting sqref="D127:D132">
    <cfRule type="duplicateValues" dxfId="90" priority="120269"/>
  </conditionalFormatting>
  <conditionalFormatting sqref="B10:C10">
    <cfRule type="duplicateValues" dxfId="89" priority="120304"/>
  </conditionalFormatting>
  <conditionalFormatting sqref="O1">
    <cfRule type="dataBar" priority="120305">
      <dataBar>
        <cfvo type="min"/>
        <cfvo type="max"/>
        <color rgb="FFD6007B"/>
      </dataBar>
    </cfRule>
  </conditionalFormatting>
  <conditionalFormatting sqref="D1216:D1226">
    <cfRule type="duplicateValues" dxfId="88" priority="121437"/>
  </conditionalFormatting>
  <conditionalFormatting sqref="B836:C836">
    <cfRule type="duplicateValues" dxfId="87" priority="121469"/>
  </conditionalFormatting>
  <conditionalFormatting sqref="D836">
    <cfRule type="duplicateValues" dxfId="86" priority="121470"/>
  </conditionalFormatting>
  <conditionalFormatting sqref="B754:C755">
    <cfRule type="duplicateValues" dxfId="85" priority="121511"/>
  </conditionalFormatting>
  <conditionalFormatting sqref="D754:D755">
    <cfRule type="duplicateValues" dxfId="84" priority="121513"/>
  </conditionalFormatting>
  <conditionalFormatting sqref="O1444">
    <cfRule type="dataBar" priority="121541">
      <dataBar>
        <cfvo type="min"/>
        <cfvo type="max"/>
        <color rgb="FF63C384"/>
      </dataBar>
    </cfRule>
  </conditionalFormatting>
  <conditionalFormatting sqref="B2143:C2143">
    <cfRule type="duplicateValues" dxfId="83" priority="13"/>
  </conditionalFormatting>
  <conditionalFormatting sqref="B3231:C3231">
    <cfRule type="duplicateValues" dxfId="82" priority="11"/>
  </conditionalFormatting>
  <conditionalFormatting sqref="C416">
    <cfRule type="duplicateValues" dxfId="81" priority="9"/>
  </conditionalFormatting>
  <conditionalFormatting sqref="B416">
    <cfRule type="duplicateValues" dxfId="80" priority="8"/>
  </conditionalFormatting>
  <conditionalFormatting sqref="D3398">
    <cfRule type="duplicateValues" dxfId="79" priority="3"/>
  </conditionalFormatting>
  <conditionalFormatting sqref="B3398:C3398">
    <cfRule type="duplicateValues" dxfId="78" priority="2"/>
  </conditionalFormatting>
  <printOptions horizontalCentered="1"/>
  <pageMargins left="0.23622047244094499" right="0.15748031496063" top="0.47244094488188998" bottom="0.43307086614173201" header="0.31496062992126" footer="0.31496062992126"/>
  <pageSetup paperSize="9" scale="73" orientation="landscape" r:id="rId1"/>
  <headerFooter>
    <oddHeader>&amp;C&amp;G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F29"/>
  <sheetViews>
    <sheetView windowProtection="1" topLeftCell="A10" workbookViewId="0">
      <selection activeCell="I23" sqref="I23"/>
    </sheetView>
  </sheetViews>
  <sheetFormatPr defaultRowHeight="15"/>
  <sheetData>
    <row r="3" spans="3:6">
      <c r="C3" s="396" t="s">
        <v>2596</v>
      </c>
      <c r="F3">
        <f>[2]Bang_cham_cong!$DK$393</f>
        <v>4</v>
      </c>
    </row>
    <row r="4" spans="3:6">
      <c r="C4" s="396" t="s">
        <v>2597</v>
      </c>
      <c r="F4">
        <f>[2]Bang_cham_cong!$DK$393</f>
        <v>4</v>
      </c>
    </row>
    <row r="5" spans="3:6">
      <c r="C5" s="396" t="s">
        <v>2598</v>
      </c>
      <c r="F5">
        <f>[2]Bang_cham_cong!$DK$393</f>
        <v>4</v>
      </c>
    </row>
    <row r="6" spans="3:6">
      <c r="C6" s="396" t="s">
        <v>2599</v>
      </c>
      <c r="F6">
        <f>[2]Bang_cham_cong!$DK$393</f>
        <v>4</v>
      </c>
    </row>
    <row r="7" spans="3:6">
      <c r="C7" s="396" t="s">
        <v>2600</v>
      </c>
      <c r="F7">
        <f>[2]Bang_cham_cong!$DK$393</f>
        <v>4</v>
      </c>
    </row>
    <row r="8" spans="3:6">
      <c r="C8" s="396" t="s">
        <v>2601</v>
      </c>
      <c r="F8">
        <f>[2]Bang_cham_cong!$DK$393</f>
        <v>4</v>
      </c>
    </row>
    <row r="9" spans="3:6">
      <c r="C9" s="396" t="s">
        <v>2602</v>
      </c>
      <c r="F9">
        <f>[2]Bang_cham_cong!$DK$393</f>
        <v>4</v>
      </c>
    </row>
    <row r="10" spans="3:6">
      <c r="C10" s="396" t="s">
        <v>2603</v>
      </c>
      <c r="F10">
        <f>[2]Bang_cham_cong!$DK$393</f>
        <v>4</v>
      </c>
    </row>
    <row r="11" spans="3:6">
      <c r="C11" s="396" t="s">
        <v>2604</v>
      </c>
      <c r="F11">
        <f>[2]Bang_cham_cong!$DK$393</f>
        <v>4</v>
      </c>
    </row>
    <row r="12" spans="3:6">
      <c r="C12" s="396" t="s">
        <v>2605</v>
      </c>
      <c r="F12">
        <f>[2]Bang_cham_cong!$DK$393</f>
        <v>4</v>
      </c>
    </row>
    <row r="13" spans="3:6">
      <c r="C13" s="396" t="s">
        <v>2606</v>
      </c>
      <c r="F13">
        <f>[2]Bang_cham_cong!$DK$393</f>
        <v>4</v>
      </c>
    </row>
    <row r="14" spans="3:6">
      <c r="C14" s="396" t="s">
        <v>2607</v>
      </c>
      <c r="F14">
        <f>[2]Bang_cham_cong!$DK$393</f>
        <v>4</v>
      </c>
    </row>
    <row r="15" spans="3:6">
      <c r="C15" s="396" t="s">
        <v>2608</v>
      </c>
      <c r="F15">
        <f>[2]Bang_cham_cong!$DK$393</f>
        <v>4</v>
      </c>
    </row>
    <row r="16" spans="3:6">
      <c r="C16" s="396" t="s">
        <v>2609</v>
      </c>
      <c r="F16">
        <f>[2]Bang_cham_cong!$DK$393</f>
        <v>4</v>
      </c>
    </row>
    <row r="17" spans="3:6">
      <c r="C17" s="396" t="s">
        <v>2610</v>
      </c>
      <c r="F17">
        <f>[2]Bang_cham_cong!$DK$393</f>
        <v>4</v>
      </c>
    </row>
    <row r="18" spans="3:6">
      <c r="C18" s="396" t="s">
        <v>2611</v>
      </c>
      <c r="F18">
        <f>[2]Bang_cham_cong!$DK$393</f>
        <v>4</v>
      </c>
    </row>
    <row r="19" spans="3:6">
      <c r="C19" s="396" t="s">
        <v>2612</v>
      </c>
      <c r="F19">
        <f>[2]Bang_cham_cong!$DK$393</f>
        <v>4</v>
      </c>
    </row>
    <row r="20" spans="3:6">
      <c r="C20" s="396" t="s">
        <v>2613</v>
      </c>
      <c r="F20">
        <f>[2]Bang_cham_cong!$DK$393</f>
        <v>4</v>
      </c>
    </row>
    <row r="21" spans="3:6">
      <c r="C21" s="396" t="s">
        <v>2614</v>
      </c>
      <c r="F21">
        <f>[2]Bang_cham_cong!$DK$393</f>
        <v>4</v>
      </c>
    </row>
    <row r="22" spans="3:6">
      <c r="C22" s="396" t="s">
        <v>2615</v>
      </c>
      <c r="F22">
        <f>[2]Bang_cham_cong!$DK$393</f>
        <v>4</v>
      </c>
    </row>
    <row r="23" spans="3:6">
      <c r="C23" s="396" t="s">
        <v>2616</v>
      </c>
      <c r="F23">
        <f>[2]Bang_cham_cong!$DK$393</f>
        <v>4</v>
      </c>
    </row>
    <row r="24" spans="3:6">
      <c r="C24" s="396" t="s">
        <v>2617</v>
      </c>
      <c r="F24">
        <f>[2]Bang_cham_cong!$DK$393</f>
        <v>4</v>
      </c>
    </row>
    <row r="25" spans="3:6">
      <c r="C25" s="396" t="s">
        <v>2618</v>
      </c>
      <c r="F25">
        <f>[2]Bang_cham_cong!$DK$393</f>
        <v>4</v>
      </c>
    </row>
    <row r="26" spans="3:6">
      <c r="C26" s="396" t="s">
        <v>2619</v>
      </c>
      <c r="F26">
        <f>[2]Bang_cham_cong!$DK$393</f>
        <v>4</v>
      </c>
    </row>
    <row r="27" spans="3:6">
      <c r="C27" s="396" t="s">
        <v>2620</v>
      </c>
      <c r="F27">
        <f>[2]Bang_cham_cong!$DK$393</f>
        <v>4</v>
      </c>
    </row>
    <row r="28" spans="3:6">
      <c r="C28" s="396" t="s">
        <v>2621</v>
      </c>
      <c r="F28">
        <f>[2]Bang_cham_cong!$DK$393</f>
        <v>4</v>
      </c>
    </row>
    <row r="29" spans="3:6">
      <c r="C29" s="396" t="s">
        <v>2622</v>
      </c>
      <c r="F29">
        <f>[2]Bang_cham_cong!$DK$393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WPV328"/>
  <sheetViews>
    <sheetView windowProtection="1" topLeftCell="A319" workbookViewId="0">
      <selection activeCell="CI3" sqref="CI3:CI4"/>
    </sheetView>
  </sheetViews>
  <sheetFormatPr defaultRowHeight="27" customHeight="1"/>
  <cols>
    <col min="1" max="1" width="9.140625" style="348"/>
    <col min="2" max="2" width="23.42578125" style="343" customWidth="1"/>
    <col min="3" max="3" width="17.7109375" style="343" customWidth="1"/>
    <col min="4" max="4" width="10.5703125" style="349" customWidth="1"/>
    <col min="5" max="5" width="10.42578125" style="343" customWidth="1"/>
    <col min="6" max="6" width="11.85546875" style="343" customWidth="1"/>
    <col min="7" max="7" width="9.140625" style="350"/>
    <col min="8" max="8" width="14.140625" style="343" customWidth="1"/>
    <col min="9" max="9" width="15.140625" style="343" customWidth="1"/>
    <col min="10" max="10" width="15" style="343" customWidth="1"/>
    <col min="11" max="16" width="9.140625" style="343" hidden="1" customWidth="1"/>
    <col min="17" max="17" width="11" style="343" hidden="1" customWidth="1"/>
    <col min="18" max="19" width="9.140625" style="343" hidden="1" customWidth="1"/>
    <col min="20" max="44" width="4.28515625" style="343" hidden="1" customWidth="1"/>
    <col min="45" max="48" width="9.140625" style="343" hidden="1" customWidth="1"/>
    <col min="49" max="86" width="5.7109375" style="343" hidden="1" customWidth="1"/>
    <col min="87" max="96" width="5.7109375" style="343" customWidth="1"/>
    <col min="97" max="16384" width="9.140625" style="343"/>
  </cols>
  <sheetData>
    <row r="1" spans="1:15986" ht="27" customHeight="1">
      <c r="A1" s="327"/>
      <c r="B1" s="432" t="s">
        <v>2232</v>
      </c>
      <c r="C1" s="432"/>
      <c r="D1" s="432"/>
      <c r="E1" s="432"/>
      <c r="F1" s="432"/>
      <c r="G1" s="433"/>
      <c r="H1" s="432"/>
      <c r="I1" s="432"/>
      <c r="J1" s="432"/>
      <c r="K1" s="328"/>
      <c r="L1" s="328"/>
      <c r="M1" s="328"/>
      <c r="N1" s="328"/>
      <c r="O1" s="328"/>
      <c r="P1" s="328"/>
      <c r="Q1" s="328"/>
      <c r="R1" s="328"/>
      <c r="S1" s="328"/>
      <c r="T1" s="328"/>
    </row>
    <row r="2" spans="1:15986" ht="27" customHeight="1">
      <c r="A2" s="327"/>
      <c r="B2" s="434"/>
      <c r="C2" s="434"/>
      <c r="D2" s="434"/>
      <c r="E2" s="434"/>
      <c r="F2" s="434"/>
      <c r="G2" s="435"/>
      <c r="H2" s="434"/>
      <c r="I2" s="434"/>
      <c r="J2" s="434"/>
      <c r="K2" s="328"/>
      <c r="L2" s="328"/>
      <c r="M2" s="328"/>
      <c r="N2" s="328"/>
      <c r="O2" s="328"/>
      <c r="P2" s="328"/>
      <c r="Q2" s="328"/>
      <c r="R2" s="328"/>
      <c r="S2" s="328"/>
      <c r="T2" s="328"/>
    </row>
    <row r="3" spans="1:15986" ht="39.75" customHeight="1">
      <c r="A3" s="329" t="s">
        <v>520</v>
      </c>
      <c r="B3" s="329" t="s">
        <v>0</v>
      </c>
      <c r="C3" s="329" t="s">
        <v>31</v>
      </c>
      <c r="D3" s="436" t="s">
        <v>33</v>
      </c>
      <c r="E3" s="436" t="s">
        <v>35</v>
      </c>
      <c r="F3" s="436" t="s">
        <v>1</v>
      </c>
      <c r="G3" s="330" t="s">
        <v>16</v>
      </c>
      <c r="H3" s="329" t="s">
        <v>524</v>
      </c>
      <c r="I3" s="331" t="s">
        <v>557</v>
      </c>
      <c r="J3" s="331" t="s">
        <v>37</v>
      </c>
      <c r="K3" s="437" t="s">
        <v>2100</v>
      </c>
      <c r="L3" s="438"/>
      <c r="M3" s="438"/>
      <c r="N3" s="438"/>
      <c r="O3" s="439"/>
      <c r="P3" s="429" t="s">
        <v>2255</v>
      </c>
      <c r="Q3" s="430"/>
      <c r="R3" s="430"/>
      <c r="S3" s="430"/>
      <c r="T3" s="430"/>
      <c r="U3" s="430"/>
      <c r="V3" s="430"/>
      <c r="W3" s="430"/>
      <c r="X3" s="430"/>
      <c r="Y3" s="430"/>
      <c r="Z3" s="430"/>
      <c r="AA3" s="430"/>
      <c r="AB3" s="430"/>
      <c r="AC3" s="430"/>
      <c r="AD3" s="430"/>
      <c r="AE3" s="430"/>
      <c r="AF3" s="430"/>
      <c r="AG3" s="430"/>
      <c r="AH3" s="430"/>
      <c r="AI3" s="430"/>
      <c r="AJ3" s="430"/>
      <c r="AK3" s="430"/>
      <c r="AL3" s="430"/>
      <c r="AM3" s="430"/>
      <c r="AN3" s="430"/>
      <c r="AO3" s="430"/>
      <c r="AP3" s="430"/>
      <c r="AQ3" s="430"/>
      <c r="AR3" s="431"/>
      <c r="AS3" s="426" t="s">
        <v>2399</v>
      </c>
      <c r="AT3" s="427"/>
      <c r="AU3" s="427"/>
      <c r="AV3" s="427"/>
      <c r="AW3" s="427"/>
      <c r="AX3" s="427"/>
      <c r="AY3" s="427"/>
      <c r="AZ3" s="427"/>
      <c r="BA3" s="427"/>
      <c r="BB3" s="427"/>
      <c r="BC3" s="427"/>
      <c r="BD3" s="427"/>
      <c r="BE3" s="427"/>
      <c r="BF3" s="427"/>
      <c r="BG3" s="427"/>
      <c r="BH3" s="427"/>
      <c r="BI3" s="427"/>
      <c r="BJ3" s="427"/>
      <c r="BK3" s="427"/>
      <c r="BL3" s="427"/>
      <c r="BM3" s="427"/>
      <c r="BN3" s="427"/>
      <c r="BO3" s="427"/>
      <c r="BP3" s="427"/>
      <c r="BQ3" s="427"/>
      <c r="BR3" s="427"/>
      <c r="BS3" s="427"/>
      <c r="BT3" s="428"/>
      <c r="BU3" s="426" t="s">
        <v>2524</v>
      </c>
      <c r="BV3" s="427"/>
      <c r="BW3" s="427"/>
      <c r="BX3" s="427"/>
      <c r="BY3" s="427"/>
      <c r="BZ3" s="427"/>
      <c r="CA3" s="427"/>
      <c r="CB3" s="427"/>
      <c r="CC3" s="427"/>
      <c r="CD3" s="427"/>
      <c r="CE3" s="427"/>
      <c r="CF3" s="427"/>
      <c r="CG3" s="427"/>
      <c r="CH3" s="428"/>
      <c r="CI3" s="424" t="s">
        <v>2623</v>
      </c>
      <c r="CJ3" s="344"/>
      <c r="CK3" s="344"/>
      <c r="CL3" s="344"/>
      <c r="CM3" s="344"/>
      <c r="CN3" s="344"/>
      <c r="CO3" s="344"/>
      <c r="CP3" s="344"/>
      <c r="CQ3" s="344"/>
      <c r="CR3" s="344"/>
      <c r="CS3" s="344"/>
      <c r="CT3" s="344"/>
      <c r="CU3" s="344"/>
      <c r="CV3" s="344"/>
      <c r="CW3" s="344"/>
      <c r="CX3" s="344"/>
      <c r="CY3" s="344"/>
      <c r="CZ3" s="344"/>
      <c r="DA3" s="344"/>
      <c r="DB3" s="344"/>
      <c r="DC3" s="344"/>
      <c r="DD3" s="344"/>
      <c r="DE3" s="344"/>
      <c r="DF3" s="344"/>
      <c r="DG3" s="344"/>
      <c r="DH3" s="344"/>
      <c r="DI3" s="344"/>
      <c r="DJ3" s="344"/>
      <c r="DK3" s="344"/>
      <c r="DL3" s="344"/>
      <c r="DM3" s="344"/>
      <c r="DN3" s="344"/>
      <c r="DO3" s="344"/>
      <c r="DP3" s="344"/>
      <c r="DQ3" s="344"/>
      <c r="DR3" s="344"/>
      <c r="DS3" s="344"/>
      <c r="DT3" s="344"/>
      <c r="DU3" s="344"/>
      <c r="DV3" s="344"/>
      <c r="DW3" s="344"/>
      <c r="DX3" s="344"/>
      <c r="DY3" s="344"/>
      <c r="DZ3" s="344"/>
      <c r="EA3" s="344"/>
      <c r="EB3" s="344"/>
      <c r="EC3" s="344"/>
      <c r="ED3" s="344"/>
      <c r="EE3" s="344"/>
      <c r="EF3" s="344"/>
      <c r="EG3" s="344"/>
      <c r="EH3" s="344"/>
      <c r="EI3" s="344"/>
      <c r="EJ3" s="344"/>
      <c r="EK3" s="344"/>
      <c r="EL3" s="344"/>
      <c r="EM3" s="344"/>
      <c r="EN3" s="344"/>
      <c r="EO3" s="344"/>
      <c r="EP3" s="344"/>
      <c r="EQ3" s="344"/>
      <c r="ER3" s="344"/>
      <c r="ES3" s="344"/>
      <c r="ET3" s="344"/>
      <c r="EU3" s="344"/>
      <c r="EV3" s="344"/>
      <c r="EW3" s="344"/>
      <c r="EX3" s="344"/>
      <c r="EY3" s="344"/>
      <c r="EZ3" s="344"/>
      <c r="FA3" s="344"/>
      <c r="FB3" s="344"/>
      <c r="FC3" s="344"/>
      <c r="FD3" s="344"/>
      <c r="FE3" s="344"/>
      <c r="FF3" s="344"/>
      <c r="FG3" s="344"/>
      <c r="FH3" s="344"/>
      <c r="FI3" s="344"/>
      <c r="FJ3" s="344"/>
      <c r="FK3" s="344"/>
      <c r="FL3" s="344"/>
      <c r="FM3" s="344"/>
      <c r="FN3" s="344"/>
      <c r="FO3" s="344"/>
      <c r="FP3" s="344"/>
      <c r="FQ3" s="344"/>
      <c r="FR3" s="344"/>
      <c r="FS3" s="344"/>
      <c r="FT3" s="344"/>
      <c r="FU3" s="344"/>
      <c r="FV3" s="344"/>
      <c r="FW3" s="344"/>
      <c r="FX3" s="344"/>
      <c r="FY3" s="344"/>
      <c r="FZ3" s="344"/>
      <c r="GA3" s="344"/>
      <c r="GB3" s="344"/>
      <c r="GC3" s="344"/>
      <c r="GD3" s="344"/>
      <c r="GE3" s="344"/>
      <c r="GF3" s="344"/>
      <c r="GG3" s="344"/>
      <c r="GH3" s="344"/>
      <c r="GI3" s="344"/>
      <c r="GJ3" s="344"/>
      <c r="GK3" s="344"/>
      <c r="GL3" s="344"/>
      <c r="GM3" s="344"/>
      <c r="GN3" s="344"/>
      <c r="GO3" s="344"/>
      <c r="GP3" s="344"/>
      <c r="GQ3" s="344"/>
      <c r="GR3" s="344"/>
      <c r="GS3" s="344"/>
      <c r="GT3" s="344"/>
      <c r="GU3" s="344"/>
      <c r="GV3" s="344"/>
      <c r="GW3" s="344"/>
      <c r="GX3" s="344"/>
      <c r="GY3" s="344"/>
      <c r="GZ3" s="344"/>
      <c r="HA3" s="344"/>
      <c r="HB3" s="344"/>
      <c r="HC3" s="344"/>
      <c r="HD3" s="344"/>
      <c r="HE3" s="344"/>
      <c r="HF3" s="344"/>
      <c r="HG3" s="344"/>
      <c r="HH3" s="344"/>
      <c r="HI3" s="344"/>
      <c r="HJ3" s="344"/>
      <c r="HK3" s="344"/>
      <c r="HL3" s="344"/>
      <c r="HM3" s="344"/>
      <c r="HN3" s="344"/>
      <c r="HO3" s="344"/>
      <c r="HP3" s="344"/>
      <c r="HQ3" s="344"/>
      <c r="HR3" s="344"/>
      <c r="HS3" s="344"/>
      <c r="HT3" s="344"/>
      <c r="HU3" s="344"/>
      <c r="HV3" s="344"/>
      <c r="HW3" s="344"/>
      <c r="HX3" s="344"/>
      <c r="HY3" s="344"/>
      <c r="HZ3" s="344"/>
      <c r="IA3" s="344"/>
      <c r="IB3" s="344"/>
      <c r="IC3" s="344"/>
      <c r="ID3" s="344"/>
      <c r="IE3" s="344"/>
      <c r="IF3" s="344"/>
      <c r="IG3" s="344"/>
      <c r="IH3" s="344"/>
      <c r="II3" s="344"/>
      <c r="IJ3" s="344"/>
      <c r="IK3" s="344"/>
      <c r="IL3" s="344"/>
      <c r="IM3" s="344"/>
      <c r="IN3" s="344"/>
      <c r="IO3" s="344"/>
      <c r="IP3" s="344"/>
      <c r="IQ3" s="344"/>
      <c r="IR3" s="344"/>
      <c r="IS3" s="344"/>
      <c r="IT3" s="344"/>
      <c r="IU3" s="344"/>
      <c r="IV3" s="344"/>
      <c r="IW3" s="344"/>
      <c r="IX3" s="344"/>
      <c r="IY3" s="344"/>
      <c r="IZ3" s="344"/>
      <c r="JA3" s="344"/>
      <c r="JB3" s="344"/>
      <c r="JC3" s="344"/>
      <c r="JD3" s="344"/>
      <c r="JE3" s="344"/>
      <c r="JF3" s="344"/>
      <c r="JG3" s="344"/>
      <c r="JH3" s="344"/>
      <c r="JI3" s="344"/>
      <c r="JJ3" s="344"/>
      <c r="JK3" s="344"/>
      <c r="JL3" s="344"/>
      <c r="JM3" s="344"/>
      <c r="JN3" s="344"/>
      <c r="JO3" s="344"/>
      <c r="JP3" s="344"/>
      <c r="JQ3" s="344"/>
      <c r="JR3" s="344"/>
      <c r="JS3" s="344"/>
      <c r="JT3" s="344"/>
      <c r="JU3" s="344"/>
      <c r="JV3" s="344"/>
      <c r="JW3" s="344"/>
      <c r="JX3" s="344"/>
      <c r="JY3" s="344"/>
      <c r="JZ3" s="344"/>
      <c r="KA3" s="344"/>
      <c r="KB3" s="344"/>
      <c r="KC3" s="344"/>
      <c r="KD3" s="344"/>
      <c r="KE3" s="344"/>
      <c r="KF3" s="344"/>
      <c r="KG3" s="344"/>
      <c r="KH3" s="344"/>
      <c r="KI3" s="344"/>
      <c r="KJ3" s="344"/>
      <c r="KK3" s="344"/>
      <c r="KL3" s="344"/>
      <c r="KM3" s="344"/>
      <c r="KN3" s="344"/>
      <c r="KO3" s="344"/>
      <c r="KP3" s="344"/>
      <c r="KQ3" s="344"/>
      <c r="KR3" s="344"/>
      <c r="KS3" s="344"/>
      <c r="KT3" s="344"/>
      <c r="KU3" s="344"/>
      <c r="KV3" s="344"/>
      <c r="KW3" s="344"/>
      <c r="KX3" s="344"/>
      <c r="KY3" s="344"/>
      <c r="KZ3" s="344"/>
      <c r="LA3" s="344"/>
      <c r="LB3" s="344"/>
      <c r="LC3" s="344"/>
      <c r="LD3" s="344"/>
      <c r="LE3" s="344"/>
      <c r="LF3" s="344"/>
      <c r="LG3" s="344"/>
      <c r="LH3" s="344"/>
      <c r="LI3" s="344"/>
      <c r="LJ3" s="344"/>
      <c r="LK3" s="344"/>
      <c r="LL3" s="344"/>
      <c r="LM3" s="344"/>
      <c r="LN3" s="344"/>
      <c r="LO3" s="344"/>
      <c r="LP3" s="344"/>
      <c r="LQ3" s="344"/>
      <c r="LR3" s="344"/>
      <c r="LS3" s="344"/>
      <c r="LT3" s="344"/>
      <c r="LU3" s="344"/>
      <c r="LV3" s="344"/>
      <c r="LW3" s="344"/>
      <c r="LX3" s="344"/>
      <c r="LY3" s="344"/>
      <c r="LZ3" s="344"/>
      <c r="MA3" s="344"/>
      <c r="MB3" s="344"/>
      <c r="MC3" s="344"/>
      <c r="MD3" s="344"/>
      <c r="ME3" s="344"/>
      <c r="MF3" s="344"/>
      <c r="MG3" s="344"/>
      <c r="MH3" s="344"/>
      <c r="MI3" s="344"/>
      <c r="MJ3" s="344"/>
      <c r="MK3" s="344"/>
      <c r="ML3" s="344"/>
      <c r="MM3" s="344"/>
      <c r="MN3" s="344"/>
      <c r="MO3" s="344"/>
      <c r="MP3" s="344"/>
      <c r="MQ3" s="344"/>
      <c r="MR3" s="344"/>
      <c r="MS3" s="344"/>
      <c r="MT3" s="344"/>
      <c r="MU3" s="344"/>
      <c r="MV3" s="344"/>
      <c r="MW3" s="344"/>
      <c r="MX3" s="344"/>
      <c r="MY3" s="344"/>
      <c r="MZ3" s="344"/>
      <c r="NA3" s="344"/>
      <c r="NB3" s="344"/>
      <c r="NC3" s="344"/>
      <c r="ND3" s="344"/>
      <c r="NE3" s="344"/>
      <c r="NF3" s="344"/>
      <c r="NG3" s="344"/>
      <c r="NH3" s="344"/>
      <c r="NI3" s="344"/>
      <c r="NJ3" s="344"/>
      <c r="NK3" s="344"/>
      <c r="NL3" s="344"/>
      <c r="NM3" s="344"/>
      <c r="NN3" s="344"/>
      <c r="NO3" s="344"/>
      <c r="NP3" s="344"/>
      <c r="NQ3" s="344"/>
      <c r="NR3" s="344"/>
      <c r="NS3" s="344"/>
      <c r="NT3" s="344"/>
      <c r="NU3" s="344"/>
      <c r="NV3" s="344"/>
      <c r="NW3" s="344"/>
      <c r="NX3" s="344"/>
      <c r="NY3" s="344"/>
      <c r="NZ3" s="344"/>
      <c r="OA3" s="344"/>
      <c r="OB3" s="344"/>
      <c r="OC3" s="344"/>
      <c r="OD3" s="344"/>
      <c r="OE3" s="344"/>
      <c r="OF3" s="344"/>
      <c r="OG3" s="344"/>
      <c r="OH3" s="344"/>
      <c r="OI3" s="344"/>
      <c r="OJ3" s="344"/>
      <c r="OK3" s="344"/>
      <c r="OL3" s="344"/>
      <c r="OM3" s="344"/>
      <c r="ON3" s="344"/>
      <c r="OO3" s="344"/>
      <c r="OP3" s="344"/>
      <c r="OQ3" s="344"/>
      <c r="OR3" s="344"/>
      <c r="OS3" s="344"/>
      <c r="OT3" s="344"/>
      <c r="OU3" s="344"/>
      <c r="OV3" s="344"/>
      <c r="OW3" s="344"/>
      <c r="OX3" s="344"/>
      <c r="OY3" s="344"/>
      <c r="OZ3" s="344"/>
      <c r="PA3" s="344"/>
      <c r="PB3" s="344"/>
      <c r="PC3" s="344"/>
      <c r="PD3" s="344"/>
      <c r="PE3" s="344"/>
      <c r="PF3" s="344"/>
      <c r="PG3" s="344"/>
      <c r="PH3" s="344"/>
      <c r="PI3" s="344"/>
      <c r="PJ3" s="344"/>
      <c r="PK3" s="344"/>
      <c r="PL3" s="344"/>
      <c r="PM3" s="344"/>
      <c r="PN3" s="344"/>
      <c r="PO3" s="344"/>
      <c r="PP3" s="344"/>
      <c r="PQ3" s="344"/>
      <c r="PR3" s="344"/>
      <c r="PS3" s="344"/>
      <c r="PT3" s="344"/>
      <c r="PU3" s="344"/>
      <c r="PV3" s="344"/>
      <c r="PW3" s="344"/>
      <c r="PX3" s="344"/>
      <c r="PY3" s="344"/>
      <c r="PZ3" s="344"/>
      <c r="QA3" s="344"/>
      <c r="QB3" s="344"/>
      <c r="QC3" s="344"/>
      <c r="QD3" s="344"/>
      <c r="QE3" s="344"/>
      <c r="QF3" s="344"/>
      <c r="QG3" s="344"/>
      <c r="QH3" s="344"/>
      <c r="QI3" s="344"/>
      <c r="QJ3" s="344"/>
      <c r="QK3" s="344"/>
      <c r="QL3" s="344"/>
      <c r="QM3" s="344"/>
      <c r="QN3" s="344"/>
      <c r="QO3" s="344"/>
      <c r="QP3" s="344"/>
      <c r="QQ3" s="344"/>
      <c r="QR3" s="344"/>
      <c r="QS3" s="344"/>
      <c r="QT3" s="344"/>
      <c r="QU3" s="344"/>
      <c r="QV3" s="344"/>
      <c r="QW3" s="344"/>
      <c r="QX3" s="344"/>
      <c r="QY3" s="344"/>
      <c r="QZ3" s="344"/>
      <c r="RA3" s="344"/>
      <c r="RB3" s="344"/>
      <c r="RC3" s="344"/>
      <c r="RD3" s="344"/>
      <c r="RE3" s="344"/>
      <c r="RF3" s="344"/>
      <c r="RG3" s="344"/>
      <c r="RH3" s="344"/>
      <c r="RI3" s="344"/>
      <c r="RJ3" s="344"/>
      <c r="RK3" s="344"/>
      <c r="RL3" s="344"/>
      <c r="RM3" s="344"/>
      <c r="RN3" s="344"/>
      <c r="RO3" s="344"/>
      <c r="RP3" s="344"/>
      <c r="RQ3" s="344"/>
      <c r="RR3" s="344"/>
      <c r="RS3" s="344"/>
      <c r="RT3" s="344"/>
      <c r="RU3" s="344"/>
      <c r="RV3" s="344"/>
      <c r="RW3" s="344"/>
      <c r="RX3" s="344"/>
      <c r="RY3" s="344"/>
      <c r="RZ3" s="344"/>
      <c r="SA3" s="344"/>
      <c r="SB3" s="344"/>
      <c r="SC3" s="344"/>
      <c r="SD3" s="344"/>
      <c r="SE3" s="344"/>
      <c r="SF3" s="344"/>
      <c r="SG3" s="344"/>
      <c r="SH3" s="344"/>
      <c r="SI3" s="344"/>
      <c r="SJ3" s="344"/>
      <c r="SK3" s="344"/>
      <c r="SL3" s="344"/>
      <c r="SM3" s="344"/>
      <c r="SN3" s="344"/>
      <c r="SO3" s="344"/>
      <c r="SP3" s="344"/>
      <c r="SQ3" s="344"/>
      <c r="SR3" s="344"/>
      <c r="SS3" s="344"/>
      <c r="ST3" s="344"/>
      <c r="SU3" s="344"/>
      <c r="SV3" s="344"/>
      <c r="SW3" s="344"/>
      <c r="SX3" s="344"/>
      <c r="SY3" s="344"/>
      <c r="SZ3" s="344"/>
      <c r="TA3" s="344"/>
      <c r="TB3" s="344"/>
      <c r="TC3" s="344"/>
      <c r="TD3" s="344"/>
      <c r="TE3" s="344"/>
      <c r="TF3" s="344"/>
      <c r="TG3" s="344"/>
      <c r="TH3" s="344"/>
      <c r="TI3" s="344"/>
      <c r="TJ3" s="344"/>
      <c r="TK3" s="344"/>
      <c r="TL3" s="344"/>
      <c r="TM3" s="344"/>
      <c r="TN3" s="344"/>
      <c r="TO3" s="344"/>
      <c r="TP3" s="344"/>
      <c r="TQ3" s="344"/>
      <c r="TR3" s="344"/>
      <c r="TS3" s="344"/>
      <c r="TT3" s="344"/>
      <c r="TU3" s="344"/>
      <c r="TV3" s="344"/>
      <c r="TW3" s="344"/>
      <c r="TX3" s="344"/>
      <c r="TY3" s="344"/>
      <c r="TZ3" s="344"/>
      <c r="UA3" s="344"/>
      <c r="UB3" s="344"/>
      <c r="UC3" s="344"/>
      <c r="UD3" s="344"/>
      <c r="UE3" s="344"/>
      <c r="UF3" s="344"/>
      <c r="UG3" s="344"/>
      <c r="UH3" s="344"/>
      <c r="UI3" s="344"/>
      <c r="UJ3" s="344"/>
      <c r="UK3" s="344"/>
      <c r="UL3" s="344"/>
      <c r="UM3" s="344"/>
      <c r="UN3" s="344"/>
      <c r="UO3" s="344"/>
      <c r="UP3" s="344"/>
      <c r="UQ3" s="344"/>
      <c r="UR3" s="344"/>
      <c r="US3" s="344"/>
      <c r="UT3" s="344"/>
      <c r="UU3" s="344"/>
      <c r="UV3" s="344"/>
      <c r="UW3" s="344"/>
      <c r="UX3" s="344"/>
      <c r="UY3" s="344"/>
      <c r="UZ3" s="344"/>
      <c r="VA3" s="344"/>
      <c r="VB3" s="344"/>
      <c r="VC3" s="344"/>
      <c r="VD3" s="344"/>
      <c r="VE3" s="344"/>
      <c r="VF3" s="344"/>
      <c r="VG3" s="344"/>
      <c r="VH3" s="344"/>
      <c r="VI3" s="344"/>
      <c r="VJ3" s="344"/>
      <c r="VK3" s="344"/>
      <c r="VL3" s="344"/>
      <c r="VM3" s="344"/>
      <c r="VN3" s="344"/>
      <c r="VO3" s="344"/>
      <c r="VP3" s="344"/>
      <c r="VQ3" s="344"/>
      <c r="VR3" s="344"/>
      <c r="VS3" s="344"/>
      <c r="VT3" s="344"/>
      <c r="VU3" s="344"/>
      <c r="VV3" s="344"/>
      <c r="VW3" s="344"/>
      <c r="VX3" s="344"/>
      <c r="VY3" s="344"/>
      <c r="VZ3" s="344"/>
      <c r="WA3" s="344"/>
      <c r="WB3" s="344"/>
      <c r="WC3" s="344"/>
      <c r="WD3" s="344"/>
      <c r="WE3" s="344"/>
      <c r="WF3" s="344"/>
      <c r="WG3" s="344"/>
      <c r="WH3" s="344"/>
      <c r="WI3" s="344"/>
      <c r="WJ3" s="344"/>
      <c r="WK3" s="344"/>
      <c r="WL3" s="344"/>
      <c r="WM3" s="344"/>
      <c r="WN3" s="344"/>
      <c r="WO3" s="344"/>
      <c r="WP3" s="344"/>
      <c r="WQ3" s="344"/>
      <c r="WR3" s="344"/>
      <c r="WS3" s="344"/>
      <c r="WT3" s="344"/>
      <c r="WU3" s="344"/>
      <c r="WV3" s="344"/>
      <c r="WW3" s="344"/>
      <c r="WX3" s="344"/>
      <c r="WY3" s="344"/>
      <c r="WZ3" s="344"/>
      <c r="XA3" s="344"/>
      <c r="XB3" s="344"/>
      <c r="XC3" s="344"/>
      <c r="XD3" s="344"/>
      <c r="XE3" s="344"/>
      <c r="XF3" s="344"/>
      <c r="XG3" s="344"/>
      <c r="XH3" s="344"/>
      <c r="XI3" s="344"/>
      <c r="XJ3" s="344"/>
      <c r="XK3" s="344"/>
      <c r="XL3" s="344"/>
      <c r="XM3" s="344"/>
      <c r="XN3" s="344"/>
      <c r="XO3" s="344"/>
      <c r="XP3" s="344"/>
      <c r="XQ3" s="344"/>
      <c r="XR3" s="344"/>
      <c r="XS3" s="344"/>
      <c r="XT3" s="344"/>
      <c r="XU3" s="344"/>
      <c r="XV3" s="344"/>
      <c r="XW3" s="344"/>
      <c r="XX3" s="344"/>
      <c r="XY3" s="344"/>
      <c r="XZ3" s="344"/>
      <c r="YA3" s="344"/>
      <c r="YB3" s="344"/>
      <c r="YC3" s="344"/>
      <c r="YD3" s="344"/>
      <c r="YE3" s="344"/>
      <c r="YF3" s="344"/>
      <c r="YG3" s="344"/>
      <c r="YH3" s="344"/>
      <c r="YI3" s="344"/>
      <c r="YJ3" s="344"/>
      <c r="YK3" s="344"/>
      <c r="YL3" s="344"/>
      <c r="YM3" s="344"/>
      <c r="YN3" s="344"/>
      <c r="YO3" s="344"/>
      <c r="YP3" s="344"/>
      <c r="YQ3" s="344"/>
      <c r="YR3" s="344"/>
      <c r="YS3" s="344"/>
      <c r="YT3" s="344"/>
      <c r="YU3" s="344"/>
      <c r="YV3" s="344"/>
      <c r="YW3" s="344"/>
      <c r="YX3" s="344"/>
      <c r="YY3" s="344"/>
      <c r="YZ3" s="344"/>
      <c r="ZA3" s="344"/>
      <c r="ZB3" s="344"/>
      <c r="ZC3" s="344"/>
      <c r="ZD3" s="344"/>
      <c r="ZE3" s="344"/>
      <c r="ZF3" s="344"/>
      <c r="ZG3" s="344"/>
      <c r="ZH3" s="344"/>
      <c r="ZI3" s="344"/>
      <c r="ZJ3" s="344"/>
      <c r="ZK3" s="344"/>
      <c r="ZL3" s="344"/>
      <c r="ZM3" s="344"/>
      <c r="ZN3" s="344"/>
      <c r="ZO3" s="344"/>
      <c r="ZP3" s="344"/>
      <c r="ZQ3" s="344"/>
      <c r="ZR3" s="344"/>
      <c r="ZS3" s="344"/>
      <c r="ZT3" s="344"/>
      <c r="ZU3" s="344"/>
      <c r="ZV3" s="344"/>
      <c r="ZW3" s="344"/>
      <c r="ZX3" s="344"/>
      <c r="ZY3" s="344"/>
      <c r="ZZ3" s="344"/>
      <c r="AAA3" s="344"/>
      <c r="AAB3" s="344"/>
      <c r="AAC3" s="344"/>
      <c r="AAD3" s="344"/>
      <c r="AAE3" s="344"/>
      <c r="AAF3" s="344"/>
      <c r="AAG3" s="344"/>
      <c r="AAH3" s="344"/>
      <c r="AAI3" s="344"/>
      <c r="AAJ3" s="344"/>
      <c r="AAK3" s="344"/>
      <c r="AAL3" s="344"/>
      <c r="AAM3" s="344"/>
      <c r="AAN3" s="344"/>
      <c r="AAO3" s="344"/>
      <c r="AAP3" s="344"/>
      <c r="AAQ3" s="344"/>
      <c r="AAR3" s="344"/>
      <c r="AAS3" s="344"/>
      <c r="AAT3" s="344"/>
      <c r="AAU3" s="344"/>
      <c r="AAV3" s="344"/>
      <c r="AAW3" s="344"/>
      <c r="AAX3" s="344"/>
      <c r="AAY3" s="344"/>
      <c r="AAZ3" s="344"/>
      <c r="ABA3" s="344"/>
      <c r="ABB3" s="344"/>
      <c r="ABC3" s="344"/>
      <c r="ABD3" s="344"/>
      <c r="ABE3" s="344"/>
      <c r="ABF3" s="344"/>
      <c r="ABG3" s="344"/>
      <c r="ABH3" s="344"/>
      <c r="ABI3" s="344"/>
      <c r="ABJ3" s="344"/>
      <c r="ABK3" s="344"/>
      <c r="ABL3" s="344"/>
      <c r="ABM3" s="344"/>
      <c r="ABN3" s="344"/>
      <c r="ABO3" s="344"/>
      <c r="ABP3" s="344"/>
      <c r="ABQ3" s="344"/>
      <c r="ABR3" s="344"/>
      <c r="ABS3" s="344"/>
      <c r="ABT3" s="344"/>
      <c r="ABU3" s="344"/>
      <c r="ABV3" s="344"/>
      <c r="ABW3" s="344"/>
      <c r="ABX3" s="344"/>
      <c r="ABY3" s="344"/>
      <c r="ABZ3" s="344"/>
      <c r="ACA3" s="344"/>
      <c r="ACB3" s="344"/>
      <c r="ACC3" s="344"/>
      <c r="ACD3" s="344"/>
      <c r="ACE3" s="344"/>
      <c r="ACF3" s="344"/>
      <c r="ACG3" s="344"/>
      <c r="ACH3" s="344"/>
      <c r="ACI3" s="344"/>
      <c r="ACJ3" s="344"/>
      <c r="ACK3" s="344"/>
      <c r="ACL3" s="344"/>
      <c r="ACM3" s="344"/>
      <c r="ACN3" s="344"/>
      <c r="ACO3" s="344"/>
      <c r="ACP3" s="344"/>
      <c r="ACQ3" s="344"/>
      <c r="ACR3" s="344"/>
      <c r="ACS3" s="344"/>
      <c r="ACT3" s="344"/>
      <c r="ACU3" s="344"/>
      <c r="ACV3" s="344"/>
      <c r="ACW3" s="344"/>
      <c r="ACX3" s="344"/>
      <c r="ACY3" s="344"/>
      <c r="ACZ3" s="344"/>
      <c r="ADA3" s="344"/>
      <c r="ADB3" s="344"/>
      <c r="ADC3" s="344"/>
      <c r="ADD3" s="344"/>
      <c r="ADE3" s="344"/>
      <c r="ADF3" s="344"/>
      <c r="ADG3" s="344"/>
      <c r="ADH3" s="344"/>
      <c r="ADI3" s="344"/>
      <c r="ADJ3" s="344"/>
      <c r="ADK3" s="344"/>
      <c r="ADL3" s="344"/>
      <c r="ADM3" s="344"/>
      <c r="ADN3" s="344"/>
      <c r="ADO3" s="344"/>
      <c r="ADP3" s="344"/>
      <c r="ADQ3" s="344"/>
      <c r="ADR3" s="344"/>
      <c r="ADS3" s="344"/>
      <c r="ADT3" s="344"/>
      <c r="ADU3" s="344"/>
      <c r="ADV3" s="344"/>
      <c r="ADW3" s="344"/>
      <c r="ADX3" s="344"/>
      <c r="ADY3" s="344"/>
      <c r="ADZ3" s="344"/>
      <c r="AEA3" s="344"/>
      <c r="AEB3" s="344"/>
      <c r="AEC3" s="344"/>
      <c r="AED3" s="344"/>
      <c r="AEE3" s="344"/>
      <c r="AEF3" s="344"/>
      <c r="AEG3" s="344"/>
      <c r="AEH3" s="344"/>
      <c r="AEI3" s="344"/>
      <c r="AEJ3" s="344"/>
      <c r="AEK3" s="344"/>
      <c r="AEL3" s="344"/>
      <c r="AEM3" s="344"/>
      <c r="AEN3" s="344"/>
      <c r="AEO3" s="344"/>
      <c r="AEP3" s="344"/>
      <c r="AEQ3" s="344"/>
      <c r="AER3" s="344"/>
      <c r="AES3" s="344"/>
      <c r="AET3" s="344"/>
      <c r="AEU3" s="344"/>
      <c r="AEV3" s="344"/>
      <c r="AEW3" s="344"/>
      <c r="AEX3" s="344"/>
      <c r="AEY3" s="344"/>
      <c r="AEZ3" s="344"/>
      <c r="AFA3" s="344"/>
      <c r="AFB3" s="344"/>
      <c r="AFC3" s="344"/>
      <c r="AFD3" s="344"/>
      <c r="AFE3" s="344"/>
      <c r="AFF3" s="344"/>
      <c r="AFG3" s="344"/>
      <c r="AFH3" s="344"/>
      <c r="AFI3" s="344"/>
      <c r="AFJ3" s="344"/>
      <c r="AFK3" s="344"/>
      <c r="AFL3" s="344"/>
      <c r="AFM3" s="344"/>
      <c r="AFN3" s="344"/>
      <c r="AFO3" s="344"/>
      <c r="AFP3" s="344"/>
      <c r="AFQ3" s="344"/>
      <c r="AFR3" s="344"/>
      <c r="AFS3" s="344"/>
      <c r="AFT3" s="344"/>
      <c r="AFU3" s="344"/>
      <c r="AFV3" s="344"/>
      <c r="AFW3" s="344"/>
      <c r="AFX3" s="344"/>
      <c r="AFY3" s="344"/>
      <c r="AFZ3" s="344"/>
      <c r="AGA3" s="344"/>
      <c r="AGB3" s="344"/>
      <c r="AGC3" s="344"/>
      <c r="AGD3" s="344"/>
      <c r="AGE3" s="344"/>
      <c r="AGF3" s="344"/>
      <c r="AGG3" s="344"/>
      <c r="AGH3" s="344"/>
      <c r="AGI3" s="344"/>
      <c r="AGJ3" s="344"/>
      <c r="AGK3" s="344"/>
      <c r="AGL3" s="344"/>
      <c r="AGM3" s="344"/>
      <c r="AGN3" s="344"/>
      <c r="AGO3" s="344"/>
      <c r="AGP3" s="344"/>
      <c r="AGQ3" s="344"/>
      <c r="AGR3" s="344"/>
      <c r="AGS3" s="344"/>
      <c r="AGT3" s="344"/>
      <c r="AGU3" s="344"/>
      <c r="AGV3" s="344"/>
      <c r="AGW3" s="344"/>
      <c r="AGX3" s="344"/>
      <c r="AGY3" s="344"/>
      <c r="AGZ3" s="344"/>
      <c r="AHA3" s="344"/>
      <c r="AHB3" s="344"/>
      <c r="AHC3" s="344"/>
      <c r="AHD3" s="344"/>
      <c r="AHE3" s="344"/>
      <c r="AHF3" s="344"/>
      <c r="AHG3" s="344"/>
      <c r="AHH3" s="344"/>
      <c r="AHI3" s="344"/>
      <c r="AHJ3" s="344"/>
      <c r="AHK3" s="344"/>
      <c r="AHL3" s="344"/>
      <c r="AHM3" s="344"/>
      <c r="AHN3" s="344"/>
      <c r="AHO3" s="344"/>
      <c r="AHP3" s="344"/>
      <c r="AHQ3" s="344"/>
      <c r="AHR3" s="344"/>
      <c r="AHS3" s="344"/>
      <c r="AHT3" s="344"/>
      <c r="AHU3" s="344"/>
      <c r="AHV3" s="344"/>
      <c r="AHW3" s="344"/>
      <c r="AHX3" s="344"/>
      <c r="AHY3" s="344"/>
      <c r="AHZ3" s="344"/>
      <c r="AIA3" s="344"/>
      <c r="AIB3" s="344"/>
      <c r="AIC3" s="344"/>
      <c r="AID3" s="344"/>
      <c r="AIE3" s="344"/>
      <c r="AIF3" s="344"/>
      <c r="AIG3" s="344"/>
      <c r="AIH3" s="344"/>
      <c r="AII3" s="344"/>
      <c r="AIJ3" s="344"/>
      <c r="AIK3" s="344"/>
      <c r="AIL3" s="344"/>
      <c r="AIM3" s="344"/>
      <c r="AIN3" s="344"/>
      <c r="AIO3" s="344"/>
      <c r="AIP3" s="344"/>
      <c r="AIQ3" s="344"/>
      <c r="AIR3" s="344"/>
      <c r="AIS3" s="344"/>
      <c r="AIT3" s="344"/>
      <c r="AIU3" s="344"/>
      <c r="AIV3" s="344"/>
      <c r="AIW3" s="344"/>
      <c r="AIX3" s="344"/>
      <c r="AIY3" s="344"/>
      <c r="AIZ3" s="344"/>
      <c r="AJA3" s="344"/>
      <c r="AJB3" s="344"/>
      <c r="AJC3" s="344"/>
      <c r="AJD3" s="344"/>
      <c r="AJE3" s="344"/>
      <c r="AJF3" s="344"/>
      <c r="AJG3" s="344"/>
      <c r="AJH3" s="344"/>
      <c r="AJI3" s="344"/>
      <c r="AJJ3" s="344"/>
      <c r="AJK3" s="344"/>
      <c r="AJL3" s="344"/>
      <c r="AJM3" s="344"/>
      <c r="AJN3" s="344"/>
      <c r="AJO3" s="344"/>
      <c r="AJP3" s="344"/>
      <c r="AJQ3" s="344"/>
      <c r="AJR3" s="344"/>
      <c r="AJS3" s="344"/>
      <c r="AJT3" s="344"/>
      <c r="AJU3" s="344"/>
      <c r="AJV3" s="344"/>
      <c r="AJW3" s="344"/>
      <c r="AJX3" s="344"/>
      <c r="AJY3" s="344"/>
      <c r="AJZ3" s="344"/>
      <c r="AKA3" s="344"/>
      <c r="AKB3" s="344"/>
      <c r="AKC3" s="344"/>
      <c r="AKD3" s="344"/>
      <c r="AKE3" s="344"/>
      <c r="AKF3" s="344"/>
      <c r="AKG3" s="344"/>
      <c r="AKH3" s="344"/>
      <c r="AKI3" s="344"/>
      <c r="AKJ3" s="344"/>
      <c r="AKK3" s="344"/>
      <c r="AKL3" s="344"/>
      <c r="AKM3" s="344"/>
      <c r="AKN3" s="344"/>
      <c r="AKO3" s="344"/>
      <c r="AKP3" s="344"/>
      <c r="AKQ3" s="344"/>
      <c r="AKR3" s="344"/>
      <c r="AKS3" s="344"/>
      <c r="AKT3" s="344"/>
      <c r="AKU3" s="344"/>
      <c r="AKV3" s="344"/>
      <c r="AKW3" s="344"/>
      <c r="AKX3" s="344"/>
      <c r="AKY3" s="344"/>
      <c r="AKZ3" s="344"/>
      <c r="ALA3" s="344"/>
      <c r="ALB3" s="344"/>
      <c r="ALC3" s="344"/>
      <c r="ALD3" s="344"/>
      <c r="ALE3" s="344"/>
      <c r="ALF3" s="344"/>
      <c r="ALG3" s="344"/>
      <c r="ALH3" s="344"/>
      <c r="ALI3" s="344"/>
      <c r="ALJ3" s="344"/>
      <c r="ALK3" s="344"/>
      <c r="ALL3" s="344"/>
      <c r="ALM3" s="344"/>
      <c r="ALN3" s="344"/>
      <c r="ALO3" s="344"/>
      <c r="ALP3" s="344"/>
      <c r="ALQ3" s="344"/>
      <c r="ALR3" s="344"/>
      <c r="ALS3" s="344"/>
      <c r="ALT3" s="344"/>
      <c r="ALU3" s="344"/>
      <c r="ALV3" s="344"/>
      <c r="ALW3" s="344"/>
      <c r="ALX3" s="344"/>
      <c r="ALY3" s="344"/>
      <c r="ALZ3" s="344"/>
      <c r="AMA3" s="344"/>
      <c r="AMB3" s="344"/>
      <c r="AMC3" s="344"/>
      <c r="AMD3" s="344"/>
      <c r="AME3" s="344"/>
      <c r="AMF3" s="344"/>
      <c r="AMG3" s="344"/>
      <c r="AMH3" s="344"/>
      <c r="AMI3" s="344"/>
      <c r="AMJ3" s="344"/>
      <c r="AMK3" s="344"/>
      <c r="AML3" s="344"/>
      <c r="AMM3" s="344"/>
      <c r="AMN3" s="344"/>
      <c r="AMO3" s="344"/>
      <c r="AMP3" s="344"/>
      <c r="AMQ3" s="344"/>
      <c r="AMR3" s="344"/>
      <c r="AMS3" s="344"/>
      <c r="AMT3" s="344"/>
      <c r="AMU3" s="344"/>
      <c r="AMV3" s="344"/>
      <c r="AMW3" s="344"/>
      <c r="AMX3" s="344"/>
      <c r="AMY3" s="344"/>
      <c r="AMZ3" s="344"/>
      <c r="ANA3" s="344"/>
      <c r="ANB3" s="344"/>
      <c r="ANC3" s="344"/>
      <c r="AND3" s="344"/>
      <c r="ANE3" s="344"/>
      <c r="ANF3" s="344"/>
      <c r="ANG3" s="344"/>
      <c r="ANH3" s="344"/>
      <c r="ANI3" s="344"/>
      <c r="ANJ3" s="344"/>
      <c r="ANK3" s="344"/>
      <c r="ANL3" s="344"/>
      <c r="ANM3" s="344"/>
      <c r="ANN3" s="344"/>
      <c r="ANO3" s="344"/>
      <c r="ANP3" s="344"/>
      <c r="ANQ3" s="344"/>
      <c r="ANR3" s="344"/>
      <c r="ANS3" s="344"/>
      <c r="ANT3" s="344"/>
      <c r="ANU3" s="344"/>
      <c r="ANV3" s="344"/>
      <c r="ANW3" s="344"/>
      <c r="ANX3" s="344"/>
      <c r="ANY3" s="344"/>
      <c r="ANZ3" s="344"/>
      <c r="AOA3" s="344"/>
      <c r="AOB3" s="344"/>
      <c r="AOC3" s="344"/>
      <c r="AOD3" s="344"/>
      <c r="AOE3" s="344"/>
      <c r="AOF3" s="344"/>
      <c r="AOG3" s="344"/>
      <c r="AOH3" s="344"/>
      <c r="AOI3" s="344"/>
      <c r="AOJ3" s="344"/>
      <c r="AOK3" s="344"/>
      <c r="AOL3" s="344"/>
      <c r="AOM3" s="344"/>
      <c r="AON3" s="344"/>
      <c r="AOO3" s="344"/>
      <c r="AOP3" s="344"/>
      <c r="AOQ3" s="344"/>
      <c r="AOR3" s="344"/>
      <c r="AOS3" s="344"/>
      <c r="AOT3" s="344"/>
      <c r="AOU3" s="344"/>
      <c r="AOV3" s="344"/>
      <c r="AOW3" s="344"/>
      <c r="AOX3" s="344"/>
      <c r="AOY3" s="344"/>
      <c r="AOZ3" s="344"/>
      <c r="APA3" s="344"/>
      <c r="APB3" s="344"/>
      <c r="APC3" s="344"/>
      <c r="APD3" s="344"/>
      <c r="APE3" s="344"/>
      <c r="APF3" s="344"/>
      <c r="APG3" s="344"/>
      <c r="APH3" s="344"/>
      <c r="API3" s="344"/>
      <c r="APJ3" s="344"/>
      <c r="APK3" s="344"/>
      <c r="APL3" s="344"/>
      <c r="APM3" s="344"/>
      <c r="APN3" s="344"/>
      <c r="APO3" s="344"/>
      <c r="APP3" s="344"/>
      <c r="APQ3" s="344"/>
      <c r="APR3" s="344"/>
      <c r="APS3" s="344"/>
      <c r="APT3" s="344"/>
      <c r="APU3" s="344"/>
      <c r="APV3" s="344"/>
      <c r="APW3" s="344"/>
      <c r="APX3" s="344"/>
      <c r="APY3" s="344"/>
      <c r="APZ3" s="344"/>
      <c r="AQA3" s="344"/>
      <c r="AQB3" s="344"/>
      <c r="AQC3" s="344"/>
      <c r="AQD3" s="344"/>
      <c r="AQE3" s="344"/>
      <c r="AQF3" s="344"/>
      <c r="AQG3" s="344"/>
      <c r="AQH3" s="344"/>
      <c r="AQI3" s="344"/>
      <c r="AQJ3" s="344"/>
      <c r="AQK3" s="344"/>
      <c r="AQL3" s="344"/>
      <c r="AQM3" s="344"/>
      <c r="AQN3" s="344"/>
      <c r="AQO3" s="344"/>
      <c r="AQP3" s="344"/>
      <c r="AQQ3" s="344"/>
      <c r="AQR3" s="344"/>
      <c r="AQS3" s="344"/>
      <c r="AQT3" s="344"/>
      <c r="AQU3" s="344"/>
      <c r="AQV3" s="344"/>
      <c r="AQW3" s="344"/>
      <c r="AQX3" s="344"/>
      <c r="AQY3" s="344"/>
      <c r="AQZ3" s="344"/>
      <c r="ARA3" s="344"/>
      <c r="ARB3" s="344"/>
      <c r="ARC3" s="344"/>
      <c r="ARD3" s="344"/>
      <c r="ARE3" s="344"/>
      <c r="ARF3" s="344"/>
      <c r="ARG3" s="344"/>
      <c r="ARH3" s="344"/>
      <c r="ARI3" s="344"/>
      <c r="ARJ3" s="344"/>
      <c r="ARK3" s="344"/>
      <c r="ARL3" s="344"/>
      <c r="ARM3" s="344"/>
      <c r="ARN3" s="344"/>
      <c r="ARO3" s="344"/>
      <c r="ARP3" s="344"/>
      <c r="ARQ3" s="344"/>
      <c r="ARR3" s="344"/>
      <c r="ARS3" s="344"/>
      <c r="ART3" s="344"/>
      <c r="ARU3" s="344"/>
      <c r="ARV3" s="344"/>
      <c r="ARW3" s="344"/>
      <c r="ARX3" s="344"/>
      <c r="ARY3" s="344"/>
      <c r="ARZ3" s="344"/>
      <c r="ASA3" s="344"/>
      <c r="ASB3" s="344"/>
      <c r="ASC3" s="344"/>
      <c r="ASD3" s="344"/>
      <c r="ASE3" s="344"/>
      <c r="ASF3" s="344"/>
      <c r="ASG3" s="344"/>
      <c r="ASH3" s="344"/>
      <c r="ASI3" s="344"/>
      <c r="ASJ3" s="344"/>
      <c r="ASK3" s="344"/>
      <c r="ASL3" s="344"/>
      <c r="ASM3" s="344"/>
      <c r="ASN3" s="344"/>
      <c r="ASO3" s="344"/>
      <c r="ASP3" s="344"/>
      <c r="ASQ3" s="344"/>
      <c r="ASR3" s="344"/>
      <c r="ASS3" s="344"/>
      <c r="AST3" s="344"/>
      <c r="ASU3" s="344"/>
      <c r="ASV3" s="344"/>
      <c r="ASW3" s="344"/>
      <c r="ASX3" s="344"/>
      <c r="ASY3" s="344"/>
      <c r="ASZ3" s="344"/>
      <c r="ATA3" s="344"/>
      <c r="ATB3" s="344"/>
      <c r="ATC3" s="344"/>
      <c r="ATD3" s="344"/>
      <c r="ATE3" s="344"/>
      <c r="ATF3" s="344"/>
      <c r="ATG3" s="344"/>
      <c r="ATH3" s="344"/>
      <c r="ATI3" s="344"/>
      <c r="ATJ3" s="344"/>
      <c r="ATK3" s="344"/>
      <c r="ATL3" s="344"/>
      <c r="ATM3" s="344"/>
      <c r="ATN3" s="344"/>
      <c r="ATO3" s="344"/>
      <c r="ATP3" s="344"/>
      <c r="ATQ3" s="344"/>
      <c r="ATR3" s="344"/>
      <c r="ATS3" s="344"/>
      <c r="ATT3" s="344"/>
      <c r="ATU3" s="344"/>
      <c r="ATV3" s="344"/>
      <c r="ATW3" s="344"/>
      <c r="ATX3" s="344"/>
      <c r="ATY3" s="344"/>
      <c r="ATZ3" s="344"/>
      <c r="AUA3" s="344"/>
      <c r="AUB3" s="344"/>
      <c r="AUC3" s="344"/>
      <c r="AUD3" s="344"/>
      <c r="AUE3" s="344"/>
      <c r="AUF3" s="344"/>
      <c r="AUG3" s="344"/>
      <c r="AUH3" s="344"/>
      <c r="AUI3" s="344"/>
      <c r="AUJ3" s="344"/>
      <c r="AUK3" s="344"/>
      <c r="AUL3" s="344"/>
      <c r="AUM3" s="344"/>
      <c r="AUN3" s="344"/>
      <c r="AUO3" s="344"/>
      <c r="AUP3" s="344"/>
      <c r="AUQ3" s="344"/>
      <c r="AUR3" s="344"/>
      <c r="AUS3" s="344"/>
      <c r="AUT3" s="344"/>
      <c r="AUU3" s="344"/>
      <c r="AUV3" s="344"/>
      <c r="AUW3" s="344"/>
      <c r="AUX3" s="344"/>
      <c r="AUY3" s="344"/>
      <c r="AUZ3" s="344"/>
      <c r="AVA3" s="344"/>
      <c r="AVB3" s="344"/>
      <c r="AVC3" s="344"/>
      <c r="AVD3" s="344"/>
      <c r="AVE3" s="344"/>
      <c r="AVF3" s="344"/>
      <c r="AVG3" s="344"/>
      <c r="AVH3" s="344"/>
      <c r="AVI3" s="344"/>
      <c r="AVJ3" s="344"/>
      <c r="AVK3" s="344"/>
      <c r="AVL3" s="344"/>
      <c r="AVM3" s="344"/>
      <c r="AVN3" s="344"/>
      <c r="AVO3" s="344"/>
      <c r="AVP3" s="344"/>
      <c r="AVQ3" s="344"/>
      <c r="AVR3" s="344"/>
      <c r="AVS3" s="344"/>
      <c r="AVT3" s="344"/>
      <c r="AVU3" s="344"/>
      <c r="AVV3" s="344"/>
      <c r="AVW3" s="344"/>
      <c r="AVX3" s="344"/>
      <c r="AVY3" s="344"/>
      <c r="AVZ3" s="344"/>
      <c r="AWA3" s="344"/>
      <c r="AWB3" s="344"/>
      <c r="AWC3" s="344"/>
      <c r="AWD3" s="344"/>
      <c r="AWE3" s="344"/>
      <c r="AWF3" s="344"/>
      <c r="AWG3" s="344"/>
      <c r="AWH3" s="344"/>
      <c r="AWI3" s="344"/>
      <c r="AWJ3" s="344"/>
      <c r="AWK3" s="344"/>
      <c r="AWL3" s="344"/>
      <c r="AWM3" s="344"/>
      <c r="AWN3" s="344"/>
      <c r="AWO3" s="344"/>
      <c r="AWP3" s="344"/>
      <c r="AWQ3" s="344"/>
      <c r="AWR3" s="344"/>
      <c r="AWS3" s="344"/>
      <c r="AWT3" s="344"/>
      <c r="AWU3" s="344"/>
      <c r="AWV3" s="344"/>
      <c r="AWW3" s="344"/>
      <c r="AWX3" s="344"/>
      <c r="AWY3" s="344"/>
      <c r="AWZ3" s="344"/>
      <c r="AXA3" s="344"/>
      <c r="AXB3" s="344"/>
      <c r="AXC3" s="344"/>
      <c r="AXD3" s="344"/>
      <c r="AXE3" s="344"/>
      <c r="AXF3" s="344"/>
      <c r="AXG3" s="344"/>
      <c r="AXH3" s="344"/>
      <c r="AXI3" s="344"/>
      <c r="AXJ3" s="344"/>
      <c r="AXK3" s="344"/>
      <c r="AXL3" s="344"/>
      <c r="AXM3" s="344"/>
      <c r="AXN3" s="344"/>
      <c r="AXO3" s="344"/>
      <c r="AXP3" s="344"/>
      <c r="AXQ3" s="344"/>
      <c r="AXR3" s="344"/>
      <c r="AXS3" s="344"/>
      <c r="AXT3" s="344"/>
      <c r="AXU3" s="344"/>
      <c r="AXV3" s="344"/>
      <c r="AXW3" s="344"/>
      <c r="AXX3" s="344"/>
      <c r="AXY3" s="344"/>
      <c r="AXZ3" s="344"/>
      <c r="AYA3" s="344"/>
      <c r="AYB3" s="344"/>
      <c r="AYC3" s="344"/>
      <c r="AYD3" s="344"/>
      <c r="AYE3" s="344"/>
      <c r="AYF3" s="344"/>
      <c r="AYG3" s="344"/>
      <c r="AYH3" s="344"/>
      <c r="AYI3" s="344"/>
      <c r="AYJ3" s="344"/>
      <c r="AYK3" s="344"/>
      <c r="AYL3" s="344"/>
      <c r="AYM3" s="344"/>
      <c r="AYN3" s="344"/>
      <c r="AYO3" s="344"/>
      <c r="AYP3" s="344"/>
      <c r="AYQ3" s="344"/>
      <c r="AYR3" s="344"/>
      <c r="AYS3" s="344"/>
      <c r="AYT3" s="344"/>
      <c r="AYU3" s="344"/>
      <c r="AYV3" s="344"/>
      <c r="AYW3" s="344"/>
      <c r="AYX3" s="344"/>
      <c r="AYY3" s="344"/>
      <c r="AYZ3" s="344"/>
      <c r="AZA3" s="344"/>
      <c r="AZB3" s="344"/>
      <c r="AZC3" s="344"/>
      <c r="AZD3" s="344"/>
      <c r="AZE3" s="344"/>
      <c r="AZF3" s="344"/>
      <c r="AZG3" s="344"/>
      <c r="AZH3" s="344"/>
      <c r="AZI3" s="344"/>
      <c r="AZJ3" s="344"/>
      <c r="AZK3" s="344"/>
      <c r="AZL3" s="344"/>
      <c r="AZM3" s="344"/>
      <c r="AZN3" s="344"/>
      <c r="AZO3" s="344"/>
      <c r="AZP3" s="344"/>
      <c r="AZQ3" s="344"/>
      <c r="AZR3" s="344"/>
      <c r="AZS3" s="344"/>
      <c r="AZT3" s="344"/>
      <c r="AZU3" s="344"/>
      <c r="AZV3" s="344"/>
      <c r="AZW3" s="344"/>
      <c r="AZX3" s="344"/>
      <c r="AZY3" s="344"/>
      <c r="AZZ3" s="344"/>
      <c r="BAA3" s="344"/>
      <c r="BAB3" s="344"/>
      <c r="BAC3" s="344"/>
      <c r="BAD3" s="344"/>
      <c r="BAE3" s="344"/>
      <c r="BAF3" s="344"/>
      <c r="BAG3" s="344"/>
      <c r="BAH3" s="344"/>
      <c r="BAI3" s="344"/>
      <c r="BAJ3" s="344"/>
      <c r="BAK3" s="344"/>
      <c r="BAL3" s="344"/>
      <c r="BAM3" s="344"/>
      <c r="BAN3" s="344"/>
      <c r="BAO3" s="344"/>
      <c r="BAP3" s="344"/>
      <c r="BAQ3" s="344"/>
      <c r="BAR3" s="344"/>
      <c r="BAS3" s="344"/>
      <c r="BAT3" s="344"/>
      <c r="BAU3" s="344"/>
      <c r="BAV3" s="344"/>
      <c r="BAW3" s="344"/>
      <c r="BAX3" s="344"/>
      <c r="BAY3" s="344"/>
      <c r="BAZ3" s="344"/>
      <c r="BBA3" s="344"/>
      <c r="BBB3" s="344"/>
      <c r="BBC3" s="344"/>
      <c r="BBD3" s="344"/>
      <c r="BBE3" s="344"/>
      <c r="BBF3" s="344"/>
      <c r="BBG3" s="344"/>
      <c r="BBH3" s="344"/>
      <c r="BBI3" s="344"/>
      <c r="BBJ3" s="344"/>
      <c r="BBK3" s="344"/>
      <c r="BBL3" s="344"/>
      <c r="BBM3" s="344"/>
      <c r="BBN3" s="344"/>
      <c r="BBO3" s="344"/>
      <c r="BBP3" s="344"/>
      <c r="BBQ3" s="344"/>
      <c r="BBR3" s="344"/>
      <c r="BBS3" s="344"/>
      <c r="BBT3" s="344"/>
      <c r="BBU3" s="344"/>
      <c r="BBV3" s="344"/>
      <c r="BBW3" s="344"/>
      <c r="BBX3" s="344"/>
      <c r="BBY3" s="344"/>
      <c r="BBZ3" s="344"/>
      <c r="BCA3" s="344"/>
      <c r="BCB3" s="344"/>
      <c r="BCC3" s="344"/>
      <c r="BCD3" s="344"/>
      <c r="BCE3" s="344"/>
      <c r="BCF3" s="344"/>
      <c r="BCG3" s="344"/>
      <c r="BCH3" s="344"/>
      <c r="BCI3" s="344"/>
      <c r="BCJ3" s="344"/>
      <c r="BCK3" s="344"/>
      <c r="BCL3" s="344"/>
      <c r="BCM3" s="344"/>
      <c r="BCN3" s="344"/>
      <c r="BCO3" s="344"/>
      <c r="BCP3" s="344"/>
      <c r="BCQ3" s="344"/>
      <c r="BCR3" s="344"/>
      <c r="BCS3" s="344"/>
      <c r="BCT3" s="344"/>
      <c r="BCU3" s="344"/>
      <c r="BCV3" s="344"/>
      <c r="BCW3" s="344"/>
      <c r="BCX3" s="344"/>
      <c r="BCY3" s="344"/>
      <c r="BCZ3" s="344"/>
      <c r="BDA3" s="344"/>
      <c r="BDB3" s="344"/>
      <c r="BDC3" s="344"/>
      <c r="BDD3" s="344"/>
      <c r="BDE3" s="344"/>
      <c r="BDF3" s="344"/>
      <c r="BDG3" s="344"/>
      <c r="BDH3" s="344"/>
      <c r="BDI3" s="344"/>
      <c r="BDJ3" s="344"/>
      <c r="BDK3" s="344"/>
      <c r="BDL3" s="344"/>
      <c r="BDM3" s="344"/>
      <c r="BDN3" s="344"/>
      <c r="BDO3" s="344"/>
      <c r="BDP3" s="344"/>
      <c r="BDQ3" s="344"/>
      <c r="BDR3" s="344"/>
      <c r="BDS3" s="344"/>
      <c r="BDT3" s="344"/>
      <c r="BDU3" s="344"/>
      <c r="BDV3" s="344"/>
      <c r="BDW3" s="344"/>
      <c r="BDX3" s="344"/>
      <c r="BDY3" s="344"/>
      <c r="BDZ3" s="344"/>
      <c r="BEA3" s="344"/>
      <c r="BEB3" s="344"/>
      <c r="BEC3" s="344"/>
      <c r="BED3" s="344"/>
      <c r="BEE3" s="344"/>
      <c r="BEF3" s="344"/>
      <c r="BEG3" s="344"/>
      <c r="BEH3" s="344"/>
      <c r="BEI3" s="344"/>
      <c r="BEJ3" s="344"/>
      <c r="BEK3" s="344"/>
      <c r="BEL3" s="344"/>
      <c r="BEM3" s="344"/>
      <c r="BEN3" s="344"/>
      <c r="BEO3" s="344"/>
      <c r="BEP3" s="344"/>
      <c r="BEQ3" s="344"/>
      <c r="BER3" s="344"/>
      <c r="BES3" s="344"/>
      <c r="BET3" s="344"/>
      <c r="BEU3" s="344"/>
      <c r="BEV3" s="344"/>
      <c r="BEW3" s="344"/>
      <c r="BEX3" s="344"/>
      <c r="BEY3" s="344"/>
      <c r="BEZ3" s="344"/>
      <c r="BFA3" s="344"/>
      <c r="BFB3" s="344"/>
      <c r="BFC3" s="344"/>
      <c r="BFD3" s="344"/>
      <c r="BFE3" s="344"/>
      <c r="BFF3" s="344"/>
      <c r="BFG3" s="344"/>
      <c r="BFH3" s="344"/>
      <c r="BFI3" s="344"/>
      <c r="BFJ3" s="344"/>
      <c r="BFK3" s="344"/>
      <c r="BFL3" s="344"/>
      <c r="BFM3" s="344"/>
      <c r="BFN3" s="344"/>
      <c r="BFO3" s="344"/>
      <c r="BFP3" s="344"/>
      <c r="BFQ3" s="344"/>
      <c r="BFR3" s="344"/>
      <c r="BFS3" s="344"/>
      <c r="BFT3" s="344"/>
      <c r="BFU3" s="344"/>
      <c r="BFV3" s="344"/>
      <c r="BFW3" s="344"/>
      <c r="BFX3" s="344"/>
      <c r="BFY3" s="344"/>
      <c r="BFZ3" s="344"/>
      <c r="BGA3" s="344"/>
      <c r="BGB3" s="344"/>
      <c r="BGC3" s="344"/>
      <c r="BGD3" s="344"/>
      <c r="BGE3" s="344"/>
      <c r="BGF3" s="344"/>
      <c r="BGG3" s="344"/>
      <c r="BGH3" s="344"/>
      <c r="BGI3" s="344"/>
      <c r="BGJ3" s="344"/>
      <c r="BGK3" s="344"/>
      <c r="BGL3" s="344"/>
      <c r="BGM3" s="344"/>
      <c r="BGN3" s="344"/>
      <c r="BGO3" s="344"/>
      <c r="BGP3" s="344"/>
      <c r="BGQ3" s="344"/>
      <c r="BGR3" s="344"/>
      <c r="BGS3" s="344"/>
      <c r="BGT3" s="344"/>
      <c r="BGU3" s="344"/>
      <c r="BGV3" s="344"/>
      <c r="BGW3" s="344"/>
      <c r="BGX3" s="344"/>
      <c r="BGY3" s="344"/>
      <c r="BGZ3" s="344"/>
      <c r="BHA3" s="344"/>
      <c r="BHB3" s="344"/>
      <c r="BHC3" s="344"/>
      <c r="BHD3" s="344"/>
      <c r="BHE3" s="344"/>
      <c r="BHF3" s="344"/>
      <c r="BHG3" s="344"/>
      <c r="BHH3" s="344"/>
      <c r="BHI3" s="344"/>
      <c r="BHJ3" s="344"/>
      <c r="BHK3" s="344"/>
      <c r="BHL3" s="344"/>
      <c r="BHM3" s="344"/>
      <c r="BHN3" s="344"/>
      <c r="BHO3" s="344"/>
      <c r="BHP3" s="344"/>
      <c r="BHQ3" s="344"/>
      <c r="BHR3" s="344"/>
      <c r="BHS3" s="344"/>
      <c r="BHT3" s="344"/>
      <c r="BHU3" s="344"/>
      <c r="BHV3" s="344"/>
      <c r="BHW3" s="344"/>
      <c r="BHX3" s="344"/>
      <c r="BHY3" s="344"/>
      <c r="BHZ3" s="344"/>
      <c r="BIA3" s="344"/>
      <c r="BIB3" s="344"/>
      <c r="BIC3" s="344"/>
      <c r="BID3" s="344"/>
      <c r="BIE3" s="344"/>
      <c r="BIF3" s="344"/>
      <c r="BIG3" s="344"/>
      <c r="BIH3" s="344"/>
      <c r="BII3" s="344"/>
      <c r="BIJ3" s="344"/>
      <c r="BIK3" s="344"/>
      <c r="BIL3" s="344"/>
      <c r="BIM3" s="344"/>
      <c r="BIN3" s="344"/>
      <c r="BIO3" s="344"/>
      <c r="BIP3" s="344"/>
      <c r="BIQ3" s="344"/>
      <c r="BIR3" s="344"/>
      <c r="BIS3" s="344"/>
      <c r="BIT3" s="344"/>
      <c r="BIU3" s="344"/>
      <c r="BIV3" s="344"/>
      <c r="BIW3" s="344"/>
      <c r="BIX3" s="344"/>
      <c r="BIY3" s="344"/>
      <c r="BIZ3" s="344"/>
      <c r="BJA3" s="344"/>
      <c r="BJB3" s="344"/>
      <c r="BJC3" s="344"/>
      <c r="BJD3" s="344"/>
      <c r="BJE3" s="344"/>
      <c r="BJF3" s="344"/>
      <c r="BJG3" s="344"/>
      <c r="BJH3" s="344"/>
      <c r="BJI3" s="344"/>
      <c r="BJJ3" s="344"/>
      <c r="BJK3" s="344"/>
      <c r="BJL3" s="344"/>
      <c r="BJM3" s="344"/>
      <c r="BJN3" s="344"/>
      <c r="BJO3" s="344"/>
      <c r="BJP3" s="344"/>
      <c r="BJQ3" s="344"/>
      <c r="BJR3" s="344"/>
      <c r="BJS3" s="344"/>
      <c r="BJT3" s="344"/>
      <c r="BJU3" s="344"/>
      <c r="BJV3" s="344"/>
      <c r="BJW3" s="344"/>
      <c r="BJX3" s="344"/>
      <c r="BJY3" s="344"/>
      <c r="BJZ3" s="344"/>
      <c r="BKA3" s="344"/>
      <c r="BKB3" s="344"/>
      <c r="BKC3" s="344"/>
      <c r="BKD3" s="344"/>
      <c r="BKE3" s="344"/>
      <c r="BKF3" s="344"/>
      <c r="BKG3" s="344"/>
      <c r="BKH3" s="344"/>
      <c r="BKI3" s="344"/>
      <c r="BKJ3" s="344"/>
      <c r="BKK3" s="344"/>
      <c r="BKL3" s="344"/>
      <c r="BKM3" s="344"/>
      <c r="BKN3" s="344"/>
      <c r="BKO3" s="344"/>
      <c r="BKP3" s="344"/>
      <c r="BKQ3" s="344"/>
      <c r="BKR3" s="344"/>
      <c r="BKS3" s="344"/>
      <c r="BKT3" s="344"/>
      <c r="BKU3" s="344"/>
      <c r="BKV3" s="344"/>
      <c r="BKW3" s="344"/>
      <c r="BKX3" s="344"/>
      <c r="BKY3" s="344"/>
      <c r="BKZ3" s="344"/>
      <c r="BLA3" s="344"/>
      <c r="BLB3" s="344"/>
      <c r="BLC3" s="344"/>
      <c r="BLD3" s="344"/>
      <c r="BLE3" s="344"/>
      <c r="BLF3" s="344"/>
      <c r="BLG3" s="344"/>
      <c r="BLH3" s="344"/>
      <c r="BLI3" s="344"/>
      <c r="BLJ3" s="344"/>
      <c r="BLK3" s="344"/>
      <c r="BLL3" s="344"/>
      <c r="BLM3" s="344"/>
      <c r="BLN3" s="344"/>
      <c r="BLO3" s="344"/>
      <c r="BLP3" s="344"/>
      <c r="BLQ3" s="344"/>
      <c r="BLR3" s="344"/>
      <c r="BLS3" s="344"/>
      <c r="BLT3" s="344"/>
      <c r="BLU3" s="344"/>
      <c r="BLV3" s="344"/>
      <c r="BLW3" s="344"/>
      <c r="BLX3" s="344"/>
      <c r="BLY3" s="344"/>
      <c r="BLZ3" s="344"/>
      <c r="BMA3" s="344"/>
      <c r="BMB3" s="344"/>
      <c r="BMC3" s="344"/>
      <c r="BMD3" s="344"/>
      <c r="BME3" s="344"/>
      <c r="BMF3" s="344"/>
      <c r="BMG3" s="344"/>
      <c r="BMH3" s="344"/>
      <c r="BMI3" s="344"/>
      <c r="BMJ3" s="344"/>
      <c r="BMK3" s="344"/>
      <c r="BML3" s="344"/>
      <c r="BMM3" s="344"/>
      <c r="BMN3" s="344"/>
      <c r="BMO3" s="344"/>
      <c r="BMP3" s="344"/>
      <c r="BMQ3" s="344"/>
      <c r="BMR3" s="344"/>
      <c r="BMS3" s="344"/>
      <c r="BMT3" s="344"/>
      <c r="BMU3" s="344"/>
      <c r="BMV3" s="344"/>
      <c r="BMW3" s="344"/>
      <c r="BMX3" s="344"/>
      <c r="BMY3" s="344"/>
      <c r="BMZ3" s="344"/>
      <c r="BNA3" s="344"/>
      <c r="BNB3" s="344"/>
      <c r="BNC3" s="344"/>
      <c r="BND3" s="344"/>
      <c r="BNE3" s="344"/>
      <c r="BNF3" s="344"/>
      <c r="BNG3" s="344"/>
      <c r="BNH3" s="344"/>
      <c r="BNI3" s="344"/>
      <c r="BNJ3" s="344"/>
      <c r="BNK3" s="344"/>
      <c r="BNL3" s="344"/>
      <c r="BNM3" s="344"/>
      <c r="BNN3" s="344"/>
      <c r="BNO3" s="344"/>
      <c r="BNP3" s="344"/>
      <c r="BNQ3" s="344"/>
      <c r="BNR3" s="344"/>
      <c r="BNS3" s="344"/>
      <c r="BNT3" s="344"/>
      <c r="BNU3" s="344"/>
      <c r="BNV3" s="344"/>
      <c r="BNW3" s="344"/>
      <c r="BNX3" s="344"/>
      <c r="BNY3" s="344"/>
      <c r="BNZ3" s="344"/>
      <c r="BOA3" s="344"/>
      <c r="BOB3" s="344"/>
      <c r="BOC3" s="344"/>
      <c r="BOD3" s="344"/>
      <c r="BOE3" s="344"/>
      <c r="BOF3" s="344"/>
      <c r="BOG3" s="344"/>
      <c r="BOH3" s="344"/>
      <c r="BOI3" s="344"/>
      <c r="BOJ3" s="344"/>
      <c r="BOK3" s="344"/>
      <c r="BOL3" s="344"/>
      <c r="BOM3" s="344"/>
      <c r="BON3" s="344"/>
      <c r="BOO3" s="344"/>
      <c r="BOP3" s="344"/>
      <c r="BOQ3" s="344"/>
      <c r="BOR3" s="344"/>
      <c r="BOS3" s="344"/>
      <c r="BOT3" s="344"/>
      <c r="BOU3" s="344"/>
      <c r="BOV3" s="344"/>
      <c r="BOW3" s="344"/>
      <c r="BOX3" s="344"/>
      <c r="BOY3" s="344"/>
      <c r="BOZ3" s="344"/>
      <c r="BPA3" s="344"/>
      <c r="BPB3" s="344"/>
      <c r="BPC3" s="344"/>
      <c r="BPD3" s="344"/>
      <c r="BPE3" s="344"/>
      <c r="BPF3" s="344"/>
      <c r="BPG3" s="344"/>
      <c r="BPH3" s="344"/>
      <c r="BPI3" s="344"/>
      <c r="BPJ3" s="344"/>
      <c r="BPK3" s="344"/>
      <c r="BPL3" s="344"/>
      <c r="BPM3" s="344"/>
      <c r="BPN3" s="344"/>
      <c r="BPO3" s="344"/>
      <c r="BPP3" s="344"/>
      <c r="BPQ3" s="344"/>
      <c r="BPR3" s="344"/>
      <c r="BPS3" s="344"/>
      <c r="BPT3" s="344"/>
      <c r="BPU3" s="344"/>
      <c r="BPV3" s="344"/>
      <c r="BPW3" s="344"/>
      <c r="BPX3" s="344"/>
      <c r="BPY3" s="344"/>
      <c r="BPZ3" s="344"/>
      <c r="BQA3" s="344"/>
      <c r="BQB3" s="344"/>
      <c r="BQC3" s="344"/>
      <c r="BQD3" s="344"/>
      <c r="BQE3" s="344"/>
      <c r="BQF3" s="344"/>
      <c r="BQG3" s="344"/>
      <c r="BQH3" s="344"/>
      <c r="BQI3" s="344"/>
      <c r="BQJ3" s="344"/>
      <c r="BQK3" s="344"/>
      <c r="BQL3" s="344"/>
      <c r="BQM3" s="344"/>
      <c r="BQN3" s="344"/>
      <c r="BQO3" s="344"/>
      <c r="BQP3" s="344"/>
      <c r="BQQ3" s="344"/>
      <c r="BQR3" s="344"/>
      <c r="BQS3" s="344"/>
      <c r="BQT3" s="344"/>
      <c r="BQU3" s="344"/>
      <c r="BQV3" s="344"/>
      <c r="BQW3" s="344"/>
      <c r="BQX3" s="344"/>
      <c r="BQY3" s="344"/>
      <c r="BQZ3" s="344"/>
      <c r="BRA3" s="344"/>
      <c r="BRB3" s="344"/>
      <c r="BRC3" s="344"/>
      <c r="BRD3" s="344"/>
      <c r="BRE3" s="344"/>
      <c r="BRF3" s="344"/>
      <c r="BRG3" s="344"/>
      <c r="BRH3" s="344"/>
      <c r="BRI3" s="344"/>
      <c r="BRJ3" s="344"/>
      <c r="BRK3" s="344"/>
      <c r="BRL3" s="344"/>
      <c r="BRM3" s="344"/>
      <c r="BRN3" s="344"/>
      <c r="BRO3" s="344"/>
      <c r="BRP3" s="344"/>
      <c r="BRQ3" s="344"/>
      <c r="BRR3" s="344"/>
      <c r="BRS3" s="344"/>
      <c r="BRT3" s="344"/>
      <c r="BRU3" s="344"/>
      <c r="BRV3" s="344"/>
      <c r="BRW3" s="344"/>
      <c r="BRX3" s="344"/>
      <c r="BRY3" s="344"/>
      <c r="BRZ3" s="344"/>
      <c r="BSA3" s="344"/>
      <c r="BSB3" s="344"/>
      <c r="BSC3" s="344"/>
      <c r="BSD3" s="344"/>
      <c r="BSE3" s="344"/>
      <c r="BSF3" s="344"/>
      <c r="BSG3" s="344"/>
      <c r="BSH3" s="344"/>
      <c r="BSI3" s="344"/>
      <c r="BSJ3" s="344"/>
      <c r="BSK3" s="344"/>
      <c r="BSL3" s="344"/>
      <c r="BSM3" s="344"/>
      <c r="BSN3" s="344"/>
      <c r="BSO3" s="344"/>
      <c r="BSP3" s="344"/>
      <c r="BSQ3" s="344"/>
      <c r="BSR3" s="344"/>
      <c r="BSS3" s="344"/>
      <c r="BST3" s="344"/>
      <c r="BSU3" s="344"/>
      <c r="BSV3" s="344"/>
      <c r="BSW3" s="344"/>
      <c r="BSX3" s="344"/>
      <c r="BSY3" s="344"/>
      <c r="BSZ3" s="344"/>
      <c r="BTA3" s="344"/>
      <c r="BTB3" s="344"/>
      <c r="BTC3" s="344"/>
      <c r="BTD3" s="344"/>
      <c r="BTE3" s="344"/>
      <c r="BTF3" s="344"/>
      <c r="BTG3" s="344"/>
      <c r="BTH3" s="344"/>
      <c r="BTI3" s="344"/>
      <c r="BTJ3" s="344"/>
      <c r="BTK3" s="344"/>
      <c r="BTL3" s="344"/>
      <c r="BTM3" s="344"/>
      <c r="BTN3" s="344"/>
      <c r="BTO3" s="344"/>
      <c r="BTP3" s="344"/>
      <c r="BTQ3" s="344"/>
      <c r="BTR3" s="344"/>
      <c r="BTS3" s="344"/>
      <c r="BTT3" s="344"/>
      <c r="BTU3" s="344"/>
      <c r="BTV3" s="344"/>
      <c r="BTW3" s="344"/>
      <c r="BTX3" s="344"/>
      <c r="BTY3" s="344"/>
      <c r="BTZ3" s="344"/>
      <c r="BUA3" s="344"/>
      <c r="BUB3" s="344"/>
      <c r="BUC3" s="344"/>
      <c r="BUD3" s="344"/>
      <c r="BUE3" s="344"/>
      <c r="BUF3" s="344"/>
      <c r="BUG3" s="344"/>
      <c r="BUH3" s="344"/>
      <c r="BUI3" s="344"/>
      <c r="BUJ3" s="344"/>
      <c r="BUK3" s="344"/>
      <c r="BUL3" s="344"/>
      <c r="BUM3" s="344"/>
      <c r="BUN3" s="344"/>
      <c r="BUO3" s="344"/>
      <c r="BUP3" s="344"/>
      <c r="BUQ3" s="344"/>
      <c r="BUR3" s="344"/>
      <c r="BUS3" s="344"/>
      <c r="BUT3" s="344"/>
      <c r="BUU3" s="344"/>
      <c r="BUV3" s="344"/>
      <c r="BUW3" s="344"/>
      <c r="BUX3" s="344"/>
      <c r="BUY3" s="344"/>
      <c r="BUZ3" s="344"/>
      <c r="BVA3" s="344"/>
      <c r="BVB3" s="344"/>
      <c r="BVC3" s="344"/>
      <c r="BVD3" s="344"/>
      <c r="BVE3" s="344"/>
      <c r="BVF3" s="344"/>
      <c r="BVG3" s="344"/>
      <c r="BVH3" s="344"/>
      <c r="BVI3" s="344"/>
      <c r="BVJ3" s="344"/>
      <c r="BVK3" s="344"/>
      <c r="BVL3" s="344"/>
      <c r="BVM3" s="344"/>
      <c r="BVN3" s="344"/>
      <c r="BVO3" s="344"/>
      <c r="BVP3" s="344"/>
      <c r="BVQ3" s="344"/>
      <c r="BVR3" s="344"/>
      <c r="BVS3" s="344"/>
      <c r="BVT3" s="344"/>
      <c r="BVU3" s="344"/>
      <c r="BVV3" s="344"/>
      <c r="BVW3" s="344"/>
      <c r="BVX3" s="344"/>
      <c r="BVY3" s="344"/>
      <c r="BVZ3" s="344"/>
      <c r="BWA3" s="344"/>
      <c r="BWB3" s="344"/>
      <c r="BWC3" s="344"/>
      <c r="BWD3" s="344"/>
      <c r="BWE3" s="344"/>
      <c r="BWF3" s="344"/>
      <c r="BWG3" s="344"/>
      <c r="BWH3" s="344"/>
      <c r="BWI3" s="344"/>
      <c r="BWJ3" s="344"/>
      <c r="BWK3" s="344"/>
      <c r="BWL3" s="344"/>
      <c r="BWM3" s="344"/>
      <c r="BWN3" s="344"/>
      <c r="BWO3" s="344"/>
      <c r="BWP3" s="344"/>
      <c r="BWQ3" s="344"/>
      <c r="BWR3" s="344"/>
      <c r="BWS3" s="344"/>
      <c r="BWT3" s="344"/>
      <c r="BWU3" s="344"/>
      <c r="BWV3" s="344"/>
      <c r="BWW3" s="344"/>
      <c r="BWX3" s="344"/>
      <c r="BWY3" s="344"/>
      <c r="BWZ3" s="344"/>
      <c r="BXA3" s="344"/>
      <c r="BXB3" s="344"/>
      <c r="BXC3" s="344"/>
      <c r="BXD3" s="344"/>
      <c r="BXE3" s="344"/>
      <c r="BXF3" s="344"/>
      <c r="BXG3" s="344"/>
      <c r="BXH3" s="344"/>
      <c r="BXI3" s="344"/>
      <c r="BXJ3" s="344"/>
      <c r="BXK3" s="344"/>
      <c r="BXL3" s="344"/>
      <c r="BXM3" s="344"/>
      <c r="BXN3" s="344"/>
      <c r="BXO3" s="344"/>
      <c r="BXP3" s="344"/>
      <c r="BXQ3" s="344"/>
      <c r="BXR3" s="344"/>
      <c r="BXS3" s="344"/>
      <c r="BXT3" s="344"/>
      <c r="BXU3" s="344"/>
      <c r="BXV3" s="344"/>
      <c r="BXW3" s="344"/>
      <c r="BXX3" s="344"/>
      <c r="BXY3" s="344"/>
      <c r="BXZ3" s="344"/>
      <c r="BYA3" s="344"/>
      <c r="BYB3" s="344"/>
      <c r="BYC3" s="344"/>
      <c r="BYD3" s="344"/>
      <c r="BYE3" s="344"/>
      <c r="BYF3" s="344"/>
      <c r="BYG3" s="344"/>
      <c r="BYH3" s="344"/>
      <c r="BYI3" s="344"/>
      <c r="BYJ3" s="344"/>
      <c r="BYK3" s="344"/>
      <c r="BYL3" s="344"/>
      <c r="BYM3" s="344"/>
      <c r="BYN3" s="344"/>
      <c r="BYO3" s="344"/>
      <c r="BYP3" s="344"/>
      <c r="BYQ3" s="344"/>
      <c r="BYR3" s="344"/>
      <c r="BYS3" s="344"/>
      <c r="BYT3" s="344"/>
      <c r="BYU3" s="344"/>
      <c r="BYV3" s="344"/>
      <c r="BYW3" s="344"/>
      <c r="BYX3" s="344"/>
      <c r="BYY3" s="344"/>
      <c r="BYZ3" s="344"/>
      <c r="BZA3" s="344"/>
      <c r="BZB3" s="344"/>
      <c r="BZC3" s="344"/>
      <c r="BZD3" s="344"/>
      <c r="BZE3" s="344"/>
      <c r="BZF3" s="344"/>
      <c r="BZG3" s="344"/>
      <c r="BZH3" s="344"/>
      <c r="BZI3" s="344"/>
      <c r="BZJ3" s="344"/>
      <c r="BZK3" s="344"/>
      <c r="BZL3" s="344"/>
      <c r="BZM3" s="344"/>
      <c r="BZN3" s="344"/>
      <c r="BZO3" s="344"/>
      <c r="BZP3" s="344"/>
      <c r="BZQ3" s="344"/>
      <c r="BZR3" s="344"/>
      <c r="BZS3" s="344"/>
      <c r="BZT3" s="344"/>
      <c r="BZU3" s="344"/>
      <c r="BZV3" s="344"/>
      <c r="BZW3" s="344"/>
      <c r="BZX3" s="344"/>
      <c r="BZY3" s="344"/>
      <c r="BZZ3" s="344"/>
      <c r="CAA3" s="344"/>
      <c r="CAB3" s="344"/>
      <c r="CAC3" s="344"/>
      <c r="CAD3" s="344"/>
      <c r="CAE3" s="344"/>
      <c r="CAF3" s="344"/>
      <c r="CAG3" s="344"/>
      <c r="CAH3" s="344"/>
      <c r="CAI3" s="344"/>
      <c r="CAJ3" s="344"/>
      <c r="CAK3" s="344"/>
      <c r="CAL3" s="344"/>
      <c r="CAM3" s="344"/>
      <c r="CAN3" s="344"/>
      <c r="CAO3" s="344"/>
      <c r="CAP3" s="344"/>
      <c r="CAQ3" s="344"/>
      <c r="CAR3" s="344"/>
      <c r="CAS3" s="344"/>
      <c r="CAT3" s="344"/>
      <c r="CAU3" s="344"/>
      <c r="CAV3" s="344"/>
      <c r="CAW3" s="344"/>
      <c r="CAX3" s="344"/>
      <c r="CAY3" s="344"/>
      <c r="CAZ3" s="344"/>
      <c r="CBA3" s="344"/>
      <c r="CBB3" s="344"/>
      <c r="CBC3" s="344"/>
      <c r="CBD3" s="344"/>
      <c r="CBE3" s="344"/>
      <c r="CBF3" s="344"/>
      <c r="CBG3" s="344"/>
      <c r="CBH3" s="344"/>
      <c r="CBI3" s="344"/>
      <c r="CBJ3" s="344"/>
      <c r="CBK3" s="344"/>
      <c r="CBL3" s="344"/>
      <c r="CBM3" s="344"/>
      <c r="CBN3" s="344"/>
      <c r="CBO3" s="344"/>
      <c r="CBP3" s="344"/>
      <c r="CBQ3" s="344"/>
      <c r="CBR3" s="344"/>
      <c r="CBS3" s="344"/>
      <c r="CBT3" s="344"/>
      <c r="CBU3" s="344"/>
      <c r="CBV3" s="344"/>
      <c r="CBW3" s="344"/>
      <c r="CBX3" s="344"/>
      <c r="CBY3" s="344"/>
      <c r="CBZ3" s="344"/>
      <c r="CCA3" s="344"/>
      <c r="CCB3" s="344"/>
      <c r="CCC3" s="344"/>
      <c r="CCD3" s="344"/>
      <c r="CCE3" s="344"/>
      <c r="CCF3" s="344"/>
      <c r="CCG3" s="344"/>
      <c r="CCH3" s="344"/>
      <c r="CCI3" s="344"/>
      <c r="CCJ3" s="344"/>
      <c r="CCK3" s="344"/>
      <c r="CCL3" s="344"/>
      <c r="CCM3" s="344"/>
      <c r="CCN3" s="344"/>
      <c r="CCO3" s="344"/>
      <c r="CCP3" s="344"/>
      <c r="CCQ3" s="344"/>
      <c r="CCR3" s="344"/>
      <c r="CCS3" s="344"/>
      <c r="CCT3" s="344"/>
      <c r="CCU3" s="344"/>
      <c r="CCV3" s="344"/>
      <c r="CCW3" s="344"/>
      <c r="CCX3" s="344"/>
      <c r="CCY3" s="344"/>
      <c r="CCZ3" s="344"/>
      <c r="CDA3" s="344"/>
      <c r="CDB3" s="344"/>
      <c r="CDC3" s="344"/>
      <c r="CDD3" s="344"/>
      <c r="CDE3" s="344"/>
      <c r="CDF3" s="344"/>
      <c r="CDG3" s="344"/>
      <c r="CDH3" s="344"/>
      <c r="CDI3" s="344"/>
      <c r="CDJ3" s="344"/>
      <c r="CDK3" s="344"/>
      <c r="CDL3" s="344"/>
      <c r="CDM3" s="344"/>
      <c r="CDN3" s="344"/>
      <c r="CDO3" s="344"/>
      <c r="CDP3" s="344"/>
      <c r="CDQ3" s="344"/>
      <c r="CDR3" s="344"/>
      <c r="CDS3" s="344"/>
      <c r="CDT3" s="344"/>
      <c r="CDU3" s="344"/>
      <c r="CDV3" s="344"/>
      <c r="CDW3" s="344"/>
      <c r="CDX3" s="344"/>
      <c r="CDY3" s="344"/>
      <c r="CDZ3" s="344"/>
      <c r="CEA3" s="344"/>
      <c r="CEB3" s="344"/>
      <c r="CEC3" s="344"/>
      <c r="CED3" s="344"/>
      <c r="CEE3" s="344"/>
      <c r="CEF3" s="344"/>
      <c r="CEG3" s="344"/>
      <c r="CEH3" s="344"/>
      <c r="CEI3" s="344"/>
      <c r="CEJ3" s="344"/>
      <c r="CEK3" s="344"/>
      <c r="CEL3" s="344"/>
      <c r="CEM3" s="344"/>
      <c r="CEN3" s="344"/>
      <c r="CEO3" s="344"/>
      <c r="CEP3" s="344"/>
      <c r="CEQ3" s="344"/>
      <c r="CER3" s="344"/>
      <c r="CES3" s="344"/>
      <c r="CET3" s="344"/>
      <c r="CEU3" s="344"/>
      <c r="CEV3" s="344"/>
      <c r="CEW3" s="344"/>
      <c r="CEX3" s="344"/>
      <c r="CEY3" s="344"/>
      <c r="CEZ3" s="344"/>
      <c r="CFA3" s="344"/>
      <c r="CFB3" s="344"/>
      <c r="CFC3" s="344"/>
      <c r="CFD3" s="344"/>
      <c r="CFE3" s="344"/>
      <c r="CFF3" s="344"/>
      <c r="CFG3" s="344"/>
      <c r="CFH3" s="344"/>
      <c r="CFI3" s="344"/>
      <c r="CFJ3" s="344"/>
      <c r="CFK3" s="344"/>
      <c r="CFL3" s="344"/>
      <c r="CFM3" s="344"/>
      <c r="CFN3" s="344"/>
      <c r="CFO3" s="344"/>
      <c r="CFP3" s="344"/>
      <c r="CFQ3" s="344"/>
      <c r="CFR3" s="344"/>
      <c r="CFS3" s="344"/>
      <c r="CFT3" s="344"/>
      <c r="CFU3" s="344"/>
      <c r="CFV3" s="344"/>
      <c r="CFW3" s="344"/>
      <c r="CFX3" s="344"/>
      <c r="CFY3" s="344"/>
      <c r="CFZ3" s="344"/>
      <c r="CGA3" s="344"/>
      <c r="CGB3" s="344"/>
      <c r="CGC3" s="344"/>
      <c r="CGD3" s="344"/>
      <c r="CGE3" s="344"/>
      <c r="CGF3" s="344"/>
      <c r="CGG3" s="344"/>
      <c r="CGH3" s="344"/>
      <c r="CGI3" s="344"/>
      <c r="CGJ3" s="344"/>
      <c r="CGK3" s="344"/>
      <c r="CGL3" s="344"/>
      <c r="CGM3" s="344"/>
      <c r="CGN3" s="344"/>
      <c r="CGO3" s="344"/>
      <c r="CGP3" s="344"/>
      <c r="CGQ3" s="344"/>
      <c r="CGR3" s="344"/>
      <c r="CGS3" s="344"/>
      <c r="CGT3" s="344"/>
      <c r="CGU3" s="344"/>
      <c r="CGV3" s="344"/>
      <c r="CGW3" s="344"/>
      <c r="CGX3" s="344"/>
      <c r="CGY3" s="344"/>
      <c r="CGZ3" s="344"/>
      <c r="CHA3" s="344"/>
      <c r="CHB3" s="344"/>
      <c r="CHC3" s="344"/>
      <c r="CHD3" s="344"/>
      <c r="CHE3" s="344"/>
      <c r="CHF3" s="344"/>
      <c r="CHG3" s="344"/>
      <c r="CHH3" s="344"/>
      <c r="CHI3" s="344"/>
      <c r="CHJ3" s="344"/>
      <c r="CHK3" s="344"/>
      <c r="CHL3" s="344"/>
      <c r="CHM3" s="344"/>
      <c r="CHN3" s="344"/>
      <c r="CHO3" s="344"/>
      <c r="CHP3" s="344"/>
      <c r="CHQ3" s="344"/>
      <c r="CHR3" s="344"/>
      <c r="CHS3" s="344"/>
      <c r="CHT3" s="344"/>
      <c r="CHU3" s="344"/>
      <c r="CHV3" s="344"/>
      <c r="CHW3" s="344"/>
      <c r="CHX3" s="344"/>
      <c r="CHY3" s="344"/>
      <c r="CHZ3" s="344"/>
      <c r="CIA3" s="344"/>
      <c r="CIB3" s="344"/>
      <c r="CIC3" s="344"/>
      <c r="CID3" s="344"/>
      <c r="CIE3" s="344"/>
      <c r="CIF3" s="344"/>
      <c r="CIG3" s="344"/>
      <c r="CIH3" s="344"/>
      <c r="CII3" s="344"/>
      <c r="CIJ3" s="344"/>
      <c r="CIK3" s="344"/>
      <c r="CIL3" s="344"/>
      <c r="CIM3" s="344"/>
      <c r="CIN3" s="344"/>
      <c r="CIO3" s="344"/>
      <c r="CIP3" s="344"/>
      <c r="CIQ3" s="344"/>
      <c r="CIR3" s="344"/>
      <c r="CIS3" s="344"/>
      <c r="CIT3" s="344"/>
      <c r="CIU3" s="344"/>
      <c r="CIV3" s="344"/>
      <c r="CIW3" s="344"/>
      <c r="CIX3" s="344"/>
      <c r="CIY3" s="344"/>
      <c r="CIZ3" s="344"/>
      <c r="CJA3" s="344"/>
      <c r="CJB3" s="344"/>
      <c r="CJC3" s="344"/>
      <c r="CJD3" s="344"/>
      <c r="CJE3" s="344"/>
      <c r="CJF3" s="344"/>
      <c r="CJG3" s="344"/>
      <c r="CJH3" s="344"/>
      <c r="CJI3" s="344"/>
      <c r="CJJ3" s="344"/>
      <c r="CJK3" s="344"/>
      <c r="CJL3" s="344"/>
      <c r="CJM3" s="344"/>
      <c r="CJN3" s="344"/>
      <c r="CJO3" s="344"/>
      <c r="CJP3" s="344"/>
      <c r="CJQ3" s="344"/>
      <c r="CJR3" s="344"/>
      <c r="CJS3" s="344"/>
      <c r="CJT3" s="344"/>
      <c r="CJU3" s="344"/>
      <c r="CJV3" s="344"/>
      <c r="CJW3" s="344"/>
      <c r="CJX3" s="344"/>
      <c r="CJY3" s="344"/>
      <c r="CJZ3" s="344"/>
      <c r="CKA3" s="344"/>
      <c r="CKB3" s="344"/>
      <c r="CKC3" s="344"/>
      <c r="CKD3" s="344"/>
      <c r="CKE3" s="344"/>
      <c r="CKF3" s="344"/>
      <c r="CKG3" s="344"/>
      <c r="CKH3" s="344"/>
      <c r="CKI3" s="344"/>
      <c r="CKJ3" s="344"/>
      <c r="CKK3" s="344"/>
      <c r="CKL3" s="344"/>
      <c r="CKM3" s="344"/>
      <c r="CKN3" s="344"/>
      <c r="CKO3" s="344"/>
      <c r="CKP3" s="344"/>
      <c r="CKQ3" s="344"/>
      <c r="CKR3" s="344"/>
      <c r="CKS3" s="344"/>
      <c r="CKT3" s="344"/>
      <c r="CKU3" s="344"/>
      <c r="CKV3" s="344"/>
      <c r="CKW3" s="344"/>
      <c r="CKX3" s="344"/>
      <c r="CKY3" s="344"/>
      <c r="CKZ3" s="344"/>
      <c r="CLA3" s="344"/>
      <c r="CLB3" s="344"/>
      <c r="CLC3" s="344"/>
      <c r="CLD3" s="344"/>
      <c r="CLE3" s="344"/>
      <c r="CLF3" s="344"/>
      <c r="CLG3" s="344"/>
      <c r="CLH3" s="344"/>
      <c r="CLI3" s="344"/>
      <c r="CLJ3" s="344"/>
      <c r="CLK3" s="344"/>
      <c r="CLL3" s="344"/>
      <c r="CLM3" s="344"/>
      <c r="CLN3" s="344"/>
      <c r="CLO3" s="344"/>
      <c r="CLP3" s="344"/>
      <c r="CLQ3" s="344"/>
      <c r="CLR3" s="344"/>
      <c r="CLS3" s="344"/>
      <c r="CLT3" s="344"/>
      <c r="CLU3" s="344"/>
      <c r="CLV3" s="344"/>
      <c r="CLW3" s="344"/>
      <c r="CLX3" s="344"/>
      <c r="CLY3" s="344"/>
      <c r="CLZ3" s="344"/>
      <c r="CMA3" s="344"/>
      <c r="CMB3" s="344"/>
      <c r="CMC3" s="344"/>
      <c r="CMD3" s="344"/>
      <c r="CME3" s="344"/>
      <c r="CMF3" s="344"/>
      <c r="CMG3" s="344"/>
      <c r="CMH3" s="344"/>
      <c r="CMI3" s="344"/>
      <c r="CMJ3" s="344"/>
      <c r="CMK3" s="344"/>
      <c r="CML3" s="344"/>
      <c r="CMM3" s="344"/>
      <c r="CMN3" s="344"/>
      <c r="CMO3" s="344"/>
      <c r="CMP3" s="344"/>
      <c r="CMQ3" s="344"/>
      <c r="CMR3" s="344"/>
      <c r="CMS3" s="344"/>
      <c r="CMT3" s="344"/>
      <c r="CMU3" s="344"/>
      <c r="CMV3" s="344"/>
      <c r="CMW3" s="344"/>
      <c r="CMX3" s="344"/>
      <c r="CMY3" s="344"/>
      <c r="CMZ3" s="344"/>
      <c r="CNA3" s="344"/>
      <c r="CNB3" s="344"/>
      <c r="CNC3" s="344"/>
      <c r="CND3" s="344"/>
      <c r="CNE3" s="344"/>
      <c r="CNF3" s="344"/>
      <c r="CNG3" s="344"/>
      <c r="CNH3" s="344"/>
      <c r="CNI3" s="344"/>
      <c r="CNJ3" s="344"/>
      <c r="CNK3" s="344"/>
      <c r="CNL3" s="344"/>
      <c r="CNM3" s="344"/>
      <c r="CNN3" s="344"/>
      <c r="CNO3" s="344"/>
      <c r="CNP3" s="344"/>
      <c r="CNQ3" s="344"/>
      <c r="CNR3" s="344"/>
      <c r="CNS3" s="344"/>
      <c r="CNT3" s="344"/>
      <c r="CNU3" s="344"/>
      <c r="CNV3" s="344"/>
      <c r="CNW3" s="344"/>
      <c r="CNX3" s="344"/>
      <c r="CNY3" s="344"/>
      <c r="CNZ3" s="344"/>
      <c r="COA3" s="344"/>
      <c r="COB3" s="344"/>
      <c r="COC3" s="344"/>
      <c r="COD3" s="344"/>
      <c r="COE3" s="344"/>
      <c r="COF3" s="344"/>
      <c r="COG3" s="344"/>
      <c r="COH3" s="344"/>
      <c r="COI3" s="344"/>
      <c r="COJ3" s="344"/>
      <c r="COK3" s="344"/>
      <c r="COL3" s="344"/>
      <c r="COM3" s="344"/>
      <c r="CON3" s="344"/>
      <c r="COO3" s="344"/>
      <c r="COP3" s="344"/>
      <c r="COQ3" s="344"/>
      <c r="COR3" s="344"/>
      <c r="COS3" s="344"/>
      <c r="COT3" s="344"/>
      <c r="COU3" s="344"/>
      <c r="COV3" s="344"/>
      <c r="COW3" s="344"/>
      <c r="COX3" s="344"/>
      <c r="COY3" s="344"/>
      <c r="COZ3" s="344"/>
      <c r="CPA3" s="344"/>
      <c r="CPB3" s="344"/>
      <c r="CPC3" s="344"/>
      <c r="CPD3" s="344"/>
      <c r="CPE3" s="344"/>
      <c r="CPF3" s="344"/>
      <c r="CPG3" s="344"/>
      <c r="CPH3" s="344"/>
      <c r="CPI3" s="344"/>
      <c r="CPJ3" s="344"/>
      <c r="CPK3" s="344"/>
      <c r="CPL3" s="344"/>
      <c r="CPM3" s="344"/>
      <c r="CPN3" s="344"/>
      <c r="CPO3" s="344"/>
      <c r="CPP3" s="344"/>
      <c r="CPQ3" s="344"/>
      <c r="CPR3" s="344"/>
      <c r="CPS3" s="344"/>
      <c r="CPT3" s="344"/>
      <c r="CPU3" s="344"/>
      <c r="CPV3" s="344"/>
      <c r="CPW3" s="344"/>
      <c r="CPX3" s="344"/>
      <c r="CPY3" s="344"/>
      <c r="CPZ3" s="344"/>
      <c r="CQA3" s="344"/>
      <c r="CQB3" s="344"/>
      <c r="CQC3" s="344"/>
      <c r="CQD3" s="344"/>
      <c r="CQE3" s="344"/>
      <c r="CQF3" s="344"/>
      <c r="CQG3" s="344"/>
      <c r="CQH3" s="344"/>
      <c r="CQI3" s="344"/>
      <c r="CQJ3" s="344"/>
      <c r="CQK3" s="344"/>
      <c r="CQL3" s="344"/>
      <c r="CQM3" s="344"/>
      <c r="CQN3" s="344"/>
      <c r="CQO3" s="344"/>
      <c r="CQP3" s="344"/>
      <c r="CQQ3" s="344"/>
      <c r="CQR3" s="344"/>
      <c r="CQS3" s="344"/>
      <c r="CQT3" s="344"/>
      <c r="CQU3" s="344"/>
      <c r="CQV3" s="344"/>
      <c r="CQW3" s="344"/>
      <c r="CQX3" s="344"/>
      <c r="CQY3" s="344"/>
      <c r="CQZ3" s="344"/>
      <c r="CRA3" s="344"/>
      <c r="CRB3" s="344"/>
      <c r="CRC3" s="344"/>
      <c r="CRD3" s="344"/>
      <c r="CRE3" s="344"/>
      <c r="CRF3" s="344"/>
      <c r="CRG3" s="344"/>
      <c r="CRH3" s="344"/>
      <c r="CRI3" s="344"/>
      <c r="CRJ3" s="344"/>
      <c r="CRK3" s="344"/>
      <c r="CRL3" s="344"/>
      <c r="CRM3" s="344"/>
      <c r="CRN3" s="344"/>
      <c r="CRO3" s="344"/>
      <c r="CRP3" s="344"/>
      <c r="CRQ3" s="344"/>
      <c r="CRR3" s="344"/>
      <c r="CRS3" s="344"/>
      <c r="CRT3" s="344"/>
      <c r="CRU3" s="344"/>
      <c r="CRV3" s="344"/>
      <c r="CRW3" s="344"/>
      <c r="CRX3" s="344"/>
      <c r="CRY3" s="344"/>
      <c r="CRZ3" s="344"/>
      <c r="CSA3" s="344"/>
      <c r="CSB3" s="344"/>
      <c r="CSC3" s="344"/>
      <c r="CSD3" s="344"/>
      <c r="CSE3" s="344"/>
      <c r="CSF3" s="344"/>
      <c r="CSG3" s="344"/>
      <c r="CSH3" s="344"/>
      <c r="CSI3" s="344"/>
      <c r="CSJ3" s="344"/>
      <c r="CSK3" s="344"/>
      <c r="CSL3" s="344"/>
      <c r="CSM3" s="344"/>
      <c r="CSN3" s="344"/>
      <c r="CSO3" s="344"/>
      <c r="CSP3" s="344"/>
      <c r="CSQ3" s="344"/>
      <c r="CSR3" s="344"/>
      <c r="CSS3" s="344"/>
      <c r="CST3" s="344"/>
      <c r="CSU3" s="344"/>
      <c r="CSV3" s="344"/>
      <c r="CSW3" s="344"/>
      <c r="CSX3" s="344"/>
      <c r="CSY3" s="344"/>
      <c r="CSZ3" s="344"/>
      <c r="CTA3" s="344"/>
      <c r="CTB3" s="344"/>
      <c r="CTC3" s="344"/>
      <c r="CTD3" s="344"/>
      <c r="CTE3" s="344"/>
      <c r="CTF3" s="344"/>
      <c r="CTG3" s="344"/>
      <c r="CTH3" s="344"/>
      <c r="CTI3" s="344"/>
      <c r="CTJ3" s="344"/>
      <c r="CTK3" s="344"/>
      <c r="CTL3" s="344"/>
      <c r="CTM3" s="344"/>
      <c r="CTN3" s="344"/>
      <c r="CTO3" s="344"/>
      <c r="CTP3" s="344"/>
      <c r="CTQ3" s="344"/>
      <c r="CTR3" s="344"/>
      <c r="CTS3" s="344"/>
      <c r="CTT3" s="344"/>
      <c r="CTU3" s="344"/>
      <c r="CTV3" s="344"/>
      <c r="CTW3" s="344"/>
      <c r="CTX3" s="344"/>
      <c r="CTY3" s="344"/>
      <c r="CTZ3" s="344"/>
      <c r="CUA3" s="344"/>
      <c r="CUB3" s="344"/>
      <c r="CUC3" s="344"/>
      <c r="CUD3" s="344"/>
      <c r="CUE3" s="344"/>
      <c r="CUF3" s="344"/>
      <c r="CUG3" s="344"/>
      <c r="CUH3" s="344"/>
      <c r="CUI3" s="344"/>
      <c r="CUJ3" s="344"/>
      <c r="CUK3" s="344"/>
      <c r="CUL3" s="344"/>
      <c r="CUM3" s="344"/>
      <c r="CUN3" s="344"/>
      <c r="CUO3" s="344"/>
      <c r="CUP3" s="344"/>
      <c r="CUQ3" s="344"/>
      <c r="CUR3" s="344"/>
      <c r="CUS3" s="344"/>
      <c r="CUT3" s="344"/>
      <c r="CUU3" s="344"/>
      <c r="CUV3" s="344"/>
      <c r="CUW3" s="344"/>
      <c r="CUX3" s="344"/>
      <c r="CUY3" s="344"/>
      <c r="CUZ3" s="344"/>
      <c r="CVA3" s="344"/>
      <c r="CVB3" s="344"/>
      <c r="CVC3" s="344"/>
      <c r="CVD3" s="344"/>
      <c r="CVE3" s="344"/>
      <c r="CVF3" s="344"/>
      <c r="CVG3" s="344"/>
      <c r="CVH3" s="344"/>
      <c r="CVI3" s="344"/>
      <c r="CVJ3" s="344"/>
      <c r="CVK3" s="344"/>
      <c r="CVL3" s="344"/>
      <c r="CVM3" s="344"/>
      <c r="CVN3" s="344"/>
      <c r="CVO3" s="344"/>
      <c r="CVP3" s="344"/>
      <c r="CVQ3" s="344"/>
      <c r="CVR3" s="344"/>
      <c r="CVS3" s="344"/>
      <c r="CVT3" s="344"/>
      <c r="CVU3" s="344"/>
      <c r="CVV3" s="344"/>
      <c r="CVW3" s="344"/>
      <c r="CVX3" s="344"/>
      <c r="CVY3" s="344"/>
      <c r="CVZ3" s="344"/>
      <c r="CWA3" s="344"/>
      <c r="CWB3" s="344"/>
      <c r="CWC3" s="344"/>
      <c r="CWD3" s="344"/>
      <c r="CWE3" s="344"/>
      <c r="CWF3" s="344"/>
      <c r="CWG3" s="344"/>
      <c r="CWH3" s="344"/>
      <c r="CWI3" s="344"/>
      <c r="CWJ3" s="344"/>
      <c r="CWK3" s="344"/>
      <c r="CWL3" s="344"/>
      <c r="CWM3" s="344"/>
      <c r="CWN3" s="344"/>
      <c r="CWO3" s="344"/>
      <c r="CWP3" s="344"/>
      <c r="CWQ3" s="344"/>
      <c r="CWR3" s="344"/>
      <c r="CWS3" s="344"/>
      <c r="CWT3" s="344"/>
      <c r="CWU3" s="344"/>
      <c r="CWV3" s="344"/>
      <c r="CWW3" s="344"/>
      <c r="CWX3" s="344"/>
      <c r="CWY3" s="344"/>
      <c r="CWZ3" s="344"/>
      <c r="CXA3" s="344"/>
      <c r="CXB3" s="344"/>
      <c r="CXC3" s="344"/>
      <c r="CXD3" s="344"/>
      <c r="CXE3" s="344"/>
      <c r="CXF3" s="344"/>
      <c r="CXG3" s="344"/>
      <c r="CXH3" s="344"/>
      <c r="CXI3" s="344"/>
      <c r="CXJ3" s="344"/>
      <c r="CXK3" s="344"/>
      <c r="CXL3" s="344"/>
      <c r="CXM3" s="344"/>
      <c r="CXN3" s="344"/>
      <c r="CXO3" s="344"/>
      <c r="CXP3" s="344"/>
      <c r="CXQ3" s="344"/>
      <c r="CXR3" s="344"/>
      <c r="CXS3" s="344"/>
      <c r="CXT3" s="344"/>
      <c r="CXU3" s="344"/>
      <c r="CXV3" s="344"/>
      <c r="CXW3" s="344"/>
      <c r="CXX3" s="344"/>
      <c r="CXY3" s="344"/>
      <c r="CXZ3" s="344"/>
      <c r="CYA3" s="344"/>
      <c r="CYB3" s="344"/>
      <c r="CYC3" s="344"/>
      <c r="CYD3" s="344"/>
      <c r="CYE3" s="344"/>
      <c r="CYF3" s="344"/>
      <c r="CYG3" s="344"/>
      <c r="CYH3" s="344"/>
      <c r="CYI3" s="344"/>
      <c r="CYJ3" s="344"/>
      <c r="CYK3" s="344"/>
      <c r="CYL3" s="344"/>
      <c r="CYM3" s="344"/>
      <c r="CYN3" s="344"/>
      <c r="CYO3" s="344"/>
      <c r="CYP3" s="344"/>
      <c r="CYQ3" s="344"/>
      <c r="CYR3" s="344"/>
      <c r="CYS3" s="344"/>
      <c r="CYT3" s="344"/>
      <c r="CYU3" s="344"/>
      <c r="CYV3" s="344"/>
      <c r="CYW3" s="344"/>
      <c r="CYX3" s="344"/>
      <c r="CYY3" s="344"/>
      <c r="CYZ3" s="344"/>
      <c r="CZA3" s="344"/>
      <c r="CZB3" s="344"/>
      <c r="CZC3" s="344"/>
      <c r="CZD3" s="344"/>
      <c r="CZE3" s="344"/>
      <c r="CZF3" s="344"/>
      <c r="CZG3" s="344"/>
      <c r="CZH3" s="344"/>
      <c r="CZI3" s="344"/>
      <c r="CZJ3" s="344"/>
      <c r="CZK3" s="344"/>
      <c r="CZL3" s="344"/>
      <c r="CZM3" s="344"/>
      <c r="CZN3" s="344"/>
      <c r="CZO3" s="344"/>
      <c r="CZP3" s="344"/>
      <c r="CZQ3" s="344"/>
      <c r="CZR3" s="344"/>
      <c r="CZS3" s="344"/>
      <c r="CZT3" s="344"/>
      <c r="CZU3" s="344"/>
      <c r="CZV3" s="344"/>
      <c r="CZW3" s="344"/>
      <c r="CZX3" s="344"/>
      <c r="CZY3" s="344"/>
      <c r="CZZ3" s="344"/>
      <c r="DAA3" s="344"/>
      <c r="DAB3" s="344"/>
      <c r="DAC3" s="344"/>
      <c r="DAD3" s="344"/>
      <c r="DAE3" s="344"/>
      <c r="DAF3" s="344"/>
      <c r="DAG3" s="344"/>
      <c r="DAH3" s="344"/>
      <c r="DAI3" s="344"/>
      <c r="DAJ3" s="344"/>
      <c r="DAK3" s="344"/>
      <c r="DAL3" s="344"/>
      <c r="DAM3" s="344"/>
      <c r="DAN3" s="344"/>
      <c r="DAO3" s="344"/>
      <c r="DAP3" s="344"/>
      <c r="DAQ3" s="344"/>
      <c r="DAR3" s="344"/>
      <c r="DAS3" s="344"/>
      <c r="DAT3" s="344"/>
      <c r="DAU3" s="344"/>
      <c r="DAV3" s="344"/>
      <c r="DAW3" s="344"/>
      <c r="DAX3" s="344"/>
      <c r="DAY3" s="344"/>
      <c r="DAZ3" s="344"/>
      <c r="DBA3" s="344"/>
      <c r="DBB3" s="344"/>
      <c r="DBC3" s="344"/>
      <c r="DBD3" s="344"/>
      <c r="DBE3" s="344"/>
      <c r="DBF3" s="344"/>
      <c r="DBG3" s="344"/>
      <c r="DBH3" s="344"/>
      <c r="DBI3" s="344"/>
      <c r="DBJ3" s="344"/>
      <c r="DBK3" s="344"/>
      <c r="DBL3" s="344"/>
      <c r="DBM3" s="344"/>
      <c r="DBN3" s="344"/>
      <c r="DBO3" s="344"/>
      <c r="DBP3" s="344"/>
      <c r="DBQ3" s="344"/>
      <c r="DBR3" s="344"/>
      <c r="DBS3" s="344"/>
      <c r="DBT3" s="344"/>
      <c r="DBU3" s="344"/>
      <c r="DBV3" s="344"/>
      <c r="DBW3" s="344"/>
      <c r="DBX3" s="344"/>
      <c r="DBY3" s="344"/>
      <c r="DBZ3" s="344"/>
      <c r="DCA3" s="344"/>
      <c r="DCB3" s="344"/>
      <c r="DCC3" s="344"/>
      <c r="DCD3" s="344"/>
      <c r="DCE3" s="344"/>
      <c r="DCF3" s="344"/>
      <c r="DCG3" s="344"/>
      <c r="DCH3" s="344"/>
      <c r="DCI3" s="344"/>
      <c r="DCJ3" s="344"/>
      <c r="DCK3" s="344"/>
      <c r="DCL3" s="344"/>
      <c r="DCM3" s="344"/>
      <c r="DCN3" s="344"/>
      <c r="DCO3" s="344"/>
      <c r="DCP3" s="344"/>
      <c r="DCQ3" s="344"/>
      <c r="DCR3" s="344"/>
      <c r="DCS3" s="344"/>
      <c r="DCT3" s="344"/>
      <c r="DCU3" s="344"/>
      <c r="DCV3" s="344"/>
      <c r="DCW3" s="344"/>
      <c r="DCX3" s="344"/>
      <c r="DCY3" s="344"/>
      <c r="DCZ3" s="344"/>
      <c r="DDA3" s="344"/>
      <c r="DDB3" s="344"/>
      <c r="DDC3" s="344"/>
      <c r="DDD3" s="344"/>
      <c r="DDE3" s="344"/>
      <c r="DDF3" s="344"/>
      <c r="DDG3" s="344"/>
      <c r="DDH3" s="344"/>
      <c r="DDI3" s="344"/>
      <c r="DDJ3" s="344"/>
      <c r="DDK3" s="344"/>
      <c r="DDL3" s="344"/>
      <c r="DDM3" s="344"/>
      <c r="DDN3" s="344"/>
      <c r="DDO3" s="344"/>
      <c r="DDP3" s="344"/>
      <c r="DDQ3" s="344"/>
      <c r="DDR3" s="344"/>
      <c r="DDS3" s="344"/>
      <c r="DDT3" s="344"/>
      <c r="DDU3" s="344"/>
      <c r="DDV3" s="344"/>
      <c r="DDW3" s="344"/>
      <c r="DDX3" s="344"/>
      <c r="DDY3" s="344"/>
      <c r="DDZ3" s="344"/>
      <c r="DEA3" s="344"/>
      <c r="DEB3" s="344"/>
      <c r="DEC3" s="344"/>
      <c r="DED3" s="344"/>
      <c r="DEE3" s="344"/>
      <c r="DEF3" s="344"/>
      <c r="DEG3" s="344"/>
      <c r="DEH3" s="344"/>
      <c r="DEI3" s="344"/>
      <c r="DEJ3" s="344"/>
      <c r="DEK3" s="344"/>
      <c r="DEL3" s="344"/>
      <c r="DEM3" s="344"/>
      <c r="DEN3" s="344"/>
      <c r="DEO3" s="344"/>
      <c r="DEP3" s="344"/>
      <c r="DEQ3" s="344"/>
      <c r="DER3" s="344"/>
      <c r="DES3" s="344"/>
      <c r="DET3" s="344"/>
      <c r="DEU3" s="344"/>
      <c r="DEV3" s="344"/>
      <c r="DEW3" s="344"/>
      <c r="DEX3" s="344"/>
      <c r="DEY3" s="344"/>
      <c r="DEZ3" s="344"/>
      <c r="DFA3" s="344"/>
      <c r="DFB3" s="344"/>
      <c r="DFC3" s="344"/>
      <c r="DFD3" s="344"/>
      <c r="DFE3" s="344"/>
      <c r="DFF3" s="344"/>
      <c r="DFG3" s="344"/>
      <c r="DFH3" s="344"/>
      <c r="DFI3" s="344"/>
      <c r="DFJ3" s="344"/>
      <c r="DFK3" s="344"/>
      <c r="DFL3" s="344"/>
      <c r="DFM3" s="344"/>
      <c r="DFN3" s="344"/>
      <c r="DFO3" s="344"/>
      <c r="DFP3" s="344"/>
      <c r="DFQ3" s="344"/>
      <c r="DFR3" s="344"/>
      <c r="DFS3" s="344"/>
      <c r="DFT3" s="344"/>
      <c r="DFU3" s="344"/>
      <c r="DFV3" s="344"/>
      <c r="DFW3" s="344"/>
      <c r="DFX3" s="344"/>
      <c r="DFY3" s="344"/>
      <c r="DFZ3" s="344"/>
      <c r="DGA3" s="344"/>
      <c r="DGB3" s="344"/>
      <c r="DGC3" s="344"/>
      <c r="DGD3" s="344"/>
      <c r="DGE3" s="344"/>
      <c r="DGF3" s="344"/>
      <c r="DGG3" s="344"/>
      <c r="DGH3" s="344"/>
      <c r="DGI3" s="344"/>
      <c r="DGJ3" s="344"/>
      <c r="DGK3" s="344"/>
      <c r="DGL3" s="344"/>
      <c r="DGM3" s="344"/>
      <c r="DGN3" s="344"/>
      <c r="DGO3" s="344"/>
      <c r="DGP3" s="344"/>
      <c r="DGQ3" s="344"/>
      <c r="DGR3" s="344"/>
      <c r="DGS3" s="344"/>
      <c r="DGT3" s="344"/>
      <c r="DGU3" s="344"/>
      <c r="DGV3" s="344"/>
      <c r="DGW3" s="344"/>
      <c r="DGX3" s="344"/>
      <c r="DGY3" s="344"/>
      <c r="DGZ3" s="344"/>
      <c r="DHA3" s="344"/>
      <c r="DHB3" s="344"/>
      <c r="DHC3" s="344"/>
      <c r="DHD3" s="344"/>
      <c r="DHE3" s="344"/>
      <c r="DHF3" s="344"/>
      <c r="DHG3" s="344"/>
      <c r="DHH3" s="344"/>
      <c r="DHI3" s="344"/>
      <c r="DHJ3" s="344"/>
      <c r="DHK3" s="344"/>
      <c r="DHL3" s="344"/>
      <c r="DHM3" s="344"/>
      <c r="DHN3" s="344"/>
      <c r="DHO3" s="344"/>
      <c r="DHP3" s="344"/>
      <c r="DHQ3" s="344"/>
      <c r="DHR3" s="344"/>
      <c r="DHS3" s="344"/>
      <c r="DHT3" s="344"/>
      <c r="DHU3" s="344"/>
      <c r="DHV3" s="344"/>
      <c r="DHW3" s="344"/>
      <c r="DHX3" s="344"/>
      <c r="DHY3" s="344"/>
      <c r="DHZ3" s="344"/>
      <c r="DIA3" s="344"/>
      <c r="DIB3" s="344"/>
      <c r="DIC3" s="344"/>
      <c r="DID3" s="344"/>
      <c r="DIE3" s="344"/>
      <c r="DIF3" s="344"/>
      <c r="DIG3" s="344"/>
      <c r="DIH3" s="344"/>
      <c r="DII3" s="344"/>
      <c r="DIJ3" s="344"/>
      <c r="DIK3" s="344"/>
      <c r="DIL3" s="344"/>
      <c r="DIM3" s="344"/>
      <c r="DIN3" s="344"/>
      <c r="DIO3" s="344"/>
      <c r="DIP3" s="344"/>
      <c r="DIQ3" s="344"/>
      <c r="DIR3" s="344"/>
      <c r="DIS3" s="344"/>
      <c r="DIT3" s="344"/>
      <c r="DIU3" s="344"/>
      <c r="DIV3" s="344"/>
      <c r="DIW3" s="344"/>
      <c r="DIX3" s="344"/>
      <c r="DIY3" s="344"/>
      <c r="DIZ3" s="344"/>
      <c r="DJA3" s="344"/>
      <c r="DJB3" s="344"/>
      <c r="DJC3" s="344"/>
      <c r="DJD3" s="344"/>
      <c r="DJE3" s="344"/>
      <c r="DJF3" s="344"/>
      <c r="DJG3" s="344"/>
      <c r="DJH3" s="344"/>
      <c r="DJI3" s="344"/>
      <c r="DJJ3" s="344"/>
      <c r="DJK3" s="344"/>
      <c r="DJL3" s="344"/>
      <c r="DJM3" s="344"/>
      <c r="DJN3" s="344"/>
      <c r="DJO3" s="344"/>
      <c r="DJP3" s="344"/>
      <c r="DJQ3" s="344"/>
      <c r="DJR3" s="344"/>
      <c r="DJS3" s="344"/>
      <c r="DJT3" s="344"/>
      <c r="DJU3" s="344"/>
      <c r="DJV3" s="344"/>
      <c r="DJW3" s="344"/>
      <c r="DJX3" s="344"/>
      <c r="DJY3" s="344"/>
      <c r="DJZ3" s="344"/>
      <c r="DKA3" s="344"/>
      <c r="DKB3" s="344"/>
      <c r="DKC3" s="344"/>
      <c r="DKD3" s="344"/>
      <c r="DKE3" s="344"/>
      <c r="DKF3" s="344"/>
      <c r="DKG3" s="344"/>
      <c r="DKH3" s="344"/>
      <c r="DKI3" s="344"/>
      <c r="DKJ3" s="344"/>
      <c r="DKK3" s="344"/>
      <c r="DKL3" s="344"/>
      <c r="DKM3" s="344"/>
      <c r="DKN3" s="344"/>
      <c r="DKO3" s="344"/>
      <c r="DKP3" s="344"/>
      <c r="DKQ3" s="344"/>
      <c r="DKR3" s="344"/>
      <c r="DKS3" s="344"/>
      <c r="DKT3" s="344"/>
      <c r="DKU3" s="344"/>
      <c r="DKV3" s="344"/>
      <c r="DKW3" s="344"/>
      <c r="DKX3" s="344"/>
      <c r="DKY3" s="344"/>
      <c r="DKZ3" s="344"/>
      <c r="DLA3" s="344"/>
      <c r="DLB3" s="344"/>
      <c r="DLC3" s="344"/>
      <c r="DLD3" s="344"/>
      <c r="DLE3" s="344"/>
      <c r="DLF3" s="344"/>
      <c r="DLG3" s="344"/>
      <c r="DLH3" s="344"/>
      <c r="DLI3" s="344"/>
      <c r="DLJ3" s="344"/>
      <c r="DLK3" s="344"/>
      <c r="DLL3" s="344"/>
      <c r="DLM3" s="344"/>
      <c r="DLN3" s="344"/>
      <c r="DLO3" s="344"/>
      <c r="DLP3" s="344"/>
      <c r="DLQ3" s="344"/>
      <c r="DLR3" s="344"/>
      <c r="DLS3" s="344"/>
      <c r="DLT3" s="344"/>
      <c r="DLU3" s="344"/>
      <c r="DLV3" s="344"/>
      <c r="DLW3" s="344"/>
      <c r="DLX3" s="344"/>
      <c r="DLY3" s="344"/>
      <c r="DLZ3" s="344"/>
      <c r="DMA3" s="344"/>
      <c r="DMB3" s="344"/>
      <c r="DMC3" s="344"/>
      <c r="DMD3" s="344"/>
      <c r="DME3" s="344"/>
      <c r="DMF3" s="344"/>
      <c r="DMG3" s="344"/>
      <c r="DMH3" s="344"/>
      <c r="DMI3" s="344"/>
      <c r="DMJ3" s="344"/>
      <c r="DMK3" s="344"/>
      <c r="DML3" s="344"/>
      <c r="DMM3" s="344"/>
      <c r="DMN3" s="344"/>
      <c r="DMO3" s="344"/>
      <c r="DMP3" s="344"/>
      <c r="DMQ3" s="344"/>
      <c r="DMR3" s="344"/>
      <c r="DMS3" s="344"/>
      <c r="DMT3" s="344"/>
      <c r="DMU3" s="344"/>
      <c r="DMV3" s="344"/>
      <c r="DMW3" s="344"/>
      <c r="DMX3" s="344"/>
      <c r="DMY3" s="344"/>
      <c r="DMZ3" s="344"/>
      <c r="DNA3" s="344"/>
      <c r="DNB3" s="344"/>
      <c r="DNC3" s="344"/>
      <c r="DND3" s="344"/>
      <c r="DNE3" s="344"/>
      <c r="DNF3" s="344"/>
      <c r="DNG3" s="344"/>
      <c r="DNH3" s="344"/>
      <c r="DNI3" s="344"/>
      <c r="DNJ3" s="344"/>
      <c r="DNK3" s="344"/>
      <c r="DNL3" s="344"/>
      <c r="DNM3" s="344"/>
      <c r="DNN3" s="344"/>
      <c r="DNO3" s="344"/>
      <c r="DNP3" s="344"/>
      <c r="DNQ3" s="344"/>
      <c r="DNR3" s="344"/>
      <c r="DNS3" s="344"/>
      <c r="DNT3" s="344"/>
      <c r="DNU3" s="344"/>
      <c r="DNV3" s="344"/>
      <c r="DNW3" s="344"/>
      <c r="DNX3" s="344"/>
      <c r="DNY3" s="344"/>
      <c r="DNZ3" s="344"/>
      <c r="DOA3" s="344"/>
      <c r="DOB3" s="344"/>
      <c r="DOC3" s="344"/>
      <c r="DOD3" s="344"/>
      <c r="DOE3" s="344"/>
      <c r="DOF3" s="344"/>
      <c r="DOG3" s="344"/>
      <c r="DOH3" s="344"/>
      <c r="DOI3" s="344"/>
      <c r="DOJ3" s="344"/>
      <c r="DOK3" s="344"/>
      <c r="DOL3" s="344"/>
      <c r="DOM3" s="344"/>
      <c r="DON3" s="344"/>
      <c r="DOO3" s="344"/>
      <c r="DOP3" s="344"/>
      <c r="DOQ3" s="344"/>
      <c r="DOR3" s="344"/>
      <c r="DOS3" s="344"/>
      <c r="DOT3" s="344"/>
      <c r="DOU3" s="344"/>
      <c r="DOV3" s="344"/>
      <c r="DOW3" s="344"/>
      <c r="DOX3" s="344"/>
      <c r="DOY3" s="344"/>
      <c r="DOZ3" s="344"/>
      <c r="DPA3" s="344"/>
      <c r="DPB3" s="344"/>
      <c r="DPC3" s="344"/>
      <c r="DPD3" s="344"/>
      <c r="DPE3" s="344"/>
      <c r="DPF3" s="344"/>
      <c r="DPG3" s="344"/>
      <c r="DPH3" s="344"/>
      <c r="DPI3" s="344"/>
      <c r="DPJ3" s="344"/>
      <c r="DPK3" s="344"/>
      <c r="DPL3" s="344"/>
      <c r="DPM3" s="344"/>
      <c r="DPN3" s="344"/>
      <c r="DPO3" s="344"/>
      <c r="DPP3" s="344"/>
      <c r="DPQ3" s="344"/>
      <c r="DPR3" s="344"/>
      <c r="DPS3" s="344"/>
      <c r="DPT3" s="344"/>
      <c r="DPU3" s="344"/>
      <c r="DPV3" s="344"/>
      <c r="DPW3" s="344"/>
      <c r="DPX3" s="344"/>
      <c r="DPY3" s="344"/>
      <c r="DPZ3" s="344"/>
      <c r="DQA3" s="344"/>
      <c r="DQB3" s="344"/>
      <c r="DQC3" s="344"/>
      <c r="DQD3" s="344"/>
      <c r="DQE3" s="344"/>
      <c r="DQF3" s="344"/>
      <c r="DQG3" s="344"/>
      <c r="DQH3" s="344"/>
      <c r="DQI3" s="344"/>
      <c r="DQJ3" s="344"/>
      <c r="DQK3" s="344"/>
      <c r="DQL3" s="344"/>
      <c r="DQM3" s="344"/>
      <c r="DQN3" s="344"/>
      <c r="DQO3" s="344"/>
      <c r="DQP3" s="344"/>
      <c r="DQQ3" s="344"/>
      <c r="DQR3" s="344"/>
      <c r="DQS3" s="344"/>
      <c r="DQT3" s="344"/>
      <c r="DQU3" s="344"/>
      <c r="DQV3" s="344"/>
      <c r="DQW3" s="344"/>
      <c r="DQX3" s="344"/>
      <c r="DQY3" s="344"/>
      <c r="DQZ3" s="344"/>
      <c r="DRA3" s="344"/>
      <c r="DRB3" s="344"/>
      <c r="DRC3" s="344"/>
      <c r="DRD3" s="344"/>
      <c r="DRE3" s="344"/>
      <c r="DRF3" s="344"/>
      <c r="DRG3" s="344"/>
      <c r="DRH3" s="344"/>
      <c r="DRI3" s="344"/>
      <c r="DRJ3" s="344"/>
      <c r="DRK3" s="344"/>
      <c r="DRL3" s="344"/>
      <c r="DRM3" s="344"/>
      <c r="DRN3" s="344"/>
      <c r="DRO3" s="344"/>
      <c r="DRP3" s="344"/>
      <c r="DRQ3" s="344"/>
      <c r="DRR3" s="344"/>
      <c r="DRS3" s="344"/>
      <c r="DRT3" s="344"/>
      <c r="DRU3" s="344"/>
      <c r="DRV3" s="344"/>
      <c r="DRW3" s="344"/>
      <c r="DRX3" s="344"/>
      <c r="DRY3" s="344"/>
      <c r="DRZ3" s="344"/>
      <c r="DSA3" s="344"/>
      <c r="DSB3" s="344"/>
      <c r="DSC3" s="344"/>
      <c r="DSD3" s="344"/>
      <c r="DSE3" s="344"/>
      <c r="DSF3" s="344"/>
      <c r="DSG3" s="344"/>
      <c r="DSH3" s="344"/>
      <c r="DSI3" s="344"/>
      <c r="DSJ3" s="344"/>
      <c r="DSK3" s="344"/>
      <c r="DSL3" s="344"/>
      <c r="DSM3" s="344"/>
      <c r="DSN3" s="344"/>
      <c r="DSO3" s="344"/>
      <c r="DSP3" s="344"/>
      <c r="DSQ3" s="344"/>
      <c r="DSR3" s="344"/>
      <c r="DSS3" s="344"/>
      <c r="DST3" s="344"/>
      <c r="DSU3" s="344"/>
      <c r="DSV3" s="344"/>
      <c r="DSW3" s="344"/>
      <c r="DSX3" s="344"/>
      <c r="DSY3" s="344"/>
      <c r="DSZ3" s="344"/>
      <c r="DTA3" s="344"/>
      <c r="DTB3" s="344"/>
      <c r="DTC3" s="344"/>
      <c r="DTD3" s="344"/>
      <c r="DTE3" s="344"/>
      <c r="DTF3" s="344"/>
      <c r="DTG3" s="344"/>
      <c r="DTH3" s="344"/>
      <c r="DTI3" s="344"/>
      <c r="DTJ3" s="344"/>
      <c r="DTK3" s="344"/>
      <c r="DTL3" s="344"/>
      <c r="DTM3" s="344"/>
      <c r="DTN3" s="344"/>
      <c r="DTO3" s="344"/>
      <c r="DTP3" s="344"/>
      <c r="DTQ3" s="344"/>
      <c r="DTR3" s="344"/>
      <c r="DTS3" s="344"/>
      <c r="DTT3" s="344"/>
      <c r="DTU3" s="344"/>
      <c r="DTV3" s="344"/>
      <c r="DTW3" s="344"/>
      <c r="DTX3" s="344"/>
      <c r="DTY3" s="344"/>
      <c r="DTZ3" s="344"/>
      <c r="DUA3" s="344"/>
      <c r="DUB3" s="344"/>
      <c r="DUC3" s="344"/>
      <c r="DUD3" s="344"/>
      <c r="DUE3" s="344"/>
      <c r="DUF3" s="344"/>
      <c r="DUG3" s="344"/>
      <c r="DUH3" s="344"/>
      <c r="DUI3" s="344"/>
      <c r="DUJ3" s="344"/>
      <c r="DUK3" s="344"/>
      <c r="DUL3" s="344"/>
      <c r="DUM3" s="344"/>
      <c r="DUN3" s="344"/>
      <c r="DUO3" s="344"/>
      <c r="DUP3" s="344"/>
      <c r="DUQ3" s="344"/>
      <c r="DUR3" s="344"/>
      <c r="DUS3" s="344"/>
      <c r="DUT3" s="344"/>
      <c r="DUU3" s="344"/>
      <c r="DUV3" s="344"/>
      <c r="DUW3" s="344"/>
      <c r="DUX3" s="344"/>
      <c r="DUY3" s="344"/>
      <c r="DUZ3" s="344"/>
      <c r="DVA3" s="344"/>
      <c r="DVB3" s="344"/>
      <c r="DVC3" s="344"/>
      <c r="DVD3" s="344"/>
      <c r="DVE3" s="344"/>
      <c r="DVF3" s="344"/>
      <c r="DVG3" s="344"/>
      <c r="DVH3" s="344"/>
      <c r="DVI3" s="344"/>
      <c r="DVJ3" s="344"/>
      <c r="DVK3" s="344"/>
      <c r="DVL3" s="344"/>
      <c r="DVM3" s="344"/>
      <c r="DVN3" s="344"/>
      <c r="DVO3" s="344"/>
      <c r="DVP3" s="344"/>
      <c r="DVQ3" s="344"/>
      <c r="DVR3" s="344"/>
      <c r="DVS3" s="344"/>
      <c r="DVT3" s="344"/>
      <c r="DVU3" s="344"/>
      <c r="DVV3" s="344"/>
      <c r="DVW3" s="344"/>
      <c r="DVX3" s="344"/>
      <c r="DVY3" s="344"/>
      <c r="DVZ3" s="344"/>
      <c r="DWA3" s="344"/>
      <c r="DWB3" s="344"/>
      <c r="DWC3" s="344"/>
      <c r="DWD3" s="344"/>
      <c r="DWE3" s="344"/>
      <c r="DWF3" s="344"/>
      <c r="DWG3" s="344"/>
      <c r="DWH3" s="344"/>
      <c r="DWI3" s="344"/>
      <c r="DWJ3" s="344"/>
      <c r="DWK3" s="344"/>
      <c r="DWL3" s="344"/>
      <c r="DWM3" s="344"/>
      <c r="DWN3" s="344"/>
      <c r="DWO3" s="344"/>
      <c r="DWP3" s="344"/>
      <c r="DWQ3" s="344"/>
      <c r="DWR3" s="344"/>
      <c r="DWS3" s="344"/>
      <c r="DWT3" s="344"/>
      <c r="DWU3" s="344"/>
      <c r="DWV3" s="344"/>
      <c r="DWW3" s="344"/>
      <c r="DWX3" s="344"/>
      <c r="DWY3" s="344"/>
      <c r="DWZ3" s="344"/>
      <c r="DXA3" s="344"/>
      <c r="DXB3" s="344"/>
      <c r="DXC3" s="344"/>
      <c r="DXD3" s="344"/>
      <c r="DXE3" s="344"/>
      <c r="DXF3" s="344"/>
      <c r="DXG3" s="344"/>
      <c r="DXH3" s="344"/>
      <c r="DXI3" s="344"/>
      <c r="DXJ3" s="344"/>
      <c r="DXK3" s="344"/>
      <c r="DXL3" s="344"/>
      <c r="DXM3" s="344"/>
      <c r="DXN3" s="344"/>
      <c r="DXO3" s="344"/>
      <c r="DXP3" s="344"/>
      <c r="DXQ3" s="344"/>
      <c r="DXR3" s="344"/>
      <c r="DXS3" s="344"/>
      <c r="DXT3" s="344"/>
      <c r="DXU3" s="344"/>
      <c r="DXV3" s="344"/>
      <c r="DXW3" s="344"/>
      <c r="DXX3" s="344"/>
      <c r="DXY3" s="344"/>
      <c r="DXZ3" s="344"/>
      <c r="DYA3" s="344"/>
      <c r="DYB3" s="344"/>
      <c r="DYC3" s="344"/>
      <c r="DYD3" s="344"/>
      <c r="DYE3" s="344"/>
      <c r="DYF3" s="344"/>
      <c r="DYG3" s="344"/>
      <c r="DYH3" s="344"/>
      <c r="DYI3" s="344"/>
      <c r="DYJ3" s="344"/>
      <c r="DYK3" s="344"/>
      <c r="DYL3" s="344"/>
      <c r="DYM3" s="344"/>
      <c r="DYN3" s="344"/>
      <c r="DYO3" s="344"/>
      <c r="DYP3" s="344"/>
      <c r="DYQ3" s="344"/>
      <c r="DYR3" s="344"/>
      <c r="DYS3" s="344"/>
      <c r="DYT3" s="344"/>
      <c r="DYU3" s="344"/>
      <c r="DYV3" s="344"/>
      <c r="DYW3" s="344"/>
      <c r="DYX3" s="344"/>
      <c r="DYY3" s="344"/>
      <c r="DYZ3" s="344"/>
      <c r="DZA3" s="344"/>
      <c r="DZB3" s="344"/>
      <c r="DZC3" s="344"/>
      <c r="DZD3" s="344"/>
      <c r="DZE3" s="344"/>
      <c r="DZF3" s="344"/>
      <c r="DZG3" s="344"/>
      <c r="DZH3" s="344"/>
      <c r="DZI3" s="344"/>
      <c r="DZJ3" s="344"/>
      <c r="DZK3" s="344"/>
      <c r="DZL3" s="344"/>
      <c r="DZM3" s="344"/>
      <c r="DZN3" s="344"/>
      <c r="DZO3" s="344"/>
      <c r="DZP3" s="344"/>
      <c r="DZQ3" s="344"/>
      <c r="DZR3" s="344"/>
      <c r="DZS3" s="344"/>
      <c r="DZT3" s="344"/>
      <c r="DZU3" s="344"/>
      <c r="DZV3" s="344"/>
      <c r="DZW3" s="344"/>
      <c r="DZX3" s="344"/>
      <c r="DZY3" s="344"/>
      <c r="DZZ3" s="344"/>
      <c r="EAA3" s="344"/>
      <c r="EAB3" s="344"/>
      <c r="EAC3" s="344"/>
      <c r="EAD3" s="344"/>
      <c r="EAE3" s="344"/>
      <c r="EAF3" s="344"/>
      <c r="EAG3" s="344"/>
      <c r="EAH3" s="344"/>
      <c r="EAI3" s="344"/>
      <c r="EAJ3" s="344"/>
      <c r="EAK3" s="344"/>
      <c r="EAL3" s="344"/>
      <c r="EAM3" s="344"/>
      <c r="EAN3" s="344"/>
      <c r="EAO3" s="344"/>
      <c r="EAP3" s="344"/>
      <c r="EAQ3" s="344"/>
      <c r="EAR3" s="344"/>
      <c r="EAS3" s="344"/>
      <c r="EAT3" s="344"/>
      <c r="EAU3" s="344"/>
      <c r="EAV3" s="344"/>
      <c r="EAW3" s="344"/>
      <c r="EAX3" s="344"/>
      <c r="EAY3" s="344"/>
      <c r="EAZ3" s="344"/>
      <c r="EBA3" s="344"/>
      <c r="EBB3" s="344"/>
      <c r="EBC3" s="344"/>
      <c r="EBD3" s="344"/>
      <c r="EBE3" s="344"/>
      <c r="EBF3" s="344"/>
      <c r="EBG3" s="344"/>
      <c r="EBH3" s="344"/>
      <c r="EBI3" s="344"/>
      <c r="EBJ3" s="344"/>
      <c r="EBK3" s="344"/>
      <c r="EBL3" s="344"/>
      <c r="EBM3" s="344"/>
      <c r="EBN3" s="344"/>
      <c r="EBO3" s="344"/>
      <c r="EBP3" s="344"/>
      <c r="EBQ3" s="344"/>
      <c r="EBR3" s="344"/>
      <c r="EBS3" s="344"/>
      <c r="EBT3" s="344"/>
      <c r="EBU3" s="344"/>
      <c r="EBV3" s="344"/>
      <c r="EBW3" s="344"/>
      <c r="EBX3" s="344"/>
      <c r="EBY3" s="344"/>
      <c r="EBZ3" s="344"/>
      <c r="ECA3" s="344"/>
      <c r="ECB3" s="344"/>
      <c r="ECC3" s="344"/>
      <c r="ECD3" s="344"/>
      <c r="ECE3" s="344"/>
      <c r="ECF3" s="344"/>
      <c r="ECG3" s="344"/>
      <c r="ECH3" s="344"/>
      <c r="ECI3" s="344"/>
      <c r="ECJ3" s="344"/>
      <c r="ECK3" s="344"/>
      <c r="ECL3" s="344"/>
      <c r="ECM3" s="344"/>
      <c r="ECN3" s="344"/>
      <c r="ECO3" s="344"/>
      <c r="ECP3" s="344"/>
      <c r="ECQ3" s="344"/>
      <c r="ECR3" s="344"/>
      <c r="ECS3" s="344"/>
      <c r="ECT3" s="344"/>
      <c r="ECU3" s="344"/>
      <c r="ECV3" s="344"/>
      <c r="ECW3" s="344"/>
      <c r="ECX3" s="344"/>
      <c r="ECY3" s="344"/>
      <c r="ECZ3" s="344"/>
      <c r="EDA3" s="344"/>
      <c r="EDB3" s="344"/>
      <c r="EDC3" s="344"/>
      <c r="EDD3" s="344"/>
      <c r="EDE3" s="344"/>
      <c r="EDF3" s="344"/>
      <c r="EDG3" s="344"/>
      <c r="EDH3" s="344"/>
      <c r="EDI3" s="344"/>
      <c r="EDJ3" s="344"/>
      <c r="EDK3" s="344"/>
      <c r="EDL3" s="344"/>
      <c r="EDM3" s="344"/>
      <c r="EDN3" s="344"/>
      <c r="EDO3" s="344"/>
      <c r="EDP3" s="344"/>
      <c r="EDQ3" s="344"/>
      <c r="EDR3" s="344"/>
      <c r="EDS3" s="344"/>
      <c r="EDT3" s="344"/>
      <c r="EDU3" s="344"/>
      <c r="EDV3" s="344"/>
      <c r="EDW3" s="344"/>
      <c r="EDX3" s="344"/>
      <c r="EDY3" s="344"/>
      <c r="EDZ3" s="344"/>
      <c r="EEA3" s="344"/>
      <c r="EEB3" s="344"/>
      <c r="EEC3" s="344"/>
      <c r="EED3" s="344"/>
      <c r="EEE3" s="344"/>
      <c r="EEF3" s="344"/>
      <c r="EEG3" s="344"/>
      <c r="EEH3" s="344"/>
      <c r="EEI3" s="344"/>
      <c r="EEJ3" s="344"/>
      <c r="EEK3" s="344"/>
      <c r="EEL3" s="344"/>
      <c r="EEM3" s="344"/>
      <c r="EEN3" s="344"/>
      <c r="EEO3" s="344"/>
      <c r="EEP3" s="344"/>
      <c r="EEQ3" s="344"/>
      <c r="EER3" s="344"/>
      <c r="EES3" s="344"/>
      <c r="EET3" s="344"/>
      <c r="EEU3" s="344"/>
      <c r="EEV3" s="344"/>
      <c r="EEW3" s="344"/>
      <c r="EEX3" s="344"/>
      <c r="EEY3" s="344"/>
      <c r="EEZ3" s="344"/>
      <c r="EFA3" s="344"/>
      <c r="EFB3" s="344"/>
      <c r="EFC3" s="344"/>
      <c r="EFD3" s="344"/>
      <c r="EFE3" s="344"/>
      <c r="EFF3" s="344"/>
      <c r="EFG3" s="344"/>
      <c r="EFH3" s="344"/>
      <c r="EFI3" s="344"/>
      <c r="EFJ3" s="344"/>
      <c r="EFK3" s="344"/>
      <c r="EFL3" s="344"/>
      <c r="EFM3" s="344"/>
      <c r="EFN3" s="344"/>
      <c r="EFO3" s="344"/>
      <c r="EFP3" s="344"/>
      <c r="EFQ3" s="344"/>
      <c r="EFR3" s="344"/>
      <c r="EFS3" s="344"/>
      <c r="EFT3" s="344"/>
      <c r="EFU3" s="344"/>
      <c r="EFV3" s="344"/>
      <c r="EFW3" s="344"/>
      <c r="EFX3" s="344"/>
      <c r="EFY3" s="344"/>
      <c r="EFZ3" s="344"/>
      <c r="EGA3" s="344"/>
      <c r="EGB3" s="344"/>
      <c r="EGC3" s="344"/>
      <c r="EGD3" s="344"/>
      <c r="EGE3" s="344"/>
      <c r="EGF3" s="344"/>
      <c r="EGG3" s="344"/>
      <c r="EGH3" s="344"/>
      <c r="EGI3" s="344"/>
      <c r="EGJ3" s="344"/>
      <c r="EGK3" s="344"/>
      <c r="EGL3" s="344"/>
      <c r="EGM3" s="344"/>
      <c r="EGN3" s="344"/>
      <c r="EGO3" s="344"/>
      <c r="EGP3" s="344"/>
      <c r="EGQ3" s="344"/>
      <c r="EGR3" s="344"/>
      <c r="EGS3" s="344"/>
      <c r="EGT3" s="344"/>
      <c r="EGU3" s="344"/>
      <c r="EGV3" s="344"/>
      <c r="EGW3" s="344"/>
      <c r="EGX3" s="344"/>
      <c r="EGY3" s="344"/>
      <c r="EGZ3" s="344"/>
      <c r="EHA3" s="344"/>
      <c r="EHB3" s="344"/>
      <c r="EHC3" s="344"/>
      <c r="EHD3" s="344"/>
      <c r="EHE3" s="344"/>
      <c r="EHF3" s="344"/>
      <c r="EHG3" s="344"/>
      <c r="EHH3" s="344"/>
      <c r="EHI3" s="344"/>
      <c r="EHJ3" s="344"/>
      <c r="EHK3" s="344"/>
      <c r="EHL3" s="344"/>
      <c r="EHM3" s="344"/>
      <c r="EHN3" s="344"/>
      <c r="EHO3" s="344"/>
      <c r="EHP3" s="344"/>
      <c r="EHQ3" s="344"/>
      <c r="EHR3" s="344"/>
      <c r="EHS3" s="344"/>
      <c r="EHT3" s="344"/>
      <c r="EHU3" s="344"/>
      <c r="EHV3" s="344"/>
      <c r="EHW3" s="344"/>
      <c r="EHX3" s="344"/>
      <c r="EHY3" s="344"/>
      <c r="EHZ3" s="344"/>
      <c r="EIA3" s="344"/>
      <c r="EIB3" s="344"/>
      <c r="EIC3" s="344"/>
      <c r="EID3" s="344"/>
      <c r="EIE3" s="344"/>
      <c r="EIF3" s="344"/>
      <c r="EIG3" s="344"/>
      <c r="EIH3" s="344"/>
      <c r="EII3" s="344"/>
      <c r="EIJ3" s="344"/>
      <c r="EIK3" s="344"/>
      <c r="EIL3" s="344"/>
      <c r="EIM3" s="344"/>
      <c r="EIN3" s="344"/>
      <c r="EIO3" s="344"/>
      <c r="EIP3" s="344"/>
      <c r="EIQ3" s="344"/>
      <c r="EIR3" s="344"/>
      <c r="EIS3" s="344"/>
      <c r="EIT3" s="344"/>
      <c r="EIU3" s="344"/>
      <c r="EIV3" s="344"/>
      <c r="EIW3" s="344"/>
      <c r="EIX3" s="344"/>
      <c r="EIY3" s="344"/>
      <c r="EIZ3" s="344"/>
      <c r="EJA3" s="344"/>
      <c r="EJB3" s="344"/>
      <c r="EJC3" s="344"/>
      <c r="EJD3" s="344"/>
      <c r="EJE3" s="344"/>
      <c r="EJF3" s="344"/>
      <c r="EJG3" s="344"/>
      <c r="EJH3" s="344"/>
      <c r="EJI3" s="344"/>
      <c r="EJJ3" s="344"/>
      <c r="EJK3" s="344"/>
      <c r="EJL3" s="344"/>
      <c r="EJM3" s="344"/>
      <c r="EJN3" s="344"/>
      <c r="EJO3" s="344"/>
      <c r="EJP3" s="344"/>
      <c r="EJQ3" s="344"/>
      <c r="EJR3" s="344"/>
      <c r="EJS3" s="344"/>
      <c r="EJT3" s="344"/>
      <c r="EJU3" s="344"/>
      <c r="EJV3" s="344"/>
      <c r="EJW3" s="344"/>
      <c r="EJX3" s="344"/>
      <c r="EJY3" s="344"/>
      <c r="EJZ3" s="344"/>
      <c r="EKA3" s="344"/>
      <c r="EKB3" s="344"/>
      <c r="EKC3" s="344"/>
      <c r="EKD3" s="344"/>
      <c r="EKE3" s="344"/>
      <c r="EKF3" s="344"/>
      <c r="EKG3" s="344"/>
      <c r="EKH3" s="344"/>
      <c r="EKI3" s="344"/>
      <c r="EKJ3" s="344"/>
      <c r="EKK3" s="344"/>
      <c r="EKL3" s="344"/>
      <c r="EKM3" s="344"/>
      <c r="EKN3" s="344"/>
      <c r="EKO3" s="344"/>
      <c r="EKP3" s="344"/>
      <c r="EKQ3" s="344"/>
      <c r="EKR3" s="344"/>
      <c r="EKS3" s="344"/>
      <c r="EKT3" s="344"/>
      <c r="EKU3" s="344"/>
      <c r="EKV3" s="344"/>
      <c r="EKW3" s="344"/>
      <c r="EKX3" s="344"/>
      <c r="EKY3" s="344"/>
      <c r="EKZ3" s="344"/>
      <c r="ELA3" s="344"/>
      <c r="ELB3" s="344"/>
      <c r="ELC3" s="344"/>
      <c r="ELD3" s="344"/>
      <c r="ELE3" s="344"/>
      <c r="ELF3" s="344"/>
      <c r="ELG3" s="344"/>
      <c r="ELH3" s="344"/>
      <c r="ELI3" s="344"/>
      <c r="ELJ3" s="344"/>
      <c r="ELK3" s="344"/>
      <c r="ELL3" s="344"/>
      <c r="ELM3" s="344"/>
      <c r="ELN3" s="344"/>
      <c r="ELO3" s="344"/>
      <c r="ELP3" s="344"/>
      <c r="ELQ3" s="344"/>
      <c r="ELR3" s="344"/>
      <c r="ELS3" s="344"/>
      <c r="ELT3" s="344"/>
      <c r="ELU3" s="344"/>
      <c r="ELV3" s="344"/>
      <c r="ELW3" s="344"/>
      <c r="ELX3" s="344"/>
      <c r="ELY3" s="344"/>
      <c r="ELZ3" s="344"/>
      <c r="EMA3" s="344"/>
      <c r="EMB3" s="344"/>
      <c r="EMC3" s="344"/>
      <c r="EMD3" s="344"/>
      <c r="EME3" s="344"/>
      <c r="EMF3" s="344"/>
      <c r="EMG3" s="344"/>
      <c r="EMH3" s="344"/>
      <c r="EMI3" s="344"/>
      <c r="EMJ3" s="344"/>
      <c r="EMK3" s="344"/>
      <c r="EML3" s="344"/>
      <c r="EMM3" s="344"/>
      <c r="EMN3" s="344"/>
      <c r="EMO3" s="344"/>
      <c r="EMP3" s="344"/>
      <c r="EMQ3" s="344"/>
      <c r="EMR3" s="344"/>
      <c r="EMS3" s="344"/>
      <c r="EMT3" s="344"/>
      <c r="EMU3" s="344"/>
      <c r="EMV3" s="344"/>
      <c r="EMW3" s="344"/>
      <c r="EMX3" s="344"/>
      <c r="EMY3" s="344"/>
      <c r="EMZ3" s="344"/>
      <c r="ENA3" s="344"/>
      <c r="ENB3" s="344"/>
      <c r="ENC3" s="344"/>
      <c r="END3" s="344"/>
      <c r="ENE3" s="344"/>
      <c r="ENF3" s="344"/>
      <c r="ENG3" s="344"/>
      <c r="ENH3" s="344"/>
      <c r="ENI3" s="344"/>
      <c r="ENJ3" s="344"/>
      <c r="ENK3" s="344"/>
      <c r="ENL3" s="344"/>
      <c r="ENM3" s="344"/>
      <c r="ENN3" s="344"/>
      <c r="ENO3" s="344"/>
      <c r="ENP3" s="344"/>
      <c r="ENQ3" s="344"/>
      <c r="ENR3" s="344"/>
      <c r="ENS3" s="344"/>
      <c r="ENT3" s="344"/>
      <c r="ENU3" s="344"/>
      <c r="ENV3" s="344"/>
      <c r="ENW3" s="344"/>
      <c r="ENX3" s="344"/>
      <c r="ENY3" s="344"/>
      <c r="ENZ3" s="344"/>
      <c r="EOA3" s="344"/>
      <c r="EOB3" s="344"/>
      <c r="EOC3" s="344"/>
      <c r="EOD3" s="344"/>
      <c r="EOE3" s="344"/>
      <c r="EOF3" s="344"/>
      <c r="EOG3" s="344"/>
      <c r="EOH3" s="344"/>
      <c r="EOI3" s="344"/>
      <c r="EOJ3" s="344"/>
      <c r="EOK3" s="344"/>
      <c r="EOL3" s="344"/>
      <c r="EOM3" s="344"/>
      <c r="EON3" s="344"/>
      <c r="EOO3" s="344"/>
      <c r="EOP3" s="344"/>
      <c r="EOQ3" s="344"/>
      <c r="EOR3" s="344"/>
      <c r="EOS3" s="344"/>
      <c r="EOT3" s="344"/>
      <c r="EOU3" s="344"/>
      <c r="EOV3" s="344"/>
      <c r="EOW3" s="344"/>
      <c r="EOX3" s="344"/>
      <c r="EOY3" s="344"/>
      <c r="EOZ3" s="344"/>
      <c r="EPA3" s="344"/>
      <c r="EPB3" s="344"/>
      <c r="EPC3" s="344"/>
      <c r="EPD3" s="344"/>
      <c r="EPE3" s="344"/>
      <c r="EPF3" s="344"/>
      <c r="EPG3" s="344"/>
      <c r="EPH3" s="344"/>
      <c r="EPI3" s="344"/>
      <c r="EPJ3" s="344"/>
      <c r="EPK3" s="344"/>
      <c r="EPL3" s="344"/>
      <c r="EPM3" s="344"/>
      <c r="EPN3" s="344"/>
      <c r="EPO3" s="344"/>
      <c r="EPP3" s="344"/>
      <c r="EPQ3" s="344"/>
      <c r="EPR3" s="344"/>
      <c r="EPS3" s="344"/>
      <c r="EPT3" s="344"/>
      <c r="EPU3" s="344"/>
      <c r="EPV3" s="344"/>
      <c r="EPW3" s="344"/>
      <c r="EPX3" s="344"/>
      <c r="EPY3" s="344"/>
      <c r="EPZ3" s="344"/>
      <c r="EQA3" s="344"/>
      <c r="EQB3" s="344"/>
      <c r="EQC3" s="344"/>
      <c r="EQD3" s="344"/>
      <c r="EQE3" s="344"/>
      <c r="EQF3" s="344"/>
      <c r="EQG3" s="344"/>
      <c r="EQH3" s="344"/>
      <c r="EQI3" s="344"/>
      <c r="EQJ3" s="344"/>
      <c r="EQK3" s="344"/>
      <c r="EQL3" s="344"/>
      <c r="EQM3" s="344"/>
      <c r="EQN3" s="344"/>
      <c r="EQO3" s="344"/>
      <c r="EQP3" s="344"/>
      <c r="EQQ3" s="344"/>
      <c r="EQR3" s="344"/>
      <c r="EQS3" s="344"/>
      <c r="EQT3" s="344"/>
      <c r="EQU3" s="344"/>
      <c r="EQV3" s="344"/>
      <c r="EQW3" s="344"/>
      <c r="EQX3" s="344"/>
      <c r="EQY3" s="344"/>
      <c r="EQZ3" s="344"/>
      <c r="ERA3" s="344"/>
      <c r="ERB3" s="344"/>
      <c r="ERC3" s="344"/>
      <c r="ERD3" s="344"/>
      <c r="ERE3" s="344"/>
      <c r="ERF3" s="344"/>
      <c r="ERG3" s="344"/>
      <c r="ERH3" s="344"/>
      <c r="ERI3" s="344"/>
      <c r="ERJ3" s="344"/>
      <c r="ERK3" s="344"/>
      <c r="ERL3" s="344"/>
      <c r="ERM3" s="344"/>
      <c r="ERN3" s="344"/>
      <c r="ERO3" s="344"/>
      <c r="ERP3" s="344"/>
      <c r="ERQ3" s="344"/>
      <c r="ERR3" s="344"/>
      <c r="ERS3" s="344"/>
      <c r="ERT3" s="344"/>
      <c r="ERU3" s="344"/>
      <c r="ERV3" s="344"/>
      <c r="ERW3" s="344"/>
      <c r="ERX3" s="344"/>
      <c r="ERY3" s="344"/>
      <c r="ERZ3" s="344"/>
      <c r="ESA3" s="344"/>
      <c r="ESB3" s="344"/>
      <c r="ESC3" s="344"/>
      <c r="ESD3" s="344"/>
      <c r="ESE3" s="344"/>
      <c r="ESF3" s="344"/>
      <c r="ESG3" s="344"/>
      <c r="ESH3" s="344"/>
      <c r="ESI3" s="344"/>
      <c r="ESJ3" s="344"/>
      <c r="ESK3" s="344"/>
      <c r="ESL3" s="344"/>
      <c r="ESM3" s="344"/>
      <c r="ESN3" s="344"/>
      <c r="ESO3" s="344"/>
      <c r="ESP3" s="344"/>
      <c r="ESQ3" s="344"/>
      <c r="ESR3" s="344"/>
      <c r="ESS3" s="344"/>
      <c r="EST3" s="344"/>
      <c r="ESU3" s="344"/>
      <c r="ESV3" s="344"/>
      <c r="ESW3" s="344"/>
      <c r="ESX3" s="344"/>
      <c r="ESY3" s="344"/>
      <c r="ESZ3" s="344"/>
      <c r="ETA3" s="344"/>
      <c r="ETB3" s="344"/>
      <c r="ETC3" s="344"/>
      <c r="ETD3" s="344"/>
      <c r="ETE3" s="344"/>
      <c r="ETF3" s="344"/>
      <c r="ETG3" s="344"/>
      <c r="ETH3" s="344"/>
      <c r="ETI3" s="344"/>
      <c r="ETJ3" s="344"/>
      <c r="ETK3" s="344"/>
      <c r="ETL3" s="344"/>
      <c r="ETM3" s="344"/>
      <c r="ETN3" s="344"/>
      <c r="ETO3" s="344"/>
      <c r="ETP3" s="344"/>
      <c r="ETQ3" s="344"/>
      <c r="ETR3" s="344"/>
      <c r="ETS3" s="344"/>
      <c r="ETT3" s="344"/>
      <c r="ETU3" s="344"/>
      <c r="ETV3" s="344"/>
      <c r="ETW3" s="344"/>
      <c r="ETX3" s="344"/>
      <c r="ETY3" s="344"/>
      <c r="ETZ3" s="344"/>
      <c r="EUA3" s="344"/>
      <c r="EUB3" s="344"/>
      <c r="EUC3" s="344"/>
      <c r="EUD3" s="344"/>
      <c r="EUE3" s="344"/>
      <c r="EUF3" s="344"/>
      <c r="EUG3" s="344"/>
      <c r="EUH3" s="344"/>
      <c r="EUI3" s="344"/>
      <c r="EUJ3" s="344"/>
      <c r="EUK3" s="344"/>
      <c r="EUL3" s="344"/>
      <c r="EUM3" s="344"/>
      <c r="EUN3" s="344"/>
      <c r="EUO3" s="344"/>
      <c r="EUP3" s="344"/>
      <c r="EUQ3" s="344"/>
      <c r="EUR3" s="344"/>
      <c r="EUS3" s="344"/>
      <c r="EUT3" s="344"/>
      <c r="EUU3" s="344"/>
      <c r="EUV3" s="344"/>
      <c r="EUW3" s="344"/>
      <c r="EUX3" s="344"/>
      <c r="EUY3" s="344"/>
      <c r="EUZ3" s="344"/>
      <c r="EVA3" s="344"/>
      <c r="EVB3" s="344"/>
      <c r="EVC3" s="344"/>
      <c r="EVD3" s="344"/>
      <c r="EVE3" s="344"/>
      <c r="EVF3" s="344"/>
      <c r="EVG3" s="344"/>
      <c r="EVH3" s="344"/>
      <c r="EVI3" s="344"/>
      <c r="EVJ3" s="344"/>
      <c r="EVK3" s="344"/>
      <c r="EVL3" s="344"/>
      <c r="EVM3" s="344"/>
      <c r="EVN3" s="344"/>
      <c r="EVO3" s="344"/>
      <c r="EVP3" s="344"/>
      <c r="EVQ3" s="344"/>
      <c r="EVR3" s="344"/>
      <c r="EVS3" s="344"/>
      <c r="EVT3" s="344"/>
      <c r="EVU3" s="344"/>
      <c r="EVV3" s="344"/>
      <c r="EVW3" s="344"/>
      <c r="EVX3" s="344"/>
      <c r="EVY3" s="344"/>
      <c r="EVZ3" s="344"/>
      <c r="EWA3" s="344"/>
      <c r="EWB3" s="344"/>
      <c r="EWC3" s="344"/>
      <c r="EWD3" s="344"/>
      <c r="EWE3" s="344"/>
      <c r="EWF3" s="344"/>
      <c r="EWG3" s="344"/>
      <c r="EWH3" s="344"/>
      <c r="EWI3" s="344"/>
      <c r="EWJ3" s="344"/>
      <c r="EWK3" s="344"/>
      <c r="EWL3" s="344"/>
      <c r="EWM3" s="344"/>
      <c r="EWN3" s="344"/>
      <c r="EWO3" s="344"/>
      <c r="EWP3" s="344"/>
      <c r="EWQ3" s="344"/>
      <c r="EWR3" s="344"/>
      <c r="EWS3" s="344"/>
      <c r="EWT3" s="344"/>
      <c r="EWU3" s="344"/>
      <c r="EWV3" s="344"/>
      <c r="EWW3" s="344"/>
      <c r="EWX3" s="344"/>
      <c r="EWY3" s="344"/>
      <c r="EWZ3" s="344"/>
      <c r="EXA3" s="344"/>
      <c r="EXB3" s="344"/>
      <c r="EXC3" s="344"/>
      <c r="EXD3" s="344"/>
      <c r="EXE3" s="344"/>
      <c r="EXF3" s="344"/>
      <c r="EXG3" s="344"/>
      <c r="EXH3" s="344"/>
      <c r="EXI3" s="344"/>
      <c r="EXJ3" s="344"/>
      <c r="EXK3" s="344"/>
      <c r="EXL3" s="344"/>
      <c r="EXM3" s="344"/>
      <c r="EXN3" s="344"/>
      <c r="EXO3" s="344"/>
      <c r="EXP3" s="344"/>
      <c r="EXQ3" s="344"/>
      <c r="EXR3" s="344"/>
      <c r="EXS3" s="344"/>
      <c r="EXT3" s="344"/>
      <c r="EXU3" s="344"/>
      <c r="EXV3" s="344"/>
      <c r="EXW3" s="344"/>
      <c r="EXX3" s="344"/>
      <c r="EXY3" s="344"/>
      <c r="EXZ3" s="344"/>
      <c r="EYA3" s="344"/>
      <c r="EYB3" s="344"/>
      <c r="EYC3" s="344"/>
      <c r="EYD3" s="344"/>
      <c r="EYE3" s="344"/>
      <c r="EYF3" s="344"/>
      <c r="EYG3" s="344"/>
      <c r="EYH3" s="344"/>
      <c r="EYI3" s="344"/>
      <c r="EYJ3" s="344"/>
      <c r="EYK3" s="344"/>
      <c r="EYL3" s="344"/>
      <c r="EYM3" s="344"/>
      <c r="EYN3" s="344"/>
      <c r="EYO3" s="344"/>
      <c r="EYP3" s="344"/>
      <c r="EYQ3" s="344"/>
      <c r="EYR3" s="344"/>
      <c r="EYS3" s="344"/>
      <c r="EYT3" s="344"/>
      <c r="EYU3" s="344"/>
      <c r="EYV3" s="344"/>
      <c r="EYW3" s="344"/>
      <c r="EYX3" s="344"/>
      <c r="EYY3" s="344"/>
      <c r="EYZ3" s="344"/>
      <c r="EZA3" s="344"/>
      <c r="EZB3" s="344"/>
      <c r="EZC3" s="344"/>
      <c r="EZD3" s="344"/>
      <c r="EZE3" s="344"/>
      <c r="EZF3" s="344"/>
      <c r="EZG3" s="344"/>
      <c r="EZH3" s="344"/>
      <c r="EZI3" s="344"/>
      <c r="EZJ3" s="344"/>
      <c r="EZK3" s="344"/>
      <c r="EZL3" s="344"/>
      <c r="EZM3" s="344"/>
      <c r="EZN3" s="344"/>
      <c r="EZO3" s="344"/>
      <c r="EZP3" s="344"/>
      <c r="EZQ3" s="344"/>
      <c r="EZR3" s="344"/>
      <c r="EZS3" s="344"/>
      <c r="EZT3" s="344"/>
      <c r="EZU3" s="344"/>
      <c r="EZV3" s="344"/>
      <c r="EZW3" s="344"/>
      <c r="EZX3" s="344"/>
      <c r="EZY3" s="344"/>
      <c r="EZZ3" s="344"/>
      <c r="FAA3" s="344"/>
      <c r="FAB3" s="344"/>
      <c r="FAC3" s="344"/>
      <c r="FAD3" s="344"/>
      <c r="FAE3" s="344"/>
      <c r="FAF3" s="344"/>
      <c r="FAG3" s="344"/>
      <c r="FAH3" s="344"/>
      <c r="FAI3" s="344"/>
      <c r="FAJ3" s="344"/>
      <c r="FAK3" s="344"/>
      <c r="FAL3" s="344"/>
      <c r="FAM3" s="344"/>
      <c r="FAN3" s="344"/>
      <c r="FAO3" s="344"/>
      <c r="FAP3" s="344"/>
      <c r="FAQ3" s="344"/>
      <c r="FAR3" s="344"/>
      <c r="FAS3" s="344"/>
      <c r="FAT3" s="344"/>
      <c r="FAU3" s="344"/>
      <c r="FAV3" s="344"/>
      <c r="FAW3" s="344"/>
      <c r="FAX3" s="344"/>
      <c r="FAY3" s="344"/>
      <c r="FAZ3" s="344"/>
      <c r="FBA3" s="344"/>
      <c r="FBB3" s="344"/>
      <c r="FBC3" s="344"/>
      <c r="FBD3" s="344"/>
      <c r="FBE3" s="344"/>
      <c r="FBF3" s="344"/>
      <c r="FBG3" s="344"/>
      <c r="FBH3" s="344"/>
      <c r="FBI3" s="344"/>
      <c r="FBJ3" s="344"/>
      <c r="FBK3" s="344"/>
      <c r="FBL3" s="344"/>
      <c r="FBM3" s="344"/>
      <c r="FBN3" s="344"/>
      <c r="FBO3" s="344"/>
      <c r="FBP3" s="344"/>
      <c r="FBQ3" s="344"/>
      <c r="FBR3" s="344"/>
      <c r="FBS3" s="344"/>
      <c r="FBT3" s="344"/>
      <c r="FBU3" s="344"/>
      <c r="FBV3" s="344"/>
      <c r="FBW3" s="344"/>
      <c r="FBX3" s="344"/>
      <c r="FBY3" s="344"/>
      <c r="FBZ3" s="344"/>
      <c r="FCA3" s="344"/>
      <c r="FCB3" s="344"/>
      <c r="FCC3" s="344"/>
      <c r="FCD3" s="344"/>
      <c r="FCE3" s="344"/>
      <c r="FCF3" s="344"/>
      <c r="FCG3" s="344"/>
      <c r="FCH3" s="344"/>
      <c r="FCI3" s="344"/>
      <c r="FCJ3" s="344"/>
      <c r="FCK3" s="344"/>
      <c r="FCL3" s="344"/>
      <c r="FCM3" s="344"/>
      <c r="FCN3" s="344"/>
      <c r="FCO3" s="344"/>
      <c r="FCP3" s="344"/>
      <c r="FCQ3" s="344"/>
      <c r="FCR3" s="344"/>
      <c r="FCS3" s="344"/>
      <c r="FCT3" s="344"/>
      <c r="FCU3" s="344"/>
      <c r="FCV3" s="344"/>
      <c r="FCW3" s="344"/>
      <c r="FCX3" s="344"/>
      <c r="FCY3" s="344"/>
      <c r="FCZ3" s="344"/>
      <c r="FDA3" s="344"/>
      <c r="FDB3" s="344"/>
      <c r="FDC3" s="344"/>
      <c r="FDD3" s="344"/>
      <c r="FDE3" s="344"/>
      <c r="FDF3" s="344"/>
      <c r="FDG3" s="344"/>
      <c r="FDH3" s="344"/>
      <c r="FDI3" s="344"/>
      <c r="FDJ3" s="344"/>
      <c r="FDK3" s="344"/>
      <c r="FDL3" s="344"/>
      <c r="FDM3" s="344"/>
      <c r="FDN3" s="344"/>
      <c r="FDO3" s="344"/>
      <c r="FDP3" s="344"/>
      <c r="FDQ3" s="344"/>
      <c r="FDR3" s="344"/>
      <c r="FDS3" s="344"/>
      <c r="FDT3" s="344"/>
      <c r="FDU3" s="344"/>
      <c r="FDV3" s="344"/>
      <c r="FDW3" s="344"/>
      <c r="FDX3" s="344"/>
      <c r="FDY3" s="344"/>
      <c r="FDZ3" s="344"/>
      <c r="FEA3" s="344"/>
      <c r="FEB3" s="344"/>
      <c r="FEC3" s="344"/>
      <c r="FED3" s="344"/>
      <c r="FEE3" s="344"/>
      <c r="FEF3" s="344"/>
      <c r="FEG3" s="344"/>
      <c r="FEH3" s="344"/>
      <c r="FEI3" s="344"/>
      <c r="FEJ3" s="344"/>
      <c r="FEK3" s="344"/>
      <c r="FEL3" s="344"/>
      <c r="FEM3" s="344"/>
      <c r="FEN3" s="344"/>
      <c r="FEO3" s="344"/>
      <c r="FEP3" s="344"/>
      <c r="FEQ3" s="344"/>
      <c r="FER3" s="344"/>
      <c r="FES3" s="344"/>
      <c r="FET3" s="344"/>
      <c r="FEU3" s="344"/>
      <c r="FEV3" s="344"/>
      <c r="FEW3" s="344"/>
      <c r="FEX3" s="344"/>
      <c r="FEY3" s="344"/>
      <c r="FEZ3" s="344"/>
      <c r="FFA3" s="344"/>
      <c r="FFB3" s="344"/>
      <c r="FFC3" s="344"/>
      <c r="FFD3" s="344"/>
      <c r="FFE3" s="344"/>
      <c r="FFF3" s="344"/>
      <c r="FFG3" s="344"/>
      <c r="FFH3" s="344"/>
      <c r="FFI3" s="344"/>
      <c r="FFJ3" s="344"/>
      <c r="FFK3" s="344"/>
      <c r="FFL3" s="344"/>
      <c r="FFM3" s="344"/>
      <c r="FFN3" s="344"/>
      <c r="FFO3" s="344"/>
      <c r="FFP3" s="344"/>
      <c r="FFQ3" s="344"/>
      <c r="FFR3" s="344"/>
      <c r="FFS3" s="344"/>
      <c r="FFT3" s="344"/>
      <c r="FFU3" s="344"/>
      <c r="FFV3" s="344"/>
      <c r="FFW3" s="344"/>
      <c r="FFX3" s="344"/>
      <c r="FFY3" s="344"/>
      <c r="FFZ3" s="344"/>
      <c r="FGA3" s="344"/>
      <c r="FGB3" s="344"/>
      <c r="FGC3" s="344"/>
      <c r="FGD3" s="344"/>
      <c r="FGE3" s="344"/>
      <c r="FGF3" s="344"/>
      <c r="FGG3" s="344"/>
      <c r="FGH3" s="344"/>
      <c r="FGI3" s="344"/>
      <c r="FGJ3" s="344"/>
      <c r="FGK3" s="344"/>
      <c r="FGL3" s="344"/>
      <c r="FGM3" s="344"/>
      <c r="FGN3" s="344"/>
      <c r="FGO3" s="344"/>
      <c r="FGP3" s="344"/>
      <c r="FGQ3" s="344"/>
      <c r="FGR3" s="344"/>
      <c r="FGS3" s="344"/>
      <c r="FGT3" s="344"/>
      <c r="FGU3" s="344"/>
      <c r="FGV3" s="344"/>
      <c r="FGW3" s="344"/>
      <c r="FGX3" s="344"/>
      <c r="FGY3" s="344"/>
      <c r="FGZ3" s="344"/>
      <c r="FHA3" s="344"/>
      <c r="FHB3" s="344"/>
      <c r="FHC3" s="344"/>
      <c r="FHD3" s="344"/>
      <c r="FHE3" s="344"/>
      <c r="FHF3" s="344"/>
      <c r="FHG3" s="344"/>
      <c r="FHH3" s="344"/>
      <c r="FHI3" s="344"/>
      <c r="FHJ3" s="344"/>
      <c r="FHK3" s="344"/>
      <c r="FHL3" s="344"/>
      <c r="FHM3" s="344"/>
      <c r="FHN3" s="344"/>
      <c r="FHO3" s="344"/>
      <c r="FHP3" s="344"/>
      <c r="FHQ3" s="344"/>
      <c r="FHR3" s="344"/>
      <c r="FHS3" s="344"/>
      <c r="FHT3" s="344"/>
      <c r="FHU3" s="344"/>
      <c r="FHV3" s="344"/>
      <c r="FHW3" s="344"/>
      <c r="FHX3" s="344"/>
      <c r="FHY3" s="344"/>
      <c r="FHZ3" s="344"/>
      <c r="FIA3" s="344"/>
      <c r="FIB3" s="344"/>
      <c r="FIC3" s="344"/>
      <c r="FID3" s="344"/>
      <c r="FIE3" s="344"/>
      <c r="FIF3" s="344"/>
      <c r="FIG3" s="344"/>
      <c r="FIH3" s="344"/>
      <c r="FII3" s="344"/>
      <c r="FIJ3" s="344"/>
      <c r="FIK3" s="344"/>
      <c r="FIL3" s="344"/>
      <c r="FIM3" s="344"/>
      <c r="FIN3" s="344"/>
      <c r="FIO3" s="344"/>
      <c r="FIP3" s="344"/>
      <c r="FIQ3" s="344"/>
      <c r="FIR3" s="344"/>
      <c r="FIS3" s="344"/>
      <c r="FIT3" s="344"/>
      <c r="FIU3" s="344"/>
      <c r="FIV3" s="344"/>
      <c r="FIW3" s="344"/>
      <c r="FIX3" s="344"/>
      <c r="FIY3" s="344"/>
      <c r="FIZ3" s="344"/>
      <c r="FJA3" s="344"/>
      <c r="FJB3" s="344"/>
      <c r="FJC3" s="344"/>
      <c r="FJD3" s="344"/>
      <c r="FJE3" s="344"/>
      <c r="FJF3" s="344"/>
      <c r="FJG3" s="344"/>
      <c r="FJH3" s="344"/>
      <c r="FJI3" s="344"/>
      <c r="FJJ3" s="344"/>
      <c r="FJK3" s="344"/>
      <c r="FJL3" s="344"/>
      <c r="FJM3" s="344"/>
      <c r="FJN3" s="344"/>
      <c r="FJO3" s="344"/>
      <c r="FJP3" s="344"/>
      <c r="FJQ3" s="344"/>
      <c r="FJR3" s="344"/>
      <c r="FJS3" s="344"/>
      <c r="FJT3" s="344"/>
      <c r="FJU3" s="344"/>
      <c r="FJV3" s="344"/>
      <c r="FJW3" s="344"/>
      <c r="FJX3" s="344"/>
      <c r="FJY3" s="344"/>
      <c r="FJZ3" s="344"/>
      <c r="FKA3" s="344"/>
      <c r="FKB3" s="344"/>
      <c r="FKC3" s="344"/>
      <c r="FKD3" s="344"/>
      <c r="FKE3" s="344"/>
      <c r="FKF3" s="344"/>
      <c r="FKG3" s="344"/>
      <c r="FKH3" s="344"/>
      <c r="FKI3" s="344"/>
      <c r="FKJ3" s="344"/>
      <c r="FKK3" s="344"/>
      <c r="FKL3" s="344"/>
      <c r="FKM3" s="344"/>
      <c r="FKN3" s="344"/>
      <c r="FKO3" s="344"/>
      <c r="FKP3" s="344"/>
      <c r="FKQ3" s="344"/>
      <c r="FKR3" s="344"/>
      <c r="FKS3" s="344"/>
      <c r="FKT3" s="344"/>
      <c r="FKU3" s="344"/>
      <c r="FKV3" s="344"/>
      <c r="FKW3" s="344"/>
      <c r="FKX3" s="344"/>
      <c r="FKY3" s="344"/>
      <c r="FKZ3" s="344"/>
      <c r="FLA3" s="344"/>
      <c r="FLB3" s="344"/>
      <c r="FLC3" s="344"/>
      <c r="FLD3" s="344"/>
      <c r="FLE3" s="344"/>
      <c r="FLF3" s="344"/>
      <c r="FLG3" s="344"/>
      <c r="FLH3" s="344"/>
      <c r="FLI3" s="344"/>
      <c r="FLJ3" s="344"/>
      <c r="FLK3" s="344"/>
      <c r="FLL3" s="344"/>
      <c r="FLM3" s="344"/>
      <c r="FLN3" s="344"/>
      <c r="FLO3" s="344"/>
      <c r="FLP3" s="344"/>
      <c r="FLQ3" s="344"/>
      <c r="FLR3" s="344"/>
      <c r="FLS3" s="344"/>
      <c r="FLT3" s="344"/>
      <c r="FLU3" s="344"/>
      <c r="FLV3" s="344"/>
      <c r="FLW3" s="344"/>
      <c r="FLX3" s="344"/>
      <c r="FLY3" s="344"/>
      <c r="FLZ3" s="344"/>
      <c r="FMA3" s="344"/>
      <c r="FMB3" s="344"/>
      <c r="FMC3" s="344"/>
      <c r="FMD3" s="344"/>
      <c r="FME3" s="344"/>
      <c r="FMF3" s="344"/>
      <c r="FMG3" s="344"/>
      <c r="FMH3" s="344"/>
      <c r="FMI3" s="344"/>
      <c r="FMJ3" s="344"/>
      <c r="FMK3" s="344"/>
      <c r="FML3" s="344"/>
      <c r="FMM3" s="344"/>
      <c r="FMN3" s="344"/>
      <c r="FMO3" s="344"/>
      <c r="FMP3" s="344"/>
      <c r="FMQ3" s="344"/>
      <c r="FMR3" s="344"/>
      <c r="FMS3" s="344"/>
      <c r="FMT3" s="344"/>
      <c r="FMU3" s="344"/>
      <c r="FMV3" s="344"/>
      <c r="FMW3" s="344"/>
      <c r="FMX3" s="344"/>
      <c r="FMY3" s="344"/>
      <c r="FMZ3" s="344"/>
      <c r="FNA3" s="344"/>
      <c r="FNB3" s="344"/>
      <c r="FNC3" s="344"/>
      <c r="FND3" s="344"/>
      <c r="FNE3" s="344"/>
      <c r="FNF3" s="344"/>
      <c r="FNG3" s="344"/>
      <c r="FNH3" s="344"/>
      <c r="FNI3" s="344"/>
      <c r="FNJ3" s="344"/>
      <c r="FNK3" s="344"/>
      <c r="FNL3" s="344"/>
      <c r="FNM3" s="344"/>
      <c r="FNN3" s="344"/>
      <c r="FNO3" s="344"/>
      <c r="FNP3" s="344"/>
      <c r="FNQ3" s="344"/>
      <c r="FNR3" s="344"/>
      <c r="FNS3" s="344"/>
      <c r="FNT3" s="344"/>
      <c r="FNU3" s="344"/>
      <c r="FNV3" s="344"/>
      <c r="FNW3" s="344"/>
      <c r="FNX3" s="344"/>
      <c r="FNY3" s="344"/>
      <c r="FNZ3" s="344"/>
      <c r="FOA3" s="344"/>
      <c r="FOB3" s="344"/>
      <c r="FOC3" s="344"/>
      <c r="FOD3" s="344"/>
      <c r="FOE3" s="344"/>
      <c r="FOF3" s="344"/>
      <c r="FOG3" s="344"/>
      <c r="FOH3" s="344"/>
      <c r="FOI3" s="344"/>
      <c r="FOJ3" s="344"/>
      <c r="FOK3" s="344"/>
      <c r="FOL3" s="344"/>
      <c r="FOM3" s="344"/>
      <c r="FON3" s="344"/>
      <c r="FOO3" s="344"/>
      <c r="FOP3" s="344"/>
      <c r="FOQ3" s="344"/>
      <c r="FOR3" s="344"/>
      <c r="FOS3" s="344"/>
      <c r="FOT3" s="344"/>
      <c r="FOU3" s="344"/>
      <c r="FOV3" s="344"/>
      <c r="FOW3" s="344"/>
      <c r="FOX3" s="344"/>
      <c r="FOY3" s="344"/>
      <c r="FOZ3" s="344"/>
      <c r="FPA3" s="344"/>
      <c r="FPB3" s="344"/>
      <c r="FPC3" s="344"/>
      <c r="FPD3" s="344"/>
      <c r="FPE3" s="344"/>
      <c r="FPF3" s="344"/>
      <c r="FPG3" s="344"/>
      <c r="FPH3" s="344"/>
      <c r="FPI3" s="344"/>
      <c r="FPJ3" s="344"/>
      <c r="FPK3" s="344"/>
      <c r="FPL3" s="344"/>
      <c r="FPM3" s="344"/>
      <c r="FPN3" s="344"/>
      <c r="FPO3" s="344"/>
      <c r="FPP3" s="344"/>
      <c r="FPQ3" s="344"/>
      <c r="FPR3" s="344"/>
      <c r="FPS3" s="344"/>
      <c r="FPT3" s="344"/>
      <c r="FPU3" s="344"/>
      <c r="FPV3" s="344"/>
      <c r="FPW3" s="344"/>
      <c r="FPX3" s="344"/>
      <c r="FPY3" s="344"/>
      <c r="FPZ3" s="344"/>
      <c r="FQA3" s="344"/>
      <c r="FQB3" s="344"/>
      <c r="FQC3" s="344"/>
      <c r="FQD3" s="344"/>
      <c r="FQE3" s="344"/>
      <c r="FQF3" s="344"/>
      <c r="FQG3" s="344"/>
      <c r="FQH3" s="344"/>
      <c r="FQI3" s="344"/>
      <c r="FQJ3" s="344"/>
      <c r="FQK3" s="344"/>
      <c r="FQL3" s="344"/>
      <c r="FQM3" s="344"/>
      <c r="FQN3" s="344"/>
      <c r="FQO3" s="344"/>
      <c r="FQP3" s="344"/>
      <c r="FQQ3" s="344"/>
      <c r="FQR3" s="344"/>
      <c r="FQS3" s="344"/>
      <c r="FQT3" s="344"/>
      <c r="FQU3" s="344"/>
      <c r="FQV3" s="344"/>
      <c r="FQW3" s="344"/>
      <c r="FQX3" s="344"/>
      <c r="FQY3" s="344"/>
      <c r="FQZ3" s="344"/>
      <c r="FRA3" s="344"/>
      <c r="FRB3" s="344"/>
      <c r="FRC3" s="344"/>
      <c r="FRD3" s="344"/>
      <c r="FRE3" s="344"/>
      <c r="FRF3" s="344"/>
      <c r="FRG3" s="344"/>
      <c r="FRH3" s="344"/>
      <c r="FRI3" s="344"/>
      <c r="FRJ3" s="344"/>
      <c r="FRK3" s="344"/>
      <c r="FRL3" s="344"/>
      <c r="FRM3" s="344"/>
      <c r="FRN3" s="344"/>
      <c r="FRO3" s="344"/>
      <c r="FRP3" s="344"/>
      <c r="FRQ3" s="344"/>
      <c r="FRR3" s="344"/>
      <c r="FRS3" s="344"/>
      <c r="FRT3" s="344"/>
      <c r="FRU3" s="344"/>
      <c r="FRV3" s="344"/>
      <c r="FRW3" s="344"/>
      <c r="FRX3" s="344"/>
      <c r="FRY3" s="344"/>
      <c r="FRZ3" s="344"/>
      <c r="FSA3" s="344"/>
      <c r="FSB3" s="344"/>
      <c r="FSC3" s="344"/>
      <c r="FSD3" s="344"/>
      <c r="FSE3" s="344"/>
      <c r="FSF3" s="344"/>
      <c r="FSG3" s="344"/>
      <c r="FSH3" s="344"/>
      <c r="FSI3" s="344"/>
      <c r="FSJ3" s="344"/>
      <c r="FSK3" s="344"/>
      <c r="FSL3" s="344"/>
      <c r="FSM3" s="344"/>
      <c r="FSN3" s="344"/>
      <c r="FSO3" s="344"/>
      <c r="FSP3" s="344"/>
      <c r="FSQ3" s="344"/>
      <c r="FSR3" s="344"/>
      <c r="FSS3" s="344"/>
      <c r="FST3" s="344"/>
      <c r="FSU3" s="344"/>
      <c r="FSV3" s="344"/>
      <c r="FSW3" s="344"/>
      <c r="FSX3" s="344"/>
      <c r="FSY3" s="344"/>
      <c r="FSZ3" s="344"/>
      <c r="FTA3" s="344"/>
      <c r="FTB3" s="344"/>
      <c r="FTC3" s="344"/>
      <c r="FTD3" s="344"/>
      <c r="FTE3" s="344"/>
      <c r="FTF3" s="344"/>
      <c r="FTG3" s="344"/>
      <c r="FTH3" s="344"/>
      <c r="FTI3" s="344"/>
      <c r="FTJ3" s="344"/>
      <c r="FTK3" s="344"/>
      <c r="FTL3" s="344"/>
      <c r="FTM3" s="344"/>
      <c r="FTN3" s="344"/>
      <c r="FTO3" s="344"/>
      <c r="FTP3" s="344"/>
      <c r="FTQ3" s="344"/>
      <c r="FTR3" s="344"/>
      <c r="FTS3" s="344"/>
      <c r="FTT3" s="344"/>
      <c r="FTU3" s="344"/>
      <c r="FTV3" s="344"/>
      <c r="FTW3" s="344"/>
      <c r="FTX3" s="344"/>
      <c r="FTY3" s="344"/>
      <c r="FTZ3" s="344"/>
      <c r="FUA3" s="344"/>
      <c r="FUB3" s="344"/>
      <c r="FUC3" s="344"/>
      <c r="FUD3" s="344"/>
      <c r="FUE3" s="344"/>
      <c r="FUF3" s="344"/>
      <c r="FUG3" s="344"/>
      <c r="FUH3" s="344"/>
      <c r="FUI3" s="344"/>
      <c r="FUJ3" s="344"/>
      <c r="FUK3" s="344"/>
      <c r="FUL3" s="344"/>
      <c r="FUM3" s="344"/>
      <c r="FUN3" s="344"/>
      <c r="FUO3" s="344"/>
      <c r="FUP3" s="344"/>
      <c r="FUQ3" s="344"/>
      <c r="FUR3" s="344"/>
      <c r="FUS3" s="344"/>
      <c r="FUT3" s="344"/>
      <c r="FUU3" s="344"/>
      <c r="FUV3" s="344"/>
      <c r="FUW3" s="344"/>
      <c r="FUX3" s="344"/>
      <c r="FUY3" s="344"/>
      <c r="FUZ3" s="344"/>
      <c r="FVA3" s="344"/>
      <c r="FVB3" s="344"/>
      <c r="FVC3" s="344"/>
      <c r="FVD3" s="344"/>
      <c r="FVE3" s="344"/>
      <c r="FVF3" s="344"/>
      <c r="FVG3" s="344"/>
      <c r="FVH3" s="344"/>
      <c r="FVI3" s="344"/>
      <c r="FVJ3" s="344"/>
      <c r="FVK3" s="344"/>
      <c r="FVL3" s="344"/>
      <c r="FVM3" s="344"/>
      <c r="FVN3" s="344"/>
      <c r="FVO3" s="344"/>
      <c r="FVP3" s="344"/>
      <c r="FVQ3" s="344"/>
      <c r="FVR3" s="344"/>
      <c r="FVS3" s="344"/>
      <c r="FVT3" s="344"/>
      <c r="FVU3" s="344"/>
      <c r="FVV3" s="344"/>
      <c r="FVW3" s="344"/>
      <c r="FVX3" s="344"/>
      <c r="FVY3" s="344"/>
      <c r="FVZ3" s="344"/>
      <c r="FWA3" s="344"/>
      <c r="FWB3" s="344"/>
      <c r="FWC3" s="344"/>
      <c r="FWD3" s="344"/>
      <c r="FWE3" s="344"/>
      <c r="FWF3" s="344"/>
      <c r="FWG3" s="344"/>
      <c r="FWH3" s="344"/>
      <c r="FWI3" s="344"/>
      <c r="FWJ3" s="344"/>
      <c r="FWK3" s="344"/>
      <c r="FWL3" s="344"/>
      <c r="FWM3" s="344"/>
      <c r="FWN3" s="344"/>
      <c r="FWO3" s="344"/>
      <c r="FWP3" s="344"/>
      <c r="FWQ3" s="344"/>
      <c r="FWR3" s="344"/>
      <c r="FWS3" s="344"/>
      <c r="FWT3" s="344"/>
      <c r="FWU3" s="344"/>
      <c r="FWV3" s="344"/>
      <c r="FWW3" s="344"/>
      <c r="FWX3" s="344"/>
      <c r="FWY3" s="344"/>
      <c r="FWZ3" s="344"/>
      <c r="FXA3" s="344"/>
      <c r="FXB3" s="344"/>
      <c r="FXC3" s="344"/>
      <c r="FXD3" s="344"/>
      <c r="FXE3" s="344"/>
      <c r="FXF3" s="344"/>
      <c r="FXG3" s="344"/>
      <c r="FXH3" s="344"/>
      <c r="FXI3" s="344"/>
      <c r="FXJ3" s="344"/>
      <c r="FXK3" s="344"/>
      <c r="FXL3" s="344"/>
      <c r="FXM3" s="344"/>
      <c r="FXN3" s="344"/>
      <c r="FXO3" s="344"/>
      <c r="FXP3" s="344"/>
      <c r="FXQ3" s="344"/>
      <c r="FXR3" s="344"/>
      <c r="FXS3" s="344"/>
      <c r="FXT3" s="344"/>
      <c r="FXU3" s="344"/>
      <c r="FXV3" s="344"/>
      <c r="FXW3" s="344"/>
      <c r="FXX3" s="344"/>
      <c r="FXY3" s="344"/>
      <c r="FXZ3" s="344"/>
      <c r="FYA3" s="344"/>
      <c r="FYB3" s="344"/>
      <c r="FYC3" s="344"/>
      <c r="FYD3" s="344"/>
      <c r="FYE3" s="344"/>
      <c r="FYF3" s="344"/>
      <c r="FYG3" s="344"/>
      <c r="FYH3" s="344"/>
      <c r="FYI3" s="344"/>
      <c r="FYJ3" s="344"/>
      <c r="FYK3" s="344"/>
      <c r="FYL3" s="344"/>
      <c r="FYM3" s="344"/>
      <c r="FYN3" s="344"/>
      <c r="FYO3" s="344"/>
      <c r="FYP3" s="344"/>
      <c r="FYQ3" s="344"/>
      <c r="FYR3" s="344"/>
      <c r="FYS3" s="344"/>
      <c r="FYT3" s="344"/>
      <c r="FYU3" s="344"/>
      <c r="FYV3" s="344"/>
      <c r="FYW3" s="344"/>
      <c r="FYX3" s="344"/>
      <c r="FYY3" s="344"/>
      <c r="FYZ3" s="344"/>
      <c r="FZA3" s="344"/>
      <c r="FZB3" s="344"/>
      <c r="FZC3" s="344"/>
      <c r="FZD3" s="344"/>
      <c r="FZE3" s="344"/>
      <c r="FZF3" s="344"/>
      <c r="FZG3" s="344"/>
      <c r="FZH3" s="344"/>
      <c r="FZI3" s="344"/>
      <c r="FZJ3" s="344"/>
      <c r="FZK3" s="344"/>
      <c r="FZL3" s="344"/>
      <c r="FZM3" s="344"/>
      <c r="FZN3" s="344"/>
      <c r="FZO3" s="344"/>
      <c r="FZP3" s="344"/>
      <c r="FZQ3" s="344"/>
      <c r="FZR3" s="344"/>
      <c r="FZS3" s="344"/>
      <c r="FZT3" s="344"/>
      <c r="FZU3" s="344"/>
      <c r="FZV3" s="344"/>
      <c r="FZW3" s="344"/>
      <c r="FZX3" s="344"/>
      <c r="FZY3" s="344"/>
      <c r="FZZ3" s="344"/>
      <c r="GAA3" s="344"/>
      <c r="GAB3" s="344"/>
      <c r="GAC3" s="344"/>
      <c r="GAD3" s="344"/>
      <c r="GAE3" s="344"/>
      <c r="GAF3" s="344"/>
      <c r="GAG3" s="344"/>
      <c r="GAH3" s="344"/>
      <c r="GAI3" s="344"/>
      <c r="GAJ3" s="344"/>
      <c r="GAK3" s="344"/>
      <c r="GAL3" s="344"/>
      <c r="GAM3" s="344"/>
      <c r="GAN3" s="344"/>
      <c r="GAO3" s="344"/>
      <c r="GAP3" s="344"/>
      <c r="GAQ3" s="344"/>
      <c r="GAR3" s="344"/>
      <c r="GAS3" s="344"/>
      <c r="GAT3" s="344"/>
      <c r="GAU3" s="344"/>
      <c r="GAV3" s="344"/>
      <c r="GAW3" s="344"/>
      <c r="GAX3" s="344"/>
      <c r="GAY3" s="344"/>
      <c r="GAZ3" s="344"/>
      <c r="GBA3" s="344"/>
      <c r="GBB3" s="344"/>
      <c r="GBC3" s="344"/>
      <c r="GBD3" s="344"/>
      <c r="GBE3" s="344"/>
      <c r="GBF3" s="344"/>
      <c r="GBG3" s="344"/>
      <c r="GBH3" s="344"/>
      <c r="GBI3" s="344"/>
      <c r="GBJ3" s="344"/>
      <c r="GBK3" s="344"/>
      <c r="GBL3" s="344"/>
      <c r="GBM3" s="344"/>
      <c r="GBN3" s="344"/>
      <c r="GBO3" s="344"/>
      <c r="GBP3" s="344"/>
      <c r="GBQ3" s="344"/>
      <c r="GBR3" s="344"/>
      <c r="GBS3" s="344"/>
      <c r="GBT3" s="344"/>
      <c r="GBU3" s="344"/>
      <c r="GBV3" s="344"/>
      <c r="GBW3" s="344"/>
      <c r="GBX3" s="344"/>
      <c r="GBY3" s="344"/>
      <c r="GBZ3" s="344"/>
      <c r="GCA3" s="344"/>
      <c r="GCB3" s="344"/>
      <c r="GCC3" s="344"/>
      <c r="GCD3" s="344"/>
      <c r="GCE3" s="344"/>
      <c r="GCF3" s="344"/>
      <c r="GCG3" s="344"/>
      <c r="GCH3" s="344"/>
      <c r="GCI3" s="344"/>
      <c r="GCJ3" s="344"/>
      <c r="GCK3" s="344"/>
      <c r="GCL3" s="344"/>
      <c r="GCM3" s="344"/>
      <c r="GCN3" s="344"/>
      <c r="GCO3" s="344"/>
      <c r="GCP3" s="344"/>
      <c r="GCQ3" s="344"/>
      <c r="GCR3" s="344"/>
      <c r="GCS3" s="344"/>
      <c r="GCT3" s="344"/>
      <c r="GCU3" s="344"/>
      <c r="GCV3" s="344"/>
      <c r="GCW3" s="344"/>
      <c r="GCX3" s="344"/>
      <c r="GCY3" s="344"/>
      <c r="GCZ3" s="344"/>
      <c r="GDA3" s="344"/>
      <c r="GDB3" s="344"/>
      <c r="GDC3" s="344"/>
      <c r="GDD3" s="344"/>
      <c r="GDE3" s="344"/>
      <c r="GDF3" s="344"/>
      <c r="GDG3" s="344"/>
      <c r="GDH3" s="344"/>
      <c r="GDI3" s="344"/>
      <c r="GDJ3" s="344"/>
      <c r="GDK3" s="344"/>
      <c r="GDL3" s="344"/>
      <c r="GDM3" s="344"/>
      <c r="GDN3" s="344"/>
      <c r="GDO3" s="344"/>
      <c r="GDP3" s="344"/>
      <c r="GDQ3" s="344"/>
      <c r="GDR3" s="344"/>
      <c r="GDS3" s="344"/>
      <c r="GDT3" s="344"/>
      <c r="GDU3" s="344"/>
      <c r="GDV3" s="344"/>
      <c r="GDW3" s="344"/>
      <c r="GDX3" s="344"/>
      <c r="GDY3" s="344"/>
      <c r="GDZ3" s="344"/>
      <c r="GEA3" s="344"/>
      <c r="GEB3" s="344"/>
      <c r="GEC3" s="344"/>
      <c r="GED3" s="344"/>
      <c r="GEE3" s="344"/>
      <c r="GEF3" s="344"/>
      <c r="GEG3" s="344"/>
      <c r="GEH3" s="344"/>
      <c r="GEI3" s="344"/>
      <c r="GEJ3" s="344"/>
      <c r="GEK3" s="344"/>
      <c r="GEL3" s="344"/>
      <c r="GEM3" s="344"/>
      <c r="GEN3" s="344"/>
      <c r="GEO3" s="344"/>
      <c r="GEP3" s="344"/>
      <c r="GEQ3" s="344"/>
      <c r="GER3" s="344"/>
      <c r="GES3" s="344"/>
      <c r="GET3" s="344"/>
      <c r="GEU3" s="344"/>
      <c r="GEV3" s="344"/>
      <c r="GEW3" s="344"/>
      <c r="GEX3" s="344"/>
      <c r="GEY3" s="344"/>
      <c r="GEZ3" s="344"/>
      <c r="GFA3" s="344"/>
      <c r="GFB3" s="344"/>
      <c r="GFC3" s="344"/>
      <c r="GFD3" s="344"/>
      <c r="GFE3" s="344"/>
      <c r="GFF3" s="344"/>
      <c r="GFG3" s="344"/>
      <c r="GFH3" s="344"/>
      <c r="GFI3" s="344"/>
      <c r="GFJ3" s="344"/>
      <c r="GFK3" s="344"/>
      <c r="GFL3" s="344"/>
      <c r="GFM3" s="344"/>
      <c r="GFN3" s="344"/>
      <c r="GFO3" s="344"/>
      <c r="GFP3" s="344"/>
      <c r="GFQ3" s="344"/>
      <c r="GFR3" s="344"/>
      <c r="GFS3" s="344"/>
      <c r="GFT3" s="344"/>
      <c r="GFU3" s="344"/>
      <c r="GFV3" s="344"/>
      <c r="GFW3" s="344"/>
      <c r="GFX3" s="344"/>
      <c r="GFY3" s="344"/>
      <c r="GFZ3" s="344"/>
      <c r="GGA3" s="344"/>
      <c r="GGB3" s="344"/>
      <c r="GGC3" s="344"/>
      <c r="GGD3" s="344"/>
      <c r="GGE3" s="344"/>
      <c r="GGF3" s="344"/>
      <c r="GGG3" s="344"/>
      <c r="GGH3" s="344"/>
      <c r="GGI3" s="344"/>
      <c r="GGJ3" s="344"/>
      <c r="GGK3" s="344"/>
      <c r="GGL3" s="344"/>
      <c r="GGM3" s="344"/>
      <c r="GGN3" s="344"/>
      <c r="GGO3" s="344"/>
      <c r="GGP3" s="344"/>
      <c r="GGQ3" s="344"/>
      <c r="GGR3" s="344"/>
      <c r="GGS3" s="344"/>
      <c r="GGT3" s="344"/>
      <c r="GGU3" s="344"/>
      <c r="GGV3" s="344"/>
      <c r="GGW3" s="344"/>
      <c r="GGX3" s="344"/>
      <c r="GGY3" s="344"/>
      <c r="GGZ3" s="344"/>
      <c r="GHA3" s="344"/>
      <c r="GHB3" s="344"/>
      <c r="GHC3" s="344"/>
      <c r="GHD3" s="344"/>
      <c r="GHE3" s="344"/>
      <c r="GHF3" s="344"/>
      <c r="GHG3" s="344"/>
      <c r="GHH3" s="344"/>
      <c r="GHI3" s="344"/>
      <c r="GHJ3" s="344"/>
      <c r="GHK3" s="344"/>
      <c r="GHL3" s="344"/>
      <c r="GHM3" s="344"/>
      <c r="GHN3" s="344"/>
      <c r="GHO3" s="344"/>
      <c r="GHP3" s="344"/>
      <c r="GHQ3" s="344"/>
      <c r="GHR3" s="344"/>
      <c r="GHS3" s="344"/>
      <c r="GHT3" s="344"/>
      <c r="GHU3" s="344"/>
      <c r="GHV3" s="344"/>
      <c r="GHW3" s="344"/>
      <c r="GHX3" s="344"/>
      <c r="GHY3" s="344"/>
      <c r="GHZ3" s="344"/>
      <c r="GIA3" s="344"/>
      <c r="GIB3" s="344"/>
      <c r="GIC3" s="344"/>
      <c r="GID3" s="344"/>
      <c r="GIE3" s="344"/>
      <c r="GIF3" s="344"/>
      <c r="GIG3" s="344"/>
      <c r="GIH3" s="344"/>
      <c r="GII3" s="344"/>
      <c r="GIJ3" s="344"/>
      <c r="GIK3" s="344"/>
      <c r="GIL3" s="344"/>
      <c r="GIM3" s="344"/>
      <c r="GIN3" s="344"/>
      <c r="GIO3" s="344"/>
      <c r="GIP3" s="344"/>
      <c r="GIQ3" s="344"/>
      <c r="GIR3" s="344"/>
      <c r="GIS3" s="344"/>
      <c r="GIT3" s="344"/>
      <c r="GIU3" s="344"/>
      <c r="GIV3" s="344"/>
      <c r="GIW3" s="344"/>
      <c r="GIX3" s="344"/>
      <c r="GIY3" s="344"/>
      <c r="GIZ3" s="344"/>
      <c r="GJA3" s="344"/>
      <c r="GJB3" s="344"/>
      <c r="GJC3" s="344"/>
      <c r="GJD3" s="344"/>
      <c r="GJE3" s="344"/>
      <c r="GJF3" s="344"/>
      <c r="GJG3" s="344"/>
      <c r="GJH3" s="344"/>
      <c r="GJI3" s="344"/>
      <c r="GJJ3" s="344"/>
      <c r="GJK3" s="344"/>
      <c r="GJL3" s="344"/>
      <c r="GJM3" s="344"/>
      <c r="GJN3" s="344"/>
      <c r="GJO3" s="344"/>
      <c r="GJP3" s="344"/>
      <c r="GJQ3" s="344"/>
      <c r="GJR3" s="344"/>
      <c r="GJS3" s="344"/>
      <c r="GJT3" s="344"/>
      <c r="GJU3" s="344"/>
      <c r="GJV3" s="344"/>
      <c r="GJW3" s="344"/>
      <c r="GJX3" s="344"/>
      <c r="GJY3" s="344"/>
      <c r="GJZ3" s="344"/>
      <c r="GKA3" s="344"/>
      <c r="GKB3" s="344"/>
      <c r="GKC3" s="344"/>
      <c r="GKD3" s="344"/>
      <c r="GKE3" s="344"/>
      <c r="GKF3" s="344"/>
      <c r="GKG3" s="344"/>
      <c r="GKH3" s="344"/>
      <c r="GKI3" s="344"/>
      <c r="GKJ3" s="344"/>
      <c r="GKK3" s="344"/>
      <c r="GKL3" s="344"/>
      <c r="GKM3" s="344"/>
      <c r="GKN3" s="344"/>
      <c r="GKO3" s="344"/>
      <c r="GKP3" s="344"/>
      <c r="GKQ3" s="344"/>
      <c r="GKR3" s="344"/>
      <c r="GKS3" s="344"/>
      <c r="GKT3" s="344"/>
      <c r="GKU3" s="344"/>
      <c r="GKV3" s="344"/>
      <c r="GKW3" s="344"/>
      <c r="GKX3" s="344"/>
      <c r="GKY3" s="344"/>
      <c r="GKZ3" s="344"/>
      <c r="GLA3" s="344"/>
      <c r="GLB3" s="344"/>
      <c r="GLC3" s="344"/>
      <c r="GLD3" s="344"/>
      <c r="GLE3" s="344"/>
      <c r="GLF3" s="344"/>
      <c r="GLG3" s="344"/>
      <c r="GLH3" s="344"/>
      <c r="GLI3" s="344"/>
      <c r="GLJ3" s="344"/>
      <c r="GLK3" s="344"/>
      <c r="GLL3" s="344"/>
      <c r="GLM3" s="344"/>
      <c r="GLN3" s="344"/>
      <c r="GLO3" s="344"/>
      <c r="GLP3" s="344"/>
      <c r="GLQ3" s="344"/>
      <c r="GLR3" s="344"/>
      <c r="GLS3" s="344"/>
      <c r="GLT3" s="344"/>
      <c r="GLU3" s="344"/>
      <c r="GLV3" s="344"/>
      <c r="GLW3" s="344"/>
      <c r="GLX3" s="344"/>
      <c r="GLY3" s="344"/>
      <c r="GLZ3" s="344"/>
      <c r="GMA3" s="344"/>
      <c r="GMB3" s="344"/>
      <c r="GMC3" s="344"/>
      <c r="GMD3" s="344"/>
      <c r="GME3" s="344"/>
      <c r="GMF3" s="344"/>
      <c r="GMG3" s="344"/>
      <c r="GMH3" s="344"/>
      <c r="GMI3" s="344"/>
      <c r="GMJ3" s="344"/>
      <c r="GMK3" s="344"/>
      <c r="GML3" s="344"/>
      <c r="GMM3" s="344"/>
      <c r="GMN3" s="344"/>
      <c r="GMO3" s="344"/>
      <c r="GMP3" s="344"/>
      <c r="GMQ3" s="344"/>
      <c r="GMR3" s="344"/>
      <c r="GMS3" s="344"/>
      <c r="GMT3" s="344"/>
      <c r="GMU3" s="344"/>
      <c r="GMV3" s="344"/>
      <c r="GMW3" s="344"/>
      <c r="GMX3" s="344"/>
      <c r="GMY3" s="344"/>
      <c r="GMZ3" s="344"/>
      <c r="GNA3" s="344"/>
      <c r="GNB3" s="344"/>
      <c r="GNC3" s="344"/>
      <c r="GND3" s="344"/>
      <c r="GNE3" s="344"/>
      <c r="GNF3" s="344"/>
      <c r="GNG3" s="344"/>
      <c r="GNH3" s="344"/>
      <c r="GNI3" s="344"/>
      <c r="GNJ3" s="344"/>
      <c r="GNK3" s="344"/>
      <c r="GNL3" s="344"/>
      <c r="GNM3" s="344"/>
      <c r="GNN3" s="344"/>
      <c r="GNO3" s="344"/>
      <c r="GNP3" s="344"/>
      <c r="GNQ3" s="344"/>
      <c r="GNR3" s="344"/>
      <c r="GNS3" s="344"/>
      <c r="GNT3" s="344"/>
      <c r="GNU3" s="344"/>
      <c r="GNV3" s="344"/>
      <c r="GNW3" s="344"/>
      <c r="GNX3" s="344"/>
      <c r="GNY3" s="344"/>
      <c r="GNZ3" s="344"/>
      <c r="GOA3" s="344"/>
      <c r="GOB3" s="344"/>
      <c r="GOC3" s="344"/>
      <c r="GOD3" s="344"/>
      <c r="GOE3" s="344"/>
      <c r="GOF3" s="344"/>
      <c r="GOG3" s="344"/>
      <c r="GOH3" s="344"/>
      <c r="GOI3" s="344"/>
      <c r="GOJ3" s="344"/>
      <c r="GOK3" s="344"/>
      <c r="GOL3" s="344"/>
      <c r="GOM3" s="344"/>
      <c r="GON3" s="344"/>
      <c r="GOO3" s="344"/>
      <c r="GOP3" s="344"/>
      <c r="GOQ3" s="344"/>
      <c r="GOR3" s="344"/>
      <c r="GOS3" s="344"/>
      <c r="GOT3" s="344"/>
      <c r="GOU3" s="344"/>
      <c r="GOV3" s="344"/>
      <c r="GOW3" s="344"/>
      <c r="GOX3" s="344"/>
      <c r="GOY3" s="344"/>
      <c r="GOZ3" s="344"/>
      <c r="GPA3" s="344"/>
      <c r="GPB3" s="344"/>
      <c r="GPC3" s="344"/>
      <c r="GPD3" s="344"/>
      <c r="GPE3" s="344"/>
      <c r="GPF3" s="344"/>
      <c r="GPG3" s="344"/>
      <c r="GPH3" s="344"/>
      <c r="GPI3" s="344"/>
      <c r="GPJ3" s="344"/>
      <c r="GPK3" s="344"/>
      <c r="GPL3" s="344"/>
      <c r="GPM3" s="344"/>
      <c r="GPN3" s="344"/>
      <c r="GPO3" s="344"/>
      <c r="GPP3" s="344"/>
      <c r="GPQ3" s="344"/>
      <c r="GPR3" s="344"/>
      <c r="GPS3" s="344"/>
      <c r="GPT3" s="344"/>
      <c r="GPU3" s="344"/>
      <c r="GPV3" s="344"/>
      <c r="GPW3" s="344"/>
      <c r="GPX3" s="344"/>
      <c r="GPY3" s="344"/>
      <c r="GPZ3" s="344"/>
      <c r="GQA3" s="344"/>
      <c r="GQB3" s="344"/>
      <c r="GQC3" s="344"/>
      <c r="GQD3" s="344"/>
      <c r="GQE3" s="344"/>
      <c r="GQF3" s="344"/>
      <c r="GQG3" s="344"/>
      <c r="GQH3" s="344"/>
      <c r="GQI3" s="344"/>
      <c r="GQJ3" s="344"/>
      <c r="GQK3" s="344"/>
      <c r="GQL3" s="344"/>
      <c r="GQM3" s="344"/>
      <c r="GQN3" s="344"/>
      <c r="GQO3" s="344"/>
      <c r="GQP3" s="344"/>
      <c r="GQQ3" s="344"/>
      <c r="GQR3" s="344"/>
      <c r="GQS3" s="344"/>
      <c r="GQT3" s="344"/>
      <c r="GQU3" s="344"/>
      <c r="GQV3" s="344"/>
      <c r="GQW3" s="344"/>
      <c r="GQX3" s="344"/>
      <c r="GQY3" s="344"/>
      <c r="GQZ3" s="344"/>
      <c r="GRA3" s="344"/>
      <c r="GRB3" s="344"/>
      <c r="GRC3" s="344"/>
      <c r="GRD3" s="344"/>
      <c r="GRE3" s="344"/>
      <c r="GRF3" s="344"/>
      <c r="GRG3" s="344"/>
      <c r="GRH3" s="344"/>
      <c r="GRI3" s="344"/>
      <c r="GRJ3" s="344"/>
      <c r="GRK3" s="344"/>
      <c r="GRL3" s="344"/>
      <c r="GRM3" s="344"/>
      <c r="GRN3" s="344"/>
      <c r="GRO3" s="344"/>
      <c r="GRP3" s="344"/>
      <c r="GRQ3" s="344"/>
      <c r="GRR3" s="344"/>
      <c r="GRS3" s="344"/>
      <c r="GRT3" s="344"/>
      <c r="GRU3" s="344"/>
      <c r="GRV3" s="344"/>
      <c r="GRW3" s="344"/>
      <c r="GRX3" s="344"/>
      <c r="GRY3" s="344"/>
      <c r="GRZ3" s="344"/>
      <c r="GSA3" s="344"/>
      <c r="GSB3" s="344"/>
      <c r="GSC3" s="344"/>
      <c r="GSD3" s="344"/>
      <c r="GSE3" s="344"/>
      <c r="GSF3" s="344"/>
      <c r="GSG3" s="344"/>
      <c r="GSH3" s="344"/>
      <c r="GSI3" s="344"/>
      <c r="GSJ3" s="344"/>
      <c r="GSK3" s="344"/>
      <c r="GSL3" s="344"/>
      <c r="GSM3" s="344"/>
      <c r="GSN3" s="344"/>
      <c r="GSO3" s="344"/>
      <c r="GSP3" s="344"/>
      <c r="GSQ3" s="344"/>
      <c r="GSR3" s="344"/>
      <c r="GSS3" s="344"/>
      <c r="GST3" s="344"/>
      <c r="GSU3" s="344"/>
      <c r="GSV3" s="344"/>
      <c r="GSW3" s="344"/>
      <c r="GSX3" s="344"/>
      <c r="GSY3" s="344"/>
      <c r="GSZ3" s="344"/>
      <c r="GTA3" s="344"/>
      <c r="GTB3" s="344"/>
      <c r="GTC3" s="344"/>
      <c r="GTD3" s="344"/>
      <c r="GTE3" s="344"/>
      <c r="GTF3" s="344"/>
      <c r="GTG3" s="344"/>
      <c r="GTH3" s="344"/>
      <c r="GTI3" s="344"/>
      <c r="GTJ3" s="344"/>
      <c r="GTK3" s="344"/>
      <c r="GTL3" s="344"/>
      <c r="GTM3" s="344"/>
      <c r="GTN3" s="344"/>
      <c r="GTO3" s="344"/>
      <c r="GTP3" s="344"/>
      <c r="GTQ3" s="344"/>
      <c r="GTR3" s="344"/>
      <c r="GTS3" s="344"/>
      <c r="GTT3" s="344"/>
      <c r="GTU3" s="344"/>
      <c r="GTV3" s="344"/>
      <c r="GTW3" s="344"/>
      <c r="GTX3" s="344"/>
      <c r="GTY3" s="344"/>
      <c r="GTZ3" s="344"/>
      <c r="GUA3" s="344"/>
      <c r="GUB3" s="344"/>
      <c r="GUC3" s="344"/>
      <c r="GUD3" s="344"/>
      <c r="GUE3" s="344"/>
      <c r="GUF3" s="344"/>
      <c r="GUG3" s="344"/>
      <c r="GUH3" s="344"/>
      <c r="GUI3" s="344"/>
      <c r="GUJ3" s="344"/>
      <c r="GUK3" s="344"/>
      <c r="GUL3" s="344"/>
      <c r="GUM3" s="344"/>
      <c r="GUN3" s="344"/>
      <c r="GUO3" s="344"/>
      <c r="GUP3" s="344"/>
      <c r="GUQ3" s="344"/>
      <c r="GUR3" s="344"/>
      <c r="GUS3" s="344"/>
      <c r="GUT3" s="344"/>
      <c r="GUU3" s="344"/>
      <c r="GUV3" s="344"/>
      <c r="GUW3" s="344"/>
      <c r="GUX3" s="344"/>
      <c r="GUY3" s="344"/>
      <c r="GUZ3" s="344"/>
      <c r="GVA3" s="344"/>
      <c r="GVB3" s="344"/>
      <c r="GVC3" s="344"/>
      <c r="GVD3" s="344"/>
      <c r="GVE3" s="344"/>
      <c r="GVF3" s="344"/>
      <c r="GVG3" s="344"/>
      <c r="GVH3" s="344"/>
      <c r="GVI3" s="344"/>
      <c r="GVJ3" s="344"/>
      <c r="GVK3" s="344"/>
      <c r="GVL3" s="344"/>
      <c r="GVM3" s="344"/>
      <c r="GVN3" s="344"/>
      <c r="GVO3" s="344"/>
      <c r="GVP3" s="344"/>
      <c r="GVQ3" s="344"/>
      <c r="GVR3" s="344"/>
      <c r="GVS3" s="344"/>
      <c r="GVT3" s="344"/>
      <c r="GVU3" s="344"/>
      <c r="GVV3" s="344"/>
      <c r="GVW3" s="344"/>
      <c r="GVX3" s="344"/>
      <c r="GVY3" s="344"/>
      <c r="GVZ3" s="344"/>
      <c r="GWA3" s="344"/>
      <c r="GWB3" s="344"/>
      <c r="GWC3" s="344"/>
      <c r="GWD3" s="344"/>
      <c r="GWE3" s="344"/>
      <c r="GWF3" s="344"/>
      <c r="GWG3" s="344"/>
      <c r="GWH3" s="344"/>
      <c r="GWI3" s="344"/>
      <c r="GWJ3" s="344"/>
      <c r="GWK3" s="344"/>
      <c r="GWL3" s="344"/>
      <c r="GWM3" s="344"/>
      <c r="GWN3" s="344"/>
      <c r="GWO3" s="344"/>
      <c r="GWP3" s="344"/>
      <c r="GWQ3" s="344"/>
      <c r="GWR3" s="344"/>
      <c r="GWS3" s="344"/>
      <c r="GWT3" s="344"/>
      <c r="GWU3" s="344"/>
      <c r="GWV3" s="344"/>
      <c r="GWW3" s="344"/>
      <c r="GWX3" s="344"/>
      <c r="GWY3" s="344"/>
      <c r="GWZ3" s="344"/>
      <c r="GXA3" s="344"/>
      <c r="GXB3" s="344"/>
      <c r="GXC3" s="344"/>
      <c r="GXD3" s="344"/>
      <c r="GXE3" s="344"/>
      <c r="GXF3" s="344"/>
      <c r="GXG3" s="344"/>
      <c r="GXH3" s="344"/>
      <c r="GXI3" s="344"/>
      <c r="GXJ3" s="344"/>
      <c r="GXK3" s="344"/>
      <c r="GXL3" s="344"/>
      <c r="GXM3" s="344"/>
      <c r="GXN3" s="344"/>
      <c r="GXO3" s="344"/>
      <c r="GXP3" s="344"/>
      <c r="GXQ3" s="344"/>
      <c r="GXR3" s="344"/>
      <c r="GXS3" s="344"/>
      <c r="GXT3" s="344"/>
      <c r="GXU3" s="344"/>
      <c r="GXV3" s="344"/>
      <c r="GXW3" s="344"/>
      <c r="GXX3" s="344"/>
      <c r="GXY3" s="344"/>
      <c r="GXZ3" s="344"/>
      <c r="GYA3" s="344"/>
      <c r="GYB3" s="344"/>
      <c r="GYC3" s="344"/>
      <c r="GYD3" s="344"/>
      <c r="GYE3" s="344"/>
      <c r="GYF3" s="344"/>
      <c r="GYG3" s="344"/>
      <c r="GYH3" s="344"/>
      <c r="GYI3" s="344"/>
      <c r="GYJ3" s="344"/>
      <c r="GYK3" s="344"/>
      <c r="GYL3" s="344"/>
      <c r="GYM3" s="344"/>
      <c r="GYN3" s="344"/>
      <c r="GYO3" s="344"/>
      <c r="GYP3" s="344"/>
      <c r="GYQ3" s="344"/>
      <c r="GYR3" s="344"/>
      <c r="GYS3" s="344"/>
      <c r="GYT3" s="344"/>
      <c r="GYU3" s="344"/>
      <c r="GYV3" s="344"/>
      <c r="GYW3" s="344"/>
      <c r="GYX3" s="344"/>
      <c r="GYY3" s="344"/>
      <c r="GYZ3" s="344"/>
      <c r="GZA3" s="344"/>
      <c r="GZB3" s="344"/>
      <c r="GZC3" s="344"/>
      <c r="GZD3" s="344"/>
      <c r="GZE3" s="344"/>
      <c r="GZF3" s="344"/>
      <c r="GZG3" s="344"/>
      <c r="GZH3" s="344"/>
      <c r="GZI3" s="344"/>
      <c r="GZJ3" s="344"/>
      <c r="GZK3" s="344"/>
      <c r="GZL3" s="344"/>
      <c r="GZM3" s="344"/>
      <c r="GZN3" s="344"/>
      <c r="GZO3" s="344"/>
      <c r="GZP3" s="344"/>
      <c r="GZQ3" s="344"/>
      <c r="GZR3" s="344"/>
      <c r="GZS3" s="344"/>
      <c r="GZT3" s="344"/>
      <c r="GZU3" s="344"/>
      <c r="GZV3" s="344"/>
      <c r="GZW3" s="344"/>
      <c r="GZX3" s="344"/>
      <c r="GZY3" s="344"/>
      <c r="GZZ3" s="344"/>
      <c r="HAA3" s="344"/>
      <c r="HAB3" s="344"/>
      <c r="HAC3" s="344"/>
      <c r="HAD3" s="344"/>
      <c r="HAE3" s="344"/>
      <c r="HAF3" s="344"/>
      <c r="HAG3" s="344"/>
      <c r="HAH3" s="344"/>
      <c r="HAI3" s="344"/>
      <c r="HAJ3" s="344"/>
      <c r="HAK3" s="344"/>
      <c r="HAL3" s="344"/>
      <c r="HAM3" s="344"/>
      <c r="HAN3" s="344"/>
      <c r="HAO3" s="344"/>
      <c r="HAP3" s="344"/>
      <c r="HAQ3" s="344"/>
      <c r="HAR3" s="344"/>
      <c r="HAS3" s="344"/>
      <c r="HAT3" s="344"/>
      <c r="HAU3" s="344"/>
      <c r="HAV3" s="344"/>
      <c r="HAW3" s="344"/>
      <c r="HAX3" s="344"/>
      <c r="HAY3" s="344"/>
      <c r="HAZ3" s="344"/>
      <c r="HBA3" s="344"/>
      <c r="HBB3" s="344"/>
      <c r="HBC3" s="344"/>
      <c r="HBD3" s="344"/>
      <c r="HBE3" s="344"/>
      <c r="HBF3" s="344"/>
      <c r="HBG3" s="344"/>
      <c r="HBH3" s="344"/>
      <c r="HBI3" s="344"/>
      <c r="HBJ3" s="344"/>
      <c r="HBK3" s="344"/>
      <c r="HBL3" s="344"/>
      <c r="HBM3" s="344"/>
      <c r="HBN3" s="344"/>
      <c r="HBO3" s="344"/>
      <c r="HBP3" s="344"/>
      <c r="HBQ3" s="344"/>
      <c r="HBR3" s="344"/>
      <c r="HBS3" s="344"/>
      <c r="HBT3" s="344"/>
      <c r="HBU3" s="344"/>
      <c r="HBV3" s="344"/>
      <c r="HBW3" s="344"/>
      <c r="HBX3" s="344"/>
      <c r="HBY3" s="344"/>
      <c r="HBZ3" s="344"/>
      <c r="HCA3" s="344"/>
      <c r="HCB3" s="344"/>
      <c r="HCC3" s="344"/>
      <c r="HCD3" s="344"/>
      <c r="HCE3" s="344"/>
      <c r="HCF3" s="344"/>
      <c r="HCG3" s="344"/>
      <c r="HCH3" s="344"/>
      <c r="HCI3" s="344"/>
      <c r="HCJ3" s="344"/>
      <c r="HCK3" s="344"/>
      <c r="HCL3" s="344"/>
      <c r="HCM3" s="344"/>
      <c r="HCN3" s="344"/>
      <c r="HCO3" s="344"/>
      <c r="HCP3" s="344"/>
      <c r="HCQ3" s="344"/>
      <c r="HCR3" s="344"/>
      <c r="HCS3" s="344"/>
      <c r="HCT3" s="344"/>
      <c r="HCU3" s="344"/>
      <c r="HCV3" s="344"/>
      <c r="HCW3" s="344"/>
      <c r="HCX3" s="344"/>
      <c r="HCY3" s="344"/>
      <c r="HCZ3" s="344"/>
      <c r="HDA3" s="344"/>
      <c r="HDB3" s="344"/>
      <c r="HDC3" s="344"/>
      <c r="HDD3" s="344"/>
      <c r="HDE3" s="344"/>
      <c r="HDF3" s="344"/>
      <c r="HDG3" s="344"/>
      <c r="HDH3" s="344"/>
      <c r="HDI3" s="344"/>
      <c r="HDJ3" s="344"/>
      <c r="HDK3" s="344"/>
      <c r="HDL3" s="344"/>
      <c r="HDM3" s="344"/>
      <c r="HDN3" s="344"/>
      <c r="HDO3" s="344"/>
      <c r="HDP3" s="344"/>
      <c r="HDQ3" s="344"/>
      <c r="HDR3" s="344"/>
      <c r="HDS3" s="344"/>
      <c r="HDT3" s="344"/>
      <c r="HDU3" s="344"/>
      <c r="HDV3" s="344"/>
      <c r="HDW3" s="344"/>
      <c r="HDX3" s="344"/>
      <c r="HDY3" s="344"/>
      <c r="HDZ3" s="344"/>
      <c r="HEA3" s="344"/>
      <c r="HEB3" s="344"/>
      <c r="HEC3" s="344"/>
      <c r="HED3" s="344"/>
      <c r="HEE3" s="344"/>
      <c r="HEF3" s="344"/>
      <c r="HEG3" s="344"/>
      <c r="HEH3" s="344"/>
      <c r="HEI3" s="344"/>
      <c r="HEJ3" s="344"/>
      <c r="HEK3" s="344"/>
      <c r="HEL3" s="344"/>
      <c r="HEM3" s="344"/>
      <c r="HEN3" s="344"/>
      <c r="HEO3" s="344"/>
      <c r="HEP3" s="344"/>
      <c r="HEQ3" s="344"/>
      <c r="HER3" s="344"/>
      <c r="HES3" s="344"/>
      <c r="HET3" s="344"/>
      <c r="HEU3" s="344"/>
      <c r="HEV3" s="344"/>
      <c r="HEW3" s="344"/>
      <c r="HEX3" s="344"/>
      <c r="HEY3" s="344"/>
      <c r="HEZ3" s="344"/>
      <c r="HFA3" s="344"/>
      <c r="HFB3" s="344"/>
      <c r="HFC3" s="344"/>
      <c r="HFD3" s="344"/>
      <c r="HFE3" s="344"/>
      <c r="HFF3" s="344"/>
      <c r="HFG3" s="344"/>
      <c r="HFH3" s="344"/>
      <c r="HFI3" s="344"/>
      <c r="HFJ3" s="344"/>
      <c r="HFK3" s="344"/>
      <c r="HFL3" s="344"/>
      <c r="HFM3" s="344"/>
      <c r="HFN3" s="344"/>
      <c r="HFO3" s="344"/>
      <c r="HFP3" s="344"/>
      <c r="HFQ3" s="344"/>
      <c r="HFR3" s="344"/>
      <c r="HFS3" s="344"/>
      <c r="HFT3" s="344"/>
      <c r="HFU3" s="344"/>
      <c r="HFV3" s="344"/>
      <c r="HFW3" s="344"/>
      <c r="HFX3" s="344"/>
      <c r="HFY3" s="344"/>
      <c r="HFZ3" s="344"/>
      <c r="HGA3" s="344"/>
      <c r="HGB3" s="344"/>
      <c r="HGC3" s="344"/>
      <c r="HGD3" s="344"/>
      <c r="HGE3" s="344"/>
      <c r="HGF3" s="344"/>
      <c r="HGG3" s="344"/>
      <c r="HGH3" s="344"/>
      <c r="HGI3" s="344"/>
      <c r="HGJ3" s="344"/>
      <c r="HGK3" s="344"/>
      <c r="HGL3" s="344"/>
      <c r="HGM3" s="344"/>
      <c r="HGN3" s="344"/>
      <c r="HGO3" s="344"/>
      <c r="HGP3" s="344"/>
      <c r="HGQ3" s="344"/>
      <c r="HGR3" s="344"/>
      <c r="HGS3" s="344"/>
      <c r="HGT3" s="344"/>
      <c r="HGU3" s="344"/>
      <c r="HGV3" s="344"/>
      <c r="HGW3" s="344"/>
      <c r="HGX3" s="344"/>
      <c r="HGY3" s="344"/>
      <c r="HGZ3" s="344"/>
      <c r="HHA3" s="344"/>
      <c r="HHB3" s="344"/>
      <c r="HHC3" s="344"/>
      <c r="HHD3" s="344"/>
      <c r="HHE3" s="344"/>
      <c r="HHF3" s="344"/>
      <c r="HHG3" s="344"/>
      <c r="HHH3" s="344"/>
      <c r="HHI3" s="344"/>
      <c r="HHJ3" s="344"/>
      <c r="HHK3" s="344"/>
      <c r="HHL3" s="344"/>
      <c r="HHM3" s="344"/>
      <c r="HHN3" s="344"/>
      <c r="HHO3" s="344"/>
      <c r="HHP3" s="344"/>
      <c r="HHQ3" s="344"/>
      <c r="HHR3" s="344"/>
      <c r="HHS3" s="344"/>
      <c r="HHT3" s="344"/>
      <c r="HHU3" s="344"/>
      <c r="HHV3" s="344"/>
      <c r="HHW3" s="344"/>
      <c r="HHX3" s="344"/>
      <c r="HHY3" s="344"/>
      <c r="HHZ3" s="344"/>
      <c r="HIA3" s="344"/>
      <c r="HIB3" s="344"/>
      <c r="HIC3" s="344"/>
      <c r="HID3" s="344"/>
      <c r="HIE3" s="344"/>
      <c r="HIF3" s="344"/>
      <c r="HIG3" s="344"/>
      <c r="HIH3" s="344"/>
      <c r="HII3" s="344"/>
      <c r="HIJ3" s="344"/>
      <c r="HIK3" s="344"/>
      <c r="HIL3" s="344"/>
      <c r="HIM3" s="344"/>
      <c r="HIN3" s="344"/>
      <c r="HIO3" s="344"/>
      <c r="HIP3" s="344"/>
      <c r="HIQ3" s="344"/>
      <c r="HIR3" s="344"/>
      <c r="HIS3" s="344"/>
      <c r="HIT3" s="344"/>
      <c r="HIU3" s="344"/>
      <c r="HIV3" s="344"/>
      <c r="HIW3" s="344"/>
      <c r="HIX3" s="344"/>
      <c r="HIY3" s="344"/>
      <c r="HIZ3" s="344"/>
      <c r="HJA3" s="344"/>
      <c r="HJB3" s="344"/>
      <c r="HJC3" s="344"/>
      <c r="HJD3" s="344"/>
      <c r="HJE3" s="344"/>
      <c r="HJF3" s="344"/>
      <c r="HJG3" s="344"/>
      <c r="HJH3" s="344"/>
      <c r="HJI3" s="344"/>
      <c r="HJJ3" s="344"/>
      <c r="HJK3" s="344"/>
      <c r="HJL3" s="344"/>
      <c r="HJM3" s="344"/>
      <c r="HJN3" s="344"/>
      <c r="HJO3" s="344"/>
      <c r="HJP3" s="344"/>
      <c r="HJQ3" s="344"/>
      <c r="HJR3" s="344"/>
      <c r="HJS3" s="344"/>
      <c r="HJT3" s="344"/>
      <c r="HJU3" s="344"/>
      <c r="HJV3" s="344"/>
      <c r="HJW3" s="344"/>
      <c r="HJX3" s="344"/>
      <c r="HJY3" s="344"/>
      <c r="HJZ3" s="344"/>
      <c r="HKA3" s="344"/>
      <c r="HKB3" s="344"/>
      <c r="HKC3" s="344"/>
      <c r="HKD3" s="344"/>
      <c r="HKE3" s="344"/>
      <c r="HKF3" s="344"/>
      <c r="HKG3" s="344"/>
      <c r="HKH3" s="344"/>
      <c r="HKI3" s="344"/>
      <c r="HKJ3" s="344"/>
      <c r="HKK3" s="344"/>
      <c r="HKL3" s="344"/>
      <c r="HKM3" s="344"/>
      <c r="HKN3" s="344"/>
      <c r="HKO3" s="344"/>
      <c r="HKP3" s="344"/>
      <c r="HKQ3" s="344"/>
      <c r="HKR3" s="344"/>
      <c r="HKS3" s="344"/>
      <c r="HKT3" s="344"/>
      <c r="HKU3" s="344"/>
      <c r="HKV3" s="344"/>
      <c r="HKW3" s="344"/>
      <c r="HKX3" s="344"/>
      <c r="HKY3" s="344"/>
      <c r="HKZ3" s="344"/>
      <c r="HLA3" s="344"/>
      <c r="HLB3" s="344"/>
      <c r="HLC3" s="344"/>
      <c r="HLD3" s="344"/>
      <c r="HLE3" s="344"/>
      <c r="HLF3" s="344"/>
      <c r="HLG3" s="344"/>
      <c r="HLH3" s="344"/>
      <c r="HLI3" s="344"/>
      <c r="HLJ3" s="344"/>
      <c r="HLK3" s="344"/>
      <c r="HLL3" s="344"/>
      <c r="HLM3" s="344"/>
      <c r="HLN3" s="344"/>
      <c r="HLO3" s="344"/>
      <c r="HLP3" s="344"/>
      <c r="HLQ3" s="344"/>
      <c r="HLR3" s="344"/>
      <c r="HLS3" s="344"/>
      <c r="HLT3" s="344"/>
      <c r="HLU3" s="344"/>
      <c r="HLV3" s="344"/>
      <c r="HLW3" s="344"/>
      <c r="HLX3" s="344"/>
      <c r="HLY3" s="344"/>
      <c r="HLZ3" s="344"/>
      <c r="HMA3" s="344"/>
      <c r="HMB3" s="344"/>
      <c r="HMC3" s="344"/>
      <c r="HMD3" s="344"/>
      <c r="HME3" s="344"/>
      <c r="HMF3" s="344"/>
      <c r="HMG3" s="344"/>
      <c r="HMH3" s="344"/>
      <c r="HMI3" s="344"/>
      <c r="HMJ3" s="344"/>
      <c r="HMK3" s="344"/>
      <c r="HML3" s="344"/>
      <c r="HMM3" s="344"/>
      <c r="HMN3" s="344"/>
      <c r="HMO3" s="344"/>
      <c r="HMP3" s="344"/>
      <c r="HMQ3" s="344"/>
      <c r="HMR3" s="344"/>
      <c r="HMS3" s="344"/>
      <c r="HMT3" s="344"/>
      <c r="HMU3" s="344"/>
      <c r="HMV3" s="344"/>
      <c r="HMW3" s="344"/>
      <c r="HMX3" s="344"/>
      <c r="HMY3" s="344"/>
      <c r="HMZ3" s="344"/>
      <c r="HNA3" s="344"/>
      <c r="HNB3" s="344"/>
      <c r="HNC3" s="344"/>
      <c r="HND3" s="344"/>
      <c r="HNE3" s="344"/>
      <c r="HNF3" s="344"/>
      <c r="HNG3" s="344"/>
      <c r="HNH3" s="344"/>
      <c r="HNI3" s="344"/>
      <c r="HNJ3" s="344"/>
      <c r="HNK3" s="344"/>
      <c r="HNL3" s="344"/>
      <c r="HNM3" s="344"/>
      <c r="HNN3" s="344"/>
      <c r="HNO3" s="344"/>
      <c r="HNP3" s="344"/>
      <c r="HNQ3" s="344"/>
      <c r="HNR3" s="344"/>
      <c r="HNS3" s="344"/>
      <c r="HNT3" s="344"/>
      <c r="HNU3" s="344"/>
      <c r="HNV3" s="344"/>
      <c r="HNW3" s="344"/>
      <c r="HNX3" s="344"/>
      <c r="HNY3" s="344"/>
      <c r="HNZ3" s="344"/>
      <c r="HOA3" s="344"/>
      <c r="HOB3" s="344"/>
      <c r="HOC3" s="344"/>
      <c r="HOD3" s="344"/>
      <c r="HOE3" s="344"/>
      <c r="HOF3" s="344"/>
      <c r="HOG3" s="344"/>
      <c r="HOH3" s="344"/>
      <c r="HOI3" s="344"/>
      <c r="HOJ3" s="344"/>
      <c r="HOK3" s="344"/>
      <c r="HOL3" s="344"/>
      <c r="HOM3" s="344"/>
      <c r="HON3" s="344"/>
      <c r="HOO3" s="344"/>
      <c r="HOP3" s="344"/>
      <c r="HOQ3" s="344"/>
      <c r="HOR3" s="344"/>
      <c r="HOS3" s="344"/>
      <c r="HOT3" s="344"/>
      <c r="HOU3" s="344"/>
      <c r="HOV3" s="344"/>
      <c r="HOW3" s="344"/>
      <c r="HOX3" s="344"/>
      <c r="HOY3" s="344"/>
      <c r="HOZ3" s="344"/>
      <c r="HPA3" s="344"/>
      <c r="HPB3" s="344"/>
      <c r="HPC3" s="344"/>
      <c r="HPD3" s="344"/>
      <c r="HPE3" s="344"/>
      <c r="HPF3" s="344"/>
      <c r="HPG3" s="344"/>
      <c r="HPH3" s="344"/>
      <c r="HPI3" s="344"/>
      <c r="HPJ3" s="344"/>
      <c r="HPK3" s="344"/>
      <c r="HPL3" s="344"/>
      <c r="HPM3" s="344"/>
      <c r="HPN3" s="344"/>
      <c r="HPO3" s="344"/>
      <c r="HPP3" s="344"/>
      <c r="HPQ3" s="344"/>
      <c r="HPR3" s="344"/>
      <c r="HPS3" s="344"/>
      <c r="HPT3" s="344"/>
      <c r="HPU3" s="344"/>
      <c r="HPV3" s="344"/>
      <c r="HPW3" s="344"/>
      <c r="HPX3" s="344"/>
      <c r="HPY3" s="344"/>
      <c r="HPZ3" s="344"/>
      <c r="HQA3" s="344"/>
      <c r="HQB3" s="344"/>
      <c r="HQC3" s="344"/>
      <c r="HQD3" s="344"/>
      <c r="HQE3" s="344"/>
      <c r="HQF3" s="344"/>
      <c r="HQG3" s="344"/>
      <c r="HQH3" s="344"/>
      <c r="HQI3" s="344"/>
      <c r="HQJ3" s="344"/>
      <c r="HQK3" s="344"/>
      <c r="HQL3" s="344"/>
      <c r="HQM3" s="344"/>
      <c r="HQN3" s="344"/>
      <c r="HQO3" s="344"/>
      <c r="HQP3" s="344"/>
      <c r="HQQ3" s="344"/>
      <c r="HQR3" s="344"/>
      <c r="HQS3" s="344"/>
      <c r="HQT3" s="344"/>
      <c r="HQU3" s="344"/>
      <c r="HQV3" s="344"/>
      <c r="HQW3" s="344"/>
      <c r="HQX3" s="344"/>
      <c r="HQY3" s="344"/>
      <c r="HQZ3" s="344"/>
      <c r="HRA3" s="344"/>
      <c r="HRB3" s="344"/>
      <c r="HRC3" s="344"/>
      <c r="HRD3" s="344"/>
      <c r="HRE3" s="344"/>
      <c r="HRF3" s="344"/>
      <c r="HRG3" s="344"/>
      <c r="HRH3" s="344"/>
      <c r="HRI3" s="344"/>
      <c r="HRJ3" s="344"/>
      <c r="HRK3" s="344"/>
      <c r="HRL3" s="344"/>
      <c r="HRM3" s="344"/>
      <c r="HRN3" s="344"/>
      <c r="HRO3" s="344"/>
      <c r="HRP3" s="344"/>
      <c r="HRQ3" s="344"/>
      <c r="HRR3" s="344"/>
      <c r="HRS3" s="344"/>
      <c r="HRT3" s="344"/>
      <c r="HRU3" s="344"/>
      <c r="HRV3" s="344"/>
      <c r="HRW3" s="344"/>
      <c r="HRX3" s="344"/>
      <c r="HRY3" s="344"/>
      <c r="HRZ3" s="344"/>
      <c r="HSA3" s="344"/>
      <c r="HSB3" s="344"/>
      <c r="HSC3" s="344"/>
      <c r="HSD3" s="344"/>
      <c r="HSE3" s="344"/>
      <c r="HSF3" s="344"/>
      <c r="HSG3" s="344"/>
      <c r="HSH3" s="344"/>
      <c r="HSI3" s="344"/>
      <c r="HSJ3" s="344"/>
      <c r="HSK3" s="344"/>
      <c r="HSL3" s="344"/>
      <c r="HSM3" s="344"/>
      <c r="HSN3" s="344"/>
      <c r="HSO3" s="344"/>
      <c r="HSP3" s="344"/>
      <c r="HSQ3" s="344"/>
      <c r="HSR3" s="344"/>
      <c r="HSS3" s="344"/>
      <c r="HST3" s="344"/>
      <c r="HSU3" s="344"/>
      <c r="HSV3" s="344"/>
      <c r="HSW3" s="344"/>
      <c r="HSX3" s="344"/>
      <c r="HSY3" s="344"/>
      <c r="HSZ3" s="344"/>
      <c r="HTA3" s="344"/>
      <c r="HTB3" s="344"/>
      <c r="HTC3" s="344"/>
      <c r="HTD3" s="344"/>
      <c r="HTE3" s="344"/>
      <c r="HTF3" s="344"/>
      <c r="HTG3" s="344"/>
      <c r="HTH3" s="344"/>
      <c r="HTI3" s="344"/>
      <c r="HTJ3" s="344"/>
      <c r="HTK3" s="344"/>
      <c r="HTL3" s="344"/>
      <c r="HTM3" s="344"/>
      <c r="HTN3" s="344"/>
      <c r="HTO3" s="344"/>
      <c r="HTP3" s="344"/>
      <c r="HTQ3" s="344"/>
      <c r="HTR3" s="344"/>
      <c r="HTS3" s="344"/>
      <c r="HTT3" s="344"/>
      <c r="HTU3" s="344"/>
      <c r="HTV3" s="344"/>
      <c r="HTW3" s="344"/>
      <c r="HTX3" s="344"/>
      <c r="HTY3" s="344"/>
      <c r="HTZ3" s="344"/>
      <c r="HUA3" s="344"/>
      <c r="HUB3" s="344"/>
      <c r="HUC3" s="344"/>
      <c r="HUD3" s="344"/>
      <c r="HUE3" s="344"/>
      <c r="HUF3" s="344"/>
      <c r="HUG3" s="344"/>
      <c r="HUH3" s="344"/>
      <c r="HUI3" s="344"/>
      <c r="HUJ3" s="344"/>
      <c r="HUK3" s="344"/>
      <c r="HUL3" s="344"/>
      <c r="HUM3" s="344"/>
      <c r="HUN3" s="344"/>
      <c r="HUO3" s="344"/>
      <c r="HUP3" s="344"/>
      <c r="HUQ3" s="344"/>
      <c r="HUR3" s="344"/>
      <c r="HUS3" s="344"/>
      <c r="HUT3" s="344"/>
      <c r="HUU3" s="344"/>
      <c r="HUV3" s="344"/>
      <c r="HUW3" s="344"/>
      <c r="HUX3" s="344"/>
      <c r="HUY3" s="344"/>
      <c r="HUZ3" s="344"/>
      <c r="HVA3" s="344"/>
      <c r="HVB3" s="344"/>
      <c r="HVC3" s="344"/>
      <c r="HVD3" s="344"/>
      <c r="HVE3" s="344"/>
      <c r="HVF3" s="344"/>
      <c r="HVG3" s="344"/>
      <c r="HVH3" s="344"/>
      <c r="HVI3" s="344"/>
      <c r="HVJ3" s="344"/>
      <c r="HVK3" s="344"/>
      <c r="HVL3" s="344"/>
      <c r="HVM3" s="344"/>
      <c r="HVN3" s="344"/>
      <c r="HVO3" s="344"/>
      <c r="HVP3" s="344"/>
      <c r="HVQ3" s="344"/>
      <c r="HVR3" s="344"/>
      <c r="HVS3" s="344"/>
      <c r="HVT3" s="344"/>
      <c r="HVU3" s="344"/>
      <c r="HVV3" s="344"/>
      <c r="HVW3" s="344"/>
      <c r="HVX3" s="344"/>
      <c r="HVY3" s="344"/>
      <c r="HVZ3" s="344"/>
      <c r="HWA3" s="344"/>
      <c r="HWB3" s="344"/>
      <c r="HWC3" s="344"/>
      <c r="HWD3" s="344"/>
      <c r="HWE3" s="344"/>
      <c r="HWF3" s="344"/>
      <c r="HWG3" s="344"/>
      <c r="HWH3" s="344"/>
      <c r="HWI3" s="344"/>
      <c r="HWJ3" s="344"/>
      <c r="HWK3" s="344"/>
      <c r="HWL3" s="344"/>
      <c r="HWM3" s="344"/>
      <c r="HWN3" s="344"/>
      <c r="HWO3" s="344"/>
      <c r="HWP3" s="344"/>
      <c r="HWQ3" s="344"/>
      <c r="HWR3" s="344"/>
      <c r="HWS3" s="344"/>
      <c r="HWT3" s="344"/>
      <c r="HWU3" s="344"/>
      <c r="HWV3" s="344"/>
      <c r="HWW3" s="344"/>
      <c r="HWX3" s="344"/>
      <c r="HWY3" s="344"/>
      <c r="HWZ3" s="344"/>
      <c r="HXA3" s="344"/>
      <c r="HXB3" s="344"/>
      <c r="HXC3" s="344"/>
      <c r="HXD3" s="344"/>
      <c r="HXE3" s="344"/>
      <c r="HXF3" s="344"/>
      <c r="HXG3" s="344"/>
      <c r="HXH3" s="344"/>
      <c r="HXI3" s="344"/>
      <c r="HXJ3" s="344"/>
      <c r="HXK3" s="344"/>
      <c r="HXL3" s="344"/>
      <c r="HXM3" s="344"/>
      <c r="HXN3" s="344"/>
      <c r="HXO3" s="344"/>
      <c r="HXP3" s="344"/>
      <c r="HXQ3" s="344"/>
      <c r="HXR3" s="344"/>
      <c r="HXS3" s="344"/>
      <c r="HXT3" s="344"/>
      <c r="HXU3" s="344"/>
      <c r="HXV3" s="344"/>
      <c r="HXW3" s="344"/>
      <c r="HXX3" s="344"/>
      <c r="HXY3" s="344"/>
      <c r="HXZ3" s="344"/>
      <c r="HYA3" s="344"/>
      <c r="HYB3" s="344"/>
      <c r="HYC3" s="344"/>
      <c r="HYD3" s="344"/>
      <c r="HYE3" s="344"/>
      <c r="HYF3" s="344"/>
      <c r="HYG3" s="344"/>
      <c r="HYH3" s="344"/>
      <c r="HYI3" s="344"/>
      <c r="HYJ3" s="344"/>
      <c r="HYK3" s="344"/>
      <c r="HYL3" s="344"/>
      <c r="HYM3" s="344"/>
      <c r="HYN3" s="344"/>
      <c r="HYO3" s="344"/>
      <c r="HYP3" s="344"/>
      <c r="HYQ3" s="344"/>
      <c r="HYR3" s="344"/>
      <c r="HYS3" s="344"/>
      <c r="HYT3" s="344"/>
      <c r="HYU3" s="344"/>
      <c r="HYV3" s="344"/>
      <c r="HYW3" s="344"/>
      <c r="HYX3" s="344"/>
      <c r="HYY3" s="344"/>
      <c r="HYZ3" s="344"/>
      <c r="HZA3" s="344"/>
      <c r="HZB3" s="344"/>
      <c r="HZC3" s="344"/>
      <c r="HZD3" s="344"/>
      <c r="HZE3" s="344"/>
      <c r="HZF3" s="344"/>
      <c r="HZG3" s="344"/>
      <c r="HZH3" s="344"/>
      <c r="HZI3" s="344"/>
      <c r="HZJ3" s="344"/>
      <c r="HZK3" s="344"/>
      <c r="HZL3" s="344"/>
      <c r="HZM3" s="344"/>
      <c r="HZN3" s="344"/>
      <c r="HZO3" s="344"/>
      <c r="HZP3" s="344"/>
      <c r="HZQ3" s="344"/>
      <c r="HZR3" s="344"/>
      <c r="HZS3" s="344"/>
      <c r="HZT3" s="344"/>
      <c r="HZU3" s="344"/>
      <c r="HZV3" s="344"/>
      <c r="HZW3" s="344"/>
      <c r="HZX3" s="344"/>
      <c r="HZY3" s="344"/>
      <c r="HZZ3" s="344"/>
      <c r="IAA3" s="344"/>
      <c r="IAB3" s="344"/>
      <c r="IAC3" s="344"/>
      <c r="IAD3" s="344"/>
      <c r="IAE3" s="344"/>
      <c r="IAF3" s="344"/>
      <c r="IAG3" s="344"/>
      <c r="IAH3" s="344"/>
      <c r="IAI3" s="344"/>
      <c r="IAJ3" s="344"/>
      <c r="IAK3" s="344"/>
      <c r="IAL3" s="344"/>
      <c r="IAM3" s="344"/>
      <c r="IAN3" s="344"/>
      <c r="IAO3" s="344"/>
      <c r="IAP3" s="344"/>
      <c r="IAQ3" s="344"/>
      <c r="IAR3" s="344"/>
      <c r="IAS3" s="344"/>
      <c r="IAT3" s="344"/>
      <c r="IAU3" s="344"/>
      <c r="IAV3" s="344"/>
      <c r="IAW3" s="344"/>
      <c r="IAX3" s="344"/>
      <c r="IAY3" s="344"/>
      <c r="IAZ3" s="344"/>
      <c r="IBA3" s="344"/>
      <c r="IBB3" s="344"/>
      <c r="IBC3" s="344"/>
      <c r="IBD3" s="344"/>
      <c r="IBE3" s="344"/>
      <c r="IBF3" s="344"/>
      <c r="IBG3" s="344"/>
      <c r="IBH3" s="344"/>
      <c r="IBI3" s="344"/>
      <c r="IBJ3" s="344"/>
      <c r="IBK3" s="344"/>
      <c r="IBL3" s="344"/>
      <c r="IBM3" s="344"/>
      <c r="IBN3" s="344"/>
      <c r="IBO3" s="344"/>
      <c r="IBP3" s="344"/>
      <c r="IBQ3" s="344"/>
      <c r="IBR3" s="344"/>
      <c r="IBS3" s="344"/>
      <c r="IBT3" s="344"/>
      <c r="IBU3" s="344"/>
      <c r="IBV3" s="344"/>
      <c r="IBW3" s="344"/>
      <c r="IBX3" s="344"/>
      <c r="IBY3" s="344"/>
      <c r="IBZ3" s="344"/>
      <c r="ICA3" s="344"/>
      <c r="ICB3" s="344"/>
      <c r="ICC3" s="344"/>
      <c r="ICD3" s="344"/>
      <c r="ICE3" s="344"/>
      <c r="ICF3" s="344"/>
      <c r="ICG3" s="344"/>
      <c r="ICH3" s="344"/>
      <c r="ICI3" s="344"/>
      <c r="ICJ3" s="344"/>
      <c r="ICK3" s="344"/>
      <c r="ICL3" s="344"/>
      <c r="ICM3" s="344"/>
      <c r="ICN3" s="344"/>
      <c r="ICO3" s="344"/>
      <c r="ICP3" s="344"/>
      <c r="ICQ3" s="344"/>
      <c r="ICR3" s="344"/>
      <c r="ICS3" s="344"/>
      <c r="ICT3" s="344"/>
      <c r="ICU3" s="344"/>
      <c r="ICV3" s="344"/>
      <c r="ICW3" s="344"/>
      <c r="ICX3" s="344"/>
      <c r="ICY3" s="344"/>
      <c r="ICZ3" s="344"/>
      <c r="IDA3" s="344"/>
      <c r="IDB3" s="344"/>
      <c r="IDC3" s="344"/>
      <c r="IDD3" s="344"/>
      <c r="IDE3" s="344"/>
      <c r="IDF3" s="344"/>
      <c r="IDG3" s="344"/>
      <c r="IDH3" s="344"/>
      <c r="IDI3" s="344"/>
      <c r="IDJ3" s="344"/>
      <c r="IDK3" s="344"/>
      <c r="IDL3" s="344"/>
      <c r="IDM3" s="344"/>
      <c r="IDN3" s="344"/>
      <c r="IDO3" s="344"/>
      <c r="IDP3" s="344"/>
      <c r="IDQ3" s="344"/>
      <c r="IDR3" s="344"/>
      <c r="IDS3" s="344"/>
      <c r="IDT3" s="344"/>
      <c r="IDU3" s="344"/>
      <c r="IDV3" s="344"/>
      <c r="IDW3" s="344"/>
      <c r="IDX3" s="344"/>
      <c r="IDY3" s="344"/>
      <c r="IDZ3" s="344"/>
      <c r="IEA3" s="344"/>
      <c r="IEB3" s="344"/>
      <c r="IEC3" s="344"/>
      <c r="IED3" s="344"/>
      <c r="IEE3" s="344"/>
      <c r="IEF3" s="344"/>
      <c r="IEG3" s="344"/>
      <c r="IEH3" s="344"/>
      <c r="IEI3" s="344"/>
      <c r="IEJ3" s="344"/>
      <c r="IEK3" s="344"/>
      <c r="IEL3" s="344"/>
      <c r="IEM3" s="344"/>
      <c r="IEN3" s="344"/>
      <c r="IEO3" s="344"/>
      <c r="IEP3" s="344"/>
      <c r="IEQ3" s="344"/>
      <c r="IER3" s="344"/>
      <c r="IES3" s="344"/>
      <c r="IET3" s="344"/>
      <c r="IEU3" s="344"/>
      <c r="IEV3" s="344"/>
      <c r="IEW3" s="344"/>
      <c r="IEX3" s="344"/>
      <c r="IEY3" s="344"/>
      <c r="IEZ3" s="344"/>
      <c r="IFA3" s="344"/>
      <c r="IFB3" s="344"/>
      <c r="IFC3" s="344"/>
      <c r="IFD3" s="344"/>
      <c r="IFE3" s="344"/>
      <c r="IFF3" s="344"/>
      <c r="IFG3" s="344"/>
      <c r="IFH3" s="344"/>
      <c r="IFI3" s="344"/>
      <c r="IFJ3" s="344"/>
      <c r="IFK3" s="344"/>
      <c r="IFL3" s="344"/>
      <c r="IFM3" s="344"/>
      <c r="IFN3" s="344"/>
      <c r="IFO3" s="344"/>
      <c r="IFP3" s="344"/>
      <c r="IFQ3" s="344"/>
      <c r="IFR3" s="344"/>
      <c r="IFS3" s="344"/>
      <c r="IFT3" s="344"/>
      <c r="IFU3" s="344"/>
      <c r="IFV3" s="344"/>
      <c r="IFW3" s="344"/>
      <c r="IFX3" s="344"/>
      <c r="IFY3" s="344"/>
      <c r="IFZ3" s="344"/>
      <c r="IGA3" s="344"/>
      <c r="IGB3" s="344"/>
      <c r="IGC3" s="344"/>
      <c r="IGD3" s="344"/>
      <c r="IGE3" s="344"/>
      <c r="IGF3" s="344"/>
      <c r="IGG3" s="344"/>
      <c r="IGH3" s="344"/>
      <c r="IGI3" s="344"/>
      <c r="IGJ3" s="344"/>
      <c r="IGK3" s="344"/>
      <c r="IGL3" s="344"/>
      <c r="IGM3" s="344"/>
      <c r="IGN3" s="344"/>
      <c r="IGO3" s="344"/>
      <c r="IGP3" s="344"/>
      <c r="IGQ3" s="344"/>
      <c r="IGR3" s="344"/>
      <c r="IGS3" s="344"/>
      <c r="IGT3" s="344"/>
      <c r="IGU3" s="344"/>
      <c r="IGV3" s="344"/>
      <c r="IGW3" s="344"/>
      <c r="IGX3" s="344"/>
      <c r="IGY3" s="344"/>
      <c r="IGZ3" s="344"/>
      <c r="IHA3" s="344"/>
      <c r="IHB3" s="344"/>
      <c r="IHC3" s="344"/>
      <c r="IHD3" s="344"/>
      <c r="IHE3" s="344"/>
      <c r="IHF3" s="344"/>
      <c r="IHG3" s="344"/>
      <c r="IHH3" s="344"/>
      <c r="IHI3" s="344"/>
      <c r="IHJ3" s="344"/>
      <c r="IHK3" s="344"/>
      <c r="IHL3" s="344"/>
      <c r="IHM3" s="344"/>
      <c r="IHN3" s="344"/>
      <c r="IHO3" s="344"/>
      <c r="IHP3" s="344"/>
      <c r="IHQ3" s="344"/>
      <c r="IHR3" s="344"/>
      <c r="IHS3" s="344"/>
      <c r="IHT3" s="344"/>
      <c r="IHU3" s="344"/>
      <c r="IHV3" s="344"/>
      <c r="IHW3" s="344"/>
      <c r="IHX3" s="344"/>
      <c r="IHY3" s="344"/>
      <c r="IHZ3" s="344"/>
      <c r="IIA3" s="344"/>
      <c r="IIB3" s="344"/>
      <c r="IIC3" s="344"/>
      <c r="IID3" s="344"/>
      <c r="IIE3" s="344"/>
      <c r="IIF3" s="344"/>
      <c r="IIG3" s="344"/>
      <c r="IIH3" s="344"/>
      <c r="III3" s="344"/>
      <c r="IIJ3" s="344"/>
      <c r="IIK3" s="344"/>
      <c r="IIL3" s="344"/>
      <c r="IIM3" s="344"/>
      <c r="IIN3" s="344"/>
      <c r="IIO3" s="344"/>
      <c r="IIP3" s="344"/>
      <c r="IIQ3" s="344"/>
      <c r="IIR3" s="344"/>
      <c r="IIS3" s="344"/>
      <c r="IIT3" s="344"/>
      <c r="IIU3" s="344"/>
      <c r="IIV3" s="344"/>
      <c r="IIW3" s="344"/>
      <c r="IIX3" s="344"/>
      <c r="IIY3" s="344"/>
      <c r="IIZ3" s="344"/>
      <c r="IJA3" s="344"/>
      <c r="IJB3" s="344"/>
      <c r="IJC3" s="344"/>
      <c r="IJD3" s="344"/>
      <c r="IJE3" s="344"/>
      <c r="IJF3" s="344"/>
      <c r="IJG3" s="344"/>
      <c r="IJH3" s="344"/>
      <c r="IJI3" s="344"/>
      <c r="IJJ3" s="344"/>
      <c r="IJK3" s="344"/>
      <c r="IJL3" s="344"/>
      <c r="IJM3" s="344"/>
      <c r="IJN3" s="344"/>
      <c r="IJO3" s="344"/>
      <c r="IJP3" s="344"/>
      <c r="IJQ3" s="344"/>
      <c r="IJR3" s="344"/>
      <c r="IJS3" s="344"/>
      <c r="IJT3" s="344"/>
      <c r="IJU3" s="344"/>
      <c r="IJV3" s="344"/>
      <c r="IJW3" s="344"/>
      <c r="IJX3" s="344"/>
      <c r="IJY3" s="344"/>
      <c r="IJZ3" s="344"/>
      <c r="IKA3" s="344"/>
      <c r="IKB3" s="344"/>
      <c r="IKC3" s="344"/>
      <c r="IKD3" s="344"/>
      <c r="IKE3" s="344"/>
      <c r="IKF3" s="344"/>
      <c r="IKG3" s="344"/>
      <c r="IKH3" s="344"/>
      <c r="IKI3" s="344"/>
      <c r="IKJ3" s="344"/>
      <c r="IKK3" s="344"/>
      <c r="IKL3" s="344"/>
      <c r="IKM3" s="344"/>
      <c r="IKN3" s="344"/>
      <c r="IKO3" s="344"/>
      <c r="IKP3" s="344"/>
      <c r="IKQ3" s="344"/>
      <c r="IKR3" s="344"/>
      <c r="IKS3" s="344"/>
      <c r="IKT3" s="344"/>
      <c r="IKU3" s="344"/>
      <c r="IKV3" s="344"/>
      <c r="IKW3" s="344"/>
      <c r="IKX3" s="344"/>
      <c r="IKY3" s="344"/>
      <c r="IKZ3" s="344"/>
      <c r="ILA3" s="344"/>
      <c r="ILB3" s="344"/>
      <c r="ILC3" s="344"/>
      <c r="ILD3" s="344"/>
      <c r="ILE3" s="344"/>
      <c r="ILF3" s="344"/>
      <c r="ILG3" s="344"/>
      <c r="ILH3" s="344"/>
      <c r="ILI3" s="344"/>
      <c r="ILJ3" s="344"/>
      <c r="ILK3" s="344"/>
      <c r="ILL3" s="344"/>
      <c r="ILM3" s="344"/>
      <c r="ILN3" s="344"/>
      <c r="ILO3" s="344"/>
      <c r="ILP3" s="344"/>
      <c r="ILQ3" s="344"/>
      <c r="ILR3" s="344"/>
      <c r="ILS3" s="344"/>
      <c r="ILT3" s="344"/>
      <c r="ILU3" s="344"/>
      <c r="ILV3" s="344"/>
      <c r="ILW3" s="344"/>
      <c r="ILX3" s="344"/>
      <c r="ILY3" s="344"/>
      <c r="ILZ3" s="344"/>
      <c r="IMA3" s="344"/>
      <c r="IMB3" s="344"/>
      <c r="IMC3" s="344"/>
      <c r="IMD3" s="344"/>
      <c r="IME3" s="344"/>
      <c r="IMF3" s="344"/>
      <c r="IMG3" s="344"/>
      <c r="IMH3" s="344"/>
      <c r="IMI3" s="344"/>
      <c r="IMJ3" s="344"/>
      <c r="IMK3" s="344"/>
      <c r="IML3" s="344"/>
      <c r="IMM3" s="344"/>
      <c r="IMN3" s="344"/>
      <c r="IMO3" s="344"/>
      <c r="IMP3" s="344"/>
      <c r="IMQ3" s="344"/>
      <c r="IMR3" s="344"/>
      <c r="IMS3" s="344"/>
      <c r="IMT3" s="344"/>
      <c r="IMU3" s="344"/>
      <c r="IMV3" s="344"/>
      <c r="IMW3" s="344"/>
      <c r="IMX3" s="344"/>
      <c r="IMY3" s="344"/>
      <c r="IMZ3" s="344"/>
      <c r="INA3" s="344"/>
      <c r="INB3" s="344"/>
      <c r="INC3" s="344"/>
      <c r="IND3" s="344"/>
      <c r="INE3" s="344"/>
      <c r="INF3" s="344"/>
      <c r="ING3" s="344"/>
      <c r="INH3" s="344"/>
      <c r="INI3" s="344"/>
      <c r="INJ3" s="344"/>
      <c r="INK3" s="344"/>
      <c r="INL3" s="344"/>
      <c r="INM3" s="344"/>
      <c r="INN3" s="344"/>
      <c r="INO3" s="344"/>
      <c r="INP3" s="344"/>
      <c r="INQ3" s="344"/>
      <c r="INR3" s="344"/>
      <c r="INS3" s="344"/>
      <c r="INT3" s="344"/>
      <c r="INU3" s="344"/>
      <c r="INV3" s="344"/>
      <c r="INW3" s="344"/>
      <c r="INX3" s="344"/>
      <c r="INY3" s="344"/>
      <c r="INZ3" s="344"/>
      <c r="IOA3" s="344"/>
      <c r="IOB3" s="344"/>
      <c r="IOC3" s="344"/>
      <c r="IOD3" s="344"/>
      <c r="IOE3" s="344"/>
      <c r="IOF3" s="344"/>
      <c r="IOG3" s="344"/>
      <c r="IOH3" s="344"/>
      <c r="IOI3" s="344"/>
      <c r="IOJ3" s="344"/>
      <c r="IOK3" s="344"/>
      <c r="IOL3" s="344"/>
      <c r="IOM3" s="344"/>
      <c r="ION3" s="344"/>
      <c r="IOO3" s="344"/>
      <c r="IOP3" s="344"/>
      <c r="IOQ3" s="344"/>
      <c r="IOR3" s="344"/>
      <c r="IOS3" s="344"/>
      <c r="IOT3" s="344"/>
      <c r="IOU3" s="344"/>
      <c r="IOV3" s="344"/>
      <c r="IOW3" s="344"/>
      <c r="IOX3" s="344"/>
      <c r="IOY3" s="344"/>
      <c r="IOZ3" s="344"/>
      <c r="IPA3" s="344"/>
      <c r="IPB3" s="344"/>
      <c r="IPC3" s="344"/>
      <c r="IPD3" s="344"/>
      <c r="IPE3" s="344"/>
      <c r="IPF3" s="344"/>
      <c r="IPG3" s="344"/>
      <c r="IPH3" s="344"/>
      <c r="IPI3" s="344"/>
      <c r="IPJ3" s="344"/>
      <c r="IPK3" s="344"/>
      <c r="IPL3" s="344"/>
      <c r="IPM3" s="344"/>
      <c r="IPN3" s="344"/>
      <c r="IPO3" s="344"/>
      <c r="IPP3" s="344"/>
      <c r="IPQ3" s="344"/>
      <c r="IPR3" s="344"/>
      <c r="IPS3" s="344"/>
      <c r="IPT3" s="344"/>
      <c r="IPU3" s="344"/>
      <c r="IPV3" s="344"/>
      <c r="IPW3" s="344"/>
      <c r="IPX3" s="344"/>
      <c r="IPY3" s="344"/>
      <c r="IPZ3" s="344"/>
      <c r="IQA3" s="344"/>
      <c r="IQB3" s="344"/>
      <c r="IQC3" s="344"/>
      <c r="IQD3" s="344"/>
      <c r="IQE3" s="344"/>
      <c r="IQF3" s="344"/>
      <c r="IQG3" s="344"/>
      <c r="IQH3" s="344"/>
      <c r="IQI3" s="344"/>
      <c r="IQJ3" s="344"/>
      <c r="IQK3" s="344"/>
      <c r="IQL3" s="344"/>
      <c r="IQM3" s="344"/>
      <c r="IQN3" s="344"/>
      <c r="IQO3" s="344"/>
      <c r="IQP3" s="344"/>
      <c r="IQQ3" s="344"/>
      <c r="IQR3" s="344"/>
      <c r="IQS3" s="344"/>
      <c r="IQT3" s="344"/>
      <c r="IQU3" s="344"/>
      <c r="IQV3" s="344"/>
      <c r="IQW3" s="344"/>
      <c r="IQX3" s="344"/>
      <c r="IQY3" s="344"/>
      <c r="IQZ3" s="344"/>
      <c r="IRA3" s="344"/>
      <c r="IRB3" s="344"/>
      <c r="IRC3" s="344"/>
      <c r="IRD3" s="344"/>
      <c r="IRE3" s="344"/>
      <c r="IRF3" s="344"/>
      <c r="IRG3" s="344"/>
      <c r="IRH3" s="344"/>
      <c r="IRI3" s="344"/>
      <c r="IRJ3" s="344"/>
      <c r="IRK3" s="344"/>
      <c r="IRL3" s="344"/>
      <c r="IRM3" s="344"/>
      <c r="IRN3" s="344"/>
      <c r="IRO3" s="344"/>
      <c r="IRP3" s="344"/>
      <c r="IRQ3" s="344"/>
      <c r="IRR3" s="344"/>
      <c r="IRS3" s="344"/>
      <c r="IRT3" s="344"/>
      <c r="IRU3" s="344"/>
      <c r="IRV3" s="344"/>
      <c r="IRW3" s="344"/>
      <c r="IRX3" s="344"/>
      <c r="IRY3" s="344"/>
      <c r="IRZ3" s="344"/>
      <c r="ISA3" s="344"/>
      <c r="ISB3" s="344"/>
      <c r="ISC3" s="344"/>
      <c r="ISD3" s="344"/>
      <c r="ISE3" s="344"/>
      <c r="ISF3" s="344"/>
      <c r="ISG3" s="344"/>
      <c r="ISH3" s="344"/>
      <c r="ISI3" s="344"/>
      <c r="ISJ3" s="344"/>
      <c r="ISK3" s="344"/>
      <c r="ISL3" s="344"/>
      <c r="ISM3" s="344"/>
      <c r="ISN3" s="344"/>
      <c r="ISO3" s="344"/>
      <c r="ISP3" s="344"/>
      <c r="ISQ3" s="344"/>
      <c r="ISR3" s="344"/>
      <c r="ISS3" s="344"/>
      <c r="IST3" s="344"/>
      <c r="ISU3" s="344"/>
      <c r="ISV3" s="344"/>
      <c r="ISW3" s="344"/>
      <c r="ISX3" s="344"/>
      <c r="ISY3" s="344"/>
      <c r="ISZ3" s="344"/>
      <c r="ITA3" s="344"/>
      <c r="ITB3" s="344"/>
      <c r="ITC3" s="344"/>
      <c r="ITD3" s="344"/>
      <c r="ITE3" s="344"/>
      <c r="ITF3" s="344"/>
      <c r="ITG3" s="344"/>
      <c r="ITH3" s="344"/>
      <c r="ITI3" s="344"/>
      <c r="ITJ3" s="344"/>
      <c r="ITK3" s="344"/>
      <c r="ITL3" s="344"/>
      <c r="ITM3" s="344"/>
      <c r="ITN3" s="344"/>
      <c r="ITO3" s="344"/>
      <c r="ITP3" s="344"/>
      <c r="ITQ3" s="344"/>
      <c r="ITR3" s="344"/>
      <c r="ITS3" s="344"/>
      <c r="ITT3" s="344"/>
      <c r="ITU3" s="344"/>
      <c r="ITV3" s="344"/>
      <c r="ITW3" s="344"/>
      <c r="ITX3" s="344"/>
      <c r="ITY3" s="344"/>
      <c r="ITZ3" s="344"/>
      <c r="IUA3" s="344"/>
      <c r="IUB3" s="344"/>
      <c r="IUC3" s="344"/>
      <c r="IUD3" s="344"/>
      <c r="IUE3" s="344"/>
      <c r="IUF3" s="344"/>
      <c r="IUG3" s="344"/>
      <c r="IUH3" s="344"/>
      <c r="IUI3" s="344"/>
      <c r="IUJ3" s="344"/>
      <c r="IUK3" s="344"/>
      <c r="IUL3" s="344"/>
      <c r="IUM3" s="344"/>
      <c r="IUN3" s="344"/>
      <c r="IUO3" s="344"/>
      <c r="IUP3" s="344"/>
      <c r="IUQ3" s="344"/>
      <c r="IUR3" s="344"/>
      <c r="IUS3" s="344"/>
      <c r="IUT3" s="344"/>
      <c r="IUU3" s="344"/>
      <c r="IUV3" s="344"/>
      <c r="IUW3" s="344"/>
      <c r="IUX3" s="344"/>
      <c r="IUY3" s="344"/>
      <c r="IUZ3" s="344"/>
      <c r="IVA3" s="344"/>
      <c r="IVB3" s="344"/>
      <c r="IVC3" s="344"/>
      <c r="IVD3" s="344"/>
      <c r="IVE3" s="344"/>
      <c r="IVF3" s="344"/>
      <c r="IVG3" s="344"/>
      <c r="IVH3" s="344"/>
      <c r="IVI3" s="344"/>
      <c r="IVJ3" s="344"/>
      <c r="IVK3" s="344"/>
      <c r="IVL3" s="344"/>
      <c r="IVM3" s="344"/>
      <c r="IVN3" s="344"/>
      <c r="IVO3" s="344"/>
      <c r="IVP3" s="344"/>
      <c r="IVQ3" s="344"/>
      <c r="IVR3" s="344"/>
      <c r="IVS3" s="344"/>
      <c r="IVT3" s="344"/>
      <c r="IVU3" s="344"/>
      <c r="IVV3" s="344"/>
      <c r="IVW3" s="344"/>
      <c r="IVX3" s="344"/>
      <c r="IVY3" s="344"/>
      <c r="IVZ3" s="344"/>
      <c r="IWA3" s="344"/>
      <c r="IWB3" s="344"/>
      <c r="IWC3" s="344"/>
      <c r="IWD3" s="344"/>
      <c r="IWE3" s="344"/>
      <c r="IWF3" s="344"/>
      <c r="IWG3" s="344"/>
      <c r="IWH3" s="344"/>
      <c r="IWI3" s="344"/>
      <c r="IWJ3" s="344"/>
      <c r="IWK3" s="344"/>
      <c r="IWL3" s="344"/>
      <c r="IWM3" s="344"/>
      <c r="IWN3" s="344"/>
      <c r="IWO3" s="344"/>
      <c r="IWP3" s="344"/>
      <c r="IWQ3" s="344"/>
      <c r="IWR3" s="344"/>
      <c r="IWS3" s="344"/>
      <c r="IWT3" s="344"/>
      <c r="IWU3" s="344"/>
      <c r="IWV3" s="344"/>
      <c r="IWW3" s="344"/>
      <c r="IWX3" s="344"/>
      <c r="IWY3" s="344"/>
      <c r="IWZ3" s="344"/>
      <c r="IXA3" s="344"/>
      <c r="IXB3" s="344"/>
      <c r="IXC3" s="344"/>
      <c r="IXD3" s="344"/>
      <c r="IXE3" s="344"/>
      <c r="IXF3" s="344"/>
      <c r="IXG3" s="344"/>
      <c r="IXH3" s="344"/>
      <c r="IXI3" s="344"/>
      <c r="IXJ3" s="344"/>
      <c r="IXK3" s="344"/>
      <c r="IXL3" s="344"/>
      <c r="IXM3" s="344"/>
      <c r="IXN3" s="344"/>
      <c r="IXO3" s="344"/>
      <c r="IXP3" s="344"/>
      <c r="IXQ3" s="344"/>
      <c r="IXR3" s="344"/>
      <c r="IXS3" s="344"/>
      <c r="IXT3" s="344"/>
      <c r="IXU3" s="344"/>
      <c r="IXV3" s="344"/>
      <c r="IXW3" s="344"/>
      <c r="IXX3" s="344"/>
      <c r="IXY3" s="344"/>
      <c r="IXZ3" s="344"/>
      <c r="IYA3" s="344"/>
      <c r="IYB3" s="344"/>
      <c r="IYC3" s="344"/>
      <c r="IYD3" s="344"/>
      <c r="IYE3" s="344"/>
      <c r="IYF3" s="344"/>
      <c r="IYG3" s="344"/>
      <c r="IYH3" s="344"/>
      <c r="IYI3" s="344"/>
      <c r="IYJ3" s="344"/>
      <c r="IYK3" s="344"/>
      <c r="IYL3" s="344"/>
      <c r="IYM3" s="344"/>
      <c r="IYN3" s="344"/>
      <c r="IYO3" s="344"/>
      <c r="IYP3" s="344"/>
      <c r="IYQ3" s="344"/>
      <c r="IYR3" s="344"/>
      <c r="IYS3" s="344"/>
      <c r="IYT3" s="344"/>
      <c r="IYU3" s="344"/>
      <c r="IYV3" s="344"/>
      <c r="IYW3" s="344"/>
      <c r="IYX3" s="344"/>
      <c r="IYY3" s="344"/>
      <c r="IYZ3" s="344"/>
      <c r="IZA3" s="344"/>
      <c r="IZB3" s="344"/>
      <c r="IZC3" s="344"/>
      <c r="IZD3" s="344"/>
      <c r="IZE3" s="344"/>
      <c r="IZF3" s="344"/>
      <c r="IZG3" s="344"/>
      <c r="IZH3" s="344"/>
      <c r="IZI3" s="344"/>
      <c r="IZJ3" s="344"/>
      <c r="IZK3" s="344"/>
      <c r="IZL3" s="344"/>
      <c r="IZM3" s="344"/>
      <c r="IZN3" s="344"/>
      <c r="IZO3" s="344"/>
      <c r="IZP3" s="344"/>
      <c r="IZQ3" s="344"/>
      <c r="IZR3" s="344"/>
      <c r="IZS3" s="344"/>
      <c r="IZT3" s="344"/>
      <c r="IZU3" s="344"/>
      <c r="IZV3" s="344"/>
      <c r="IZW3" s="344"/>
      <c r="IZX3" s="344"/>
      <c r="IZY3" s="344"/>
      <c r="IZZ3" s="344"/>
      <c r="JAA3" s="344"/>
      <c r="JAB3" s="344"/>
      <c r="JAC3" s="344"/>
      <c r="JAD3" s="344"/>
      <c r="JAE3" s="344"/>
      <c r="JAF3" s="344"/>
      <c r="JAG3" s="344"/>
      <c r="JAH3" s="344"/>
      <c r="JAI3" s="344"/>
      <c r="JAJ3" s="344"/>
      <c r="JAK3" s="344"/>
      <c r="JAL3" s="344"/>
      <c r="JAM3" s="344"/>
      <c r="JAN3" s="344"/>
      <c r="JAO3" s="344"/>
      <c r="JAP3" s="344"/>
      <c r="JAQ3" s="344"/>
      <c r="JAR3" s="344"/>
      <c r="JAS3" s="344"/>
      <c r="JAT3" s="344"/>
      <c r="JAU3" s="344"/>
      <c r="JAV3" s="344"/>
      <c r="JAW3" s="344"/>
      <c r="JAX3" s="344"/>
      <c r="JAY3" s="344"/>
      <c r="JAZ3" s="344"/>
      <c r="JBA3" s="344"/>
      <c r="JBB3" s="344"/>
      <c r="JBC3" s="344"/>
      <c r="JBD3" s="344"/>
      <c r="JBE3" s="344"/>
      <c r="JBF3" s="344"/>
      <c r="JBG3" s="344"/>
      <c r="JBH3" s="344"/>
      <c r="JBI3" s="344"/>
      <c r="JBJ3" s="344"/>
      <c r="JBK3" s="344"/>
      <c r="JBL3" s="344"/>
      <c r="JBM3" s="344"/>
      <c r="JBN3" s="344"/>
      <c r="JBO3" s="344"/>
      <c r="JBP3" s="344"/>
      <c r="JBQ3" s="344"/>
      <c r="JBR3" s="344"/>
      <c r="JBS3" s="344"/>
      <c r="JBT3" s="344"/>
      <c r="JBU3" s="344"/>
      <c r="JBV3" s="344"/>
      <c r="JBW3" s="344"/>
      <c r="JBX3" s="344"/>
      <c r="JBY3" s="344"/>
      <c r="JBZ3" s="344"/>
      <c r="JCA3" s="344"/>
      <c r="JCB3" s="344"/>
      <c r="JCC3" s="344"/>
      <c r="JCD3" s="344"/>
      <c r="JCE3" s="344"/>
      <c r="JCF3" s="344"/>
      <c r="JCG3" s="344"/>
      <c r="JCH3" s="344"/>
      <c r="JCI3" s="344"/>
      <c r="JCJ3" s="344"/>
      <c r="JCK3" s="344"/>
      <c r="JCL3" s="344"/>
      <c r="JCM3" s="344"/>
      <c r="JCN3" s="344"/>
      <c r="JCO3" s="344"/>
      <c r="JCP3" s="344"/>
      <c r="JCQ3" s="344"/>
      <c r="JCR3" s="344"/>
      <c r="JCS3" s="344"/>
      <c r="JCT3" s="344"/>
      <c r="JCU3" s="344"/>
      <c r="JCV3" s="344"/>
      <c r="JCW3" s="344"/>
      <c r="JCX3" s="344"/>
      <c r="JCY3" s="344"/>
      <c r="JCZ3" s="344"/>
      <c r="JDA3" s="344"/>
      <c r="JDB3" s="344"/>
      <c r="JDC3" s="344"/>
      <c r="JDD3" s="344"/>
      <c r="JDE3" s="344"/>
      <c r="JDF3" s="344"/>
      <c r="JDG3" s="344"/>
      <c r="JDH3" s="344"/>
      <c r="JDI3" s="344"/>
      <c r="JDJ3" s="344"/>
      <c r="JDK3" s="344"/>
      <c r="JDL3" s="344"/>
      <c r="JDM3" s="344"/>
      <c r="JDN3" s="344"/>
      <c r="JDO3" s="344"/>
      <c r="JDP3" s="344"/>
      <c r="JDQ3" s="344"/>
      <c r="JDR3" s="344"/>
      <c r="JDS3" s="344"/>
      <c r="JDT3" s="344"/>
      <c r="JDU3" s="344"/>
      <c r="JDV3" s="344"/>
      <c r="JDW3" s="344"/>
      <c r="JDX3" s="344"/>
      <c r="JDY3" s="344"/>
      <c r="JDZ3" s="344"/>
      <c r="JEA3" s="344"/>
      <c r="JEB3" s="344"/>
      <c r="JEC3" s="344"/>
      <c r="JED3" s="344"/>
      <c r="JEE3" s="344"/>
      <c r="JEF3" s="344"/>
      <c r="JEG3" s="344"/>
      <c r="JEH3" s="344"/>
      <c r="JEI3" s="344"/>
      <c r="JEJ3" s="344"/>
      <c r="JEK3" s="344"/>
      <c r="JEL3" s="344"/>
      <c r="JEM3" s="344"/>
      <c r="JEN3" s="344"/>
      <c r="JEO3" s="344"/>
      <c r="JEP3" s="344"/>
      <c r="JEQ3" s="344"/>
      <c r="JER3" s="344"/>
      <c r="JES3" s="344"/>
      <c r="JET3" s="344"/>
      <c r="JEU3" s="344"/>
      <c r="JEV3" s="344"/>
      <c r="JEW3" s="344"/>
      <c r="JEX3" s="344"/>
      <c r="JEY3" s="344"/>
      <c r="JEZ3" s="344"/>
      <c r="JFA3" s="344"/>
      <c r="JFB3" s="344"/>
      <c r="JFC3" s="344"/>
      <c r="JFD3" s="344"/>
      <c r="JFE3" s="344"/>
      <c r="JFF3" s="344"/>
      <c r="JFG3" s="344"/>
      <c r="JFH3" s="344"/>
      <c r="JFI3" s="344"/>
      <c r="JFJ3" s="344"/>
      <c r="JFK3" s="344"/>
      <c r="JFL3" s="344"/>
      <c r="JFM3" s="344"/>
      <c r="JFN3" s="344"/>
      <c r="JFO3" s="344"/>
      <c r="JFP3" s="344"/>
      <c r="JFQ3" s="344"/>
      <c r="JFR3" s="344"/>
      <c r="JFS3" s="344"/>
      <c r="JFT3" s="344"/>
      <c r="JFU3" s="344"/>
      <c r="JFV3" s="344"/>
      <c r="JFW3" s="344"/>
      <c r="JFX3" s="344"/>
      <c r="JFY3" s="344"/>
      <c r="JFZ3" s="344"/>
      <c r="JGA3" s="344"/>
      <c r="JGB3" s="344"/>
      <c r="JGC3" s="344"/>
      <c r="JGD3" s="344"/>
      <c r="JGE3" s="344"/>
      <c r="JGF3" s="344"/>
      <c r="JGG3" s="344"/>
      <c r="JGH3" s="344"/>
      <c r="JGI3" s="344"/>
      <c r="JGJ3" s="344"/>
      <c r="JGK3" s="344"/>
      <c r="JGL3" s="344"/>
      <c r="JGM3" s="344"/>
      <c r="JGN3" s="344"/>
      <c r="JGO3" s="344"/>
      <c r="JGP3" s="344"/>
      <c r="JGQ3" s="344"/>
      <c r="JGR3" s="344"/>
      <c r="JGS3" s="344"/>
      <c r="JGT3" s="344"/>
      <c r="JGU3" s="344"/>
      <c r="JGV3" s="344"/>
      <c r="JGW3" s="344"/>
      <c r="JGX3" s="344"/>
      <c r="JGY3" s="344"/>
      <c r="JGZ3" s="344"/>
      <c r="JHA3" s="344"/>
      <c r="JHB3" s="344"/>
      <c r="JHC3" s="344"/>
      <c r="JHD3" s="344"/>
      <c r="JHE3" s="344"/>
      <c r="JHF3" s="344"/>
      <c r="JHG3" s="344"/>
      <c r="JHH3" s="344"/>
      <c r="JHI3" s="344"/>
      <c r="JHJ3" s="344"/>
      <c r="JHK3" s="344"/>
      <c r="JHL3" s="344"/>
      <c r="JHM3" s="344"/>
      <c r="JHN3" s="344"/>
      <c r="JHO3" s="344"/>
      <c r="JHP3" s="344"/>
      <c r="JHQ3" s="344"/>
      <c r="JHR3" s="344"/>
      <c r="JHS3" s="344"/>
      <c r="JHT3" s="344"/>
      <c r="JHU3" s="344"/>
      <c r="JHV3" s="344"/>
      <c r="JHW3" s="344"/>
      <c r="JHX3" s="344"/>
      <c r="JHY3" s="344"/>
      <c r="JHZ3" s="344"/>
      <c r="JIA3" s="344"/>
      <c r="JIB3" s="344"/>
      <c r="JIC3" s="344"/>
      <c r="JID3" s="344"/>
      <c r="JIE3" s="344"/>
      <c r="JIF3" s="344"/>
      <c r="JIG3" s="344"/>
      <c r="JIH3" s="344"/>
      <c r="JII3" s="344"/>
      <c r="JIJ3" s="344"/>
      <c r="JIK3" s="344"/>
      <c r="JIL3" s="344"/>
      <c r="JIM3" s="344"/>
      <c r="JIN3" s="344"/>
      <c r="JIO3" s="344"/>
      <c r="JIP3" s="344"/>
      <c r="JIQ3" s="344"/>
      <c r="JIR3" s="344"/>
      <c r="JIS3" s="344"/>
      <c r="JIT3" s="344"/>
      <c r="JIU3" s="344"/>
      <c r="JIV3" s="344"/>
      <c r="JIW3" s="344"/>
      <c r="JIX3" s="344"/>
      <c r="JIY3" s="344"/>
      <c r="JIZ3" s="344"/>
      <c r="JJA3" s="344"/>
      <c r="JJB3" s="344"/>
      <c r="JJC3" s="344"/>
      <c r="JJD3" s="344"/>
      <c r="JJE3" s="344"/>
      <c r="JJF3" s="344"/>
      <c r="JJG3" s="344"/>
      <c r="JJH3" s="344"/>
      <c r="JJI3" s="344"/>
      <c r="JJJ3" s="344"/>
      <c r="JJK3" s="344"/>
      <c r="JJL3" s="344"/>
      <c r="JJM3" s="344"/>
      <c r="JJN3" s="344"/>
      <c r="JJO3" s="344"/>
      <c r="JJP3" s="344"/>
      <c r="JJQ3" s="344"/>
      <c r="JJR3" s="344"/>
      <c r="JJS3" s="344"/>
      <c r="JJT3" s="344"/>
      <c r="JJU3" s="344"/>
      <c r="JJV3" s="344"/>
      <c r="JJW3" s="344"/>
      <c r="JJX3" s="344"/>
      <c r="JJY3" s="344"/>
      <c r="JJZ3" s="344"/>
      <c r="JKA3" s="344"/>
      <c r="JKB3" s="344"/>
      <c r="JKC3" s="344"/>
      <c r="JKD3" s="344"/>
      <c r="JKE3" s="344"/>
      <c r="JKF3" s="344"/>
      <c r="JKG3" s="344"/>
      <c r="JKH3" s="344"/>
      <c r="JKI3" s="344"/>
      <c r="JKJ3" s="344"/>
      <c r="JKK3" s="344"/>
      <c r="JKL3" s="344"/>
      <c r="JKM3" s="344"/>
      <c r="JKN3" s="344"/>
      <c r="JKO3" s="344"/>
      <c r="JKP3" s="344"/>
      <c r="JKQ3" s="344"/>
      <c r="JKR3" s="344"/>
      <c r="JKS3" s="344"/>
      <c r="JKT3" s="344"/>
      <c r="JKU3" s="344"/>
      <c r="JKV3" s="344"/>
      <c r="JKW3" s="344"/>
      <c r="JKX3" s="344"/>
      <c r="JKY3" s="344"/>
      <c r="JKZ3" s="344"/>
      <c r="JLA3" s="344"/>
      <c r="JLB3" s="344"/>
      <c r="JLC3" s="344"/>
      <c r="JLD3" s="344"/>
      <c r="JLE3" s="344"/>
      <c r="JLF3" s="344"/>
      <c r="JLG3" s="344"/>
      <c r="JLH3" s="344"/>
      <c r="JLI3" s="344"/>
      <c r="JLJ3" s="344"/>
      <c r="JLK3" s="344"/>
      <c r="JLL3" s="344"/>
      <c r="JLM3" s="344"/>
      <c r="JLN3" s="344"/>
      <c r="JLO3" s="344"/>
      <c r="JLP3" s="344"/>
      <c r="JLQ3" s="344"/>
      <c r="JLR3" s="344"/>
      <c r="JLS3" s="344"/>
      <c r="JLT3" s="344"/>
      <c r="JLU3" s="344"/>
      <c r="JLV3" s="344"/>
      <c r="JLW3" s="344"/>
      <c r="JLX3" s="344"/>
      <c r="JLY3" s="344"/>
      <c r="JLZ3" s="344"/>
      <c r="JMA3" s="344"/>
      <c r="JMB3" s="344"/>
      <c r="JMC3" s="344"/>
      <c r="JMD3" s="344"/>
      <c r="JME3" s="344"/>
      <c r="JMF3" s="344"/>
      <c r="JMG3" s="344"/>
      <c r="JMH3" s="344"/>
      <c r="JMI3" s="344"/>
      <c r="JMJ3" s="344"/>
      <c r="JMK3" s="344"/>
      <c r="JML3" s="344"/>
      <c r="JMM3" s="344"/>
      <c r="JMN3" s="344"/>
      <c r="JMO3" s="344"/>
      <c r="JMP3" s="344"/>
      <c r="JMQ3" s="344"/>
      <c r="JMR3" s="344"/>
      <c r="JMS3" s="344"/>
      <c r="JMT3" s="344"/>
      <c r="JMU3" s="344"/>
      <c r="JMV3" s="344"/>
      <c r="JMW3" s="344"/>
      <c r="JMX3" s="344"/>
      <c r="JMY3" s="344"/>
      <c r="JMZ3" s="344"/>
      <c r="JNA3" s="344"/>
      <c r="JNB3" s="344"/>
      <c r="JNC3" s="344"/>
      <c r="JND3" s="344"/>
      <c r="JNE3" s="344"/>
      <c r="JNF3" s="344"/>
      <c r="JNG3" s="344"/>
      <c r="JNH3" s="344"/>
      <c r="JNI3" s="344"/>
      <c r="JNJ3" s="344"/>
      <c r="JNK3" s="344"/>
      <c r="JNL3" s="344"/>
      <c r="JNM3" s="344"/>
      <c r="JNN3" s="344"/>
      <c r="JNO3" s="344"/>
      <c r="JNP3" s="344"/>
      <c r="JNQ3" s="344"/>
      <c r="JNR3" s="344"/>
      <c r="JNS3" s="344"/>
      <c r="JNT3" s="344"/>
      <c r="JNU3" s="344"/>
      <c r="JNV3" s="344"/>
      <c r="JNW3" s="344"/>
      <c r="JNX3" s="344"/>
      <c r="JNY3" s="344"/>
      <c r="JNZ3" s="344"/>
      <c r="JOA3" s="344"/>
      <c r="JOB3" s="344"/>
      <c r="JOC3" s="344"/>
      <c r="JOD3" s="344"/>
      <c r="JOE3" s="344"/>
      <c r="JOF3" s="344"/>
      <c r="JOG3" s="344"/>
      <c r="JOH3" s="344"/>
      <c r="JOI3" s="344"/>
      <c r="JOJ3" s="344"/>
      <c r="JOK3" s="344"/>
      <c r="JOL3" s="344"/>
      <c r="JOM3" s="344"/>
      <c r="JON3" s="344"/>
      <c r="JOO3" s="344"/>
      <c r="JOP3" s="344"/>
      <c r="JOQ3" s="344"/>
      <c r="JOR3" s="344"/>
      <c r="JOS3" s="344"/>
      <c r="JOT3" s="344"/>
      <c r="JOU3" s="344"/>
      <c r="JOV3" s="344"/>
      <c r="JOW3" s="344"/>
      <c r="JOX3" s="344"/>
      <c r="JOY3" s="344"/>
      <c r="JOZ3" s="344"/>
      <c r="JPA3" s="344"/>
      <c r="JPB3" s="344"/>
      <c r="JPC3" s="344"/>
      <c r="JPD3" s="344"/>
      <c r="JPE3" s="344"/>
      <c r="JPF3" s="344"/>
      <c r="JPG3" s="344"/>
      <c r="JPH3" s="344"/>
      <c r="JPI3" s="344"/>
      <c r="JPJ3" s="344"/>
      <c r="JPK3" s="344"/>
      <c r="JPL3" s="344"/>
      <c r="JPM3" s="344"/>
      <c r="JPN3" s="344"/>
      <c r="JPO3" s="344"/>
      <c r="JPP3" s="344"/>
      <c r="JPQ3" s="344"/>
      <c r="JPR3" s="344"/>
      <c r="JPS3" s="344"/>
      <c r="JPT3" s="344"/>
      <c r="JPU3" s="344"/>
      <c r="JPV3" s="344"/>
      <c r="JPW3" s="344"/>
      <c r="JPX3" s="344"/>
      <c r="JPY3" s="344"/>
      <c r="JPZ3" s="344"/>
      <c r="JQA3" s="344"/>
      <c r="JQB3" s="344"/>
      <c r="JQC3" s="344"/>
      <c r="JQD3" s="344"/>
      <c r="JQE3" s="344"/>
      <c r="JQF3" s="344"/>
      <c r="JQG3" s="344"/>
      <c r="JQH3" s="344"/>
      <c r="JQI3" s="344"/>
      <c r="JQJ3" s="344"/>
      <c r="JQK3" s="344"/>
      <c r="JQL3" s="344"/>
      <c r="JQM3" s="344"/>
      <c r="JQN3" s="344"/>
      <c r="JQO3" s="344"/>
      <c r="JQP3" s="344"/>
      <c r="JQQ3" s="344"/>
      <c r="JQR3" s="344"/>
      <c r="JQS3" s="344"/>
      <c r="JQT3" s="344"/>
      <c r="JQU3" s="344"/>
      <c r="JQV3" s="344"/>
      <c r="JQW3" s="344"/>
      <c r="JQX3" s="344"/>
      <c r="JQY3" s="344"/>
      <c r="JQZ3" s="344"/>
      <c r="JRA3" s="344"/>
      <c r="JRB3" s="344"/>
      <c r="JRC3" s="344"/>
      <c r="JRD3" s="344"/>
      <c r="JRE3" s="344"/>
      <c r="JRF3" s="344"/>
      <c r="JRG3" s="344"/>
      <c r="JRH3" s="344"/>
      <c r="JRI3" s="344"/>
      <c r="JRJ3" s="344"/>
      <c r="JRK3" s="344"/>
      <c r="JRL3" s="344"/>
      <c r="JRM3" s="344"/>
      <c r="JRN3" s="344"/>
      <c r="JRO3" s="344"/>
      <c r="JRP3" s="344"/>
      <c r="JRQ3" s="344"/>
      <c r="JRR3" s="344"/>
      <c r="JRS3" s="344"/>
      <c r="JRT3" s="344"/>
      <c r="JRU3" s="344"/>
      <c r="JRV3" s="344"/>
      <c r="JRW3" s="344"/>
      <c r="JRX3" s="344"/>
      <c r="JRY3" s="344"/>
      <c r="JRZ3" s="344"/>
      <c r="JSA3" s="344"/>
      <c r="JSB3" s="344"/>
      <c r="JSC3" s="344"/>
      <c r="JSD3" s="344"/>
      <c r="JSE3" s="344"/>
      <c r="JSF3" s="344"/>
      <c r="JSG3" s="344"/>
      <c r="JSH3" s="344"/>
      <c r="JSI3" s="344"/>
      <c r="JSJ3" s="344"/>
      <c r="JSK3" s="344"/>
      <c r="JSL3" s="344"/>
      <c r="JSM3" s="344"/>
      <c r="JSN3" s="344"/>
      <c r="JSO3" s="344"/>
      <c r="JSP3" s="344"/>
      <c r="JSQ3" s="344"/>
      <c r="JSR3" s="344"/>
      <c r="JSS3" s="344"/>
      <c r="JST3" s="344"/>
      <c r="JSU3" s="344"/>
      <c r="JSV3" s="344"/>
      <c r="JSW3" s="344"/>
      <c r="JSX3" s="344"/>
      <c r="JSY3" s="344"/>
      <c r="JSZ3" s="344"/>
      <c r="JTA3" s="344"/>
      <c r="JTB3" s="344"/>
      <c r="JTC3" s="344"/>
      <c r="JTD3" s="344"/>
      <c r="JTE3" s="344"/>
      <c r="JTF3" s="344"/>
      <c r="JTG3" s="344"/>
      <c r="JTH3" s="344"/>
      <c r="JTI3" s="344"/>
      <c r="JTJ3" s="344"/>
      <c r="JTK3" s="344"/>
      <c r="JTL3" s="344"/>
      <c r="JTM3" s="344"/>
      <c r="JTN3" s="344"/>
      <c r="JTO3" s="344"/>
      <c r="JTP3" s="344"/>
      <c r="JTQ3" s="344"/>
      <c r="JTR3" s="344"/>
      <c r="JTS3" s="344"/>
      <c r="JTT3" s="344"/>
      <c r="JTU3" s="344"/>
      <c r="JTV3" s="344"/>
      <c r="JTW3" s="344"/>
      <c r="JTX3" s="344"/>
      <c r="JTY3" s="344"/>
      <c r="JTZ3" s="344"/>
      <c r="JUA3" s="344"/>
      <c r="JUB3" s="344"/>
      <c r="JUC3" s="344"/>
      <c r="JUD3" s="344"/>
      <c r="JUE3" s="344"/>
      <c r="JUF3" s="344"/>
      <c r="JUG3" s="344"/>
      <c r="JUH3" s="344"/>
      <c r="JUI3" s="344"/>
      <c r="JUJ3" s="344"/>
      <c r="JUK3" s="344"/>
      <c r="JUL3" s="344"/>
      <c r="JUM3" s="344"/>
      <c r="JUN3" s="344"/>
      <c r="JUO3" s="344"/>
      <c r="JUP3" s="344"/>
      <c r="JUQ3" s="344"/>
      <c r="JUR3" s="344"/>
      <c r="JUS3" s="344"/>
      <c r="JUT3" s="344"/>
      <c r="JUU3" s="344"/>
      <c r="JUV3" s="344"/>
      <c r="JUW3" s="344"/>
      <c r="JUX3" s="344"/>
      <c r="JUY3" s="344"/>
      <c r="JUZ3" s="344"/>
      <c r="JVA3" s="344"/>
      <c r="JVB3" s="344"/>
      <c r="JVC3" s="344"/>
      <c r="JVD3" s="344"/>
      <c r="JVE3" s="344"/>
      <c r="JVF3" s="344"/>
      <c r="JVG3" s="344"/>
      <c r="JVH3" s="344"/>
      <c r="JVI3" s="344"/>
      <c r="JVJ3" s="344"/>
      <c r="JVK3" s="344"/>
      <c r="JVL3" s="344"/>
      <c r="JVM3" s="344"/>
      <c r="JVN3" s="344"/>
      <c r="JVO3" s="344"/>
      <c r="JVP3" s="344"/>
      <c r="JVQ3" s="344"/>
      <c r="JVR3" s="344"/>
      <c r="JVS3" s="344"/>
      <c r="JVT3" s="344"/>
      <c r="JVU3" s="344"/>
      <c r="JVV3" s="344"/>
      <c r="JVW3" s="344"/>
      <c r="JVX3" s="344"/>
      <c r="JVY3" s="344"/>
      <c r="JVZ3" s="344"/>
      <c r="JWA3" s="344"/>
      <c r="JWB3" s="344"/>
      <c r="JWC3" s="344"/>
      <c r="JWD3" s="344"/>
      <c r="JWE3" s="344"/>
      <c r="JWF3" s="344"/>
      <c r="JWG3" s="344"/>
      <c r="JWH3" s="344"/>
      <c r="JWI3" s="344"/>
      <c r="JWJ3" s="344"/>
      <c r="JWK3" s="344"/>
      <c r="JWL3" s="344"/>
      <c r="JWM3" s="344"/>
      <c r="JWN3" s="344"/>
      <c r="JWO3" s="344"/>
      <c r="JWP3" s="344"/>
      <c r="JWQ3" s="344"/>
      <c r="JWR3" s="344"/>
      <c r="JWS3" s="344"/>
      <c r="JWT3" s="344"/>
      <c r="JWU3" s="344"/>
      <c r="JWV3" s="344"/>
      <c r="JWW3" s="344"/>
      <c r="JWX3" s="344"/>
      <c r="JWY3" s="344"/>
      <c r="JWZ3" s="344"/>
      <c r="JXA3" s="344"/>
      <c r="JXB3" s="344"/>
      <c r="JXC3" s="344"/>
      <c r="JXD3" s="344"/>
      <c r="JXE3" s="344"/>
      <c r="JXF3" s="344"/>
      <c r="JXG3" s="344"/>
      <c r="JXH3" s="344"/>
      <c r="JXI3" s="344"/>
      <c r="JXJ3" s="344"/>
      <c r="JXK3" s="344"/>
      <c r="JXL3" s="344"/>
      <c r="JXM3" s="344"/>
      <c r="JXN3" s="344"/>
      <c r="JXO3" s="344"/>
      <c r="JXP3" s="344"/>
      <c r="JXQ3" s="344"/>
      <c r="JXR3" s="344"/>
      <c r="JXS3" s="344"/>
      <c r="JXT3" s="344"/>
      <c r="JXU3" s="344"/>
      <c r="JXV3" s="344"/>
      <c r="JXW3" s="344"/>
      <c r="JXX3" s="344"/>
      <c r="JXY3" s="344"/>
      <c r="JXZ3" s="344"/>
      <c r="JYA3" s="344"/>
      <c r="JYB3" s="344"/>
      <c r="JYC3" s="344"/>
      <c r="JYD3" s="344"/>
      <c r="JYE3" s="344"/>
      <c r="JYF3" s="344"/>
      <c r="JYG3" s="344"/>
      <c r="JYH3" s="344"/>
      <c r="JYI3" s="344"/>
      <c r="JYJ3" s="344"/>
      <c r="JYK3" s="344"/>
      <c r="JYL3" s="344"/>
      <c r="JYM3" s="344"/>
      <c r="JYN3" s="344"/>
      <c r="JYO3" s="344"/>
      <c r="JYP3" s="344"/>
      <c r="JYQ3" s="344"/>
      <c r="JYR3" s="344"/>
      <c r="JYS3" s="344"/>
      <c r="JYT3" s="344"/>
      <c r="JYU3" s="344"/>
      <c r="JYV3" s="344"/>
      <c r="JYW3" s="344"/>
      <c r="JYX3" s="344"/>
      <c r="JYY3" s="344"/>
      <c r="JYZ3" s="344"/>
      <c r="JZA3" s="344"/>
      <c r="JZB3" s="344"/>
      <c r="JZC3" s="344"/>
      <c r="JZD3" s="344"/>
      <c r="JZE3" s="344"/>
      <c r="JZF3" s="344"/>
      <c r="JZG3" s="344"/>
      <c r="JZH3" s="344"/>
      <c r="JZI3" s="344"/>
      <c r="JZJ3" s="344"/>
      <c r="JZK3" s="344"/>
      <c r="JZL3" s="344"/>
      <c r="JZM3" s="344"/>
      <c r="JZN3" s="344"/>
      <c r="JZO3" s="344"/>
      <c r="JZP3" s="344"/>
      <c r="JZQ3" s="344"/>
      <c r="JZR3" s="344"/>
      <c r="JZS3" s="344"/>
      <c r="JZT3" s="344"/>
      <c r="JZU3" s="344"/>
      <c r="JZV3" s="344"/>
      <c r="JZW3" s="344"/>
      <c r="JZX3" s="344"/>
      <c r="JZY3" s="344"/>
      <c r="JZZ3" s="344"/>
      <c r="KAA3" s="344"/>
      <c r="KAB3" s="344"/>
      <c r="KAC3" s="344"/>
      <c r="KAD3" s="344"/>
      <c r="KAE3" s="344"/>
      <c r="KAF3" s="344"/>
      <c r="KAG3" s="344"/>
      <c r="KAH3" s="344"/>
      <c r="KAI3" s="344"/>
      <c r="KAJ3" s="344"/>
      <c r="KAK3" s="344"/>
      <c r="KAL3" s="344"/>
      <c r="KAM3" s="344"/>
      <c r="KAN3" s="344"/>
      <c r="KAO3" s="344"/>
      <c r="KAP3" s="344"/>
      <c r="KAQ3" s="344"/>
      <c r="KAR3" s="344"/>
      <c r="KAS3" s="344"/>
      <c r="KAT3" s="344"/>
      <c r="KAU3" s="344"/>
      <c r="KAV3" s="344"/>
      <c r="KAW3" s="344"/>
      <c r="KAX3" s="344"/>
      <c r="KAY3" s="344"/>
      <c r="KAZ3" s="344"/>
      <c r="KBA3" s="344"/>
      <c r="KBB3" s="344"/>
      <c r="KBC3" s="344"/>
      <c r="KBD3" s="344"/>
      <c r="KBE3" s="344"/>
      <c r="KBF3" s="344"/>
      <c r="KBG3" s="344"/>
      <c r="KBH3" s="344"/>
      <c r="KBI3" s="344"/>
      <c r="KBJ3" s="344"/>
      <c r="KBK3" s="344"/>
      <c r="KBL3" s="344"/>
      <c r="KBM3" s="344"/>
      <c r="KBN3" s="344"/>
      <c r="KBO3" s="344"/>
      <c r="KBP3" s="344"/>
      <c r="KBQ3" s="344"/>
      <c r="KBR3" s="344"/>
      <c r="KBS3" s="344"/>
      <c r="KBT3" s="344"/>
      <c r="KBU3" s="344"/>
      <c r="KBV3" s="344"/>
      <c r="KBW3" s="344"/>
      <c r="KBX3" s="344"/>
      <c r="KBY3" s="344"/>
      <c r="KBZ3" s="344"/>
      <c r="KCA3" s="344"/>
      <c r="KCB3" s="344"/>
      <c r="KCC3" s="344"/>
      <c r="KCD3" s="344"/>
      <c r="KCE3" s="344"/>
      <c r="KCF3" s="344"/>
      <c r="KCG3" s="344"/>
      <c r="KCH3" s="344"/>
      <c r="KCI3" s="344"/>
      <c r="KCJ3" s="344"/>
      <c r="KCK3" s="344"/>
      <c r="KCL3" s="344"/>
      <c r="KCM3" s="344"/>
      <c r="KCN3" s="344"/>
      <c r="KCO3" s="344"/>
      <c r="KCP3" s="344"/>
      <c r="KCQ3" s="344"/>
      <c r="KCR3" s="344"/>
      <c r="KCS3" s="344"/>
      <c r="KCT3" s="344"/>
      <c r="KCU3" s="344"/>
      <c r="KCV3" s="344"/>
      <c r="KCW3" s="344"/>
      <c r="KCX3" s="344"/>
      <c r="KCY3" s="344"/>
      <c r="KCZ3" s="344"/>
      <c r="KDA3" s="344"/>
      <c r="KDB3" s="344"/>
      <c r="KDC3" s="344"/>
      <c r="KDD3" s="344"/>
      <c r="KDE3" s="344"/>
      <c r="KDF3" s="344"/>
      <c r="KDG3" s="344"/>
      <c r="KDH3" s="344"/>
      <c r="KDI3" s="344"/>
      <c r="KDJ3" s="344"/>
      <c r="KDK3" s="344"/>
      <c r="KDL3" s="344"/>
      <c r="KDM3" s="344"/>
      <c r="KDN3" s="344"/>
      <c r="KDO3" s="344"/>
      <c r="KDP3" s="344"/>
      <c r="KDQ3" s="344"/>
      <c r="KDR3" s="344"/>
      <c r="KDS3" s="344"/>
      <c r="KDT3" s="344"/>
      <c r="KDU3" s="344"/>
      <c r="KDV3" s="344"/>
      <c r="KDW3" s="344"/>
      <c r="KDX3" s="344"/>
      <c r="KDY3" s="344"/>
      <c r="KDZ3" s="344"/>
      <c r="KEA3" s="344"/>
      <c r="KEB3" s="344"/>
      <c r="KEC3" s="344"/>
      <c r="KED3" s="344"/>
      <c r="KEE3" s="344"/>
      <c r="KEF3" s="344"/>
      <c r="KEG3" s="344"/>
      <c r="KEH3" s="344"/>
      <c r="KEI3" s="344"/>
      <c r="KEJ3" s="344"/>
      <c r="KEK3" s="344"/>
      <c r="KEL3" s="344"/>
      <c r="KEM3" s="344"/>
      <c r="KEN3" s="344"/>
      <c r="KEO3" s="344"/>
      <c r="KEP3" s="344"/>
      <c r="KEQ3" s="344"/>
      <c r="KER3" s="344"/>
      <c r="KES3" s="344"/>
      <c r="KET3" s="344"/>
      <c r="KEU3" s="344"/>
      <c r="KEV3" s="344"/>
      <c r="KEW3" s="344"/>
      <c r="KEX3" s="344"/>
      <c r="KEY3" s="344"/>
      <c r="KEZ3" s="344"/>
      <c r="KFA3" s="344"/>
      <c r="KFB3" s="344"/>
      <c r="KFC3" s="344"/>
      <c r="KFD3" s="344"/>
      <c r="KFE3" s="344"/>
      <c r="KFF3" s="344"/>
      <c r="KFG3" s="344"/>
      <c r="KFH3" s="344"/>
      <c r="KFI3" s="344"/>
      <c r="KFJ3" s="344"/>
      <c r="KFK3" s="344"/>
      <c r="KFL3" s="344"/>
      <c r="KFM3" s="344"/>
      <c r="KFN3" s="344"/>
      <c r="KFO3" s="344"/>
      <c r="KFP3" s="344"/>
      <c r="KFQ3" s="344"/>
      <c r="KFR3" s="344"/>
      <c r="KFS3" s="344"/>
      <c r="KFT3" s="344"/>
      <c r="KFU3" s="344"/>
      <c r="KFV3" s="344"/>
      <c r="KFW3" s="344"/>
      <c r="KFX3" s="344"/>
      <c r="KFY3" s="344"/>
      <c r="KFZ3" s="344"/>
      <c r="KGA3" s="344"/>
      <c r="KGB3" s="344"/>
      <c r="KGC3" s="344"/>
      <c r="KGD3" s="344"/>
      <c r="KGE3" s="344"/>
      <c r="KGF3" s="344"/>
      <c r="KGG3" s="344"/>
      <c r="KGH3" s="344"/>
      <c r="KGI3" s="344"/>
      <c r="KGJ3" s="344"/>
      <c r="KGK3" s="344"/>
      <c r="KGL3" s="344"/>
      <c r="KGM3" s="344"/>
      <c r="KGN3" s="344"/>
      <c r="KGO3" s="344"/>
      <c r="KGP3" s="344"/>
      <c r="KGQ3" s="344"/>
      <c r="KGR3" s="344"/>
      <c r="KGS3" s="344"/>
      <c r="KGT3" s="344"/>
      <c r="KGU3" s="344"/>
      <c r="KGV3" s="344"/>
      <c r="KGW3" s="344"/>
      <c r="KGX3" s="344"/>
      <c r="KGY3" s="344"/>
      <c r="KGZ3" s="344"/>
      <c r="KHA3" s="344"/>
      <c r="KHB3" s="344"/>
      <c r="KHC3" s="344"/>
      <c r="KHD3" s="344"/>
      <c r="KHE3" s="344"/>
      <c r="KHF3" s="344"/>
      <c r="KHG3" s="344"/>
      <c r="KHH3" s="344"/>
      <c r="KHI3" s="344"/>
      <c r="KHJ3" s="344"/>
      <c r="KHK3" s="344"/>
      <c r="KHL3" s="344"/>
      <c r="KHM3" s="344"/>
      <c r="KHN3" s="344"/>
      <c r="KHO3" s="344"/>
      <c r="KHP3" s="344"/>
      <c r="KHQ3" s="344"/>
      <c r="KHR3" s="344"/>
      <c r="KHS3" s="344"/>
      <c r="KHT3" s="344"/>
      <c r="KHU3" s="344"/>
      <c r="KHV3" s="344"/>
      <c r="KHW3" s="344"/>
      <c r="KHX3" s="344"/>
      <c r="KHY3" s="344"/>
      <c r="KHZ3" s="344"/>
      <c r="KIA3" s="344"/>
      <c r="KIB3" s="344"/>
      <c r="KIC3" s="344"/>
      <c r="KID3" s="344"/>
      <c r="KIE3" s="344"/>
      <c r="KIF3" s="344"/>
      <c r="KIG3" s="344"/>
      <c r="KIH3" s="344"/>
      <c r="KII3" s="344"/>
      <c r="KIJ3" s="344"/>
      <c r="KIK3" s="344"/>
      <c r="KIL3" s="344"/>
      <c r="KIM3" s="344"/>
      <c r="KIN3" s="344"/>
      <c r="KIO3" s="344"/>
      <c r="KIP3" s="344"/>
      <c r="KIQ3" s="344"/>
      <c r="KIR3" s="344"/>
      <c r="KIS3" s="344"/>
      <c r="KIT3" s="344"/>
      <c r="KIU3" s="344"/>
      <c r="KIV3" s="344"/>
      <c r="KIW3" s="344"/>
      <c r="KIX3" s="344"/>
      <c r="KIY3" s="344"/>
      <c r="KIZ3" s="344"/>
      <c r="KJA3" s="344"/>
      <c r="KJB3" s="344"/>
      <c r="KJC3" s="344"/>
      <c r="KJD3" s="344"/>
      <c r="KJE3" s="344"/>
      <c r="KJF3" s="344"/>
      <c r="KJG3" s="344"/>
      <c r="KJH3" s="344"/>
      <c r="KJI3" s="344"/>
      <c r="KJJ3" s="344"/>
      <c r="KJK3" s="344"/>
      <c r="KJL3" s="344"/>
      <c r="KJM3" s="344"/>
      <c r="KJN3" s="344"/>
      <c r="KJO3" s="344"/>
      <c r="KJP3" s="344"/>
      <c r="KJQ3" s="344"/>
      <c r="KJR3" s="344"/>
      <c r="KJS3" s="344"/>
      <c r="KJT3" s="344"/>
      <c r="KJU3" s="344"/>
      <c r="KJV3" s="344"/>
      <c r="KJW3" s="344"/>
      <c r="KJX3" s="344"/>
      <c r="KJY3" s="344"/>
      <c r="KJZ3" s="344"/>
      <c r="KKA3" s="344"/>
      <c r="KKB3" s="344"/>
      <c r="KKC3" s="344"/>
      <c r="KKD3" s="344"/>
      <c r="KKE3" s="344"/>
      <c r="KKF3" s="344"/>
      <c r="KKG3" s="344"/>
      <c r="KKH3" s="344"/>
      <c r="KKI3" s="344"/>
      <c r="KKJ3" s="344"/>
      <c r="KKK3" s="344"/>
      <c r="KKL3" s="344"/>
      <c r="KKM3" s="344"/>
      <c r="KKN3" s="344"/>
      <c r="KKO3" s="344"/>
      <c r="KKP3" s="344"/>
      <c r="KKQ3" s="344"/>
      <c r="KKR3" s="344"/>
      <c r="KKS3" s="344"/>
      <c r="KKT3" s="344"/>
      <c r="KKU3" s="344"/>
      <c r="KKV3" s="344"/>
      <c r="KKW3" s="344"/>
      <c r="KKX3" s="344"/>
      <c r="KKY3" s="344"/>
      <c r="KKZ3" s="344"/>
      <c r="KLA3" s="344"/>
      <c r="KLB3" s="344"/>
      <c r="KLC3" s="344"/>
      <c r="KLD3" s="344"/>
      <c r="KLE3" s="344"/>
      <c r="KLF3" s="344"/>
      <c r="KLG3" s="344"/>
      <c r="KLH3" s="344"/>
      <c r="KLI3" s="344"/>
      <c r="KLJ3" s="344"/>
      <c r="KLK3" s="344"/>
      <c r="KLL3" s="344"/>
      <c r="KLM3" s="344"/>
      <c r="KLN3" s="344"/>
      <c r="KLO3" s="344"/>
      <c r="KLP3" s="344"/>
      <c r="KLQ3" s="344"/>
      <c r="KLR3" s="344"/>
      <c r="KLS3" s="344"/>
      <c r="KLT3" s="344"/>
      <c r="KLU3" s="344"/>
      <c r="KLV3" s="344"/>
      <c r="KLW3" s="344"/>
      <c r="KLX3" s="344"/>
      <c r="KLY3" s="344"/>
      <c r="KLZ3" s="344"/>
      <c r="KMA3" s="344"/>
      <c r="KMB3" s="344"/>
      <c r="KMC3" s="344"/>
      <c r="KMD3" s="344"/>
      <c r="KME3" s="344"/>
      <c r="KMF3" s="344"/>
      <c r="KMG3" s="344"/>
      <c r="KMH3" s="344"/>
      <c r="KMI3" s="344"/>
      <c r="KMJ3" s="344"/>
      <c r="KMK3" s="344"/>
      <c r="KML3" s="344"/>
      <c r="KMM3" s="344"/>
      <c r="KMN3" s="344"/>
      <c r="KMO3" s="344"/>
      <c r="KMP3" s="344"/>
      <c r="KMQ3" s="344"/>
      <c r="KMR3" s="344"/>
      <c r="KMS3" s="344"/>
      <c r="KMT3" s="344"/>
      <c r="KMU3" s="344"/>
      <c r="KMV3" s="344"/>
      <c r="KMW3" s="344"/>
      <c r="KMX3" s="344"/>
      <c r="KMY3" s="344"/>
      <c r="KMZ3" s="344"/>
      <c r="KNA3" s="344"/>
      <c r="KNB3" s="344"/>
      <c r="KNC3" s="344"/>
      <c r="KND3" s="344"/>
      <c r="KNE3" s="344"/>
      <c r="KNF3" s="344"/>
      <c r="KNG3" s="344"/>
      <c r="KNH3" s="344"/>
      <c r="KNI3" s="344"/>
      <c r="KNJ3" s="344"/>
      <c r="KNK3" s="344"/>
      <c r="KNL3" s="344"/>
      <c r="KNM3" s="344"/>
      <c r="KNN3" s="344"/>
      <c r="KNO3" s="344"/>
      <c r="KNP3" s="344"/>
      <c r="KNQ3" s="344"/>
      <c r="KNR3" s="344"/>
      <c r="KNS3" s="344"/>
      <c r="KNT3" s="344"/>
      <c r="KNU3" s="344"/>
      <c r="KNV3" s="344"/>
      <c r="KNW3" s="344"/>
      <c r="KNX3" s="344"/>
      <c r="KNY3" s="344"/>
      <c r="KNZ3" s="344"/>
      <c r="KOA3" s="344"/>
      <c r="KOB3" s="344"/>
      <c r="KOC3" s="344"/>
      <c r="KOD3" s="344"/>
      <c r="KOE3" s="344"/>
      <c r="KOF3" s="344"/>
      <c r="KOG3" s="344"/>
      <c r="KOH3" s="344"/>
      <c r="KOI3" s="344"/>
      <c r="KOJ3" s="344"/>
      <c r="KOK3" s="344"/>
      <c r="KOL3" s="344"/>
      <c r="KOM3" s="344"/>
      <c r="KON3" s="344"/>
      <c r="KOO3" s="344"/>
      <c r="KOP3" s="344"/>
      <c r="KOQ3" s="344"/>
      <c r="KOR3" s="344"/>
      <c r="KOS3" s="344"/>
      <c r="KOT3" s="344"/>
      <c r="KOU3" s="344"/>
      <c r="KOV3" s="344"/>
      <c r="KOW3" s="344"/>
      <c r="KOX3" s="344"/>
      <c r="KOY3" s="344"/>
      <c r="KOZ3" s="344"/>
      <c r="KPA3" s="344"/>
      <c r="KPB3" s="344"/>
      <c r="KPC3" s="344"/>
      <c r="KPD3" s="344"/>
      <c r="KPE3" s="344"/>
      <c r="KPF3" s="344"/>
      <c r="KPG3" s="344"/>
      <c r="KPH3" s="344"/>
      <c r="KPI3" s="344"/>
      <c r="KPJ3" s="344"/>
      <c r="KPK3" s="344"/>
      <c r="KPL3" s="344"/>
      <c r="KPM3" s="344"/>
      <c r="KPN3" s="344"/>
      <c r="KPO3" s="344"/>
      <c r="KPP3" s="344"/>
      <c r="KPQ3" s="344"/>
      <c r="KPR3" s="344"/>
      <c r="KPS3" s="344"/>
      <c r="KPT3" s="344"/>
      <c r="KPU3" s="344"/>
      <c r="KPV3" s="344"/>
      <c r="KPW3" s="344"/>
      <c r="KPX3" s="344"/>
      <c r="KPY3" s="344"/>
      <c r="KPZ3" s="344"/>
      <c r="KQA3" s="344"/>
      <c r="KQB3" s="344"/>
      <c r="KQC3" s="344"/>
      <c r="KQD3" s="344"/>
      <c r="KQE3" s="344"/>
      <c r="KQF3" s="344"/>
      <c r="KQG3" s="344"/>
      <c r="KQH3" s="344"/>
      <c r="KQI3" s="344"/>
      <c r="KQJ3" s="344"/>
      <c r="KQK3" s="344"/>
      <c r="KQL3" s="344"/>
      <c r="KQM3" s="344"/>
      <c r="KQN3" s="344"/>
      <c r="KQO3" s="344"/>
      <c r="KQP3" s="344"/>
      <c r="KQQ3" s="344"/>
      <c r="KQR3" s="344"/>
      <c r="KQS3" s="344"/>
      <c r="KQT3" s="344"/>
      <c r="KQU3" s="344"/>
      <c r="KQV3" s="344"/>
      <c r="KQW3" s="344"/>
      <c r="KQX3" s="344"/>
      <c r="KQY3" s="344"/>
      <c r="KQZ3" s="344"/>
      <c r="KRA3" s="344"/>
      <c r="KRB3" s="344"/>
      <c r="KRC3" s="344"/>
      <c r="KRD3" s="344"/>
      <c r="KRE3" s="344"/>
      <c r="KRF3" s="344"/>
      <c r="KRG3" s="344"/>
      <c r="KRH3" s="344"/>
      <c r="KRI3" s="344"/>
      <c r="KRJ3" s="344"/>
      <c r="KRK3" s="344"/>
      <c r="KRL3" s="344"/>
      <c r="KRM3" s="344"/>
      <c r="KRN3" s="344"/>
      <c r="KRO3" s="344"/>
      <c r="KRP3" s="344"/>
      <c r="KRQ3" s="344"/>
      <c r="KRR3" s="344"/>
      <c r="KRS3" s="344"/>
      <c r="KRT3" s="344"/>
      <c r="KRU3" s="344"/>
      <c r="KRV3" s="344"/>
      <c r="KRW3" s="344"/>
      <c r="KRX3" s="344"/>
      <c r="KRY3" s="344"/>
      <c r="KRZ3" s="344"/>
      <c r="KSA3" s="344"/>
      <c r="KSB3" s="344"/>
      <c r="KSC3" s="344"/>
      <c r="KSD3" s="344"/>
      <c r="KSE3" s="344"/>
      <c r="KSF3" s="344"/>
      <c r="KSG3" s="344"/>
      <c r="KSH3" s="344"/>
      <c r="KSI3" s="344"/>
      <c r="KSJ3" s="344"/>
      <c r="KSK3" s="344"/>
      <c r="KSL3" s="344"/>
      <c r="KSM3" s="344"/>
      <c r="KSN3" s="344"/>
      <c r="KSO3" s="344"/>
      <c r="KSP3" s="344"/>
      <c r="KSQ3" s="344"/>
      <c r="KSR3" s="344"/>
      <c r="KSS3" s="344"/>
      <c r="KST3" s="344"/>
      <c r="KSU3" s="344"/>
      <c r="KSV3" s="344"/>
      <c r="KSW3" s="344"/>
      <c r="KSX3" s="344"/>
      <c r="KSY3" s="344"/>
      <c r="KSZ3" s="344"/>
      <c r="KTA3" s="344"/>
      <c r="KTB3" s="344"/>
      <c r="KTC3" s="344"/>
      <c r="KTD3" s="344"/>
      <c r="KTE3" s="344"/>
      <c r="KTF3" s="344"/>
      <c r="KTG3" s="344"/>
      <c r="KTH3" s="344"/>
      <c r="KTI3" s="344"/>
      <c r="KTJ3" s="344"/>
      <c r="KTK3" s="344"/>
      <c r="KTL3" s="344"/>
      <c r="KTM3" s="344"/>
      <c r="KTN3" s="344"/>
      <c r="KTO3" s="344"/>
      <c r="KTP3" s="344"/>
      <c r="KTQ3" s="344"/>
      <c r="KTR3" s="344"/>
      <c r="KTS3" s="344"/>
      <c r="KTT3" s="344"/>
      <c r="KTU3" s="344"/>
      <c r="KTV3" s="344"/>
      <c r="KTW3" s="344"/>
      <c r="KTX3" s="344"/>
      <c r="KTY3" s="344"/>
      <c r="KTZ3" s="344"/>
      <c r="KUA3" s="344"/>
      <c r="KUB3" s="344"/>
      <c r="KUC3" s="344"/>
      <c r="KUD3" s="344"/>
      <c r="KUE3" s="344"/>
      <c r="KUF3" s="344"/>
      <c r="KUG3" s="344"/>
      <c r="KUH3" s="344"/>
      <c r="KUI3" s="344"/>
      <c r="KUJ3" s="344"/>
      <c r="KUK3" s="344"/>
      <c r="KUL3" s="344"/>
      <c r="KUM3" s="344"/>
      <c r="KUN3" s="344"/>
      <c r="KUO3" s="344"/>
      <c r="KUP3" s="344"/>
      <c r="KUQ3" s="344"/>
      <c r="KUR3" s="344"/>
      <c r="KUS3" s="344"/>
      <c r="KUT3" s="344"/>
      <c r="KUU3" s="344"/>
      <c r="KUV3" s="344"/>
      <c r="KUW3" s="344"/>
      <c r="KUX3" s="344"/>
      <c r="KUY3" s="344"/>
      <c r="KUZ3" s="344"/>
      <c r="KVA3" s="344"/>
      <c r="KVB3" s="344"/>
      <c r="KVC3" s="344"/>
      <c r="KVD3" s="344"/>
      <c r="KVE3" s="344"/>
      <c r="KVF3" s="344"/>
      <c r="KVG3" s="344"/>
      <c r="KVH3" s="344"/>
      <c r="KVI3" s="344"/>
      <c r="KVJ3" s="344"/>
      <c r="KVK3" s="344"/>
      <c r="KVL3" s="344"/>
      <c r="KVM3" s="344"/>
      <c r="KVN3" s="344"/>
      <c r="KVO3" s="344"/>
      <c r="KVP3" s="344"/>
      <c r="KVQ3" s="344"/>
      <c r="KVR3" s="344"/>
      <c r="KVS3" s="344"/>
      <c r="KVT3" s="344"/>
      <c r="KVU3" s="344"/>
      <c r="KVV3" s="344"/>
      <c r="KVW3" s="344"/>
      <c r="KVX3" s="344"/>
      <c r="KVY3" s="344"/>
      <c r="KVZ3" s="344"/>
      <c r="KWA3" s="344"/>
      <c r="KWB3" s="344"/>
      <c r="KWC3" s="344"/>
      <c r="KWD3" s="344"/>
      <c r="KWE3" s="344"/>
      <c r="KWF3" s="344"/>
      <c r="KWG3" s="344"/>
      <c r="KWH3" s="344"/>
      <c r="KWI3" s="344"/>
      <c r="KWJ3" s="344"/>
      <c r="KWK3" s="344"/>
      <c r="KWL3" s="344"/>
      <c r="KWM3" s="344"/>
      <c r="KWN3" s="344"/>
      <c r="KWO3" s="344"/>
      <c r="KWP3" s="344"/>
      <c r="KWQ3" s="344"/>
      <c r="KWR3" s="344"/>
      <c r="KWS3" s="344"/>
      <c r="KWT3" s="344"/>
      <c r="KWU3" s="344"/>
      <c r="KWV3" s="344"/>
      <c r="KWW3" s="344"/>
      <c r="KWX3" s="344"/>
      <c r="KWY3" s="344"/>
      <c r="KWZ3" s="344"/>
      <c r="KXA3" s="344"/>
      <c r="KXB3" s="344"/>
      <c r="KXC3" s="344"/>
      <c r="KXD3" s="344"/>
      <c r="KXE3" s="344"/>
      <c r="KXF3" s="344"/>
      <c r="KXG3" s="344"/>
      <c r="KXH3" s="344"/>
      <c r="KXI3" s="344"/>
      <c r="KXJ3" s="344"/>
      <c r="KXK3" s="344"/>
      <c r="KXL3" s="344"/>
      <c r="KXM3" s="344"/>
      <c r="KXN3" s="344"/>
      <c r="KXO3" s="344"/>
      <c r="KXP3" s="344"/>
      <c r="KXQ3" s="344"/>
      <c r="KXR3" s="344"/>
      <c r="KXS3" s="344"/>
      <c r="KXT3" s="344"/>
      <c r="KXU3" s="344"/>
      <c r="KXV3" s="344"/>
      <c r="KXW3" s="344"/>
      <c r="KXX3" s="344"/>
      <c r="KXY3" s="344"/>
      <c r="KXZ3" s="344"/>
      <c r="KYA3" s="344"/>
      <c r="KYB3" s="344"/>
      <c r="KYC3" s="344"/>
      <c r="KYD3" s="344"/>
      <c r="KYE3" s="344"/>
      <c r="KYF3" s="344"/>
      <c r="KYG3" s="344"/>
      <c r="KYH3" s="344"/>
      <c r="KYI3" s="344"/>
      <c r="KYJ3" s="344"/>
      <c r="KYK3" s="344"/>
      <c r="KYL3" s="344"/>
      <c r="KYM3" s="344"/>
      <c r="KYN3" s="344"/>
      <c r="KYO3" s="344"/>
      <c r="KYP3" s="344"/>
      <c r="KYQ3" s="344"/>
      <c r="KYR3" s="344"/>
      <c r="KYS3" s="344"/>
      <c r="KYT3" s="344"/>
      <c r="KYU3" s="344"/>
      <c r="KYV3" s="344"/>
      <c r="KYW3" s="344"/>
      <c r="KYX3" s="344"/>
      <c r="KYY3" s="344"/>
      <c r="KYZ3" s="344"/>
      <c r="KZA3" s="344"/>
      <c r="KZB3" s="344"/>
      <c r="KZC3" s="344"/>
      <c r="KZD3" s="344"/>
      <c r="KZE3" s="344"/>
      <c r="KZF3" s="344"/>
      <c r="KZG3" s="344"/>
      <c r="KZH3" s="344"/>
      <c r="KZI3" s="344"/>
      <c r="KZJ3" s="344"/>
      <c r="KZK3" s="344"/>
      <c r="KZL3" s="344"/>
      <c r="KZM3" s="344"/>
      <c r="KZN3" s="344"/>
      <c r="KZO3" s="344"/>
      <c r="KZP3" s="344"/>
      <c r="KZQ3" s="344"/>
      <c r="KZR3" s="344"/>
      <c r="KZS3" s="344"/>
      <c r="KZT3" s="344"/>
      <c r="KZU3" s="344"/>
      <c r="KZV3" s="344"/>
      <c r="KZW3" s="344"/>
      <c r="KZX3" s="344"/>
      <c r="KZY3" s="344"/>
      <c r="KZZ3" s="344"/>
      <c r="LAA3" s="344"/>
      <c r="LAB3" s="344"/>
      <c r="LAC3" s="344"/>
      <c r="LAD3" s="344"/>
      <c r="LAE3" s="344"/>
      <c r="LAF3" s="344"/>
      <c r="LAG3" s="344"/>
      <c r="LAH3" s="344"/>
      <c r="LAI3" s="344"/>
      <c r="LAJ3" s="344"/>
      <c r="LAK3" s="344"/>
      <c r="LAL3" s="344"/>
      <c r="LAM3" s="344"/>
      <c r="LAN3" s="344"/>
      <c r="LAO3" s="344"/>
      <c r="LAP3" s="344"/>
      <c r="LAQ3" s="344"/>
      <c r="LAR3" s="344"/>
      <c r="LAS3" s="344"/>
      <c r="LAT3" s="344"/>
      <c r="LAU3" s="344"/>
      <c r="LAV3" s="344"/>
      <c r="LAW3" s="344"/>
      <c r="LAX3" s="344"/>
      <c r="LAY3" s="344"/>
      <c r="LAZ3" s="344"/>
      <c r="LBA3" s="344"/>
      <c r="LBB3" s="344"/>
      <c r="LBC3" s="344"/>
      <c r="LBD3" s="344"/>
      <c r="LBE3" s="344"/>
      <c r="LBF3" s="344"/>
      <c r="LBG3" s="344"/>
      <c r="LBH3" s="344"/>
      <c r="LBI3" s="344"/>
      <c r="LBJ3" s="344"/>
      <c r="LBK3" s="344"/>
      <c r="LBL3" s="344"/>
      <c r="LBM3" s="344"/>
      <c r="LBN3" s="344"/>
      <c r="LBO3" s="344"/>
      <c r="LBP3" s="344"/>
      <c r="LBQ3" s="344"/>
      <c r="LBR3" s="344"/>
      <c r="LBS3" s="344"/>
      <c r="LBT3" s="344"/>
      <c r="LBU3" s="344"/>
      <c r="LBV3" s="344"/>
      <c r="LBW3" s="344"/>
      <c r="LBX3" s="344"/>
      <c r="LBY3" s="344"/>
      <c r="LBZ3" s="344"/>
      <c r="LCA3" s="344"/>
      <c r="LCB3" s="344"/>
      <c r="LCC3" s="344"/>
      <c r="LCD3" s="344"/>
      <c r="LCE3" s="344"/>
      <c r="LCF3" s="344"/>
      <c r="LCG3" s="344"/>
      <c r="LCH3" s="344"/>
      <c r="LCI3" s="344"/>
      <c r="LCJ3" s="344"/>
      <c r="LCK3" s="344"/>
      <c r="LCL3" s="344"/>
      <c r="LCM3" s="344"/>
      <c r="LCN3" s="344"/>
      <c r="LCO3" s="344"/>
      <c r="LCP3" s="344"/>
      <c r="LCQ3" s="344"/>
      <c r="LCR3" s="344"/>
      <c r="LCS3" s="344"/>
      <c r="LCT3" s="344"/>
      <c r="LCU3" s="344"/>
      <c r="LCV3" s="344"/>
      <c r="LCW3" s="344"/>
      <c r="LCX3" s="344"/>
      <c r="LCY3" s="344"/>
      <c r="LCZ3" s="344"/>
      <c r="LDA3" s="344"/>
      <c r="LDB3" s="344"/>
      <c r="LDC3" s="344"/>
      <c r="LDD3" s="344"/>
      <c r="LDE3" s="344"/>
      <c r="LDF3" s="344"/>
      <c r="LDG3" s="344"/>
      <c r="LDH3" s="344"/>
      <c r="LDI3" s="344"/>
      <c r="LDJ3" s="344"/>
      <c r="LDK3" s="344"/>
      <c r="LDL3" s="344"/>
      <c r="LDM3" s="344"/>
      <c r="LDN3" s="344"/>
      <c r="LDO3" s="344"/>
      <c r="LDP3" s="344"/>
      <c r="LDQ3" s="344"/>
      <c r="LDR3" s="344"/>
      <c r="LDS3" s="344"/>
      <c r="LDT3" s="344"/>
      <c r="LDU3" s="344"/>
      <c r="LDV3" s="344"/>
      <c r="LDW3" s="344"/>
      <c r="LDX3" s="344"/>
      <c r="LDY3" s="344"/>
      <c r="LDZ3" s="344"/>
      <c r="LEA3" s="344"/>
      <c r="LEB3" s="344"/>
      <c r="LEC3" s="344"/>
      <c r="LED3" s="344"/>
      <c r="LEE3" s="344"/>
      <c r="LEF3" s="344"/>
      <c r="LEG3" s="344"/>
      <c r="LEH3" s="344"/>
      <c r="LEI3" s="344"/>
      <c r="LEJ3" s="344"/>
      <c r="LEK3" s="344"/>
      <c r="LEL3" s="344"/>
      <c r="LEM3" s="344"/>
      <c r="LEN3" s="344"/>
      <c r="LEO3" s="344"/>
      <c r="LEP3" s="344"/>
      <c r="LEQ3" s="344"/>
      <c r="LER3" s="344"/>
      <c r="LES3" s="344"/>
      <c r="LET3" s="344"/>
      <c r="LEU3" s="344"/>
      <c r="LEV3" s="344"/>
      <c r="LEW3" s="344"/>
      <c r="LEX3" s="344"/>
      <c r="LEY3" s="344"/>
      <c r="LEZ3" s="344"/>
      <c r="LFA3" s="344"/>
      <c r="LFB3" s="344"/>
      <c r="LFC3" s="344"/>
      <c r="LFD3" s="344"/>
      <c r="LFE3" s="344"/>
      <c r="LFF3" s="344"/>
      <c r="LFG3" s="344"/>
      <c r="LFH3" s="344"/>
      <c r="LFI3" s="344"/>
      <c r="LFJ3" s="344"/>
      <c r="LFK3" s="344"/>
      <c r="LFL3" s="344"/>
      <c r="LFM3" s="344"/>
      <c r="LFN3" s="344"/>
      <c r="LFO3" s="344"/>
      <c r="LFP3" s="344"/>
      <c r="LFQ3" s="344"/>
      <c r="LFR3" s="344"/>
      <c r="LFS3" s="344"/>
      <c r="LFT3" s="344"/>
      <c r="LFU3" s="344"/>
      <c r="LFV3" s="344"/>
      <c r="LFW3" s="344"/>
      <c r="LFX3" s="344"/>
      <c r="LFY3" s="344"/>
      <c r="LFZ3" s="344"/>
      <c r="LGA3" s="344"/>
      <c r="LGB3" s="344"/>
      <c r="LGC3" s="344"/>
      <c r="LGD3" s="344"/>
      <c r="LGE3" s="344"/>
      <c r="LGF3" s="344"/>
      <c r="LGG3" s="344"/>
      <c r="LGH3" s="344"/>
      <c r="LGI3" s="344"/>
      <c r="LGJ3" s="344"/>
      <c r="LGK3" s="344"/>
      <c r="LGL3" s="344"/>
      <c r="LGM3" s="344"/>
      <c r="LGN3" s="344"/>
      <c r="LGO3" s="344"/>
      <c r="LGP3" s="344"/>
      <c r="LGQ3" s="344"/>
      <c r="LGR3" s="344"/>
      <c r="LGS3" s="344"/>
      <c r="LGT3" s="344"/>
      <c r="LGU3" s="344"/>
      <c r="LGV3" s="344"/>
      <c r="LGW3" s="344"/>
      <c r="LGX3" s="344"/>
      <c r="LGY3" s="344"/>
      <c r="LGZ3" s="344"/>
      <c r="LHA3" s="344"/>
      <c r="LHB3" s="344"/>
      <c r="LHC3" s="344"/>
      <c r="LHD3" s="344"/>
      <c r="LHE3" s="344"/>
      <c r="LHF3" s="344"/>
      <c r="LHG3" s="344"/>
      <c r="LHH3" s="344"/>
      <c r="LHI3" s="344"/>
      <c r="LHJ3" s="344"/>
      <c r="LHK3" s="344"/>
      <c r="LHL3" s="344"/>
      <c r="LHM3" s="344"/>
      <c r="LHN3" s="344"/>
      <c r="LHO3" s="344"/>
      <c r="LHP3" s="344"/>
      <c r="LHQ3" s="344"/>
      <c r="LHR3" s="344"/>
      <c r="LHS3" s="344"/>
      <c r="LHT3" s="344"/>
      <c r="LHU3" s="344"/>
      <c r="LHV3" s="344"/>
      <c r="LHW3" s="344"/>
      <c r="LHX3" s="344"/>
      <c r="LHY3" s="344"/>
      <c r="LHZ3" s="344"/>
      <c r="LIA3" s="344"/>
      <c r="LIB3" s="344"/>
      <c r="LIC3" s="344"/>
      <c r="LID3" s="344"/>
      <c r="LIE3" s="344"/>
      <c r="LIF3" s="344"/>
      <c r="LIG3" s="344"/>
      <c r="LIH3" s="344"/>
      <c r="LII3" s="344"/>
      <c r="LIJ3" s="344"/>
      <c r="LIK3" s="344"/>
      <c r="LIL3" s="344"/>
      <c r="LIM3" s="344"/>
      <c r="LIN3" s="344"/>
      <c r="LIO3" s="344"/>
      <c r="LIP3" s="344"/>
      <c r="LIQ3" s="344"/>
      <c r="LIR3" s="344"/>
      <c r="LIS3" s="344"/>
      <c r="LIT3" s="344"/>
      <c r="LIU3" s="344"/>
      <c r="LIV3" s="344"/>
      <c r="LIW3" s="344"/>
      <c r="LIX3" s="344"/>
      <c r="LIY3" s="344"/>
      <c r="LIZ3" s="344"/>
      <c r="LJA3" s="344"/>
      <c r="LJB3" s="344"/>
      <c r="LJC3" s="344"/>
      <c r="LJD3" s="344"/>
      <c r="LJE3" s="344"/>
      <c r="LJF3" s="344"/>
      <c r="LJG3" s="344"/>
      <c r="LJH3" s="344"/>
      <c r="LJI3" s="344"/>
      <c r="LJJ3" s="344"/>
      <c r="LJK3" s="344"/>
      <c r="LJL3" s="344"/>
      <c r="LJM3" s="344"/>
      <c r="LJN3" s="344"/>
      <c r="LJO3" s="344"/>
      <c r="LJP3" s="344"/>
      <c r="LJQ3" s="344"/>
      <c r="LJR3" s="344"/>
      <c r="LJS3" s="344"/>
      <c r="LJT3" s="344"/>
      <c r="LJU3" s="344"/>
      <c r="LJV3" s="344"/>
      <c r="LJW3" s="344"/>
      <c r="LJX3" s="344"/>
      <c r="LJY3" s="344"/>
      <c r="LJZ3" s="344"/>
      <c r="LKA3" s="344"/>
      <c r="LKB3" s="344"/>
      <c r="LKC3" s="344"/>
      <c r="LKD3" s="344"/>
      <c r="LKE3" s="344"/>
      <c r="LKF3" s="344"/>
      <c r="LKG3" s="344"/>
      <c r="LKH3" s="344"/>
      <c r="LKI3" s="344"/>
      <c r="LKJ3" s="344"/>
      <c r="LKK3" s="344"/>
      <c r="LKL3" s="344"/>
      <c r="LKM3" s="344"/>
      <c r="LKN3" s="344"/>
      <c r="LKO3" s="344"/>
      <c r="LKP3" s="344"/>
      <c r="LKQ3" s="344"/>
      <c r="LKR3" s="344"/>
      <c r="LKS3" s="344"/>
      <c r="LKT3" s="344"/>
      <c r="LKU3" s="344"/>
      <c r="LKV3" s="344"/>
      <c r="LKW3" s="344"/>
      <c r="LKX3" s="344"/>
      <c r="LKY3" s="344"/>
      <c r="LKZ3" s="344"/>
      <c r="LLA3" s="344"/>
      <c r="LLB3" s="344"/>
      <c r="LLC3" s="344"/>
      <c r="LLD3" s="344"/>
      <c r="LLE3" s="344"/>
      <c r="LLF3" s="344"/>
      <c r="LLG3" s="344"/>
      <c r="LLH3" s="344"/>
      <c r="LLI3" s="344"/>
      <c r="LLJ3" s="344"/>
      <c r="LLK3" s="344"/>
      <c r="LLL3" s="344"/>
      <c r="LLM3" s="344"/>
      <c r="LLN3" s="344"/>
      <c r="LLO3" s="344"/>
      <c r="LLP3" s="344"/>
      <c r="LLQ3" s="344"/>
      <c r="LLR3" s="344"/>
      <c r="LLS3" s="344"/>
      <c r="LLT3" s="344"/>
      <c r="LLU3" s="344"/>
      <c r="LLV3" s="344"/>
      <c r="LLW3" s="344"/>
      <c r="LLX3" s="344"/>
      <c r="LLY3" s="344"/>
      <c r="LLZ3" s="344"/>
      <c r="LMA3" s="344"/>
      <c r="LMB3" s="344"/>
      <c r="LMC3" s="344"/>
      <c r="LMD3" s="344"/>
      <c r="LME3" s="344"/>
      <c r="LMF3" s="344"/>
      <c r="LMG3" s="344"/>
      <c r="LMH3" s="344"/>
      <c r="LMI3" s="344"/>
      <c r="LMJ3" s="344"/>
      <c r="LMK3" s="344"/>
      <c r="LML3" s="344"/>
      <c r="LMM3" s="344"/>
      <c r="LMN3" s="344"/>
      <c r="LMO3" s="344"/>
      <c r="LMP3" s="344"/>
      <c r="LMQ3" s="344"/>
      <c r="LMR3" s="344"/>
      <c r="LMS3" s="344"/>
      <c r="LMT3" s="344"/>
      <c r="LMU3" s="344"/>
      <c r="LMV3" s="344"/>
      <c r="LMW3" s="344"/>
      <c r="LMX3" s="344"/>
      <c r="LMY3" s="344"/>
      <c r="LMZ3" s="344"/>
      <c r="LNA3" s="344"/>
      <c r="LNB3" s="344"/>
      <c r="LNC3" s="344"/>
      <c r="LND3" s="344"/>
      <c r="LNE3" s="344"/>
      <c r="LNF3" s="344"/>
      <c r="LNG3" s="344"/>
      <c r="LNH3" s="344"/>
      <c r="LNI3" s="344"/>
      <c r="LNJ3" s="344"/>
      <c r="LNK3" s="344"/>
      <c r="LNL3" s="344"/>
      <c r="LNM3" s="344"/>
      <c r="LNN3" s="344"/>
      <c r="LNO3" s="344"/>
      <c r="LNP3" s="344"/>
      <c r="LNQ3" s="344"/>
      <c r="LNR3" s="344"/>
      <c r="LNS3" s="344"/>
      <c r="LNT3" s="344"/>
      <c r="LNU3" s="344"/>
      <c r="LNV3" s="344"/>
      <c r="LNW3" s="344"/>
      <c r="LNX3" s="344"/>
      <c r="LNY3" s="344"/>
      <c r="LNZ3" s="344"/>
      <c r="LOA3" s="344"/>
      <c r="LOB3" s="344"/>
      <c r="LOC3" s="344"/>
      <c r="LOD3" s="344"/>
      <c r="LOE3" s="344"/>
      <c r="LOF3" s="344"/>
      <c r="LOG3" s="344"/>
      <c r="LOH3" s="344"/>
      <c r="LOI3" s="344"/>
      <c r="LOJ3" s="344"/>
      <c r="LOK3" s="344"/>
      <c r="LOL3" s="344"/>
      <c r="LOM3" s="344"/>
      <c r="LON3" s="344"/>
      <c r="LOO3" s="344"/>
      <c r="LOP3" s="344"/>
      <c r="LOQ3" s="344"/>
      <c r="LOR3" s="344"/>
      <c r="LOS3" s="344"/>
      <c r="LOT3" s="344"/>
      <c r="LOU3" s="344"/>
      <c r="LOV3" s="344"/>
      <c r="LOW3" s="344"/>
      <c r="LOX3" s="344"/>
      <c r="LOY3" s="344"/>
      <c r="LOZ3" s="344"/>
      <c r="LPA3" s="344"/>
      <c r="LPB3" s="344"/>
      <c r="LPC3" s="344"/>
      <c r="LPD3" s="344"/>
      <c r="LPE3" s="344"/>
      <c r="LPF3" s="344"/>
      <c r="LPG3" s="344"/>
      <c r="LPH3" s="344"/>
      <c r="LPI3" s="344"/>
      <c r="LPJ3" s="344"/>
      <c r="LPK3" s="344"/>
      <c r="LPL3" s="344"/>
      <c r="LPM3" s="344"/>
      <c r="LPN3" s="344"/>
      <c r="LPO3" s="344"/>
      <c r="LPP3" s="344"/>
      <c r="LPQ3" s="344"/>
      <c r="LPR3" s="344"/>
      <c r="LPS3" s="344"/>
      <c r="LPT3" s="344"/>
      <c r="LPU3" s="344"/>
      <c r="LPV3" s="344"/>
      <c r="LPW3" s="344"/>
      <c r="LPX3" s="344"/>
      <c r="LPY3" s="344"/>
      <c r="LPZ3" s="344"/>
      <c r="LQA3" s="344"/>
      <c r="LQB3" s="344"/>
      <c r="LQC3" s="344"/>
      <c r="LQD3" s="344"/>
      <c r="LQE3" s="344"/>
      <c r="LQF3" s="344"/>
      <c r="LQG3" s="344"/>
      <c r="LQH3" s="344"/>
      <c r="LQI3" s="344"/>
      <c r="LQJ3" s="344"/>
      <c r="LQK3" s="344"/>
      <c r="LQL3" s="344"/>
      <c r="LQM3" s="344"/>
      <c r="LQN3" s="344"/>
      <c r="LQO3" s="344"/>
      <c r="LQP3" s="344"/>
      <c r="LQQ3" s="344"/>
      <c r="LQR3" s="344"/>
      <c r="LQS3" s="344"/>
      <c r="LQT3" s="344"/>
      <c r="LQU3" s="344"/>
      <c r="LQV3" s="344"/>
      <c r="LQW3" s="344"/>
      <c r="LQX3" s="344"/>
      <c r="LQY3" s="344"/>
      <c r="LQZ3" s="344"/>
      <c r="LRA3" s="344"/>
      <c r="LRB3" s="344"/>
      <c r="LRC3" s="344"/>
      <c r="LRD3" s="344"/>
      <c r="LRE3" s="344"/>
      <c r="LRF3" s="344"/>
      <c r="LRG3" s="344"/>
      <c r="LRH3" s="344"/>
      <c r="LRI3" s="344"/>
      <c r="LRJ3" s="344"/>
      <c r="LRK3" s="344"/>
      <c r="LRL3" s="344"/>
      <c r="LRM3" s="344"/>
      <c r="LRN3" s="344"/>
      <c r="LRO3" s="344"/>
      <c r="LRP3" s="344"/>
      <c r="LRQ3" s="344"/>
      <c r="LRR3" s="344"/>
      <c r="LRS3" s="344"/>
      <c r="LRT3" s="344"/>
      <c r="LRU3" s="344"/>
      <c r="LRV3" s="344"/>
      <c r="LRW3" s="344"/>
      <c r="LRX3" s="344"/>
      <c r="LRY3" s="344"/>
      <c r="LRZ3" s="344"/>
      <c r="LSA3" s="344"/>
      <c r="LSB3" s="344"/>
      <c r="LSC3" s="344"/>
      <c r="LSD3" s="344"/>
      <c r="LSE3" s="344"/>
      <c r="LSF3" s="344"/>
      <c r="LSG3" s="344"/>
      <c r="LSH3" s="344"/>
      <c r="LSI3" s="344"/>
      <c r="LSJ3" s="344"/>
      <c r="LSK3" s="344"/>
      <c r="LSL3" s="344"/>
      <c r="LSM3" s="344"/>
      <c r="LSN3" s="344"/>
      <c r="LSO3" s="344"/>
      <c r="LSP3" s="344"/>
      <c r="LSQ3" s="344"/>
      <c r="LSR3" s="344"/>
      <c r="LSS3" s="344"/>
      <c r="LST3" s="344"/>
      <c r="LSU3" s="344"/>
      <c r="LSV3" s="344"/>
      <c r="LSW3" s="344"/>
      <c r="LSX3" s="344"/>
      <c r="LSY3" s="344"/>
      <c r="LSZ3" s="344"/>
      <c r="LTA3" s="344"/>
      <c r="LTB3" s="344"/>
      <c r="LTC3" s="344"/>
      <c r="LTD3" s="344"/>
      <c r="LTE3" s="344"/>
      <c r="LTF3" s="344"/>
      <c r="LTG3" s="344"/>
      <c r="LTH3" s="344"/>
      <c r="LTI3" s="344"/>
      <c r="LTJ3" s="344"/>
      <c r="LTK3" s="344"/>
      <c r="LTL3" s="344"/>
      <c r="LTM3" s="344"/>
      <c r="LTN3" s="344"/>
      <c r="LTO3" s="344"/>
      <c r="LTP3" s="344"/>
      <c r="LTQ3" s="344"/>
      <c r="LTR3" s="344"/>
      <c r="LTS3" s="344"/>
      <c r="LTT3" s="344"/>
      <c r="LTU3" s="344"/>
      <c r="LTV3" s="344"/>
      <c r="LTW3" s="344"/>
      <c r="LTX3" s="344"/>
      <c r="LTY3" s="344"/>
      <c r="LTZ3" s="344"/>
      <c r="LUA3" s="344"/>
      <c r="LUB3" s="344"/>
      <c r="LUC3" s="344"/>
      <c r="LUD3" s="344"/>
      <c r="LUE3" s="344"/>
      <c r="LUF3" s="344"/>
      <c r="LUG3" s="344"/>
      <c r="LUH3" s="344"/>
      <c r="LUI3" s="344"/>
      <c r="LUJ3" s="344"/>
      <c r="LUK3" s="344"/>
      <c r="LUL3" s="344"/>
      <c r="LUM3" s="344"/>
      <c r="LUN3" s="344"/>
      <c r="LUO3" s="344"/>
      <c r="LUP3" s="344"/>
      <c r="LUQ3" s="344"/>
      <c r="LUR3" s="344"/>
      <c r="LUS3" s="344"/>
      <c r="LUT3" s="344"/>
      <c r="LUU3" s="344"/>
      <c r="LUV3" s="344"/>
      <c r="LUW3" s="344"/>
      <c r="LUX3" s="344"/>
      <c r="LUY3" s="344"/>
      <c r="LUZ3" s="344"/>
      <c r="LVA3" s="344"/>
      <c r="LVB3" s="344"/>
      <c r="LVC3" s="344"/>
      <c r="LVD3" s="344"/>
      <c r="LVE3" s="344"/>
      <c r="LVF3" s="344"/>
      <c r="LVG3" s="344"/>
      <c r="LVH3" s="344"/>
      <c r="LVI3" s="344"/>
      <c r="LVJ3" s="344"/>
      <c r="LVK3" s="344"/>
      <c r="LVL3" s="344"/>
      <c r="LVM3" s="344"/>
      <c r="LVN3" s="344"/>
      <c r="LVO3" s="344"/>
      <c r="LVP3" s="344"/>
      <c r="LVQ3" s="344"/>
      <c r="LVR3" s="344"/>
      <c r="LVS3" s="344"/>
      <c r="LVT3" s="344"/>
      <c r="LVU3" s="344"/>
      <c r="LVV3" s="344"/>
      <c r="LVW3" s="344"/>
      <c r="LVX3" s="344"/>
      <c r="LVY3" s="344"/>
      <c r="LVZ3" s="344"/>
      <c r="LWA3" s="344"/>
      <c r="LWB3" s="344"/>
      <c r="LWC3" s="344"/>
      <c r="LWD3" s="344"/>
      <c r="LWE3" s="344"/>
      <c r="LWF3" s="344"/>
      <c r="LWG3" s="344"/>
      <c r="LWH3" s="344"/>
      <c r="LWI3" s="344"/>
      <c r="LWJ3" s="344"/>
      <c r="LWK3" s="344"/>
      <c r="LWL3" s="344"/>
      <c r="LWM3" s="344"/>
      <c r="LWN3" s="344"/>
      <c r="LWO3" s="344"/>
      <c r="LWP3" s="344"/>
      <c r="LWQ3" s="344"/>
      <c r="LWR3" s="344"/>
      <c r="LWS3" s="344"/>
      <c r="LWT3" s="344"/>
      <c r="LWU3" s="344"/>
      <c r="LWV3" s="344"/>
      <c r="LWW3" s="344"/>
      <c r="LWX3" s="344"/>
      <c r="LWY3" s="344"/>
      <c r="LWZ3" s="344"/>
      <c r="LXA3" s="344"/>
      <c r="LXB3" s="344"/>
      <c r="LXC3" s="344"/>
      <c r="LXD3" s="344"/>
      <c r="LXE3" s="344"/>
      <c r="LXF3" s="344"/>
      <c r="LXG3" s="344"/>
      <c r="LXH3" s="344"/>
      <c r="LXI3" s="344"/>
      <c r="LXJ3" s="344"/>
      <c r="LXK3" s="344"/>
      <c r="LXL3" s="344"/>
      <c r="LXM3" s="344"/>
      <c r="LXN3" s="344"/>
      <c r="LXO3" s="344"/>
      <c r="LXP3" s="344"/>
      <c r="LXQ3" s="344"/>
      <c r="LXR3" s="344"/>
      <c r="LXS3" s="344"/>
      <c r="LXT3" s="344"/>
      <c r="LXU3" s="344"/>
      <c r="LXV3" s="344"/>
      <c r="LXW3" s="344"/>
      <c r="LXX3" s="344"/>
      <c r="LXY3" s="344"/>
      <c r="LXZ3" s="344"/>
      <c r="LYA3" s="344"/>
      <c r="LYB3" s="344"/>
      <c r="LYC3" s="344"/>
      <c r="LYD3" s="344"/>
      <c r="LYE3" s="344"/>
      <c r="LYF3" s="344"/>
      <c r="LYG3" s="344"/>
      <c r="LYH3" s="344"/>
      <c r="LYI3" s="344"/>
      <c r="LYJ3" s="344"/>
      <c r="LYK3" s="344"/>
      <c r="LYL3" s="344"/>
      <c r="LYM3" s="344"/>
      <c r="LYN3" s="344"/>
      <c r="LYO3" s="344"/>
      <c r="LYP3" s="344"/>
      <c r="LYQ3" s="344"/>
      <c r="LYR3" s="344"/>
      <c r="LYS3" s="344"/>
      <c r="LYT3" s="344"/>
      <c r="LYU3" s="344"/>
      <c r="LYV3" s="344"/>
      <c r="LYW3" s="344"/>
      <c r="LYX3" s="344"/>
      <c r="LYY3" s="344"/>
      <c r="LYZ3" s="344"/>
      <c r="LZA3" s="344"/>
      <c r="LZB3" s="344"/>
      <c r="LZC3" s="344"/>
      <c r="LZD3" s="344"/>
      <c r="LZE3" s="344"/>
      <c r="LZF3" s="344"/>
      <c r="LZG3" s="344"/>
      <c r="LZH3" s="344"/>
      <c r="LZI3" s="344"/>
      <c r="LZJ3" s="344"/>
      <c r="LZK3" s="344"/>
      <c r="LZL3" s="344"/>
      <c r="LZM3" s="344"/>
      <c r="LZN3" s="344"/>
      <c r="LZO3" s="344"/>
      <c r="LZP3" s="344"/>
      <c r="LZQ3" s="344"/>
      <c r="LZR3" s="344"/>
      <c r="LZS3" s="344"/>
      <c r="LZT3" s="344"/>
      <c r="LZU3" s="344"/>
      <c r="LZV3" s="344"/>
      <c r="LZW3" s="344"/>
      <c r="LZX3" s="344"/>
      <c r="LZY3" s="344"/>
      <c r="LZZ3" s="344"/>
      <c r="MAA3" s="344"/>
      <c r="MAB3" s="344"/>
      <c r="MAC3" s="344"/>
      <c r="MAD3" s="344"/>
      <c r="MAE3" s="344"/>
      <c r="MAF3" s="344"/>
      <c r="MAG3" s="344"/>
      <c r="MAH3" s="344"/>
      <c r="MAI3" s="344"/>
      <c r="MAJ3" s="344"/>
      <c r="MAK3" s="344"/>
      <c r="MAL3" s="344"/>
      <c r="MAM3" s="344"/>
      <c r="MAN3" s="344"/>
      <c r="MAO3" s="344"/>
      <c r="MAP3" s="344"/>
      <c r="MAQ3" s="344"/>
      <c r="MAR3" s="344"/>
      <c r="MAS3" s="344"/>
      <c r="MAT3" s="344"/>
      <c r="MAU3" s="344"/>
      <c r="MAV3" s="344"/>
      <c r="MAW3" s="344"/>
      <c r="MAX3" s="344"/>
      <c r="MAY3" s="344"/>
      <c r="MAZ3" s="344"/>
      <c r="MBA3" s="344"/>
      <c r="MBB3" s="344"/>
      <c r="MBC3" s="344"/>
      <c r="MBD3" s="344"/>
      <c r="MBE3" s="344"/>
      <c r="MBF3" s="344"/>
      <c r="MBG3" s="344"/>
      <c r="MBH3" s="344"/>
      <c r="MBI3" s="344"/>
      <c r="MBJ3" s="344"/>
      <c r="MBK3" s="344"/>
      <c r="MBL3" s="344"/>
      <c r="MBM3" s="344"/>
      <c r="MBN3" s="344"/>
      <c r="MBO3" s="344"/>
      <c r="MBP3" s="344"/>
      <c r="MBQ3" s="344"/>
      <c r="MBR3" s="344"/>
      <c r="MBS3" s="344"/>
      <c r="MBT3" s="344"/>
      <c r="MBU3" s="344"/>
      <c r="MBV3" s="344"/>
      <c r="MBW3" s="344"/>
      <c r="MBX3" s="344"/>
      <c r="MBY3" s="344"/>
      <c r="MBZ3" s="344"/>
      <c r="MCA3" s="344"/>
      <c r="MCB3" s="344"/>
      <c r="MCC3" s="344"/>
      <c r="MCD3" s="344"/>
      <c r="MCE3" s="344"/>
      <c r="MCF3" s="344"/>
      <c r="MCG3" s="344"/>
      <c r="MCH3" s="344"/>
      <c r="MCI3" s="344"/>
      <c r="MCJ3" s="344"/>
      <c r="MCK3" s="344"/>
      <c r="MCL3" s="344"/>
      <c r="MCM3" s="344"/>
      <c r="MCN3" s="344"/>
      <c r="MCO3" s="344"/>
      <c r="MCP3" s="344"/>
      <c r="MCQ3" s="344"/>
      <c r="MCR3" s="344"/>
      <c r="MCS3" s="344"/>
      <c r="MCT3" s="344"/>
      <c r="MCU3" s="344"/>
      <c r="MCV3" s="344"/>
      <c r="MCW3" s="344"/>
      <c r="MCX3" s="344"/>
      <c r="MCY3" s="344"/>
      <c r="MCZ3" s="344"/>
      <c r="MDA3" s="344"/>
      <c r="MDB3" s="344"/>
      <c r="MDC3" s="344"/>
      <c r="MDD3" s="344"/>
      <c r="MDE3" s="344"/>
      <c r="MDF3" s="344"/>
      <c r="MDG3" s="344"/>
      <c r="MDH3" s="344"/>
      <c r="MDI3" s="344"/>
      <c r="MDJ3" s="344"/>
      <c r="MDK3" s="344"/>
      <c r="MDL3" s="344"/>
      <c r="MDM3" s="344"/>
      <c r="MDN3" s="344"/>
      <c r="MDO3" s="344"/>
      <c r="MDP3" s="344"/>
      <c r="MDQ3" s="344"/>
      <c r="MDR3" s="344"/>
      <c r="MDS3" s="344"/>
      <c r="MDT3" s="344"/>
      <c r="MDU3" s="344"/>
      <c r="MDV3" s="344"/>
      <c r="MDW3" s="344"/>
      <c r="MDX3" s="344"/>
      <c r="MDY3" s="344"/>
      <c r="MDZ3" s="344"/>
      <c r="MEA3" s="344"/>
      <c r="MEB3" s="344"/>
      <c r="MEC3" s="344"/>
      <c r="MED3" s="344"/>
      <c r="MEE3" s="344"/>
      <c r="MEF3" s="344"/>
      <c r="MEG3" s="344"/>
      <c r="MEH3" s="344"/>
      <c r="MEI3" s="344"/>
      <c r="MEJ3" s="344"/>
      <c r="MEK3" s="344"/>
      <c r="MEL3" s="344"/>
      <c r="MEM3" s="344"/>
      <c r="MEN3" s="344"/>
      <c r="MEO3" s="344"/>
      <c r="MEP3" s="344"/>
      <c r="MEQ3" s="344"/>
      <c r="MER3" s="344"/>
      <c r="MES3" s="344"/>
      <c r="MET3" s="344"/>
      <c r="MEU3" s="344"/>
      <c r="MEV3" s="344"/>
      <c r="MEW3" s="344"/>
      <c r="MEX3" s="344"/>
      <c r="MEY3" s="344"/>
      <c r="MEZ3" s="344"/>
      <c r="MFA3" s="344"/>
      <c r="MFB3" s="344"/>
      <c r="MFC3" s="344"/>
      <c r="MFD3" s="344"/>
      <c r="MFE3" s="344"/>
      <c r="MFF3" s="344"/>
      <c r="MFG3" s="344"/>
      <c r="MFH3" s="344"/>
      <c r="MFI3" s="344"/>
      <c r="MFJ3" s="344"/>
      <c r="MFK3" s="344"/>
      <c r="MFL3" s="344"/>
      <c r="MFM3" s="344"/>
      <c r="MFN3" s="344"/>
      <c r="MFO3" s="344"/>
      <c r="MFP3" s="344"/>
      <c r="MFQ3" s="344"/>
      <c r="MFR3" s="344"/>
      <c r="MFS3" s="344"/>
      <c r="MFT3" s="344"/>
      <c r="MFU3" s="344"/>
      <c r="MFV3" s="344"/>
      <c r="MFW3" s="344"/>
      <c r="MFX3" s="344"/>
      <c r="MFY3" s="344"/>
      <c r="MFZ3" s="344"/>
      <c r="MGA3" s="344"/>
      <c r="MGB3" s="344"/>
      <c r="MGC3" s="344"/>
      <c r="MGD3" s="344"/>
      <c r="MGE3" s="344"/>
      <c r="MGF3" s="344"/>
      <c r="MGG3" s="344"/>
      <c r="MGH3" s="344"/>
      <c r="MGI3" s="344"/>
      <c r="MGJ3" s="344"/>
      <c r="MGK3" s="344"/>
      <c r="MGL3" s="344"/>
      <c r="MGM3" s="344"/>
      <c r="MGN3" s="344"/>
      <c r="MGO3" s="344"/>
      <c r="MGP3" s="344"/>
      <c r="MGQ3" s="344"/>
      <c r="MGR3" s="344"/>
      <c r="MGS3" s="344"/>
      <c r="MGT3" s="344"/>
      <c r="MGU3" s="344"/>
      <c r="MGV3" s="344"/>
      <c r="MGW3" s="344"/>
      <c r="MGX3" s="344"/>
      <c r="MGY3" s="344"/>
      <c r="MGZ3" s="344"/>
      <c r="MHA3" s="344"/>
      <c r="MHB3" s="344"/>
      <c r="MHC3" s="344"/>
      <c r="MHD3" s="344"/>
      <c r="MHE3" s="344"/>
      <c r="MHF3" s="344"/>
      <c r="MHG3" s="344"/>
      <c r="MHH3" s="344"/>
      <c r="MHI3" s="344"/>
      <c r="MHJ3" s="344"/>
      <c r="MHK3" s="344"/>
      <c r="MHL3" s="344"/>
      <c r="MHM3" s="344"/>
      <c r="MHN3" s="344"/>
      <c r="MHO3" s="344"/>
      <c r="MHP3" s="344"/>
      <c r="MHQ3" s="344"/>
      <c r="MHR3" s="344"/>
      <c r="MHS3" s="344"/>
      <c r="MHT3" s="344"/>
      <c r="MHU3" s="344"/>
      <c r="MHV3" s="344"/>
      <c r="MHW3" s="344"/>
      <c r="MHX3" s="344"/>
      <c r="MHY3" s="344"/>
      <c r="MHZ3" s="344"/>
      <c r="MIA3" s="344"/>
      <c r="MIB3" s="344"/>
      <c r="MIC3" s="344"/>
      <c r="MID3" s="344"/>
      <c r="MIE3" s="344"/>
      <c r="MIF3" s="344"/>
      <c r="MIG3" s="344"/>
      <c r="MIH3" s="344"/>
      <c r="MII3" s="344"/>
      <c r="MIJ3" s="344"/>
      <c r="MIK3" s="344"/>
      <c r="MIL3" s="344"/>
      <c r="MIM3" s="344"/>
      <c r="MIN3" s="344"/>
      <c r="MIO3" s="344"/>
      <c r="MIP3" s="344"/>
      <c r="MIQ3" s="344"/>
      <c r="MIR3" s="344"/>
      <c r="MIS3" s="344"/>
      <c r="MIT3" s="344"/>
      <c r="MIU3" s="344"/>
      <c r="MIV3" s="344"/>
      <c r="MIW3" s="344"/>
      <c r="MIX3" s="344"/>
      <c r="MIY3" s="344"/>
      <c r="MIZ3" s="344"/>
      <c r="MJA3" s="344"/>
      <c r="MJB3" s="344"/>
      <c r="MJC3" s="344"/>
      <c r="MJD3" s="344"/>
      <c r="MJE3" s="344"/>
      <c r="MJF3" s="344"/>
      <c r="MJG3" s="344"/>
      <c r="MJH3" s="344"/>
      <c r="MJI3" s="344"/>
      <c r="MJJ3" s="344"/>
      <c r="MJK3" s="344"/>
      <c r="MJL3" s="344"/>
      <c r="MJM3" s="344"/>
      <c r="MJN3" s="344"/>
      <c r="MJO3" s="344"/>
      <c r="MJP3" s="344"/>
      <c r="MJQ3" s="344"/>
      <c r="MJR3" s="344"/>
      <c r="MJS3" s="344"/>
      <c r="MJT3" s="344"/>
      <c r="MJU3" s="344"/>
      <c r="MJV3" s="344"/>
      <c r="MJW3" s="344"/>
      <c r="MJX3" s="344"/>
      <c r="MJY3" s="344"/>
      <c r="MJZ3" s="344"/>
      <c r="MKA3" s="344"/>
      <c r="MKB3" s="344"/>
      <c r="MKC3" s="344"/>
      <c r="MKD3" s="344"/>
      <c r="MKE3" s="344"/>
      <c r="MKF3" s="344"/>
      <c r="MKG3" s="344"/>
      <c r="MKH3" s="344"/>
      <c r="MKI3" s="344"/>
      <c r="MKJ3" s="344"/>
      <c r="MKK3" s="344"/>
      <c r="MKL3" s="344"/>
      <c r="MKM3" s="344"/>
      <c r="MKN3" s="344"/>
      <c r="MKO3" s="344"/>
      <c r="MKP3" s="344"/>
      <c r="MKQ3" s="344"/>
      <c r="MKR3" s="344"/>
      <c r="MKS3" s="344"/>
      <c r="MKT3" s="344"/>
      <c r="MKU3" s="344"/>
      <c r="MKV3" s="344"/>
      <c r="MKW3" s="344"/>
      <c r="MKX3" s="344"/>
      <c r="MKY3" s="344"/>
      <c r="MKZ3" s="344"/>
      <c r="MLA3" s="344"/>
      <c r="MLB3" s="344"/>
      <c r="MLC3" s="344"/>
      <c r="MLD3" s="344"/>
      <c r="MLE3" s="344"/>
      <c r="MLF3" s="344"/>
      <c r="MLG3" s="344"/>
      <c r="MLH3" s="344"/>
      <c r="MLI3" s="344"/>
      <c r="MLJ3" s="344"/>
      <c r="MLK3" s="344"/>
      <c r="MLL3" s="344"/>
      <c r="MLM3" s="344"/>
      <c r="MLN3" s="344"/>
      <c r="MLO3" s="344"/>
      <c r="MLP3" s="344"/>
      <c r="MLQ3" s="344"/>
      <c r="MLR3" s="344"/>
      <c r="MLS3" s="344"/>
      <c r="MLT3" s="344"/>
      <c r="MLU3" s="344"/>
      <c r="MLV3" s="344"/>
      <c r="MLW3" s="344"/>
      <c r="MLX3" s="344"/>
      <c r="MLY3" s="344"/>
      <c r="MLZ3" s="344"/>
      <c r="MMA3" s="344"/>
      <c r="MMB3" s="344"/>
      <c r="MMC3" s="344"/>
      <c r="MMD3" s="344"/>
      <c r="MME3" s="344"/>
      <c r="MMF3" s="344"/>
      <c r="MMG3" s="344"/>
      <c r="MMH3" s="344"/>
      <c r="MMI3" s="344"/>
      <c r="MMJ3" s="344"/>
      <c r="MMK3" s="344"/>
      <c r="MML3" s="344"/>
      <c r="MMM3" s="344"/>
      <c r="MMN3" s="344"/>
      <c r="MMO3" s="344"/>
      <c r="MMP3" s="344"/>
      <c r="MMQ3" s="344"/>
      <c r="MMR3" s="344"/>
      <c r="MMS3" s="344"/>
      <c r="MMT3" s="344"/>
      <c r="MMU3" s="344"/>
      <c r="MMV3" s="344"/>
      <c r="MMW3" s="344"/>
      <c r="MMX3" s="344"/>
      <c r="MMY3" s="344"/>
      <c r="MMZ3" s="344"/>
      <c r="MNA3" s="344"/>
      <c r="MNB3" s="344"/>
      <c r="MNC3" s="344"/>
      <c r="MND3" s="344"/>
      <c r="MNE3" s="344"/>
      <c r="MNF3" s="344"/>
      <c r="MNG3" s="344"/>
      <c r="MNH3" s="344"/>
      <c r="MNI3" s="344"/>
      <c r="MNJ3" s="344"/>
      <c r="MNK3" s="344"/>
      <c r="MNL3" s="344"/>
      <c r="MNM3" s="344"/>
      <c r="MNN3" s="344"/>
      <c r="MNO3" s="344"/>
      <c r="MNP3" s="344"/>
      <c r="MNQ3" s="344"/>
      <c r="MNR3" s="344"/>
      <c r="MNS3" s="344"/>
      <c r="MNT3" s="344"/>
      <c r="MNU3" s="344"/>
      <c r="MNV3" s="344"/>
      <c r="MNW3" s="344"/>
      <c r="MNX3" s="344"/>
      <c r="MNY3" s="344"/>
      <c r="MNZ3" s="344"/>
      <c r="MOA3" s="344"/>
      <c r="MOB3" s="344"/>
      <c r="MOC3" s="344"/>
      <c r="MOD3" s="344"/>
      <c r="MOE3" s="344"/>
      <c r="MOF3" s="344"/>
      <c r="MOG3" s="344"/>
      <c r="MOH3" s="344"/>
      <c r="MOI3" s="344"/>
      <c r="MOJ3" s="344"/>
      <c r="MOK3" s="344"/>
      <c r="MOL3" s="344"/>
      <c r="MOM3" s="344"/>
      <c r="MON3" s="344"/>
      <c r="MOO3" s="344"/>
      <c r="MOP3" s="344"/>
      <c r="MOQ3" s="344"/>
      <c r="MOR3" s="344"/>
      <c r="MOS3" s="344"/>
      <c r="MOT3" s="344"/>
      <c r="MOU3" s="344"/>
      <c r="MOV3" s="344"/>
      <c r="MOW3" s="344"/>
      <c r="MOX3" s="344"/>
      <c r="MOY3" s="344"/>
      <c r="MOZ3" s="344"/>
      <c r="MPA3" s="344"/>
      <c r="MPB3" s="344"/>
      <c r="MPC3" s="344"/>
      <c r="MPD3" s="344"/>
      <c r="MPE3" s="344"/>
      <c r="MPF3" s="344"/>
      <c r="MPG3" s="344"/>
      <c r="MPH3" s="344"/>
      <c r="MPI3" s="344"/>
      <c r="MPJ3" s="344"/>
      <c r="MPK3" s="344"/>
      <c r="MPL3" s="344"/>
      <c r="MPM3" s="344"/>
      <c r="MPN3" s="344"/>
      <c r="MPO3" s="344"/>
      <c r="MPP3" s="344"/>
      <c r="MPQ3" s="344"/>
      <c r="MPR3" s="344"/>
      <c r="MPS3" s="344"/>
      <c r="MPT3" s="344"/>
      <c r="MPU3" s="344"/>
      <c r="MPV3" s="344"/>
      <c r="MPW3" s="344"/>
      <c r="MPX3" s="344"/>
      <c r="MPY3" s="344"/>
      <c r="MPZ3" s="344"/>
      <c r="MQA3" s="344"/>
      <c r="MQB3" s="344"/>
      <c r="MQC3" s="344"/>
      <c r="MQD3" s="344"/>
      <c r="MQE3" s="344"/>
      <c r="MQF3" s="344"/>
      <c r="MQG3" s="344"/>
      <c r="MQH3" s="344"/>
      <c r="MQI3" s="344"/>
      <c r="MQJ3" s="344"/>
      <c r="MQK3" s="344"/>
      <c r="MQL3" s="344"/>
      <c r="MQM3" s="344"/>
      <c r="MQN3" s="344"/>
      <c r="MQO3" s="344"/>
      <c r="MQP3" s="344"/>
      <c r="MQQ3" s="344"/>
      <c r="MQR3" s="344"/>
      <c r="MQS3" s="344"/>
      <c r="MQT3" s="344"/>
      <c r="MQU3" s="344"/>
      <c r="MQV3" s="344"/>
      <c r="MQW3" s="344"/>
      <c r="MQX3" s="344"/>
      <c r="MQY3" s="344"/>
      <c r="MQZ3" s="344"/>
      <c r="MRA3" s="344"/>
      <c r="MRB3" s="344"/>
      <c r="MRC3" s="344"/>
      <c r="MRD3" s="344"/>
      <c r="MRE3" s="344"/>
      <c r="MRF3" s="344"/>
      <c r="MRG3" s="344"/>
      <c r="MRH3" s="344"/>
      <c r="MRI3" s="344"/>
      <c r="MRJ3" s="344"/>
      <c r="MRK3" s="344"/>
      <c r="MRL3" s="344"/>
      <c r="MRM3" s="344"/>
      <c r="MRN3" s="344"/>
      <c r="MRO3" s="344"/>
      <c r="MRP3" s="344"/>
      <c r="MRQ3" s="344"/>
      <c r="MRR3" s="344"/>
      <c r="MRS3" s="344"/>
      <c r="MRT3" s="344"/>
      <c r="MRU3" s="344"/>
      <c r="MRV3" s="344"/>
      <c r="MRW3" s="344"/>
      <c r="MRX3" s="344"/>
      <c r="MRY3" s="344"/>
      <c r="MRZ3" s="344"/>
      <c r="MSA3" s="344"/>
      <c r="MSB3" s="344"/>
      <c r="MSC3" s="344"/>
      <c r="MSD3" s="344"/>
      <c r="MSE3" s="344"/>
      <c r="MSF3" s="344"/>
      <c r="MSG3" s="344"/>
      <c r="MSH3" s="344"/>
      <c r="MSI3" s="344"/>
      <c r="MSJ3" s="344"/>
      <c r="MSK3" s="344"/>
      <c r="MSL3" s="344"/>
      <c r="MSM3" s="344"/>
      <c r="MSN3" s="344"/>
      <c r="MSO3" s="344"/>
      <c r="MSP3" s="344"/>
      <c r="MSQ3" s="344"/>
      <c r="MSR3" s="344"/>
      <c r="MSS3" s="344"/>
      <c r="MST3" s="344"/>
      <c r="MSU3" s="344"/>
      <c r="MSV3" s="344"/>
      <c r="MSW3" s="344"/>
      <c r="MSX3" s="344"/>
      <c r="MSY3" s="344"/>
      <c r="MSZ3" s="344"/>
      <c r="MTA3" s="344"/>
      <c r="MTB3" s="344"/>
      <c r="MTC3" s="344"/>
      <c r="MTD3" s="344"/>
      <c r="MTE3" s="344"/>
      <c r="MTF3" s="344"/>
      <c r="MTG3" s="344"/>
      <c r="MTH3" s="344"/>
      <c r="MTI3" s="344"/>
      <c r="MTJ3" s="344"/>
      <c r="MTK3" s="344"/>
      <c r="MTL3" s="344"/>
      <c r="MTM3" s="344"/>
      <c r="MTN3" s="344"/>
      <c r="MTO3" s="344"/>
      <c r="MTP3" s="344"/>
      <c r="MTQ3" s="344"/>
      <c r="MTR3" s="344"/>
      <c r="MTS3" s="344"/>
      <c r="MTT3" s="344"/>
      <c r="MTU3" s="344"/>
      <c r="MTV3" s="344"/>
      <c r="MTW3" s="344"/>
      <c r="MTX3" s="344"/>
      <c r="MTY3" s="344"/>
      <c r="MTZ3" s="344"/>
      <c r="MUA3" s="344"/>
      <c r="MUB3" s="344"/>
      <c r="MUC3" s="344"/>
      <c r="MUD3" s="344"/>
      <c r="MUE3" s="344"/>
      <c r="MUF3" s="344"/>
      <c r="MUG3" s="344"/>
      <c r="MUH3" s="344"/>
      <c r="MUI3" s="344"/>
      <c r="MUJ3" s="344"/>
      <c r="MUK3" s="344"/>
      <c r="MUL3" s="344"/>
      <c r="MUM3" s="344"/>
      <c r="MUN3" s="344"/>
      <c r="MUO3" s="344"/>
      <c r="MUP3" s="344"/>
      <c r="MUQ3" s="344"/>
      <c r="MUR3" s="344"/>
      <c r="MUS3" s="344"/>
      <c r="MUT3" s="344"/>
      <c r="MUU3" s="344"/>
      <c r="MUV3" s="344"/>
      <c r="MUW3" s="344"/>
      <c r="MUX3" s="344"/>
      <c r="MUY3" s="344"/>
      <c r="MUZ3" s="344"/>
      <c r="MVA3" s="344"/>
      <c r="MVB3" s="344"/>
      <c r="MVC3" s="344"/>
      <c r="MVD3" s="344"/>
      <c r="MVE3" s="344"/>
      <c r="MVF3" s="344"/>
      <c r="MVG3" s="344"/>
      <c r="MVH3" s="344"/>
      <c r="MVI3" s="344"/>
      <c r="MVJ3" s="344"/>
      <c r="MVK3" s="344"/>
      <c r="MVL3" s="344"/>
      <c r="MVM3" s="344"/>
      <c r="MVN3" s="344"/>
      <c r="MVO3" s="344"/>
      <c r="MVP3" s="344"/>
      <c r="MVQ3" s="344"/>
      <c r="MVR3" s="344"/>
      <c r="MVS3" s="344"/>
      <c r="MVT3" s="344"/>
      <c r="MVU3" s="344"/>
      <c r="MVV3" s="344"/>
      <c r="MVW3" s="344"/>
      <c r="MVX3" s="344"/>
      <c r="MVY3" s="344"/>
      <c r="MVZ3" s="344"/>
      <c r="MWA3" s="344"/>
      <c r="MWB3" s="344"/>
      <c r="MWC3" s="344"/>
      <c r="MWD3" s="344"/>
      <c r="MWE3" s="344"/>
      <c r="MWF3" s="344"/>
      <c r="MWG3" s="344"/>
      <c r="MWH3" s="344"/>
      <c r="MWI3" s="344"/>
      <c r="MWJ3" s="344"/>
      <c r="MWK3" s="344"/>
      <c r="MWL3" s="344"/>
      <c r="MWM3" s="344"/>
      <c r="MWN3" s="344"/>
      <c r="MWO3" s="344"/>
      <c r="MWP3" s="344"/>
      <c r="MWQ3" s="344"/>
      <c r="MWR3" s="344"/>
      <c r="MWS3" s="344"/>
      <c r="MWT3" s="344"/>
      <c r="MWU3" s="344"/>
      <c r="MWV3" s="344"/>
      <c r="MWW3" s="344"/>
      <c r="MWX3" s="344"/>
      <c r="MWY3" s="344"/>
      <c r="MWZ3" s="344"/>
      <c r="MXA3" s="344"/>
      <c r="MXB3" s="344"/>
      <c r="MXC3" s="344"/>
      <c r="MXD3" s="344"/>
      <c r="MXE3" s="344"/>
      <c r="MXF3" s="344"/>
      <c r="MXG3" s="344"/>
      <c r="MXH3" s="344"/>
      <c r="MXI3" s="344"/>
      <c r="MXJ3" s="344"/>
      <c r="MXK3" s="344"/>
      <c r="MXL3" s="344"/>
      <c r="MXM3" s="344"/>
      <c r="MXN3" s="344"/>
      <c r="MXO3" s="344"/>
      <c r="MXP3" s="344"/>
      <c r="MXQ3" s="344"/>
      <c r="MXR3" s="344"/>
      <c r="MXS3" s="344"/>
      <c r="MXT3" s="344"/>
      <c r="MXU3" s="344"/>
      <c r="MXV3" s="344"/>
      <c r="MXW3" s="344"/>
      <c r="MXX3" s="344"/>
      <c r="MXY3" s="344"/>
      <c r="MXZ3" s="344"/>
      <c r="MYA3" s="344"/>
      <c r="MYB3" s="344"/>
      <c r="MYC3" s="344"/>
      <c r="MYD3" s="344"/>
      <c r="MYE3" s="344"/>
      <c r="MYF3" s="344"/>
      <c r="MYG3" s="344"/>
      <c r="MYH3" s="344"/>
      <c r="MYI3" s="344"/>
      <c r="MYJ3" s="344"/>
      <c r="MYK3" s="344"/>
      <c r="MYL3" s="344"/>
      <c r="MYM3" s="344"/>
      <c r="MYN3" s="344"/>
      <c r="MYO3" s="344"/>
      <c r="MYP3" s="344"/>
      <c r="MYQ3" s="344"/>
      <c r="MYR3" s="344"/>
      <c r="MYS3" s="344"/>
      <c r="MYT3" s="344"/>
      <c r="MYU3" s="344"/>
      <c r="MYV3" s="344"/>
      <c r="MYW3" s="344"/>
      <c r="MYX3" s="344"/>
      <c r="MYY3" s="344"/>
      <c r="MYZ3" s="344"/>
      <c r="MZA3" s="344"/>
      <c r="MZB3" s="344"/>
      <c r="MZC3" s="344"/>
      <c r="MZD3" s="344"/>
      <c r="MZE3" s="344"/>
      <c r="MZF3" s="344"/>
      <c r="MZG3" s="344"/>
      <c r="MZH3" s="344"/>
      <c r="MZI3" s="344"/>
      <c r="MZJ3" s="344"/>
      <c r="MZK3" s="344"/>
      <c r="MZL3" s="344"/>
      <c r="MZM3" s="344"/>
      <c r="MZN3" s="344"/>
      <c r="MZO3" s="344"/>
      <c r="MZP3" s="344"/>
      <c r="MZQ3" s="344"/>
      <c r="MZR3" s="344"/>
      <c r="MZS3" s="344"/>
      <c r="MZT3" s="344"/>
      <c r="MZU3" s="344"/>
      <c r="MZV3" s="344"/>
      <c r="MZW3" s="344"/>
      <c r="MZX3" s="344"/>
      <c r="MZY3" s="344"/>
      <c r="MZZ3" s="344"/>
      <c r="NAA3" s="344"/>
      <c r="NAB3" s="344"/>
      <c r="NAC3" s="344"/>
      <c r="NAD3" s="344"/>
      <c r="NAE3" s="344"/>
      <c r="NAF3" s="344"/>
      <c r="NAG3" s="344"/>
      <c r="NAH3" s="344"/>
      <c r="NAI3" s="344"/>
      <c r="NAJ3" s="344"/>
      <c r="NAK3" s="344"/>
      <c r="NAL3" s="344"/>
      <c r="NAM3" s="344"/>
      <c r="NAN3" s="344"/>
      <c r="NAO3" s="344"/>
      <c r="NAP3" s="344"/>
      <c r="NAQ3" s="344"/>
      <c r="NAR3" s="344"/>
      <c r="NAS3" s="344"/>
      <c r="NAT3" s="344"/>
      <c r="NAU3" s="344"/>
      <c r="NAV3" s="344"/>
      <c r="NAW3" s="344"/>
      <c r="NAX3" s="344"/>
      <c r="NAY3" s="344"/>
      <c r="NAZ3" s="344"/>
      <c r="NBA3" s="344"/>
      <c r="NBB3" s="344"/>
      <c r="NBC3" s="344"/>
      <c r="NBD3" s="344"/>
      <c r="NBE3" s="344"/>
      <c r="NBF3" s="344"/>
      <c r="NBG3" s="344"/>
      <c r="NBH3" s="344"/>
      <c r="NBI3" s="344"/>
      <c r="NBJ3" s="344"/>
      <c r="NBK3" s="344"/>
      <c r="NBL3" s="344"/>
      <c r="NBM3" s="344"/>
      <c r="NBN3" s="344"/>
      <c r="NBO3" s="344"/>
      <c r="NBP3" s="344"/>
      <c r="NBQ3" s="344"/>
      <c r="NBR3" s="344"/>
      <c r="NBS3" s="344"/>
      <c r="NBT3" s="344"/>
      <c r="NBU3" s="344"/>
      <c r="NBV3" s="344"/>
      <c r="NBW3" s="344"/>
      <c r="NBX3" s="344"/>
      <c r="NBY3" s="344"/>
      <c r="NBZ3" s="344"/>
      <c r="NCA3" s="344"/>
      <c r="NCB3" s="344"/>
      <c r="NCC3" s="344"/>
      <c r="NCD3" s="344"/>
      <c r="NCE3" s="344"/>
      <c r="NCF3" s="344"/>
      <c r="NCG3" s="344"/>
      <c r="NCH3" s="344"/>
      <c r="NCI3" s="344"/>
      <c r="NCJ3" s="344"/>
      <c r="NCK3" s="344"/>
      <c r="NCL3" s="344"/>
      <c r="NCM3" s="344"/>
      <c r="NCN3" s="344"/>
      <c r="NCO3" s="344"/>
      <c r="NCP3" s="344"/>
      <c r="NCQ3" s="344"/>
      <c r="NCR3" s="344"/>
      <c r="NCS3" s="344"/>
      <c r="NCT3" s="344"/>
      <c r="NCU3" s="344"/>
      <c r="NCV3" s="344"/>
      <c r="NCW3" s="344"/>
      <c r="NCX3" s="344"/>
      <c r="NCY3" s="344"/>
      <c r="NCZ3" s="344"/>
      <c r="NDA3" s="344"/>
      <c r="NDB3" s="344"/>
      <c r="NDC3" s="344"/>
      <c r="NDD3" s="344"/>
      <c r="NDE3" s="344"/>
      <c r="NDF3" s="344"/>
      <c r="NDG3" s="344"/>
      <c r="NDH3" s="344"/>
      <c r="NDI3" s="344"/>
      <c r="NDJ3" s="344"/>
      <c r="NDK3" s="344"/>
      <c r="NDL3" s="344"/>
      <c r="NDM3" s="344"/>
      <c r="NDN3" s="344"/>
      <c r="NDO3" s="344"/>
      <c r="NDP3" s="344"/>
      <c r="NDQ3" s="344"/>
      <c r="NDR3" s="344"/>
      <c r="NDS3" s="344"/>
      <c r="NDT3" s="344"/>
      <c r="NDU3" s="344"/>
      <c r="NDV3" s="344"/>
      <c r="NDW3" s="344"/>
      <c r="NDX3" s="344"/>
      <c r="NDY3" s="344"/>
      <c r="NDZ3" s="344"/>
      <c r="NEA3" s="344"/>
      <c r="NEB3" s="344"/>
      <c r="NEC3" s="344"/>
      <c r="NED3" s="344"/>
      <c r="NEE3" s="344"/>
      <c r="NEF3" s="344"/>
      <c r="NEG3" s="344"/>
      <c r="NEH3" s="344"/>
      <c r="NEI3" s="344"/>
      <c r="NEJ3" s="344"/>
      <c r="NEK3" s="344"/>
      <c r="NEL3" s="344"/>
      <c r="NEM3" s="344"/>
      <c r="NEN3" s="344"/>
      <c r="NEO3" s="344"/>
      <c r="NEP3" s="344"/>
      <c r="NEQ3" s="344"/>
      <c r="NER3" s="344"/>
      <c r="NES3" s="344"/>
      <c r="NET3" s="344"/>
      <c r="NEU3" s="344"/>
      <c r="NEV3" s="344"/>
      <c r="NEW3" s="344"/>
      <c r="NEX3" s="344"/>
      <c r="NEY3" s="344"/>
      <c r="NEZ3" s="344"/>
      <c r="NFA3" s="344"/>
      <c r="NFB3" s="344"/>
      <c r="NFC3" s="344"/>
      <c r="NFD3" s="344"/>
      <c r="NFE3" s="344"/>
      <c r="NFF3" s="344"/>
      <c r="NFG3" s="344"/>
      <c r="NFH3" s="344"/>
      <c r="NFI3" s="344"/>
      <c r="NFJ3" s="344"/>
      <c r="NFK3" s="344"/>
      <c r="NFL3" s="344"/>
      <c r="NFM3" s="344"/>
      <c r="NFN3" s="344"/>
      <c r="NFO3" s="344"/>
      <c r="NFP3" s="344"/>
      <c r="NFQ3" s="344"/>
      <c r="NFR3" s="344"/>
      <c r="NFS3" s="344"/>
      <c r="NFT3" s="344"/>
      <c r="NFU3" s="344"/>
      <c r="NFV3" s="344"/>
      <c r="NFW3" s="344"/>
      <c r="NFX3" s="344"/>
      <c r="NFY3" s="344"/>
      <c r="NFZ3" s="344"/>
      <c r="NGA3" s="344"/>
      <c r="NGB3" s="344"/>
      <c r="NGC3" s="344"/>
      <c r="NGD3" s="344"/>
      <c r="NGE3" s="344"/>
      <c r="NGF3" s="344"/>
      <c r="NGG3" s="344"/>
      <c r="NGH3" s="344"/>
      <c r="NGI3" s="344"/>
      <c r="NGJ3" s="344"/>
      <c r="NGK3" s="344"/>
      <c r="NGL3" s="344"/>
      <c r="NGM3" s="344"/>
      <c r="NGN3" s="344"/>
      <c r="NGO3" s="344"/>
      <c r="NGP3" s="344"/>
      <c r="NGQ3" s="344"/>
      <c r="NGR3" s="344"/>
      <c r="NGS3" s="344"/>
      <c r="NGT3" s="344"/>
      <c r="NGU3" s="344"/>
      <c r="NGV3" s="344"/>
      <c r="NGW3" s="344"/>
      <c r="NGX3" s="344"/>
      <c r="NGY3" s="344"/>
      <c r="NGZ3" s="344"/>
      <c r="NHA3" s="344"/>
      <c r="NHB3" s="344"/>
      <c r="NHC3" s="344"/>
      <c r="NHD3" s="344"/>
      <c r="NHE3" s="344"/>
      <c r="NHF3" s="344"/>
      <c r="NHG3" s="344"/>
      <c r="NHH3" s="344"/>
      <c r="NHI3" s="344"/>
      <c r="NHJ3" s="344"/>
      <c r="NHK3" s="344"/>
      <c r="NHL3" s="344"/>
      <c r="NHM3" s="344"/>
      <c r="NHN3" s="344"/>
      <c r="NHO3" s="344"/>
      <c r="NHP3" s="344"/>
      <c r="NHQ3" s="344"/>
      <c r="NHR3" s="344"/>
      <c r="NHS3" s="344"/>
      <c r="NHT3" s="344"/>
      <c r="NHU3" s="344"/>
      <c r="NHV3" s="344"/>
      <c r="NHW3" s="344"/>
      <c r="NHX3" s="344"/>
      <c r="NHY3" s="344"/>
      <c r="NHZ3" s="344"/>
      <c r="NIA3" s="344"/>
      <c r="NIB3" s="344"/>
      <c r="NIC3" s="344"/>
      <c r="NID3" s="344"/>
      <c r="NIE3" s="344"/>
      <c r="NIF3" s="344"/>
      <c r="NIG3" s="344"/>
      <c r="NIH3" s="344"/>
      <c r="NII3" s="344"/>
      <c r="NIJ3" s="344"/>
      <c r="NIK3" s="344"/>
      <c r="NIL3" s="344"/>
      <c r="NIM3" s="344"/>
      <c r="NIN3" s="344"/>
      <c r="NIO3" s="344"/>
      <c r="NIP3" s="344"/>
      <c r="NIQ3" s="344"/>
      <c r="NIR3" s="344"/>
      <c r="NIS3" s="344"/>
      <c r="NIT3" s="344"/>
      <c r="NIU3" s="344"/>
      <c r="NIV3" s="344"/>
      <c r="NIW3" s="344"/>
      <c r="NIX3" s="344"/>
      <c r="NIY3" s="344"/>
      <c r="NIZ3" s="344"/>
      <c r="NJA3" s="344"/>
      <c r="NJB3" s="344"/>
      <c r="NJC3" s="344"/>
      <c r="NJD3" s="344"/>
      <c r="NJE3" s="344"/>
      <c r="NJF3" s="344"/>
      <c r="NJG3" s="344"/>
      <c r="NJH3" s="344"/>
      <c r="NJI3" s="344"/>
      <c r="NJJ3" s="344"/>
      <c r="NJK3" s="344"/>
      <c r="NJL3" s="344"/>
      <c r="NJM3" s="344"/>
      <c r="NJN3" s="344"/>
      <c r="NJO3" s="344"/>
      <c r="NJP3" s="344"/>
      <c r="NJQ3" s="344"/>
      <c r="NJR3" s="344"/>
      <c r="NJS3" s="344"/>
      <c r="NJT3" s="344"/>
      <c r="NJU3" s="344"/>
      <c r="NJV3" s="344"/>
      <c r="NJW3" s="344"/>
      <c r="NJX3" s="344"/>
      <c r="NJY3" s="344"/>
      <c r="NJZ3" s="344"/>
      <c r="NKA3" s="344"/>
      <c r="NKB3" s="344"/>
      <c r="NKC3" s="344"/>
      <c r="NKD3" s="344"/>
      <c r="NKE3" s="344"/>
      <c r="NKF3" s="344"/>
      <c r="NKG3" s="344"/>
      <c r="NKH3" s="344"/>
      <c r="NKI3" s="344"/>
      <c r="NKJ3" s="344"/>
      <c r="NKK3" s="344"/>
      <c r="NKL3" s="344"/>
      <c r="NKM3" s="344"/>
      <c r="NKN3" s="344"/>
      <c r="NKO3" s="344"/>
      <c r="NKP3" s="344"/>
      <c r="NKQ3" s="344"/>
      <c r="NKR3" s="344"/>
      <c r="NKS3" s="344"/>
      <c r="NKT3" s="344"/>
      <c r="NKU3" s="344"/>
      <c r="NKV3" s="344"/>
      <c r="NKW3" s="344"/>
      <c r="NKX3" s="344"/>
      <c r="NKY3" s="344"/>
      <c r="NKZ3" s="344"/>
      <c r="NLA3" s="344"/>
      <c r="NLB3" s="344"/>
      <c r="NLC3" s="344"/>
      <c r="NLD3" s="344"/>
      <c r="NLE3" s="344"/>
      <c r="NLF3" s="344"/>
      <c r="NLG3" s="344"/>
      <c r="NLH3" s="344"/>
      <c r="NLI3" s="344"/>
      <c r="NLJ3" s="344"/>
      <c r="NLK3" s="344"/>
      <c r="NLL3" s="344"/>
      <c r="NLM3" s="344"/>
      <c r="NLN3" s="344"/>
      <c r="NLO3" s="344"/>
      <c r="NLP3" s="344"/>
      <c r="NLQ3" s="344"/>
      <c r="NLR3" s="344"/>
      <c r="NLS3" s="344"/>
      <c r="NLT3" s="344"/>
      <c r="NLU3" s="344"/>
      <c r="NLV3" s="344"/>
      <c r="NLW3" s="344"/>
      <c r="NLX3" s="344"/>
      <c r="NLY3" s="344"/>
      <c r="NLZ3" s="344"/>
      <c r="NMA3" s="344"/>
      <c r="NMB3" s="344"/>
      <c r="NMC3" s="344"/>
      <c r="NMD3" s="344"/>
      <c r="NME3" s="344"/>
      <c r="NMF3" s="344"/>
      <c r="NMG3" s="344"/>
      <c r="NMH3" s="344"/>
      <c r="NMI3" s="344"/>
      <c r="NMJ3" s="344"/>
      <c r="NMK3" s="344"/>
      <c r="NML3" s="344"/>
      <c r="NMM3" s="344"/>
      <c r="NMN3" s="344"/>
      <c r="NMO3" s="344"/>
      <c r="NMP3" s="344"/>
      <c r="NMQ3" s="344"/>
      <c r="NMR3" s="344"/>
      <c r="NMS3" s="344"/>
      <c r="NMT3" s="344"/>
      <c r="NMU3" s="344"/>
      <c r="NMV3" s="344"/>
      <c r="NMW3" s="344"/>
      <c r="NMX3" s="344"/>
      <c r="NMY3" s="344"/>
      <c r="NMZ3" s="344"/>
      <c r="NNA3" s="344"/>
      <c r="NNB3" s="344"/>
      <c r="NNC3" s="344"/>
      <c r="NND3" s="344"/>
      <c r="NNE3" s="344"/>
      <c r="NNF3" s="344"/>
      <c r="NNG3" s="344"/>
      <c r="NNH3" s="344"/>
      <c r="NNI3" s="344"/>
      <c r="NNJ3" s="344"/>
      <c r="NNK3" s="344"/>
      <c r="NNL3" s="344"/>
      <c r="NNM3" s="344"/>
      <c r="NNN3" s="344"/>
      <c r="NNO3" s="344"/>
      <c r="NNP3" s="344"/>
      <c r="NNQ3" s="344"/>
      <c r="NNR3" s="344"/>
      <c r="NNS3" s="344"/>
      <c r="NNT3" s="344"/>
      <c r="NNU3" s="344"/>
      <c r="NNV3" s="344"/>
      <c r="NNW3" s="344"/>
      <c r="NNX3" s="344"/>
      <c r="NNY3" s="344"/>
      <c r="NNZ3" s="344"/>
      <c r="NOA3" s="344"/>
      <c r="NOB3" s="344"/>
      <c r="NOC3" s="344"/>
      <c r="NOD3" s="344"/>
      <c r="NOE3" s="344"/>
      <c r="NOF3" s="344"/>
      <c r="NOG3" s="344"/>
      <c r="NOH3" s="344"/>
      <c r="NOI3" s="344"/>
      <c r="NOJ3" s="344"/>
      <c r="NOK3" s="344"/>
      <c r="NOL3" s="344"/>
      <c r="NOM3" s="344"/>
      <c r="NON3" s="344"/>
      <c r="NOO3" s="344"/>
      <c r="NOP3" s="344"/>
      <c r="NOQ3" s="344"/>
      <c r="NOR3" s="344"/>
      <c r="NOS3" s="344"/>
      <c r="NOT3" s="344"/>
      <c r="NOU3" s="344"/>
      <c r="NOV3" s="344"/>
      <c r="NOW3" s="344"/>
      <c r="NOX3" s="344"/>
      <c r="NOY3" s="344"/>
      <c r="NOZ3" s="344"/>
      <c r="NPA3" s="344"/>
      <c r="NPB3" s="344"/>
      <c r="NPC3" s="344"/>
      <c r="NPD3" s="344"/>
      <c r="NPE3" s="344"/>
      <c r="NPF3" s="344"/>
      <c r="NPG3" s="344"/>
      <c r="NPH3" s="344"/>
      <c r="NPI3" s="344"/>
      <c r="NPJ3" s="344"/>
      <c r="NPK3" s="344"/>
      <c r="NPL3" s="344"/>
      <c r="NPM3" s="344"/>
      <c r="NPN3" s="344"/>
      <c r="NPO3" s="344"/>
      <c r="NPP3" s="344"/>
      <c r="NPQ3" s="344"/>
      <c r="NPR3" s="344"/>
      <c r="NPS3" s="344"/>
      <c r="NPT3" s="344"/>
      <c r="NPU3" s="344"/>
      <c r="NPV3" s="344"/>
      <c r="NPW3" s="344"/>
      <c r="NPX3" s="344"/>
      <c r="NPY3" s="344"/>
      <c r="NPZ3" s="344"/>
      <c r="NQA3" s="344"/>
      <c r="NQB3" s="344"/>
      <c r="NQC3" s="344"/>
      <c r="NQD3" s="344"/>
      <c r="NQE3" s="344"/>
      <c r="NQF3" s="344"/>
      <c r="NQG3" s="344"/>
      <c r="NQH3" s="344"/>
      <c r="NQI3" s="344"/>
      <c r="NQJ3" s="344"/>
      <c r="NQK3" s="344"/>
      <c r="NQL3" s="344"/>
      <c r="NQM3" s="344"/>
      <c r="NQN3" s="344"/>
      <c r="NQO3" s="344"/>
      <c r="NQP3" s="344"/>
      <c r="NQQ3" s="344"/>
      <c r="NQR3" s="344"/>
      <c r="NQS3" s="344"/>
      <c r="NQT3" s="344"/>
      <c r="NQU3" s="344"/>
      <c r="NQV3" s="344"/>
      <c r="NQW3" s="344"/>
      <c r="NQX3" s="344"/>
      <c r="NQY3" s="344"/>
      <c r="NQZ3" s="344"/>
      <c r="NRA3" s="344"/>
      <c r="NRB3" s="344"/>
      <c r="NRC3" s="344"/>
      <c r="NRD3" s="344"/>
      <c r="NRE3" s="344"/>
      <c r="NRF3" s="344"/>
      <c r="NRG3" s="344"/>
      <c r="NRH3" s="344"/>
      <c r="NRI3" s="344"/>
      <c r="NRJ3" s="344"/>
      <c r="NRK3" s="344"/>
      <c r="NRL3" s="344"/>
      <c r="NRM3" s="344"/>
      <c r="NRN3" s="344"/>
      <c r="NRO3" s="344"/>
      <c r="NRP3" s="344"/>
      <c r="NRQ3" s="344"/>
      <c r="NRR3" s="344"/>
      <c r="NRS3" s="344"/>
      <c r="NRT3" s="344"/>
      <c r="NRU3" s="344"/>
      <c r="NRV3" s="344"/>
      <c r="NRW3" s="344"/>
      <c r="NRX3" s="344"/>
      <c r="NRY3" s="344"/>
      <c r="NRZ3" s="344"/>
      <c r="NSA3" s="344"/>
      <c r="NSB3" s="344"/>
      <c r="NSC3" s="344"/>
      <c r="NSD3" s="344"/>
      <c r="NSE3" s="344"/>
      <c r="NSF3" s="344"/>
      <c r="NSG3" s="344"/>
      <c r="NSH3" s="344"/>
      <c r="NSI3" s="344"/>
      <c r="NSJ3" s="344"/>
      <c r="NSK3" s="344"/>
      <c r="NSL3" s="344"/>
      <c r="NSM3" s="344"/>
      <c r="NSN3" s="344"/>
      <c r="NSO3" s="344"/>
      <c r="NSP3" s="344"/>
      <c r="NSQ3" s="344"/>
      <c r="NSR3" s="344"/>
      <c r="NSS3" s="344"/>
      <c r="NST3" s="344"/>
      <c r="NSU3" s="344"/>
      <c r="NSV3" s="344"/>
      <c r="NSW3" s="344"/>
      <c r="NSX3" s="344"/>
      <c r="NSY3" s="344"/>
      <c r="NSZ3" s="344"/>
      <c r="NTA3" s="344"/>
      <c r="NTB3" s="344"/>
      <c r="NTC3" s="344"/>
      <c r="NTD3" s="344"/>
      <c r="NTE3" s="344"/>
      <c r="NTF3" s="344"/>
      <c r="NTG3" s="344"/>
      <c r="NTH3" s="344"/>
      <c r="NTI3" s="344"/>
      <c r="NTJ3" s="344"/>
      <c r="NTK3" s="344"/>
      <c r="NTL3" s="344"/>
      <c r="NTM3" s="344"/>
      <c r="NTN3" s="344"/>
      <c r="NTO3" s="344"/>
      <c r="NTP3" s="344"/>
      <c r="NTQ3" s="344"/>
      <c r="NTR3" s="344"/>
      <c r="NTS3" s="344"/>
      <c r="NTT3" s="344"/>
      <c r="NTU3" s="344"/>
      <c r="NTV3" s="344"/>
      <c r="NTW3" s="344"/>
      <c r="NTX3" s="344"/>
      <c r="NTY3" s="344"/>
      <c r="NTZ3" s="344"/>
      <c r="NUA3" s="344"/>
      <c r="NUB3" s="344"/>
      <c r="NUC3" s="344"/>
      <c r="NUD3" s="344"/>
      <c r="NUE3" s="344"/>
      <c r="NUF3" s="344"/>
      <c r="NUG3" s="344"/>
      <c r="NUH3" s="344"/>
      <c r="NUI3" s="344"/>
      <c r="NUJ3" s="344"/>
      <c r="NUK3" s="344"/>
      <c r="NUL3" s="344"/>
      <c r="NUM3" s="344"/>
      <c r="NUN3" s="344"/>
      <c r="NUO3" s="344"/>
      <c r="NUP3" s="344"/>
      <c r="NUQ3" s="344"/>
      <c r="NUR3" s="344"/>
      <c r="NUS3" s="344"/>
      <c r="NUT3" s="344"/>
      <c r="NUU3" s="344"/>
      <c r="NUV3" s="344"/>
      <c r="NUW3" s="344"/>
      <c r="NUX3" s="344"/>
      <c r="NUY3" s="344"/>
      <c r="NUZ3" s="344"/>
      <c r="NVA3" s="344"/>
      <c r="NVB3" s="344"/>
      <c r="NVC3" s="344"/>
      <c r="NVD3" s="344"/>
      <c r="NVE3" s="344"/>
      <c r="NVF3" s="344"/>
      <c r="NVG3" s="344"/>
      <c r="NVH3" s="344"/>
      <c r="NVI3" s="344"/>
      <c r="NVJ3" s="344"/>
      <c r="NVK3" s="344"/>
      <c r="NVL3" s="344"/>
      <c r="NVM3" s="344"/>
      <c r="NVN3" s="344"/>
      <c r="NVO3" s="344"/>
      <c r="NVP3" s="344"/>
      <c r="NVQ3" s="344"/>
      <c r="NVR3" s="344"/>
      <c r="NVS3" s="344"/>
      <c r="NVT3" s="344"/>
      <c r="NVU3" s="344"/>
      <c r="NVV3" s="344"/>
      <c r="NVW3" s="344"/>
      <c r="NVX3" s="344"/>
      <c r="NVY3" s="344"/>
      <c r="NVZ3" s="344"/>
      <c r="NWA3" s="344"/>
      <c r="NWB3" s="344"/>
      <c r="NWC3" s="344"/>
      <c r="NWD3" s="344"/>
      <c r="NWE3" s="344"/>
      <c r="NWF3" s="344"/>
      <c r="NWG3" s="344"/>
      <c r="NWH3" s="344"/>
      <c r="NWI3" s="344"/>
      <c r="NWJ3" s="344"/>
      <c r="NWK3" s="344"/>
      <c r="NWL3" s="344"/>
      <c r="NWM3" s="344"/>
      <c r="NWN3" s="344"/>
      <c r="NWO3" s="344"/>
      <c r="NWP3" s="344"/>
      <c r="NWQ3" s="344"/>
      <c r="NWR3" s="344"/>
      <c r="NWS3" s="344"/>
      <c r="NWT3" s="344"/>
      <c r="NWU3" s="344"/>
      <c r="NWV3" s="344"/>
      <c r="NWW3" s="344"/>
      <c r="NWX3" s="344"/>
      <c r="NWY3" s="344"/>
      <c r="NWZ3" s="344"/>
      <c r="NXA3" s="344"/>
      <c r="NXB3" s="344"/>
      <c r="NXC3" s="344"/>
      <c r="NXD3" s="344"/>
      <c r="NXE3" s="344"/>
      <c r="NXF3" s="344"/>
      <c r="NXG3" s="344"/>
      <c r="NXH3" s="344"/>
      <c r="NXI3" s="344"/>
      <c r="NXJ3" s="344"/>
      <c r="NXK3" s="344"/>
      <c r="NXL3" s="344"/>
      <c r="NXM3" s="344"/>
      <c r="NXN3" s="344"/>
      <c r="NXO3" s="344"/>
      <c r="NXP3" s="344"/>
      <c r="NXQ3" s="344"/>
      <c r="NXR3" s="344"/>
      <c r="NXS3" s="344"/>
      <c r="NXT3" s="344"/>
      <c r="NXU3" s="344"/>
      <c r="NXV3" s="344"/>
      <c r="NXW3" s="344"/>
      <c r="NXX3" s="344"/>
      <c r="NXY3" s="344"/>
      <c r="NXZ3" s="344"/>
      <c r="NYA3" s="344"/>
      <c r="NYB3" s="344"/>
      <c r="NYC3" s="344"/>
      <c r="NYD3" s="344"/>
      <c r="NYE3" s="344"/>
      <c r="NYF3" s="344"/>
      <c r="NYG3" s="344"/>
      <c r="NYH3" s="344"/>
      <c r="NYI3" s="344"/>
      <c r="NYJ3" s="344"/>
      <c r="NYK3" s="344"/>
      <c r="NYL3" s="344"/>
      <c r="NYM3" s="344"/>
      <c r="NYN3" s="344"/>
      <c r="NYO3" s="344"/>
      <c r="NYP3" s="344"/>
      <c r="NYQ3" s="344"/>
      <c r="NYR3" s="344"/>
      <c r="NYS3" s="344"/>
      <c r="NYT3" s="344"/>
      <c r="NYU3" s="344"/>
      <c r="NYV3" s="344"/>
      <c r="NYW3" s="344"/>
      <c r="NYX3" s="344"/>
      <c r="NYY3" s="344"/>
      <c r="NYZ3" s="344"/>
      <c r="NZA3" s="344"/>
      <c r="NZB3" s="344"/>
      <c r="NZC3" s="344"/>
      <c r="NZD3" s="344"/>
      <c r="NZE3" s="344"/>
      <c r="NZF3" s="344"/>
      <c r="NZG3" s="344"/>
      <c r="NZH3" s="344"/>
      <c r="NZI3" s="344"/>
      <c r="NZJ3" s="344"/>
      <c r="NZK3" s="344"/>
      <c r="NZL3" s="344"/>
      <c r="NZM3" s="344"/>
      <c r="NZN3" s="344"/>
      <c r="NZO3" s="344"/>
      <c r="NZP3" s="344"/>
      <c r="NZQ3" s="344"/>
      <c r="NZR3" s="344"/>
      <c r="NZS3" s="344"/>
      <c r="NZT3" s="344"/>
      <c r="NZU3" s="344"/>
      <c r="NZV3" s="344"/>
      <c r="NZW3" s="344"/>
      <c r="NZX3" s="344"/>
      <c r="NZY3" s="344"/>
      <c r="NZZ3" s="344"/>
      <c r="OAA3" s="344"/>
      <c r="OAB3" s="344"/>
      <c r="OAC3" s="344"/>
      <c r="OAD3" s="344"/>
      <c r="OAE3" s="344"/>
      <c r="OAF3" s="344"/>
      <c r="OAG3" s="344"/>
      <c r="OAH3" s="344"/>
      <c r="OAI3" s="344"/>
      <c r="OAJ3" s="344"/>
      <c r="OAK3" s="344"/>
      <c r="OAL3" s="344"/>
      <c r="OAM3" s="344"/>
      <c r="OAN3" s="344"/>
      <c r="OAO3" s="344"/>
      <c r="OAP3" s="344"/>
      <c r="OAQ3" s="344"/>
      <c r="OAR3" s="344"/>
      <c r="OAS3" s="344"/>
      <c r="OAT3" s="344"/>
      <c r="OAU3" s="344"/>
      <c r="OAV3" s="344"/>
      <c r="OAW3" s="344"/>
      <c r="OAX3" s="344"/>
      <c r="OAY3" s="344"/>
      <c r="OAZ3" s="344"/>
      <c r="OBA3" s="344"/>
      <c r="OBB3" s="344"/>
      <c r="OBC3" s="344"/>
      <c r="OBD3" s="344"/>
      <c r="OBE3" s="344"/>
      <c r="OBF3" s="344"/>
      <c r="OBG3" s="344"/>
      <c r="OBH3" s="344"/>
      <c r="OBI3" s="344"/>
      <c r="OBJ3" s="344"/>
      <c r="OBK3" s="344"/>
      <c r="OBL3" s="344"/>
      <c r="OBM3" s="344"/>
      <c r="OBN3" s="344"/>
      <c r="OBO3" s="344"/>
      <c r="OBP3" s="344"/>
      <c r="OBQ3" s="344"/>
      <c r="OBR3" s="344"/>
      <c r="OBS3" s="344"/>
      <c r="OBT3" s="344"/>
      <c r="OBU3" s="344"/>
      <c r="OBV3" s="344"/>
      <c r="OBW3" s="344"/>
      <c r="OBX3" s="344"/>
      <c r="OBY3" s="344"/>
      <c r="OBZ3" s="344"/>
      <c r="OCA3" s="344"/>
      <c r="OCB3" s="344"/>
      <c r="OCC3" s="344"/>
      <c r="OCD3" s="344"/>
      <c r="OCE3" s="344"/>
      <c r="OCF3" s="344"/>
      <c r="OCG3" s="344"/>
      <c r="OCH3" s="344"/>
      <c r="OCI3" s="344"/>
      <c r="OCJ3" s="344"/>
      <c r="OCK3" s="344"/>
      <c r="OCL3" s="344"/>
      <c r="OCM3" s="344"/>
      <c r="OCN3" s="344"/>
      <c r="OCO3" s="344"/>
      <c r="OCP3" s="344"/>
      <c r="OCQ3" s="344"/>
      <c r="OCR3" s="344"/>
      <c r="OCS3" s="344"/>
      <c r="OCT3" s="344"/>
      <c r="OCU3" s="344"/>
      <c r="OCV3" s="344"/>
      <c r="OCW3" s="344"/>
      <c r="OCX3" s="344"/>
      <c r="OCY3" s="344"/>
      <c r="OCZ3" s="344"/>
      <c r="ODA3" s="344"/>
      <c r="ODB3" s="344"/>
      <c r="ODC3" s="344"/>
      <c r="ODD3" s="344"/>
      <c r="ODE3" s="344"/>
      <c r="ODF3" s="344"/>
      <c r="ODG3" s="344"/>
      <c r="ODH3" s="344"/>
      <c r="ODI3" s="344"/>
      <c r="ODJ3" s="344"/>
      <c r="ODK3" s="344"/>
      <c r="ODL3" s="344"/>
      <c r="ODM3" s="344"/>
      <c r="ODN3" s="344"/>
      <c r="ODO3" s="344"/>
      <c r="ODP3" s="344"/>
      <c r="ODQ3" s="344"/>
      <c r="ODR3" s="344"/>
      <c r="ODS3" s="344"/>
      <c r="ODT3" s="344"/>
      <c r="ODU3" s="344"/>
      <c r="ODV3" s="344"/>
      <c r="ODW3" s="344"/>
      <c r="ODX3" s="344"/>
      <c r="ODY3" s="344"/>
      <c r="ODZ3" s="344"/>
      <c r="OEA3" s="344"/>
      <c r="OEB3" s="344"/>
      <c r="OEC3" s="344"/>
      <c r="OED3" s="344"/>
      <c r="OEE3" s="344"/>
      <c r="OEF3" s="344"/>
      <c r="OEG3" s="344"/>
      <c r="OEH3" s="344"/>
      <c r="OEI3" s="344"/>
      <c r="OEJ3" s="344"/>
      <c r="OEK3" s="344"/>
      <c r="OEL3" s="344"/>
      <c r="OEM3" s="344"/>
      <c r="OEN3" s="344"/>
      <c r="OEO3" s="344"/>
      <c r="OEP3" s="344"/>
      <c r="OEQ3" s="344"/>
      <c r="OER3" s="344"/>
      <c r="OES3" s="344"/>
      <c r="OET3" s="344"/>
      <c r="OEU3" s="344"/>
      <c r="OEV3" s="344"/>
      <c r="OEW3" s="344"/>
      <c r="OEX3" s="344"/>
      <c r="OEY3" s="344"/>
      <c r="OEZ3" s="344"/>
      <c r="OFA3" s="344"/>
      <c r="OFB3" s="344"/>
      <c r="OFC3" s="344"/>
      <c r="OFD3" s="344"/>
      <c r="OFE3" s="344"/>
      <c r="OFF3" s="344"/>
      <c r="OFG3" s="344"/>
      <c r="OFH3" s="344"/>
      <c r="OFI3" s="344"/>
      <c r="OFJ3" s="344"/>
      <c r="OFK3" s="344"/>
      <c r="OFL3" s="344"/>
      <c r="OFM3" s="344"/>
      <c r="OFN3" s="344"/>
      <c r="OFO3" s="344"/>
      <c r="OFP3" s="344"/>
      <c r="OFQ3" s="344"/>
      <c r="OFR3" s="344"/>
      <c r="OFS3" s="344"/>
      <c r="OFT3" s="344"/>
      <c r="OFU3" s="344"/>
      <c r="OFV3" s="344"/>
      <c r="OFW3" s="344"/>
      <c r="OFX3" s="344"/>
      <c r="OFY3" s="344"/>
      <c r="OFZ3" s="344"/>
      <c r="OGA3" s="344"/>
      <c r="OGB3" s="344"/>
      <c r="OGC3" s="344"/>
      <c r="OGD3" s="344"/>
      <c r="OGE3" s="344"/>
      <c r="OGF3" s="344"/>
      <c r="OGG3" s="344"/>
      <c r="OGH3" s="344"/>
      <c r="OGI3" s="344"/>
      <c r="OGJ3" s="344"/>
      <c r="OGK3" s="344"/>
      <c r="OGL3" s="344"/>
      <c r="OGM3" s="344"/>
      <c r="OGN3" s="344"/>
      <c r="OGO3" s="344"/>
      <c r="OGP3" s="344"/>
      <c r="OGQ3" s="344"/>
      <c r="OGR3" s="344"/>
      <c r="OGS3" s="344"/>
      <c r="OGT3" s="344"/>
      <c r="OGU3" s="344"/>
      <c r="OGV3" s="344"/>
      <c r="OGW3" s="344"/>
      <c r="OGX3" s="344"/>
      <c r="OGY3" s="344"/>
      <c r="OGZ3" s="344"/>
      <c r="OHA3" s="344"/>
      <c r="OHB3" s="344"/>
      <c r="OHC3" s="344"/>
      <c r="OHD3" s="344"/>
      <c r="OHE3" s="344"/>
      <c r="OHF3" s="344"/>
      <c r="OHG3" s="344"/>
      <c r="OHH3" s="344"/>
      <c r="OHI3" s="344"/>
      <c r="OHJ3" s="344"/>
      <c r="OHK3" s="344"/>
      <c r="OHL3" s="344"/>
      <c r="OHM3" s="344"/>
      <c r="OHN3" s="344"/>
      <c r="OHO3" s="344"/>
      <c r="OHP3" s="344"/>
      <c r="OHQ3" s="344"/>
      <c r="OHR3" s="344"/>
      <c r="OHS3" s="344"/>
      <c r="OHT3" s="344"/>
      <c r="OHU3" s="344"/>
      <c r="OHV3" s="344"/>
      <c r="OHW3" s="344"/>
      <c r="OHX3" s="344"/>
      <c r="OHY3" s="344"/>
      <c r="OHZ3" s="344"/>
      <c r="OIA3" s="344"/>
      <c r="OIB3" s="344"/>
      <c r="OIC3" s="344"/>
      <c r="OID3" s="344"/>
      <c r="OIE3" s="344"/>
      <c r="OIF3" s="344"/>
      <c r="OIG3" s="344"/>
      <c r="OIH3" s="344"/>
      <c r="OII3" s="344"/>
      <c r="OIJ3" s="344"/>
      <c r="OIK3" s="344"/>
      <c r="OIL3" s="344"/>
      <c r="OIM3" s="344"/>
      <c r="OIN3" s="344"/>
      <c r="OIO3" s="344"/>
      <c r="OIP3" s="344"/>
      <c r="OIQ3" s="344"/>
      <c r="OIR3" s="344"/>
      <c r="OIS3" s="344"/>
      <c r="OIT3" s="344"/>
      <c r="OIU3" s="344"/>
      <c r="OIV3" s="344"/>
      <c r="OIW3" s="344"/>
      <c r="OIX3" s="344"/>
      <c r="OIY3" s="344"/>
      <c r="OIZ3" s="344"/>
      <c r="OJA3" s="344"/>
      <c r="OJB3" s="344"/>
      <c r="OJC3" s="344"/>
      <c r="OJD3" s="344"/>
      <c r="OJE3" s="344"/>
      <c r="OJF3" s="344"/>
      <c r="OJG3" s="344"/>
      <c r="OJH3" s="344"/>
      <c r="OJI3" s="344"/>
      <c r="OJJ3" s="344"/>
      <c r="OJK3" s="344"/>
      <c r="OJL3" s="344"/>
      <c r="OJM3" s="344"/>
      <c r="OJN3" s="344"/>
      <c r="OJO3" s="344"/>
      <c r="OJP3" s="344"/>
      <c r="OJQ3" s="344"/>
      <c r="OJR3" s="344"/>
      <c r="OJS3" s="344"/>
      <c r="OJT3" s="344"/>
      <c r="OJU3" s="344"/>
      <c r="OJV3" s="344"/>
      <c r="OJW3" s="344"/>
      <c r="OJX3" s="344"/>
      <c r="OJY3" s="344"/>
      <c r="OJZ3" s="344"/>
      <c r="OKA3" s="344"/>
      <c r="OKB3" s="344"/>
      <c r="OKC3" s="344"/>
      <c r="OKD3" s="344"/>
      <c r="OKE3" s="344"/>
      <c r="OKF3" s="344"/>
      <c r="OKG3" s="344"/>
      <c r="OKH3" s="344"/>
      <c r="OKI3" s="344"/>
      <c r="OKJ3" s="344"/>
      <c r="OKK3" s="344"/>
      <c r="OKL3" s="344"/>
      <c r="OKM3" s="344"/>
      <c r="OKN3" s="344"/>
      <c r="OKO3" s="344"/>
      <c r="OKP3" s="344"/>
      <c r="OKQ3" s="344"/>
      <c r="OKR3" s="344"/>
      <c r="OKS3" s="344"/>
      <c r="OKT3" s="344"/>
      <c r="OKU3" s="344"/>
      <c r="OKV3" s="344"/>
      <c r="OKW3" s="344"/>
      <c r="OKX3" s="344"/>
      <c r="OKY3" s="344"/>
      <c r="OKZ3" s="344"/>
      <c r="OLA3" s="344"/>
      <c r="OLB3" s="344"/>
      <c r="OLC3" s="344"/>
      <c r="OLD3" s="344"/>
      <c r="OLE3" s="344"/>
      <c r="OLF3" s="344"/>
      <c r="OLG3" s="344"/>
      <c r="OLH3" s="344"/>
      <c r="OLI3" s="344"/>
      <c r="OLJ3" s="344"/>
      <c r="OLK3" s="344"/>
      <c r="OLL3" s="344"/>
      <c r="OLM3" s="344"/>
      <c r="OLN3" s="344"/>
      <c r="OLO3" s="344"/>
      <c r="OLP3" s="344"/>
      <c r="OLQ3" s="344"/>
      <c r="OLR3" s="344"/>
      <c r="OLS3" s="344"/>
      <c r="OLT3" s="344"/>
      <c r="OLU3" s="344"/>
      <c r="OLV3" s="344"/>
      <c r="OLW3" s="344"/>
      <c r="OLX3" s="344"/>
      <c r="OLY3" s="344"/>
      <c r="OLZ3" s="344"/>
      <c r="OMA3" s="344"/>
      <c r="OMB3" s="344"/>
      <c r="OMC3" s="344"/>
      <c r="OMD3" s="344"/>
      <c r="OME3" s="344"/>
      <c r="OMF3" s="344"/>
      <c r="OMG3" s="344"/>
      <c r="OMH3" s="344"/>
      <c r="OMI3" s="344"/>
      <c r="OMJ3" s="344"/>
      <c r="OMK3" s="344"/>
      <c r="OML3" s="344"/>
      <c r="OMM3" s="344"/>
      <c r="OMN3" s="344"/>
      <c r="OMO3" s="344"/>
      <c r="OMP3" s="344"/>
      <c r="OMQ3" s="344"/>
      <c r="OMR3" s="344"/>
      <c r="OMS3" s="344"/>
      <c r="OMT3" s="344"/>
      <c r="OMU3" s="344"/>
      <c r="OMV3" s="344"/>
      <c r="OMW3" s="344"/>
      <c r="OMX3" s="344"/>
      <c r="OMY3" s="344"/>
      <c r="OMZ3" s="344"/>
      <c r="ONA3" s="344"/>
      <c r="ONB3" s="344"/>
      <c r="ONC3" s="344"/>
      <c r="OND3" s="344"/>
      <c r="ONE3" s="344"/>
      <c r="ONF3" s="344"/>
      <c r="ONG3" s="344"/>
      <c r="ONH3" s="344"/>
      <c r="ONI3" s="344"/>
      <c r="ONJ3" s="344"/>
      <c r="ONK3" s="344"/>
      <c r="ONL3" s="344"/>
      <c r="ONM3" s="344"/>
      <c r="ONN3" s="344"/>
      <c r="ONO3" s="344"/>
      <c r="ONP3" s="344"/>
      <c r="ONQ3" s="344"/>
      <c r="ONR3" s="344"/>
      <c r="ONS3" s="344"/>
      <c r="ONT3" s="344"/>
      <c r="ONU3" s="344"/>
      <c r="ONV3" s="344"/>
      <c r="ONW3" s="344"/>
      <c r="ONX3" s="344"/>
      <c r="ONY3" s="344"/>
      <c r="ONZ3" s="344"/>
      <c r="OOA3" s="344"/>
      <c r="OOB3" s="344"/>
      <c r="OOC3" s="344"/>
      <c r="OOD3" s="344"/>
      <c r="OOE3" s="344"/>
      <c r="OOF3" s="344"/>
      <c r="OOG3" s="344"/>
      <c r="OOH3" s="344"/>
      <c r="OOI3" s="344"/>
      <c r="OOJ3" s="344"/>
      <c r="OOK3" s="344"/>
      <c r="OOL3" s="344"/>
      <c r="OOM3" s="344"/>
      <c r="OON3" s="344"/>
      <c r="OOO3" s="344"/>
      <c r="OOP3" s="344"/>
      <c r="OOQ3" s="344"/>
      <c r="OOR3" s="344"/>
      <c r="OOS3" s="344"/>
      <c r="OOT3" s="344"/>
      <c r="OOU3" s="344"/>
      <c r="OOV3" s="344"/>
      <c r="OOW3" s="344"/>
      <c r="OOX3" s="344"/>
      <c r="OOY3" s="344"/>
      <c r="OOZ3" s="344"/>
      <c r="OPA3" s="344"/>
      <c r="OPB3" s="344"/>
      <c r="OPC3" s="344"/>
      <c r="OPD3" s="344"/>
      <c r="OPE3" s="344"/>
      <c r="OPF3" s="344"/>
      <c r="OPG3" s="344"/>
      <c r="OPH3" s="344"/>
      <c r="OPI3" s="344"/>
      <c r="OPJ3" s="344"/>
      <c r="OPK3" s="344"/>
      <c r="OPL3" s="344"/>
      <c r="OPM3" s="344"/>
      <c r="OPN3" s="344"/>
      <c r="OPO3" s="344"/>
      <c r="OPP3" s="344"/>
      <c r="OPQ3" s="344"/>
      <c r="OPR3" s="344"/>
      <c r="OPS3" s="344"/>
      <c r="OPT3" s="344"/>
      <c r="OPU3" s="344"/>
      <c r="OPV3" s="344"/>
      <c r="OPW3" s="344"/>
      <c r="OPX3" s="344"/>
      <c r="OPY3" s="344"/>
      <c r="OPZ3" s="344"/>
      <c r="OQA3" s="344"/>
      <c r="OQB3" s="344"/>
      <c r="OQC3" s="344"/>
      <c r="OQD3" s="344"/>
      <c r="OQE3" s="344"/>
      <c r="OQF3" s="344"/>
      <c r="OQG3" s="344"/>
      <c r="OQH3" s="344"/>
      <c r="OQI3" s="344"/>
      <c r="OQJ3" s="344"/>
      <c r="OQK3" s="344"/>
      <c r="OQL3" s="344"/>
      <c r="OQM3" s="344"/>
      <c r="OQN3" s="344"/>
      <c r="OQO3" s="344"/>
      <c r="OQP3" s="344"/>
      <c r="OQQ3" s="344"/>
      <c r="OQR3" s="344"/>
      <c r="OQS3" s="344"/>
      <c r="OQT3" s="344"/>
      <c r="OQU3" s="344"/>
      <c r="OQV3" s="344"/>
      <c r="OQW3" s="344"/>
      <c r="OQX3" s="344"/>
      <c r="OQY3" s="344"/>
      <c r="OQZ3" s="344"/>
      <c r="ORA3" s="344"/>
      <c r="ORB3" s="344"/>
      <c r="ORC3" s="344"/>
      <c r="ORD3" s="344"/>
      <c r="ORE3" s="344"/>
      <c r="ORF3" s="344"/>
      <c r="ORG3" s="344"/>
      <c r="ORH3" s="344"/>
      <c r="ORI3" s="344"/>
      <c r="ORJ3" s="344"/>
      <c r="ORK3" s="344"/>
      <c r="ORL3" s="344"/>
      <c r="ORM3" s="344"/>
      <c r="ORN3" s="344"/>
      <c r="ORO3" s="344"/>
      <c r="ORP3" s="344"/>
      <c r="ORQ3" s="344"/>
      <c r="ORR3" s="344"/>
      <c r="ORS3" s="344"/>
      <c r="ORT3" s="344"/>
      <c r="ORU3" s="344"/>
      <c r="ORV3" s="344"/>
      <c r="ORW3" s="344"/>
      <c r="ORX3" s="344"/>
      <c r="ORY3" s="344"/>
      <c r="ORZ3" s="344"/>
      <c r="OSA3" s="344"/>
      <c r="OSB3" s="344"/>
      <c r="OSC3" s="344"/>
      <c r="OSD3" s="344"/>
      <c r="OSE3" s="344"/>
      <c r="OSF3" s="344"/>
      <c r="OSG3" s="344"/>
      <c r="OSH3" s="344"/>
      <c r="OSI3" s="344"/>
      <c r="OSJ3" s="344"/>
      <c r="OSK3" s="344"/>
      <c r="OSL3" s="344"/>
      <c r="OSM3" s="344"/>
      <c r="OSN3" s="344"/>
      <c r="OSO3" s="344"/>
      <c r="OSP3" s="344"/>
      <c r="OSQ3" s="344"/>
      <c r="OSR3" s="344"/>
      <c r="OSS3" s="344"/>
      <c r="OST3" s="344"/>
      <c r="OSU3" s="344"/>
      <c r="OSV3" s="344"/>
      <c r="OSW3" s="344"/>
      <c r="OSX3" s="344"/>
      <c r="OSY3" s="344"/>
      <c r="OSZ3" s="344"/>
      <c r="OTA3" s="344"/>
      <c r="OTB3" s="344"/>
      <c r="OTC3" s="344"/>
      <c r="OTD3" s="344"/>
      <c r="OTE3" s="344"/>
      <c r="OTF3" s="344"/>
      <c r="OTG3" s="344"/>
      <c r="OTH3" s="344"/>
      <c r="OTI3" s="344"/>
      <c r="OTJ3" s="344"/>
      <c r="OTK3" s="344"/>
      <c r="OTL3" s="344"/>
      <c r="OTM3" s="344"/>
      <c r="OTN3" s="344"/>
      <c r="OTO3" s="344"/>
      <c r="OTP3" s="344"/>
      <c r="OTQ3" s="344"/>
      <c r="OTR3" s="344"/>
      <c r="OTS3" s="344"/>
      <c r="OTT3" s="344"/>
      <c r="OTU3" s="344"/>
      <c r="OTV3" s="344"/>
      <c r="OTW3" s="344"/>
      <c r="OTX3" s="344"/>
      <c r="OTY3" s="344"/>
      <c r="OTZ3" s="344"/>
      <c r="OUA3" s="344"/>
      <c r="OUB3" s="344"/>
      <c r="OUC3" s="344"/>
      <c r="OUD3" s="344"/>
      <c r="OUE3" s="344"/>
      <c r="OUF3" s="344"/>
      <c r="OUG3" s="344"/>
      <c r="OUH3" s="344"/>
      <c r="OUI3" s="344"/>
      <c r="OUJ3" s="344"/>
      <c r="OUK3" s="344"/>
      <c r="OUL3" s="344"/>
      <c r="OUM3" s="344"/>
      <c r="OUN3" s="344"/>
      <c r="OUO3" s="344"/>
      <c r="OUP3" s="344"/>
      <c r="OUQ3" s="344"/>
      <c r="OUR3" s="344"/>
      <c r="OUS3" s="344"/>
      <c r="OUT3" s="344"/>
      <c r="OUU3" s="344"/>
      <c r="OUV3" s="344"/>
      <c r="OUW3" s="344"/>
      <c r="OUX3" s="344"/>
      <c r="OUY3" s="344"/>
      <c r="OUZ3" s="344"/>
      <c r="OVA3" s="344"/>
      <c r="OVB3" s="344"/>
      <c r="OVC3" s="344"/>
      <c r="OVD3" s="344"/>
      <c r="OVE3" s="344"/>
      <c r="OVF3" s="344"/>
      <c r="OVG3" s="344"/>
      <c r="OVH3" s="344"/>
      <c r="OVI3" s="344"/>
      <c r="OVJ3" s="344"/>
      <c r="OVK3" s="344"/>
      <c r="OVL3" s="344"/>
      <c r="OVM3" s="344"/>
      <c r="OVN3" s="344"/>
      <c r="OVO3" s="344"/>
      <c r="OVP3" s="344"/>
      <c r="OVQ3" s="344"/>
      <c r="OVR3" s="344"/>
      <c r="OVS3" s="344"/>
      <c r="OVT3" s="344"/>
      <c r="OVU3" s="344"/>
      <c r="OVV3" s="344"/>
      <c r="OVW3" s="344"/>
      <c r="OVX3" s="344"/>
      <c r="OVY3" s="344"/>
      <c r="OVZ3" s="344"/>
      <c r="OWA3" s="344"/>
      <c r="OWB3" s="344"/>
      <c r="OWC3" s="344"/>
      <c r="OWD3" s="344"/>
      <c r="OWE3" s="344"/>
      <c r="OWF3" s="344"/>
      <c r="OWG3" s="344"/>
      <c r="OWH3" s="344"/>
      <c r="OWI3" s="344"/>
      <c r="OWJ3" s="344"/>
      <c r="OWK3" s="344"/>
      <c r="OWL3" s="344"/>
      <c r="OWM3" s="344"/>
      <c r="OWN3" s="344"/>
      <c r="OWO3" s="344"/>
      <c r="OWP3" s="344"/>
      <c r="OWQ3" s="344"/>
      <c r="OWR3" s="344"/>
      <c r="OWS3" s="344"/>
      <c r="OWT3" s="344"/>
      <c r="OWU3" s="344"/>
      <c r="OWV3" s="344"/>
      <c r="OWW3" s="344"/>
      <c r="OWX3" s="344"/>
      <c r="OWY3" s="344"/>
      <c r="OWZ3" s="344"/>
      <c r="OXA3" s="344"/>
      <c r="OXB3" s="344"/>
      <c r="OXC3" s="344"/>
      <c r="OXD3" s="344"/>
      <c r="OXE3" s="344"/>
      <c r="OXF3" s="344"/>
      <c r="OXG3" s="344"/>
      <c r="OXH3" s="344"/>
      <c r="OXI3" s="344"/>
      <c r="OXJ3" s="344"/>
      <c r="OXK3" s="344"/>
      <c r="OXL3" s="344"/>
      <c r="OXM3" s="344"/>
      <c r="OXN3" s="344"/>
      <c r="OXO3" s="344"/>
      <c r="OXP3" s="344"/>
      <c r="OXQ3" s="344"/>
      <c r="OXR3" s="344"/>
      <c r="OXS3" s="344"/>
      <c r="OXT3" s="344"/>
      <c r="OXU3" s="344"/>
      <c r="OXV3" s="344"/>
      <c r="OXW3" s="344"/>
      <c r="OXX3" s="344"/>
      <c r="OXY3" s="344"/>
      <c r="OXZ3" s="344"/>
      <c r="OYA3" s="344"/>
      <c r="OYB3" s="344"/>
      <c r="OYC3" s="344"/>
      <c r="OYD3" s="344"/>
      <c r="OYE3" s="344"/>
      <c r="OYF3" s="344"/>
      <c r="OYG3" s="344"/>
      <c r="OYH3" s="344"/>
      <c r="OYI3" s="344"/>
      <c r="OYJ3" s="344"/>
      <c r="OYK3" s="344"/>
      <c r="OYL3" s="344"/>
      <c r="OYM3" s="344"/>
      <c r="OYN3" s="344"/>
      <c r="OYO3" s="344"/>
      <c r="OYP3" s="344"/>
      <c r="OYQ3" s="344"/>
      <c r="OYR3" s="344"/>
      <c r="OYS3" s="344"/>
      <c r="OYT3" s="344"/>
      <c r="OYU3" s="344"/>
      <c r="OYV3" s="344"/>
      <c r="OYW3" s="344"/>
      <c r="OYX3" s="344"/>
      <c r="OYY3" s="344"/>
      <c r="OYZ3" s="344"/>
      <c r="OZA3" s="344"/>
      <c r="OZB3" s="344"/>
      <c r="OZC3" s="344"/>
      <c r="OZD3" s="344"/>
      <c r="OZE3" s="344"/>
      <c r="OZF3" s="344"/>
      <c r="OZG3" s="344"/>
      <c r="OZH3" s="344"/>
      <c r="OZI3" s="344"/>
      <c r="OZJ3" s="344"/>
      <c r="OZK3" s="344"/>
      <c r="OZL3" s="344"/>
      <c r="OZM3" s="344"/>
      <c r="OZN3" s="344"/>
      <c r="OZO3" s="344"/>
      <c r="OZP3" s="344"/>
      <c r="OZQ3" s="344"/>
      <c r="OZR3" s="344"/>
      <c r="OZS3" s="344"/>
      <c r="OZT3" s="344"/>
      <c r="OZU3" s="344"/>
      <c r="OZV3" s="344"/>
      <c r="OZW3" s="344"/>
      <c r="OZX3" s="344"/>
      <c r="OZY3" s="344"/>
      <c r="OZZ3" s="344"/>
      <c r="PAA3" s="344"/>
      <c r="PAB3" s="344"/>
      <c r="PAC3" s="344"/>
      <c r="PAD3" s="344"/>
      <c r="PAE3" s="344"/>
      <c r="PAF3" s="344"/>
      <c r="PAG3" s="344"/>
      <c r="PAH3" s="344"/>
      <c r="PAI3" s="344"/>
      <c r="PAJ3" s="344"/>
      <c r="PAK3" s="344"/>
      <c r="PAL3" s="344"/>
      <c r="PAM3" s="344"/>
      <c r="PAN3" s="344"/>
      <c r="PAO3" s="344"/>
      <c r="PAP3" s="344"/>
      <c r="PAQ3" s="344"/>
      <c r="PAR3" s="344"/>
      <c r="PAS3" s="344"/>
      <c r="PAT3" s="344"/>
      <c r="PAU3" s="344"/>
      <c r="PAV3" s="344"/>
      <c r="PAW3" s="344"/>
      <c r="PAX3" s="344"/>
      <c r="PAY3" s="344"/>
      <c r="PAZ3" s="344"/>
      <c r="PBA3" s="344"/>
      <c r="PBB3" s="344"/>
      <c r="PBC3" s="344"/>
      <c r="PBD3" s="344"/>
      <c r="PBE3" s="344"/>
      <c r="PBF3" s="344"/>
      <c r="PBG3" s="344"/>
      <c r="PBH3" s="344"/>
      <c r="PBI3" s="344"/>
      <c r="PBJ3" s="344"/>
      <c r="PBK3" s="344"/>
      <c r="PBL3" s="344"/>
      <c r="PBM3" s="344"/>
      <c r="PBN3" s="344"/>
      <c r="PBO3" s="344"/>
      <c r="PBP3" s="344"/>
      <c r="PBQ3" s="344"/>
      <c r="PBR3" s="344"/>
      <c r="PBS3" s="344"/>
      <c r="PBT3" s="344"/>
      <c r="PBU3" s="344"/>
      <c r="PBV3" s="344"/>
      <c r="PBW3" s="344"/>
      <c r="PBX3" s="344"/>
      <c r="PBY3" s="344"/>
      <c r="PBZ3" s="344"/>
      <c r="PCA3" s="344"/>
      <c r="PCB3" s="344"/>
      <c r="PCC3" s="344"/>
      <c r="PCD3" s="344"/>
      <c r="PCE3" s="344"/>
      <c r="PCF3" s="344"/>
      <c r="PCG3" s="344"/>
      <c r="PCH3" s="344"/>
      <c r="PCI3" s="344"/>
      <c r="PCJ3" s="344"/>
      <c r="PCK3" s="344"/>
      <c r="PCL3" s="344"/>
      <c r="PCM3" s="344"/>
      <c r="PCN3" s="344"/>
      <c r="PCO3" s="344"/>
      <c r="PCP3" s="344"/>
      <c r="PCQ3" s="344"/>
      <c r="PCR3" s="344"/>
      <c r="PCS3" s="344"/>
      <c r="PCT3" s="344"/>
      <c r="PCU3" s="344"/>
      <c r="PCV3" s="344"/>
      <c r="PCW3" s="344"/>
      <c r="PCX3" s="344"/>
      <c r="PCY3" s="344"/>
      <c r="PCZ3" s="344"/>
      <c r="PDA3" s="344"/>
      <c r="PDB3" s="344"/>
      <c r="PDC3" s="344"/>
      <c r="PDD3" s="344"/>
      <c r="PDE3" s="344"/>
      <c r="PDF3" s="344"/>
      <c r="PDG3" s="344"/>
      <c r="PDH3" s="344"/>
      <c r="PDI3" s="344"/>
      <c r="PDJ3" s="344"/>
      <c r="PDK3" s="344"/>
      <c r="PDL3" s="344"/>
      <c r="PDM3" s="344"/>
      <c r="PDN3" s="344"/>
      <c r="PDO3" s="344"/>
      <c r="PDP3" s="344"/>
      <c r="PDQ3" s="344"/>
      <c r="PDR3" s="344"/>
      <c r="PDS3" s="344"/>
      <c r="PDT3" s="344"/>
      <c r="PDU3" s="344"/>
      <c r="PDV3" s="344"/>
      <c r="PDW3" s="344"/>
      <c r="PDX3" s="344"/>
      <c r="PDY3" s="344"/>
      <c r="PDZ3" s="344"/>
      <c r="PEA3" s="344"/>
      <c r="PEB3" s="344"/>
      <c r="PEC3" s="344"/>
      <c r="PED3" s="344"/>
      <c r="PEE3" s="344"/>
      <c r="PEF3" s="344"/>
      <c r="PEG3" s="344"/>
      <c r="PEH3" s="344"/>
      <c r="PEI3" s="344"/>
      <c r="PEJ3" s="344"/>
      <c r="PEK3" s="344"/>
      <c r="PEL3" s="344"/>
      <c r="PEM3" s="344"/>
      <c r="PEN3" s="344"/>
      <c r="PEO3" s="344"/>
      <c r="PEP3" s="344"/>
      <c r="PEQ3" s="344"/>
      <c r="PER3" s="344"/>
      <c r="PES3" s="344"/>
      <c r="PET3" s="344"/>
      <c r="PEU3" s="344"/>
      <c r="PEV3" s="344"/>
      <c r="PEW3" s="344"/>
      <c r="PEX3" s="344"/>
      <c r="PEY3" s="344"/>
      <c r="PEZ3" s="344"/>
      <c r="PFA3" s="344"/>
      <c r="PFB3" s="344"/>
      <c r="PFC3" s="344"/>
      <c r="PFD3" s="344"/>
      <c r="PFE3" s="344"/>
      <c r="PFF3" s="344"/>
      <c r="PFG3" s="344"/>
      <c r="PFH3" s="344"/>
      <c r="PFI3" s="344"/>
      <c r="PFJ3" s="344"/>
      <c r="PFK3" s="344"/>
      <c r="PFL3" s="344"/>
      <c r="PFM3" s="344"/>
      <c r="PFN3" s="344"/>
      <c r="PFO3" s="344"/>
      <c r="PFP3" s="344"/>
      <c r="PFQ3" s="344"/>
      <c r="PFR3" s="344"/>
      <c r="PFS3" s="344"/>
      <c r="PFT3" s="344"/>
      <c r="PFU3" s="344"/>
      <c r="PFV3" s="344"/>
      <c r="PFW3" s="344"/>
      <c r="PFX3" s="344"/>
      <c r="PFY3" s="344"/>
      <c r="PFZ3" s="344"/>
      <c r="PGA3" s="344"/>
      <c r="PGB3" s="344"/>
      <c r="PGC3" s="344"/>
      <c r="PGD3" s="344"/>
      <c r="PGE3" s="344"/>
      <c r="PGF3" s="344"/>
      <c r="PGG3" s="344"/>
      <c r="PGH3" s="344"/>
      <c r="PGI3" s="344"/>
      <c r="PGJ3" s="344"/>
      <c r="PGK3" s="344"/>
      <c r="PGL3" s="344"/>
      <c r="PGM3" s="344"/>
      <c r="PGN3" s="344"/>
      <c r="PGO3" s="344"/>
      <c r="PGP3" s="344"/>
      <c r="PGQ3" s="344"/>
      <c r="PGR3" s="344"/>
      <c r="PGS3" s="344"/>
      <c r="PGT3" s="344"/>
      <c r="PGU3" s="344"/>
      <c r="PGV3" s="344"/>
      <c r="PGW3" s="344"/>
      <c r="PGX3" s="344"/>
      <c r="PGY3" s="344"/>
      <c r="PGZ3" s="344"/>
      <c r="PHA3" s="344"/>
      <c r="PHB3" s="344"/>
      <c r="PHC3" s="344"/>
      <c r="PHD3" s="344"/>
      <c r="PHE3" s="344"/>
      <c r="PHF3" s="344"/>
      <c r="PHG3" s="344"/>
      <c r="PHH3" s="344"/>
      <c r="PHI3" s="344"/>
      <c r="PHJ3" s="344"/>
      <c r="PHK3" s="344"/>
      <c r="PHL3" s="344"/>
      <c r="PHM3" s="344"/>
      <c r="PHN3" s="344"/>
      <c r="PHO3" s="344"/>
      <c r="PHP3" s="344"/>
      <c r="PHQ3" s="344"/>
      <c r="PHR3" s="344"/>
      <c r="PHS3" s="344"/>
      <c r="PHT3" s="344"/>
      <c r="PHU3" s="344"/>
      <c r="PHV3" s="344"/>
      <c r="PHW3" s="344"/>
      <c r="PHX3" s="344"/>
      <c r="PHY3" s="344"/>
      <c r="PHZ3" s="344"/>
      <c r="PIA3" s="344"/>
      <c r="PIB3" s="344"/>
      <c r="PIC3" s="344"/>
      <c r="PID3" s="344"/>
      <c r="PIE3" s="344"/>
      <c r="PIF3" s="344"/>
      <c r="PIG3" s="344"/>
      <c r="PIH3" s="344"/>
      <c r="PII3" s="344"/>
      <c r="PIJ3" s="344"/>
      <c r="PIK3" s="344"/>
      <c r="PIL3" s="344"/>
      <c r="PIM3" s="344"/>
      <c r="PIN3" s="344"/>
      <c r="PIO3" s="344"/>
      <c r="PIP3" s="344"/>
      <c r="PIQ3" s="344"/>
      <c r="PIR3" s="344"/>
      <c r="PIS3" s="344"/>
      <c r="PIT3" s="344"/>
      <c r="PIU3" s="344"/>
      <c r="PIV3" s="344"/>
      <c r="PIW3" s="344"/>
      <c r="PIX3" s="344"/>
      <c r="PIY3" s="344"/>
      <c r="PIZ3" s="344"/>
      <c r="PJA3" s="344"/>
      <c r="PJB3" s="344"/>
      <c r="PJC3" s="344"/>
      <c r="PJD3" s="344"/>
      <c r="PJE3" s="344"/>
      <c r="PJF3" s="344"/>
      <c r="PJG3" s="344"/>
      <c r="PJH3" s="344"/>
      <c r="PJI3" s="344"/>
      <c r="PJJ3" s="344"/>
      <c r="PJK3" s="344"/>
      <c r="PJL3" s="344"/>
      <c r="PJM3" s="344"/>
      <c r="PJN3" s="344"/>
      <c r="PJO3" s="344"/>
      <c r="PJP3" s="344"/>
      <c r="PJQ3" s="344"/>
      <c r="PJR3" s="344"/>
      <c r="PJS3" s="344"/>
      <c r="PJT3" s="344"/>
      <c r="PJU3" s="344"/>
      <c r="PJV3" s="344"/>
      <c r="PJW3" s="344"/>
      <c r="PJX3" s="344"/>
      <c r="PJY3" s="344"/>
      <c r="PJZ3" s="344"/>
      <c r="PKA3" s="344"/>
      <c r="PKB3" s="344"/>
      <c r="PKC3" s="344"/>
      <c r="PKD3" s="344"/>
      <c r="PKE3" s="344"/>
      <c r="PKF3" s="344"/>
      <c r="PKG3" s="344"/>
      <c r="PKH3" s="344"/>
      <c r="PKI3" s="344"/>
      <c r="PKJ3" s="344"/>
      <c r="PKK3" s="344"/>
      <c r="PKL3" s="344"/>
      <c r="PKM3" s="344"/>
      <c r="PKN3" s="344"/>
      <c r="PKO3" s="344"/>
      <c r="PKP3" s="344"/>
      <c r="PKQ3" s="344"/>
      <c r="PKR3" s="344"/>
      <c r="PKS3" s="344"/>
      <c r="PKT3" s="344"/>
      <c r="PKU3" s="344"/>
      <c r="PKV3" s="344"/>
      <c r="PKW3" s="344"/>
      <c r="PKX3" s="344"/>
      <c r="PKY3" s="344"/>
      <c r="PKZ3" s="344"/>
      <c r="PLA3" s="344"/>
      <c r="PLB3" s="344"/>
      <c r="PLC3" s="344"/>
      <c r="PLD3" s="344"/>
      <c r="PLE3" s="344"/>
      <c r="PLF3" s="344"/>
      <c r="PLG3" s="344"/>
      <c r="PLH3" s="344"/>
      <c r="PLI3" s="344"/>
      <c r="PLJ3" s="344"/>
      <c r="PLK3" s="344"/>
      <c r="PLL3" s="344"/>
      <c r="PLM3" s="344"/>
      <c r="PLN3" s="344"/>
      <c r="PLO3" s="344"/>
      <c r="PLP3" s="344"/>
      <c r="PLQ3" s="344"/>
      <c r="PLR3" s="344"/>
      <c r="PLS3" s="344"/>
      <c r="PLT3" s="344"/>
      <c r="PLU3" s="344"/>
      <c r="PLV3" s="344"/>
      <c r="PLW3" s="344"/>
      <c r="PLX3" s="344"/>
      <c r="PLY3" s="344"/>
      <c r="PLZ3" s="344"/>
      <c r="PMA3" s="344"/>
      <c r="PMB3" s="344"/>
      <c r="PMC3" s="344"/>
      <c r="PMD3" s="344"/>
      <c r="PME3" s="344"/>
      <c r="PMF3" s="344"/>
      <c r="PMG3" s="344"/>
      <c r="PMH3" s="344"/>
      <c r="PMI3" s="344"/>
      <c r="PMJ3" s="344"/>
      <c r="PMK3" s="344"/>
      <c r="PML3" s="344"/>
      <c r="PMM3" s="344"/>
      <c r="PMN3" s="344"/>
      <c r="PMO3" s="344"/>
      <c r="PMP3" s="344"/>
      <c r="PMQ3" s="344"/>
      <c r="PMR3" s="344"/>
      <c r="PMS3" s="344"/>
      <c r="PMT3" s="344"/>
      <c r="PMU3" s="344"/>
      <c r="PMV3" s="344"/>
      <c r="PMW3" s="344"/>
      <c r="PMX3" s="344"/>
      <c r="PMY3" s="344"/>
      <c r="PMZ3" s="344"/>
      <c r="PNA3" s="344"/>
      <c r="PNB3" s="344"/>
      <c r="PNC3" s="344"/>
      <c r="PND3" s="344"/>
      <c r="PNE3" s="344"/>
      <c r="PNF3" s="344"/>
      <c r="PNG3" s="344"/>
      <c r="PNH3" s="344"/>
      <c r="PNI3" s="344"/>
      <c r="PNJ3" s="344"/>
      <c r="PNK3" s="344"/>
      <c r="PNL3" s="344"/>
      <c r="PNM3" s="344"/>
      <c r="PNN3" s="344"/>
      <c r="PNO3" s="344"/>
      <c r="PNP3" s="344"/>
      <c r="PNQ3" s="344"/>
      <c r="PNR3" s="344"/>
      <c r="PNS3" s="344"/>
      <c r="PNT3" s="344"/>
      <c r="PNU3" s="344"/>
      <c r="PNV3" s="344"/>
      <c r="PNW3" s="344"/>
      <c r="PNX3" s="344"/>
      <c r="PNY3" s="344"/>
      <c r="PNZ3" s="344"/>
      <c r="POA3" s="344"/>
      <c r="POB3" s="344"/>
      <c r="POC3" s="344"/>
      <c r="POD3" s="344"/>
      <c r="POE3" s="344"/>
      <c r="POF3" s="344"/>
      <c r="POG3" s="344"/>
      <c r="POH3" s="344"/>
      <c r="POI3" s="344"/>
      <c r="POJ3" s="344"/>
      <c r="POK3" s="344"/>
      <c r="POL3" s="344"/>
      <c r="POM3" s="344"/>
      <c r="PON3" s="344"/>
      <c r="POO3" s="344"/>
      <c r="POP3" s="344"/>
      <c r="POQ3" s="344"/>
      <c r="POR3" s="344"/>
      <c r="POS3" s="344"/>
      <c r="POT3" s="344"/>
      <c r="POU3" s="344"/>
      <c r="POV3" s="344"/>
      <c r="POW3" s="344"/>
      <c r="POX3" s="344"/>
      <c r="POY3" s="344"/>
      <c r="POZ3" s="344"/>
      <c r="PPA3" s="344"/>
      <c r="PPB3" s="344"/>
      <c r="PPC3" s="344"/>
      <c r="PPD3" s="344"/>
      <c r="PPE3" s="344"/>
      <c r="PPF3" s="344"/>
      <c r="PPG3" s="344"/>
      <c r="PPH3" s="344"/>
      <c r="PPI3" s="344"/>
      <c r="PPJ3" s="344"/>
      <c r="PPK3" s="344"/>
      <c r="PPL3" s="344"/>
      <c r="PPM3" s="344"/>
      <c r="PPN3" s="344"/>
      <c r="PPO3" s="344"/>
      <c r="PPP3" s="344"/>
      <c r="PPQ3" s="344"/>
      <c r="PPR3" s="344"/>
      <c r="PPS3" s="344"/>
      <c r="PPT3" s="344"/>
      <c r="PPU3" s="344"/>
      <c r="PPV3" s="344"/>
      <c r="PPW3" s="344"/>
      <c r="PPX3" s="344"/>
      <c r="PPY3" s="344"/>
      <c r="PPZ3" s="344"/>
      <c r="PQA3" s="344"/>
      <c r="PQB3" s="344"/>
      <c r="PQC3" s="344"/>
      <c r="PQD3" s="344"/>
      <c r="PQE3" s="344"/>
      <c r="PQF3" s="344"/>
      <c r="PQG3" s="344"/>
      <c r="PQH3" s="344"/>
      <c r="PQI3" s="344"/>
      <c r="PQJ3" s="344"/>
      <c r="PQK3" s="344"/>
      <c r="PQL3" s="344"/>
      <c r="PQM3" s="344"/>
      <c r="PQN3" s="344"/>
      <c r="PQO3" s="344"/>
      <c r="PQP3" s="344"/>
      <c r="PQQ3" s="344"/>
      <c r="PQR3" s="344"/>
      <c r="PQS3" s="344"/>
      <c r="PQT3" s="344"/>
      <c r="PQU3" s="344"/>
      <c r="PQV3" s="344"/>
      <c r="PQW3" s="344"/>
      <c r="PQX3" s="344"/>
      <c r="PQY3" s="344"/>
      <c r="PQZ3" s="344"/>
      <c r="PRA3" s="344"/>
      <c r="PRB3" s="344"/>
      <c r="PRC3" s="344"/>
      <c r="PRD3" s="344"/>
      <c r="PRE3" s="344"/>
      <c r="PRF3" s="344"/>
      <c r="PRG3" s="344"/>
      <c r="PRH3" s="344"/>
      <c r="PRI3" s="344"/>
      <c r="PRJ3" s="344"/>
      <c r="PRK3" s="344"/>
      <c r="PRL3" s="344"/>
      <c r="PRM3" s="344"/>
      <c r="PRN3" s="344"/>
      <c r="PRO3" s="344"/>
      <c r="PRP3" s="344"/>
      <c r="PRQ3" s="344"/>
      <c r="PRR3" s="344"/>
      <c r="PRS3" s="344"/>
      <c r="PRT3" s="344"/>
      <c r="PRU3" s="344"/>
      <c r="PRV3" s="344"/>
      <c r="PRW3" s="344"/>
      <c r="PRX3" s="344"/>
      <c r="PRY3" s="344"/>
      <c r="PRZ3" s="344"/>
      <c r="PSA3" s="344"/>
      <c r="PSB3" s="344"/>
      <c r="PSC3" s="344"/>
      <c r="PSD3" s="344"/>
      <c r="PSE3" s="344"/>
      <c r="PSF3" s="344"/>
      <c r="PSG3" s="344"/>
      <c r="PSH3" s="344"/>
      <c r="PSI3" s="344"/>
      <c r="PSJ3" s="344"/>
      <c r="PSK3" s="344"/>
      <c r="PSL3" s="344"/>
      <c r="PSM3" s="344"/>
      <c r="PSN3" s="344"/>
      <c r="PSO3" s="344"/>
      <c r="PSP3" s="344"/>
      <c r="PSQ3" s="344"/>
      <c r="PSR3" s="344"/>
      <c r="PSS3" s="344"/>
      <c r="PST3" s="344"/>
      <c r="PSU3" s="344"/>
      <c r="PSV3" s="344"/>
      <c r="PSW3" s="344"/>
      <c r="PSX3" s="344"/>
      <c r="PSY3" s="344"/>
      <c r="PSZ3" s="344"/>
      <c r="PTA3" s="344"/>
      <c r="PTB3" s="344"/>
      <c r="PTC3" s="344"/>
      <c r="PTD3" s="344"/>
      <c r="PTE3" s="344"/>
      <c r="PTF3" s="344"/>
      <c r="PTG3" s="344"/>
      <c r="PTH3" s="344"/>
      <c r="PTI3" s="344"/>
      <c r="PTJ3" s="344"/>
      <c r="PTK3" s="344"/>
      <c r="PTL3" s="344"/>
      <c r="PTM3" s="344"/>
      <c r="PTN3" s="344"/>
      <c r="PTO3" s="344"/>
      <c r="PTP3" s="344"/>
      <c r="PTQ3" s="344"/>
      <c r="PTR3" s="344"/>
      <c r="PTS3" s="344"/>
      <c r="PTT3" s="344"/>
      <c r="PTU3" s="344"/>
      <c r="PTV3" s="344"/>
      <c r="PTW3" s="344"/>
      <c r="PTX3" s="344"/>
      <c r="PTY3" s="344"/>
      <c r="PTZ3" s="344"/>
      <c r="PUA3" s="344"/>
      <c r="PUB3" s="344"/>
      <c r="PUC3" s="344"/>
      <c r="PUD3" s="344"/>
      <c r="PUE3" s="344"/>
      <c r="PUF3" s="344"/>
      <c r="PUG3" s="344"/>
      <c r="PUH3" s="344"/>
      <c r="PUI3" s="344"/>
      <c r="PUJ3" s="344"/>
      <c r="PUK3" s="344"/>
      <c r="PUL3" s="344"/>
      <c r="PUM3" s="344"/>
      <c r="PUN3" s="344"/>
      <c r="PUO3" s="344"/>
      <c r="PUP3" s="344"/>
      <c r="PUQ3" s="344"/>
      <c r="PUR3" s="344"/>
      <c r="PUS3" s="344"/>
      <c r="PUT3" s="344"/>
      <c r="PUU3" s="344"/>
      <c r="PUV3" s="344"/>
      <c r="PUW3" s="344"/>
      <c r="PUX3" s="344"/>
      <c r="PUY3" s="344"/>
      <c r="PUZ3" s="344"/>
      <c r="PVA3" s="344"/>
      <c r="PVB3" s="344"/>
      <c r="PVC3" s="344"/>
      <c r="PVD3" s="344"/>
      <c r="PVE3" s="344"/>
      <c r="PVF3" s="344"/>
      <c r="PVG3" s="344"/>
      <c r="PVH3" s="344"/>
      <c r="PVI3" s="344"/>
      <c r="PVJ3" s="344"/>
      <c r="PVK3" s="344"/>
      <c r="PVL3" s="344"/>
      <c r="PVM3" s="344"/>
      <c r="PVN3" s="344"/>
      <c r="PVO3" s="344"/>
      <c r="PVP3" s="344"/>
      <c r="PVQ3" s="344"/>
      <c r="PVR3" s="344"/>
      <c r="PVS3" s="344"/>
      <c r="PVT3" s="344"/>
      <c r="PVU3" s="344"/>
      <c r="PVV3" s="344"/>
      <c r="PVW3" s="344"/>
      <c r="PVX3" s="344"/>
      <c r="PVY3" s="344"/>
      <c r="PVZ3" s="344"/>
      <c r="PWA3" s="344"/>
      <c r="PWB3" s="344"/>
      <c r="PWC3" s="344"/>
      <c r="PWD3" s="344"/>
      <c r="PWE3" s="344"/>
      <c r="PWF3" s="344"/>
      <c r="PWG3" s="344"/>
      <c r="PWH3" s="344"/>
      <c r="PWI3" s="344"/>
      <c r="PWJ3" s="344"/>
      <c r="PWK3" s="344"/>
      <c r="PWL3" s="344"/>
      <c r="PWM3" s="344"/>
      <c r="PWN3" s="344"/>
      <c r="PWO3" s="344"/>
      <c r="PWP3" s="344"/>
      <c r="PWQ3" s="344"/>
      <c r="PWR3" s="344"/>
      <c r="PWS3" s="344"/>
      <c r="PWT3" s="344"/>
      <c r="PWU3" s="344"/>
      <c r="PWV3" s="344"/>
      <c r="PWW3" s="344"/>
      <c r="PWX3" s="344"/>
      <c r="PWY3" s="344"/>
      <c r="PWZ3" s="344"/>
      <c r="PXA3" s="344"/>
      <c r="PXB3" s="344"/>
      <c r="PXC3" s="344"/>
      <c r="PXD3" s="344"/>
      <c r="PXE3" s="344"/>
      <c r="PXF3" s="344"/>
      <c r="PXG3" s="344"/>
      <c r="PXH3" s="344"/>
      <c r="PXI3" s="344"/>
      <c r="PXJ3" s="344"/>
      <c r="PXK3" s="344"/>
      <c r="PXL3" s="344"/>
      <c r="PXM3" s="344"/>
      <c r="PXN3" s="344"/>
      <c r="PXO3" s="344"/>
      <c r="PXP3" s="344"/>
      <c r="PXQ3" s="344"/>
      <c r="PXR3" s="344"/>
      <c r="PXS3" s="344"/>
      <c r="PXT3" s="344"/>
      <c r="PXU3" s="344"/>
      <c r="PXV3" s="344"/>
      <c r="PXW3" s="344"/>
      <c r="PXX3" s="344"/>
      <c r="PXY3" s="344"/>
      <c r="PXZ3" s="344"/>
      <c r="PYA3" s="344"/>
      <c r="PYB3" s="344"/>
      <c r="PYC3" s="344"/>
      <c r="PYD3" s="344"/>
      <c r="PYE3" s="344"/>
      <c r="PYF3" s="344"/>
      <c r="PYG3" s="344"/>
      <c r="PYH3" s="344"/>
      <c r="PYI3" s="344"/>
      <c r="PYJ3" s="344"/>
      <c r="PYK3" s="344"/>
      <c r="PYL3" s="344"/>
      <c r="PYM3" s="344"/>
      <c r="PYN3" s="344"/>
      <c r="PYO3" s="344"/>
      <c r="PYP3" s="344"/>
      <c r="PYQ3" s="344"/>
      <c r="PYR3" s="344"/>
      <c r="PYS3" s="344"/>
      <c r="PYT3" s="344"/>
      <c r="PYU3" s="344"/>
      <c r="PYV3" s="344"/>
      <c r="PYW3" s="344"/>
      <c r="PYX3" s="344"/>
      <c r="PYY3" s="344"/>
      <c r="PYZ3" s="344"/>
      <c r="PZA3" s="344"/>
      <c r="PZB3" s="344"/>
      <c r="PZC3" s="344"/>
      <c r="PZD3" s="344"/>
      <c r="PZE3" s="344"/>
      <c r="PZF3" s="344"/>
      <c r="PZG3" s="344"/>
      <c r="PZH3" s="344"/>
      <c r="PZI3" s="344"/>
      <c r="PZJ3" s="344"/>
      <c r="PZK3" s="344"/>
      <c r="PZL3" s="344"/>
      <c r="PZM3" s="344"/>
      <c r="PZN3" s="344"/>
      <c r="PZO3" s="344"/>
      <c r="PZP3" s="344"/>
      <c r="PZQ3" s="344"/>
      <c r="PZR3" s="344"/>
      <c r="PZS3" s="344"/>
      <c r="PZT3" s="344"/>
      <c r="PZU3" s="344"/>
      <c r="PZV3" s="344"/>
      <c r="PZW3" s="344"/>
      <c r="PZX3" s="344"/>
      <c r="PZY3" s="344"/>
      <c r="PZZ3" s="344"/>
      <c r="QAA3" s="344"/>
      <c r="QAB3" s="344"/>
      <c r="QAC3" s="344"/>
      <c r="QAD3" s="344"/>
      <c r="QAE3" s="344"/>
      <c r="QAF3" s="344"/>
      <c r="QAG3" s="344"/>
      <c r="QAH3" s="344"/>
      <c r="QAI3" s="344"/>
      <c r="QAJ3" s="344"/>
      <c r="QAK3" s="344"/>
      <c r="QAL3" s="344"/>
      <c r="QAM3" s="344"/>
      <c r="QAN3" s="344"/>
      <c r="QAO3" s="344"/>
      <c r="QAP3" s="344"/>
      <c r="QAQ3" s="344"/>
      <c r="QAR3" s="344"/>
      <c r="QAS3" s="344"/>
      <c r="QAT3" s="344"/>
      <c r="QAU3" s="344"/>
      <c r="QAV3" s="344"/>
      <c r="QAW3" s="344"/>
      <c r="QAX3" s="344"/>
      <c r="QAY3" s="344"/>
      <c r="QAZ3" s="344"/>
      <c r="QBA3" s="344"/>
      <c r="QBB3" s="344"/>
      <c r="QBC3" s="344"/>
      <c r="QBD3" s="344"/>
      <c r="QBE3" s="344"/>
      <c r="QBF3" s="344"/>
      <c r="QBG3" s="344"/>
      <c r="QBH3" s="344"/>
      <c r="QBI3" s="344"/>
      <c r="QBJ3" s="344"/>
      <c r="QBK3" s="344"/>
      <c r="QBL3" s="344"/>
      <c r="QBM3" s="344"/>
      <c r="QBN3" s="344"/>
      <c r="QBO3" s="344"/>
      <c r="QBP3" s="344"/>
      <c r="QBQ3" s="344"/>
      <c r="QBR3" s="344"/>
      <c r="QBS3" s="344"/>
      <c r="QBT3" s="344"/>
      <c r="QBU3" s="344"/>
      <c r="QBV3" s="344"/>
      <c r="QBW3" s="344"/>
      <c r="QBX3" s="344"/>
      <c r="QBY3" s="344"/>
      <c r="QBZ3" s="344"/>
      <c r="QCA3" s="344"/>
      <c r="QCB3" s="344"/>
      <c r="QCC3" s="344"/>
      <c r="QCD3" s="344"/>
      <c r="QCE3" s="344"/>
      <c r="QCF3" s="344"/>
      <c r="QCG3" s="344"/>
      <c r="QCH3" s="344"/>
      <c r="QCI3" s="344"/>
      <c r="QCJ3" s="344"/>
      <c r="QCK3" s="344"/>
      <c r="QCL3" s="344"/>
      <c r="QCM3" s="344"/>
      <c r="QCN3" s="344"/>
      <c r="QCO3" s="344"/>
      <c r="QCP3" s="344"/>
      <c r="QCQ3" s="344"/>
      <c r="QCR3" s="344"/>
      <c r="QCS3" s="344"/>
      <c r="QCT3" s="344"/>
      <c r="QCU3" s="344"/>
      <c r="QCV3" s="344"/>
      <c r="QCW3" s="344"/>
      <c r="QCX3" s="344"/>
      <c r="QCY3" s="344"/>
      <c r="QCZ3" s="344"/>
      <c r="QDA3" s="344"/>
      <c r="QDB3" s="344"/>
      <c r="QDC3" s="344"/>
      <c r="QDD3" s="344"/>
      <c r="QDE3" s="344"/>
      <c r="QDF3" s="344"/>
      <c r="QDG3" s="344"/>
      <c r="QDH3" s="344"/>
      <c r="QDI3" s="344"/>
      <c r="QDJ3" s="344"/>
      <c r="QDK3" s="344"/>
      <c r="QDL3" s="344"/>
      <c r="QDM3" s="344"/>
      <c r="QDN3" s="344"/>
      <c r="QDO3" s="344"/>
      <c r="QDP3" s="344"/>
      <c r="QDQ3" s="344"/>
      <c r="QDR3" s="344"/>
      <c r="QDS3" s="344"/>
      <c r="QDT3" s="344"/>
      <c r="QDU3" s="344"/>
      <c r="QDV3" s="344"/>
      <c r="QDW3" s="344"/>
      <c r="QDX3" s="344"/>
      <c r="QDY3" s="344"/>
      <c r="QDZ3" s="344"/>
      <c r="QEA3" s="344"/>
      <c r="QEB3" s="344"/>
      <c r="QEC3" s="344"/>
      <c r="QED3" s="344"/>
      <c r="QEE3" s="344"/>
      <c r="QEF3" s="344"/>
      <c r="QEG3" s="344"/>
      <c r="QEH3" s="344"/>
      <c r="QEI3" s="344"/>
      <c r="QEJ3" s="344"/>
      <c r="QEK3" s="344"/>
      <c r="QEL3" s="344"/>
      <c r="QEM3" s="344"/>
      <c r="QEN3" s="344"/>
      <c r="QEO3" s="344"/>
      <c r="QEP3" s="344"/>
      <c r="QEQ3" s="344"/>
      <c r="QER3" s="344"/>
      <c r="QES3" s="344"/>
      <c r="QET3" s="344"/>
      <c r="QEU3" s="344"/>
      <c r="QEV3" s="344"/>
      <c r="QEW3" s="344"/>
      <c r="QEX3" s="344"/>
      <c r="QEY3" s="344"/>
      <c r="QEZ3" s="344"/>
      <c r="QFA3" s="344"/>
      <c r="QFB3" s="344"/>
      <c r="QFC3" s="344"/>
      <c r="QFD3" s="344"/>
      <c r="QFE3" s="344"/>
      <c r="QFF3" s="344"/>
      <c r="QFG3" s="344"/>
      <c r="QFH3" s="344"/>
      <c r="QFI3" s="344"/>
      <c r="QFJ3" s="344"/>
      <c r="QFK3" s="344"/>
      <c r="QFL3" s="344"/>
      <c r="QFM3" s="344"/>
      <c r="QFN3" s="344"/>
      <c r="QFO3" s="344"/>
      <c r="QFP3" s="344"/>
      <c r="QFQ3" s="344"/>
      <c r="QFR3" s="344"/>
      <c r="QFS3" s="344"/>
      <c r="QFT3" s="344"/>
      <c r="QFU3" s="344"/>
      <c r="QFV3" s="344"/>
      <c r="QFW3" s="344"/>
      <c r="QFX3" s="344"/>
      <c r="QFY3" s="344"/>
      <c r="QFZ3" s="344"/>
      <c r="QGA3" s="344"/>
      <c r="QGB3" s="344"/>
      <c r="QGC3" s="344"/>
      <c r="QGD3" s="344"/>
      <c r="QGE3" s="344"/>
      <c r="QGF3" s="344"/>
      <c r="QGG3" s="344"/>
      <c r="QGH3" s="344"/>
      <c r="QGI3" s="344"/>
      <c r="QGJ3" s="344"/>
      <c r="QGK3" s="344"/>
      <c r="QGL3" s="344"/>
      <c r="QGM3" s="344"/>
      <c r="QGN3" s="344"/>
      <c r="QGO3" s="344"/>
      <c r="QGP3" s="344"/>
      <c r="QGQ3" s="344"/>
      <c r="QGR3" s="344"/>
      <c r="QGS3" s="344"/>
      <c r="QGT3" s="344"/>
      <c r="QGU3" s="344"/>
      <c r="QGV3" s="344"/>
      <c r="QGW3" s="344"/>
      <c r="QGX3" s="344"/>
      <c r="QGY3" s="344"/>
      <c r="QGZ3" s="344"/>
      <c r="QHA3" s="344"/>
      <c r="QHB3" s="344"/>
      <c r="QHC3" s="344"/>
      <c r="QHD3" s="344"/>
      <c r="QHE3" s="344"/>
      <c r="QHF3" s="344"/>
      <c r="QHG3" s="344"/>
      <c r="QHH3" s="344"/>
      <c r="QHI3" s="344"/>
      <c r="QHJ3" s="344"/>
      <c r="QHK3" s="344"/>
      <c r="QHL3" s="344"/>
      <c r="QHM3" s="344"/>
      <c r="QHN3" s="344"/>
      <c r="QHO3" s="344"/>
      <c r="QHP3" s="344"/>
      <c r="QHQ3" s="344"/>
      <c r="QHR3" s="344"/>
      <c r="QHS3" s="344"/>
      <c r="QHT3" s="344"/>
      <c r="QHU3" s="344"/>
      <c r="QHV3" s="344"/>
      <c r="QHW3" s="344"/>
      <c r="QHX3" s="344"/>
      <c r="QHY3" s="344"/>
      <c r="QHZ3" s="344"/>
      <c r="QIA3" s="344"/>
      <c r="QIB3" s="344"/>
      <c r="QIC3" s="344"/>
      <c r="QID3" s="344"/>
      <c r="QIE3" s="344"/>
      <c r="QIF3" s="344"/>
      <c r="QIG3" s="344"/>
      <c r="QIH3" s="344"/>
      <c r="QII3" s="344"/>
      <c r="QIJ3" s="344"/>
      <c r="QIK3" s="344"/>
      <c r="QIL3" s="344"/>
      <c r="QIM3" s="344"/>
      <c r="QIN3" s="344"/>
      <c r="QIO3" s="344"/>
      <c r="QIP3" s="344"/>
      <c r="QIQ3" s="344"/>
      <c r="QIR3" s="344"/>
      <c r="QIS3" s="344"/>
      <c r="QIT3" s="344"/>
      <c r="QIU3" s="344"/>
      <c r="QIV3" s="344"/>
      <c r="QIW3" s="344"/>
      <c r="QIX3" s="344"/>
      <c r="QIY3" s="344"/>
      <c r="QIZ3" s="344"/>
      <c r="QJA3" s="344"/>
      <c r="QJB3" s="344"/>
      <c r="QJC3" s="344"/>
      <c r="QJD3" s="344"/>
      <c r="QJE3" s="344"/>
      <c r="QJF3" s="344"/>
      <c r="QJG3" s="344"/>
      <c r="QJH3" s="344"/>
      <c r="QJI3" s="344"/>
      <c r="QJJ3" s="344"/>
      <c r="QJK3" s="344"/>
      <c r="QJL3" s="344"/>
      <c r="QJM3" s="344"/>
      <c r="QJN3" s="344"/>
      <c r="QJO3" s="344"/>
      <c r="QJP3" s="344"/>
      <c r="QJQ3" s="344"/>
      <c r="QJR3" s="344"/>
      <c r="QJS3" s="344"/>
      <c r="QJT3" s="344"/>
      <c r="QJU3" s="344"/>
      <c r="QJV3" s="344"/>
      <c r="QJW3" s="344"/>
      <c r="QJX3" s="344"/>
      <c r="QJY3" s="344"/>
      <c r="QJZ3" s="344"/>
      <c r="QKA3" s="344"/>
      <c r="QKB3" s="344"/>
      <c r="QKC3" s="344"/>
      <c r="QKD3" s="344"/>
      <c r="QKE3" s="344"/>
      <c r="QKF3" s="344"/>
      <c r="QKG3" s="344"/>
      <c r="QKH3" s="344"/>
      <c r="QKI3" s="344"/>
      <c r="QKJ3" s="344"/>
      <c r="QKK3" s="344"/>
      <c r="QKL3" s="344"/>
      <c r="QKM3" s="344"/>
      <c r="QKN3" s="344"/>
      <c r="QKO3" s="344"/>
      <c r="QKP3" s="344"/>
      <c r="QKQ3" s="344"/>
      <c r="QKR3" s="344"/>
      <c r="QKS3" s="344"/>
      <c r="QKT3" s="344"/>
      <c r="QKU3" s="344"/>
      <c r="QKV3" s="344"/>
      <c r="QKW3" s="344"/>
      <c r="QKX3" s="344"/>
      <c r="QKY3" s="344"/>
      <c r="QKZ3" s="344"/>
      <c r="QLA3" s="344"/>
      <c r="QLB3" s="344"/>
      <c r="QLC3" s="344"/>
      <c r="QLD3" s="344"/>
      <c r="QLE3" s="344"/>
      <c r="QLF3" s="344"/>
      <c r="QLG3" s="344"/>
      <c r="QLH3" s="344"/>
      <c r="QLI3" s="344"/>
      <c r="QLJ3" s="344"/>
      <c r="QLK3" s="344"/>
      <c r="QLL3" s="344"/>
      <c r="QLM3" s="344"/>
      <c r="QLN3" s="344"/>
      <c r="QLO3" s="344"/>
      <c r="QLP3" s="344"/>
      <c r="QLQ3" s="344"/>
      <c r="QLR3" s="344"/>
      <c r="QLS3" s="344"/>
      <c r="QLT3" s="344"/>
      <c r="QLU3" s="344"/>
      <c r="QLV3" s="344"/>
      <c r="QLW3" s="344"/>
      <c r="QLX3" s="344"/>
      <c r="QLY3" s="344"/>
      <c r="QLZ3" s="344"/>
      <c r="QMA3" s="344"/>
      <c r="QMB3" s="344"/>
      <c r="QMC3" s="344"/>
      <c r="QMD3" s="344"/>
      <c r="QME3" s="344"/>
      <c r="QMF3" s="344"/>
      <c r="QMG3" s="344"/>
      <c r="QMH3" s="344"/>
      <c r="QMI3" s="344"/>
      <c r="QMJ3" s="344"/>
      <c r="QMK3" s="344"/>
      <c r="QML3" s="344"/>
      <c r="QMM3" s="344"/>
      <c r="QMN3" s="344"/>
      <c r="QMO3" s="344"/>
      <c r="QMP3" s="344"/>
      <c r="QMQ3" s="344"/>
      <c r="QMR3" s="344"/>
      <c r="QMS3" s="344"/>
      <c r="QMT3" s="344"/>
      <c r="QMU3" s="344"/>
      <c r="QMV3" s="344"/>
      <c r="QMW3" s="344"/>
      <c r="QMX3" s="344"/>
      <c r="QMY3" s="344"/>
      <c r="QMZ3" s="344"/>
      <c r="QNA3" s="344"/>
      <c r="QNB3" s="344"/>
      <c r="QNC3" s="344"/>
      <c r="QND3" s="344"/>
      <c r="QNE3" s="344"/>
      <c r="QNF3" s="344"/>
      <c r="QNG3" s="344"/>
      <c r="QNH3" s="344"/>
      <c r="QNI3" s="344"/>
      <c r="QNJ3" s="344"/>
      <c r="QNK3" s="344"/>
      <c r="QNL3" s="344"/>
      <c r="QNM3" s="344"/>
      <c r="QNN3" s="344"/>
      <c r="QNO3" s="344"/>
      <c r="QNP3" s="344"/>
      <c r="QNQ3" s="344"/>
      <c r="QNR3" s="344"/>
      <c r="QNS3" s="344"/>
      <c r="QNT3" s="344"/>
      <c r="QNU3" s="344"/>
      <c r="QNV3" s="344"/>
      <c r="QNW3" s="344"/>
      <c r="QNX3" s="344"/>
      <c r="QNY3" s="344"/>
      <c r="QNZ3" s="344"/>
      <c r="QOA3" s="344"/>
      <c r="QOB3" s="344"/>
      <c r="QOC3" s="344"/>
      <c r="QOD3" s="344"/>
      <c r="QOE3" s="344"/>
      <c r="QOF3" s="344"/>
      <c r="QOG3" s="344"/>
      <c r="QOH3" s="344"/>
      <c r="QOI3" s="344"/>
      <c r="QOJ3" s="344"/>
      <c r="QOK3" s="344"/>
      <c r="QOL3" s="344"/>
      <c r="QOM3" s="344"/>
      <c r="QON3" s="344"/>
      <c r="QOO3" s="344"/>
      <c r="QOP3" s="344"/>
      <c r="QOQ3" s="344"/>
      <c r="QOR3" s="344"/>
      <c r="QOS3" s="344"/>
      <c r="QOT3" s="344"/>
      <c r="QOU3" s="344"/>
      <c r="QOV3" s="344"/>
      <c r="QOW3" s="344"/>
      <c r="QOX3" s="344"/>
      <c r="QOY3" s="344"/>
      <c r="QOZ3" s="344"/>
      <c r="QPA3" s="344"/>
      <c r="QPB3" s="344"/>
      <c r="QPC3" s="344"/>
      <c r="QPD3" s="344"/>
      <c r="QPE3" s="344"/>
      <c r="QPF3" s="344"/>
      <c r="QPG3" s="344"/>
      <c r="QPH3" s="344"/>
      <c r="QPI3" s="344"/>
      <c r="QPJ3" s="344"/>
      <c r="QPK3" s="344"/>
      <c r="QPL3" s="344"/>
      <c r="QPM3" s="344"/>
      <c r="QPN3" s="344"/>
      <c r="QPO3" s="344"/>
      <c r="QPP3" s="344"/>
      <c r="QPQ3" s="344"/>
      <c r="QPR3" s="344"/>
      <c r="QPS3" s="344"/>
      <c r="QPT3" s="344"/>
      <c r="QPU3" s="344"/>
      <c r="QPV3" s="344"/>
      <c r="QPW3" s="344"/>
      <c r="QPX3" s="344"/>
      <c r="QPY3" s="344"/>
      <c r="QPZ3" s="344"/>
      <c r="QQA3" s="344"/>
      <c r="QQB3" s="344"/>
      <c r="QQC3" s="344"/>
      <c r="QQD3" s="344"/>
      <c r="QQE3" s="344"/>
      <c r="QQF3" s="344"/>
      <c r="QQG3" s="344"/>
      <c r="QQH3" s="344"/>
      <c r="QQI3" s="344"/>
      <c r="QQJ3" s="344"/>
      <c r="QQK3" s="344"/>
      <c r="QQL3" s="344"/>
      <c r="QQM3" s="344"/>
      <c r="QQN3" s="344"/>
      <c r="QQO3" s="344"/>
      <c r="QQP3" s="344"/>
      <c r="QQQ3" s="344"/>
      <c r="QQR3" s="344"/>
      <c r="QQS3" s="344"/>
      <c r="QQT3" s="344"/>
      <c r="QQU3" s="344"/>
      <c r="QQV3" s="344"/>
      <c r="QQW3" s="344"/>
      <c r="QQX3" s="344"/>
      <c r="QQY3" s="344"/>
      <c r="QQZ3" s="344"/>
      <c r="QRA3" s="344"/>
      <c r="QRB3" s="344"/>
      <c r="QRC3" s="344"/>
      <c r="QRD3" s="344"/>
      <c r="QRE3" s="344"/>
      <c r="QRF3" s="344"/>
      <c r="QRG3" s="344"/>
      <c r="QRH3" s="344"/>
      <c r="QRI3" s="344"/>
      <c r="QRJ3" s="344"/>
      <c r="QRK3" s="344"/>
      <c r="QRL3" s="344"/>
      <c r="QRM3" s="344"/>
      <c r="QRN3" s="344"/>
      <c r="QRO3" s="344"/>
      <c r="QRP3" s="344"/>
      <c r="QRQ3" s="344"/>
      <c r="QRR3" s="344"/>
      <c r="QRS3" s="344"/>
      <c r="QRT3" s="344"/>
      <c r="QRU3" s="344"/>
      <c r="QRV3" s="344"/>
      <c r="QRW3" s="344"/>
      <c r="QRX3" s="344"/>
      <c r="QRY3" s="344"/>
      <c r="QRZ3" s="344"/>
      <c r="QSA3" s="344"/>
      <c r="QSB3" s="344"/>
      <c r="QSC3" s="344"/>
      <c r="QSD3" s="344"/>
      <c r="QSE3" s="344"/>
      <c r="QSF3" s="344"/>
      <c r="QSG3" s="344"/>
      <c r="QSH3" s="344"/>
      <c r="QSI3" s="344"/>
      <c r="QSJ3" s="344"/>
      <c r="QSK3" s="344"/>
      <c r="QSL3" s="344"/>
      <c r="QSM3" s="344"/>
      <c r="QSN3" s="344"/>
      <c r="QSO3" s="344"/>
      <c r="QSP3" s="344"/>
      <c r="QSQ3" s="344"/>
      <c r="QSR3" s="344"/>
      <c r="QSS3" s="344"/>
      <c r="QST3" s="344"/>
      <c r="QSU3" s="344"/>
      <c r="QSV3" s="344"/>
      <c r="QSW3" s="344"/>
      <c r="QSX3" s="344"/>
      <c r="QSY3" s="344"/>
      <c r="QSZ3" s="344"/>
      <c r="QTA3" s="344"/>
      <c r="QTB3" s="344"/>
      <c r="QTC3" s="344"/>
      <c r="QTD3" s="344"/>
      <c r="QTE3" s="344"/>
      <c r="QTF3" s="344"/>
      <c r="QTG3" s="344"/>
      <c r="QTH3" s="344"/>
      <c r="QTI3" s="344"/>
      <c r="QTJ3" s="344"/>
      <c r="QTK3" s="344"/>
      <c r="QTL3" s="344"/>
      <c r="QTM3" s="344"/>
      <c r="QTN3" s="344"/>
      <c r="QTO3" s="344"/>
      <c r="QTP3" s="344"/>
      <c r="QTQ3" s="344"/>
      <c r="QTR3" s="344"/>
      <c r="QTS3" s="344"/>
      <c r="QTT3" s="344"/>
      <c r="QTU3" s="344"/>
      <c r="QTV3" s="344"/>
      <c r="QTW3" s="344"/>
      <c r="QTX3" s="344"/>
      <c r="QTY3" s="344"/>
      <c r="QTZ3" s="344"/>
      <c r="QUA3" s="344"/>
      <c r="QUB3" s="344"/>
      <c r="QUC3" s="344"/>
      <c r="QUD3" s="344"/>
      <c r="QUE3" s="344"/>
      <c r="QUF3" s="344"/>
      <c r="QUG3" s="344"/>
      <c r="QUH3" s="344"/>
      <c r="QUI3" s="344"/>
      <c r="QUJ3" s="344"/>
      <c r="QUK3" s="344"/>
      <c r="QUL3" s="344"/>
      <c r="QUM3" s="344"/>
      <c r="QUN3" s="344"/>
      <c r="QUO3" s="344"/>
      <c r="QUP3" s="344"/>
      <c r="QUQ3" s="344"/>
      <c r="QUR3" s="344"/>
      <c r="QUS3" s="344"/>
      <c r="QUT3" s="344"/>
      <c r="QUU3" s="344"/>
      <c r="QUV3" s="344"/>
      <c r="QUW3" s="344"/>
      <c r="QUX3" s="344"/>
      <c r="QUY3" s="344"/>
      <c r="QUZ3" s="344"/>
      <c r="QVA3" s="344"/>
      <c r="QVB3" s="344"/>
      <c r="QVC3" s="344"/>
      <c r="QVD3" s="344"/>
      <c r="QVE3" s="344"/>
      <c r="QVF3" s="344"/>
      <c r="QVG3" s="344"/>
      <c r="QVH3" s="344"/>
      <c r="QVI3" s="344"/>
      <c r="QVJ3" s="344"/>
      <c r="QVK3" s="344"/>
      <c r="QVL3" s="344"/>
      <c r="QVM3" s="344"/>
      <c r="QVN3" s="344"/>
      <c r="QVO3" s="344"/>
      <c r="QVP3" s="344"/>
      <c r="QVQ3" s="344"/>
      <c r="QVR3" s="344"/>
      <c r="QVS3" s="344"/>
      <c r="QVT3" s="344"/>
      <c r="QVU3" s="344"/>
      <c r="QVV3" s="344"/>
      <c r="QVW3" s="344"/>
      <c r="QVX3" s="344"/>
      <c r="QVY3" s="344"/>
      <c r="QVZ3" s="344"/>
      <c r="QWA3" s="344"/>
      <c r="QWB3" s="344"/>
      <c r="QWC3" s="344"/>
      <c r="QWD3" s="344"/>
      <c r="QWE3" s="344"/>
      <c r="QWF3" s="344"/>
      <c r="QWG3" s="344"/>
      <c r="QWH3" s="344"/>
      <c r="QWI3" s="344"/>
      <c r="QWJ3" s="344"/>
      <c r="QWK3" s="344"/>
      <c r="QWL3" s="344"/>
      <c r="QWM3" s="344"/>
      <c r="QWN3" s="344"/>
      <c r="QWO3" s="344"/>
      <c r="QWP3" s="344"/>
      <c r="QWQ3" s="344"/>
      <c r="QWR3" s="344"/>
      <c r="QWS3" s="344"/>
      <c r="QWT3" s="344"/>
      <c r="QWU3" s="344"/>
      <c r="QWV3" s="344"/>
      <c r="QWW3" s="344"/>
      <c r="QWX3" s="344"/>
      <c r="QWY3" s="344"/>
      <c r="QWZ3" s="344"/>
      <c r="QXA3" s="344"/>
      <c r="QXB3" s="344"/>
      <c r="QXC3" s="344"/>
      <c r="QXD3" s="344"/>
      <c r="QXE3" s="344"/>
      <c r="QXF3" s="344"/>
      <c r="QXG3" s="344"/>
      <c r="QXH3" s="344"/>
      <c r="QXI3" s="344"/>
      <c r="QXJ3" s="344"/>
      <c r="QXK3" s="344"/>
      <c r="QXL3" s="344"/>
      <c r="QXM3" s="344"/>
      <c r="QXN3" s="344"/>
      <c r="QXO3" s="344"/>
      <c r="QXP3" s="344"/>
      <c r="QXQ3" s="344"/>
      <c r="QXR3" s="344"/>
      <c r="QXS3" s="344"/>
      <c r="QXT3" s="344"/>
      <c r="QXU3" s="344"/>
      <c r="QXV3" s="344"/>
      <c r="QXW3" s="344"/>
      <c r="QXX3" s="344"/>
      <c r="QXY3" s="344"/>
      <c r="QXZ3" s="344"/>
      <c r="QYA3" s="344"/>
      <c r="QYB3" s="344"/>
      <c r="QYC3" s="344"/>
      <c r="QYD3" s="344"/>
      <c r="QYE3" s="344"/>
      <c r="QYF3" s="344"/>
      <c r="QYG3" s="344"/>
      <c r="QYH3" s="344"/>
      <c r="QYI3" s="344"/>
      <c r="QYJ3" s="344"/>
      <c r="QYK3" s="344"/>
      <c r="QYL3" s="344"/>
      <c r="QYM3" s="344"/>
      <c r="QYN3" s="344"/>
      <c r="QYO3" s="344"/>
      <c r="QYP3" s="344"/>
      <c r="QYQ3" s="344"/>
      <c r="QYR3" s="344"/>
      <c r="QYS3" s="344"/>
      <c r="QYT3" s="344"/>
      <c r="QYU3" s="344"/>
      <c r="QYV3" s="344"/>
      <c r="QYW3" s="344"/>
      <c r="QYX3" s="344"/>
      <c r="QYY3" s="344"/>
      <c r="QYZ3" s="344"/>
      <c r="QZA3" s="344"/>
      <c r="QZB3" s="344"/>
      <c r="QZC3" s="344"/>
      <c r="QZD3" s="344"/>
      <c r="QZE3" s="344"/>
      <c r="QZF3" s="344"/>
      <c r="QZG3" s="344"/>
      <c r="QZH3" s="344"/>
      <c r="QZI3" s="344"/>
      <c r="QZJ3" s="344"/>
      <c r="QZK3" s="344"/>
      <c r="QZL3" s="344"/>
      <c r="QZM3" s="344"/>
      <c r="QZN3" s="344"/>
      <c r="QZO3" s="344"/>
      <c r="QZP3" s="344"/>
      <c r="QZQ3" s="344"/>
      <c r="QZR3" s="344"/>
      <c r="QZS3" s="344"/>
      <c r="QZT3" s="344"/>
      <c r="QZU3" s="344"/>
      <c r="QZV3" s="344"/>
      <c r="QZW3" s="344"/>
      <c r="QZX3" s="344"/>
      <c r="QZY3" s="344"/>
      <c r="QZZ3" s="344"/>
      <c r="RAA3" s="344"/>
      <c r="RAB3" s="344"/>
      <c r="RAC3" s="344"/>
      <c r="RAD3" s="344"/>
      <c r="RAE3" s="344"/>
      <c r="RAF3" s="344"/>
      <c r="RAG3" s="344"/>
      <c r="RAH3" s="344"/>
      <c r="RAI3" s="344"/>
      <c r="RAJ3" s="344"/>
      <c r="RAK3" s="344"/>
      <c r="RAL3" s="344"/>
      <c r="RAM3" s="344"/>
      <c r="RAN3" s="344"/>
      <c r="RAO3" s="344"/>
      <c r="RAP3" s="344"/>
      <c r="RAQ3" s="344"/>
      <c r="RAR3" s="344"/>
      <c r="RAS3" s="344"/>
      <c r="RAT3" s="344"/>
      <c r="RAU3" s="344"/>
      <c r="RAV3" s="344"/>
      <c r="RAW3" s="344"/>
      <c r="RAX3" s="344"/>
      <c r="RAY3" s="344"/>
      <c r="RAZ3" s="344"/>
      <c r="RBA3" s="344"/>
      <c r="RBB3" s="344"/>
      <c r="RBC3" s="344"/>
      <c r="RBD3" s="344"/>
      <c r="RBE3" s="344"/>
      <c r="RBF3" s="344"/>
      <c r="RBG3" s="344"/>
      <c r="RBH3" s="344"/>
      <c r="RBI3" s="344"/>
      <c r="RBJ3" s="344"/>
      <c r="RBK3" s="344"/>
      <c r="RBL3" s="344"/>
      <c r="RBM3" s="344"/>
      <c r="RBN3" s="344"/>
      <c r="RBO3" s="344"/>
      <c r="RBP3" s="344"/>
      <c r="RBQ3" s="344"/>
      <c r="RBR3" s="344"/>
      <c r="RBS3" s="344"/>
      <c r="RBT3" s="344"/>
      <c r="RBU3" s="344"/>
      <c r="RBV3" s="344"/>
      <c r="RBW3" s="344"/>
      <c r="RBX3" s="344"/>
      <c r="RBY3" s="344"/>
      <c r="RBZ3" s="344"/>
      <c r="RCA3" s="344"/>
      <c r="RCB3" s="344"/>
      <c r="RCC3" s="344"/>
      <c r="RCD3" s="344"/>
      <c r="RCE3" s="344"/>
      <c r="RCF3" s="344"/>
      <c r="RCG3" s="344"/>
      <c r="RCH3" s="344"/>
      <c r="RCI3" s="344"/>
      <c r="RCJ3" s="344"/>
      <c r="RCK3" s="344"/>
      <c r="RCL3" s="344"/>
      <c r="RCM3" s="344"/>
      <c r="RCN3" s="344"/>
      <c r="RCO3" s="344"/>
      <c r="RCP3" s="344"/>
      <c r="RCQ3" s="344"/>
      <c r="RCR3" s="344"/>
      <c r="RCS3" s="344"/>
      <c r="RCT3" s="344"/>
      <c r="RCU3" s="344"/>
      <c r="RCV3" s="344"/>
      <c r="RCW3" s="344"/>
      <c r="RCX3" s="344"/>
      <c r="RCY3" s="344"/>
      <c r="RCZ3" s="344"/>
      <c r="RDA3" s="344"/>
      <c r="RDB3" s="344"/>
      <c r="RDC3" s="344"/>
      <c r="RDD3" s="344"/>
      <c r="RDE3" s="344"/>
      <c r="RDF3" s="344"/>
      <c r="RDG3" s="344"/>
      <c r="RDH3" s="344"/>
      <c r="RDI3" s="344"/>
      <c r="RDJ3" s="344"/>
      <c r="RDK3" s="344"/>
      <c r="RDL3" s="344"/>
      <c r="RDM3" s="344"/>
      <c r="RDN3" s="344"/>
      <c r="RDO3" s="344"/>
      <c r="RDP3" s="344"/>
      <c r="RDQ3" s="344"/>
      <c r="RDR3" s="344"/>
      <c r="RDS3" s="344"/>
      <c r="RDT3" s="344"/>
      <c r="RDU3" s="344"/>
      <c r="RDV3" s="344"/>
      <c r="RDW3" s="344"/>
      <c r="RDX3" s="344"/>
      <c r="RDY3" s="344"/>
      <c r="RDZ3" s="344"/>
      <c r="REA3" s="344"/>
      <c r="REB3" s="344"/>
      <c r="REC3" s="344"/>
      <c r="RED3" s="344"/>
      <c r="REE3" s="344"/>
      <c r="REF3" s="344"/>
      <c r="REG3" s="344"/>
      <c r="REH3" s="344"/>
      <c r="REI3" s="344"/>
      <c r="REJ3" s="344"/>
      <c r="REK3" s="344"/>
      <c r="REL3" s="344"/>
      <c r="REM3" s="344"/>
      <c r="REN3" s="344"/>
      <c r="REO3" s="344"/>
      <c r="REP3" s="344"/>
      <c r="REQ3" s="344"/>
      <c r="RER3" s="344"/>
      <c r="RES3" s="344"/>
      <c r="RET3" s="344"/>
      <c r="REU3" s="344"/>
      <c r="REV3" s="344"/>
      <c r="REW3" s="344"/>
      <c r="REX3" s="344"/>
      <c r="REY3" s="344"/>
      <c r="REZ3" s="344"/>
      <c r="RFA3" s="344"/>
      <c r="RFB3" s="344"/>
      <c r="RFC3" s="344"/>
      <c r="RFD3" s="344"/>
      <c r="RFE3" s="344"/>
      <c r="RFF3" s="344"/>
      <c r="RFG3" s="344"/>
      <c r="RFH3" s="344"/>
      <c r="RFI3" s="344"/>
      <c r="RFJ3" s="344"/>
      <c r="RFK3" s="344"/>
      <c r="RFL3" s="344"/>
      <c r="RFM3" s="344"/>
      <c r="RFN3" s="344"/>
      <c r="RFO3" s="344"/>
      <c r="RFP3" s="344"/>
      <c r="RFQ3" s="344"/>
      <c r="RFR3" s="344"/>
      <c r="RFS3" s="344"/>
      <c r="RFT3" s="344"/>
      <c r="RFU3" s="344"/>
      <c r="RFV3" s="344"/>
      <c r="RFW3" s="344"/>
      <c r="RFX3" s="344"/>
      <c r="RFY3" s="344"/>
      <c r="RFZ3" s="344"/>
      <c r="RGA3" s="344"/>
      <c r="RGB3" s="344"/>
      <c r="RGC3" s="344"/>
      <c r="RGD3" s="344"/>
      <c r="RGE3" s="344"/>
      <c r="RGF3" s="344"/>
      <c r="RGG3" s="344"/>
      <c r="RGH3" s="344"/>
      <c r="RGI3" s="344"/>
      <c r="RGJ3" s="344"/>
      <c r="RGK3" s="344"/>
      <c r="RGL3" s="344"/>
      <c r="RGM3" s="344"/>
      <c r="RGN3" s="344"/>
      <c r="RGO3" s="344"/>
      <c r="RGP3" s="344"/>
      <c r="RGQ3" s="344"/>
      <c r="RGR3" s="344"/>
      <c r="RGS3" s="344"/>
      <c r="RGT3" s="344"/>
      <c r="RGU3" s="344"/>
      <c r="RGV3" s="344"/>
      <c r="RGW3" s="344"/>
      <c r="RGX3" s="344"/>
      <c r="RGY3" s="344"/>
      <c r="RGZ3" s="344"/>
      <c r="RHA3" s="344"/>
      <c r="RHB3" s="344"/>
      <c r="RHC3" s="344"/>
      <c r="RHD3" s="344"/>
      <c r="RHE3" s="344"/>
      <c r="RHF3" s="344"/>
      <c r="RHG3" s="344"/>
      <c r="RHH3" s="344"/>
      <c r="RHI3" s="344"/>
      <c r="RHJ3" s="344"/>
      <c r="RHK3" s="344"/>
      <c r="RHL3" s="344"/>
      <c r="RHM3" s="344"/>
      <c r="RHN3" s="344"/>
      <c r="RHO3" s="344"/>
      <c r="RHP3" s="344"/>
      <c r="RHQ3" s="344"/>
      <c r="RHR3" s="344"/>
      <c r="RHS3" s="344"/>
      <c r="RHT3" s="344"/>
      <c r="RHU3" s="344"/>
      <c r="RHV3" s="344"/>
      <c r="RHW3" s="344"/>
      <c r="RHX3" s="344"/>
      <c r="RHY3" s="344"/>
      <c r="RHZ3" s="344"/>
      <c r="RIA3" s="344"/>
      <c r="RIB3" s="344"/>
      <c r="RIC3" s="344"/>
      <c r="RID3" s="344"/>
      <c r="RIE3" s="344"/>
      <c r="RIF3" s="344"/>
      <c r="RIG3" s="344"/>
      <c r="RIH3" s="344"/>
      <c r="RII3" s="344"/>
      <c r="RIJ3" s="344"/>
      <c r="RIK3" s="344"/>
      <c r="RIL3" s="344"/>
      <c r="RIM3" s="344"/>
      <c r="RIN3" s="344"/>
      <c r="RIO3" s="344"/>
      <c r="RIP3" s="344"/>
      <c r="RIQ3" s="344"/>
      <c r="RIR3" s="344"/>
      <c r="RIS3" s="344"/>
      <c r="RIT3" s="344"/>
      <c r="RIU3" s="344"/>
      <c r="RIV3" s="344"/>
      <c r="RIW3" s="344"/>
      <c r="RIX3" s="344"/>
      <c r="RIY3" s="344"/>
      <c r="RIZ3" s="344"/>
      <c r="RJA3" s="344"/>
      <c r="RJB3" s="344"/>
      <c r="RJC3" s="344"/>
      <c r="RJD3" s="344"/>
      <c r="RJE3" s="344"/>
      <c r="RJF3" s="344"/>
      <c r="RJG3" s="344"/>
      <c r="RJH3" s="344"/>
      <c r="RJI3" s="344"/>
      <c r="RJJ3" s="344"/>
      <c r="RJK3" s="344"/>
      <c r="RJL3" s="344"/>
      <c r="RJM3" s="344"/>
      <c r="RJN3" s="344"/>
      <c r="RJO3" s="344"/>
      <c r="RJP3" s="344"/>
      <c r="RJQ3" s="344"/>
      <c r="RJR3" s="344"/>
      <c r="RJS3" s="344"/>
      <c r="RJT3" s="344"/>
      <c r="RJU3" s="344"/>
      <c r="RJV3" s="344"/>
      <c r="RJW3" s="344"/>
      <c r="RJX3" s="344"/>
      <c r="RJY3" s="344"/>
      <c r="RJZ3" s="344"/>
      <c r="RKA3" s="344"/>
      <c r="RKB3" s="344"/>
      <c r="RKC3" s="344"/>
      <c r="RKD3" s="344"/>
      <c r="RKE3" s="344"/>
      <c r="RKF3" s="344"/>
      <c r="RKG3" s="344"/>
      <c r="RKH3" s="344"/>
      <c r="RKI3" s="344"/>
      <c r="RKJ3" s="344"/>
      <c r="RKK3" s="344"/>
      <c r="RKL3" s="344"/>
      <c r="RKM3" s="344"/>
      <c r="RKN3" s="344"/>
      <c r="RKO3" s="344"/>
      <c r="RKP3" s="344"/>
      <c r="RKQ3" s="344"/>
      <c r="RKR3" s="344"/>
      <c r="RKS3" s="344"/>
      <c r="RKT3" s="344"/>
      <c r="RKU3" s="344"/>
      <c r="RKV3" s="344"/>
      <c r="RKW3" s="344"/>
      <c r="RKX3" s="344"/>
      <c r="RKY3" s="344"/>
      <c r="RKZ3" s="344"/>
      <c r="RLA3" s="344"/>
      <c r="RLB3" s="344"/>
      <c r="RLC3" s="344"/>
      <c r="RLD3" s="344"/>
      <c r="RLE3" s="344"/>
      <c r="RLF3" s="344"/>
      <c r="RLG3" s="344"/>
      <c r="RLH3" s="344"/>
      <c r="RLI3" s="344"/>
      <c r="RLJ3" s="344"/>
      <c r="RLK3" s="344"/>
      <c r="RLL3" s="344"/>
      <c r="RLM3" s="344"/>
      <c r="RLN3" s="344"/>
      <c r="RLO3" s="344"/>
      <c r="RLP3" s="344"/>
      <c r="RLQ3" s="344"/>
      <c r="RLR3" s="344"/>
      <c r="RLS3" s="344"/>
      <c r="RLT3" s="344"/>
      <c r="RLU3" s="344"/>
      <c r="RLV3" s="344"/>
      <c r="RLW3" s="344"/>
      <c r="RLX3" s="344"/>
      <c r="RLY3" s="344"/>
      <c r="RLZ3" s="344"/>
      <c r="RMA3" s="344"/>
      <c r="RMB3" s="344"/>
      <c r="RMC3" s="344"/>
      <c r="RMD3" s="344"/>
      <c r="RME3" s="344"/>
      <c r="RMF3" s="344"/>
      <c r="RMG3" s="344"/>
      <c r="RMH3" s="344"/>
      <c r="RMI3" s="344"/>
      <c r="RMJ3" s="344"/>
      <c r="RMK3" s="344"/>
      <c r="RML3" s="344"/>
      <c r="RMM3" s="344"/>
      <c r="RMN3" s="344"/>
      <c r="RMO3" s="344"/>
      <c r="RMP3" s="344"/>
      <c r="RMQ3" s="344"/>
      <c r="RMR3" s="344"/>
      <c r="RMS3" s="344"/>
      <c r="RMT3" s="344"/>
      <c r="RMU3" s="344"/>
      <c r="RMV3" s="344"/>
      <c r="RMW3" s="344"/>
      <c r="RMX3" s="344"/>
      <c r="RMY3" s="344"/>
      <c r="RMZ3" s="344"/>
      <c r="RNA3" s="344"/>
      <c r="RNB3" s="344"/>
      <c r="RNC3" s="344"/>
      <c r="RND3" s="344"/>
      <c r="RNE3" s="344"/>
      <c r="RNF3" s="344"/>
      <c r="RNG3" s="344"/>
      <c r="RNH3" s="344"/>
      <c r="RNI3" s="344"/>
      <c r="RNJ3" s="344"/>
      <c r="RNK3" s="344"/>
      <c r="RNL3" s="344"/>
      <c r="RNM3" s="344"/>
      <c r="RNN3" s="344"/>
      <c r="RNO3" s="344"/>
      <c r="RNP3" s="344"/>
      <c r="RNQ3" s="344"/>
      <c r="RNR3" s="344"/>
      <c r="RNS3" s="344"/>
      <c r="RNT3" s="344"/>
      <c r="RNU3" s="344"/>
      <c r="RNV3" s="344"/>
      <c r="RNW3" s="344"/>
      <c r="RNX3" s="344"/>
      <c r="RNY3" s="344"/>
      <c r="RNZ3" s="344"/>
      <c r="ROA3" s="344"/>
      <c r="ROB3" s="344"/>
      <c r="ROC3" s="344"/>
      <c r="ROD3" s="344"/>
      <c r="ROE3" s="344"/>
      <c r="ROF3" s="344"/>
      <c r="ROG3" s="344"/>
      <c r="ROH3" s="344"/>
      <c r="ROI3" s="344"/>
      <c r="ROJ3" s="344"/>
      <c r="ROK3" s="344"/>
      <c r="ROL3" s="344"/>
      <c r="ROM3" s="344"/>
      <c r="RON3" s="344"/>
      <c r="ROO3" s="344"/>
      <c r="ROP3" s="344"/>
      <c r="ROQ3" s="344"/>
      <c r="ROR3" s="344"/>
      <c r="ROS3" s="344"/>
      <c r="ROT3" s="344"/>
      <c r="ROU3" s="344"/>
      <c r="ROV3" s="344"/>
      <c r="ROW3" s="344"/>
      <c r="ROX3" s="344"/>
      <c r="ROY3" s="344"/>
      <c r="ROZ3" s="344"/>
      <c r="RPA3" s="344"/>
      <c r="RPB3" s="344"/>
      <c r="RPC3" s="344"/>
      <c r="RPD3" s="344"/>
      <c r="RPE3" s="344"/>
      <c r="RPF3" s="344"/>
      <c r="RPG3" s="344"/>
      <c r="RPH3" s="344"/>
      <c r="RPI3" s="344"/>
      <c r="RPJ3" s="344"/>
      <c r="RPK3" s="344"/>
      <c r="RPL3" s="344"/>
      <c r="RPM3" s="344"/>
      <c r="RPN3" s="344"/>
      <c r="RPO3" s="344"/>
      <c r="RPP3" s="344"/>
      <c r="RPQ3" s="344"/>
      <c r="RPR3" s="344"/>
      <c r="RPS3" s="344"/>
      <c r="RPT3" s="344"/>
      <c r="RPU3" s="344"/>
      <c r="RPV3" s="344"/>
      <c r="RPW3" s="344"/>
      <c r="RPX3" s="344"/>
      <c r="RPY3" s="344"/>
      <c r="RPZ3" s="344"/>
      <c r="RQA3" s="344"/>
      <c r="RQB3" s="344"/>
      <c r="RQC3" s="344"/>
      <c r="RQD3" s="344"/>
      <c r="RQE3" s="344"/>
      <c r="RQF3" s="344"/>
      <c r="RQG3" s="344"/>
      <c r="RQH3" s="344"/>
      <c r="RQI3" s="344"/>
      <c r="RQJ3" s="344"/>
      <c r="RQK3" s="344"/>
      <c r="RQL3" s="344"/>
      <c r="RQM3" s="344"/>
      <c r="RQN3" s="344"/>
      <c r="RQO3" s="344"/>
      <c r="RQP3" s="344"/>
      <c r="RQQ3" s="344"/>
      <c r="RQR3" s="344"/>
      <c r="RQS3" s="344"/>
      <c r="RQT3" s="344"/>
      <c r="RQU3" s="344"/>
      <c r="RQV3" s="344"/>
      <c r="RQW3" s="344"/>
      <c r="RQX3" s="344"/>
      <c r="RQY3" s="344"/>
      <c r="RQZ3" s="344"/>
      <c r="RRA3" s="344"/>
      <c r="RRB3" s="344"/>
      <c r="RRC3" s="344"/>
      <c r="RRD3" s="344"/>
      <c r="RRE3" s="344"/>
      <c r="RRF3" s="344"/>
      <c r="RRG3" s="344"/>
      <c r="RRH3" s="344"/>
      <c r="RRI3" s="344"/>
      <c r="RRJ3" s="344"/>
      <c r="RRK3" s="344"/>
      <c r="RRL3" s="344"/>
      <c r="RRM3" s="344"/>
      <c r="RRN3" s="344"/>
      <c r="RRO3" s="344"/>
      <c r="RRP3" s="344"/>
      <c r="RRQ3" s="344"/>
      <c r="RRR3" s="344"/>
      <c r="RRS3" s="344"/>
      <c r="RRT3" s="344"/>
      <c r="RRU3" s="344"/>
      <c r="RRV3" s="344"/>
      <c r="RRW3" s="344"/>
      <c r="RRX3" s="344"/>
      <c r="RRY3" s="344"/>
      <c r="RRZ3" s="344"/>
      <c r="RSA3" s="344"/>
      <c r="RSB3" s="344"/>
      <c r="RSC3" s="344"/>
      <c r="RSD3" s="344"/>
      <c r="RSE3" s="344"/>
      <c r="RSF3" s="344"/>
      <c r="RSG3" s="344"/>
      <c r="RSH3" s="344"/>
      <c r="RSI3" s="344"/>
      <c r="RSJ3" s="344"/>
      <c r="RSK3" s="344"/>
      <c r="RSL3" s="344"/>
      <c r="RSM3" s="344"/>
      <c r="RSN3" s="344"/>
      <c r="RSO3" s="344"/>
      <c r="RSP3" s="344"/>
      <c r="RSQ3" s="344"/>
      <c r="RSR3" s="344"/>
      <c r="RSS3" s="344"/>
      <c r="RST3" s="344"/>
      <c r="RSU3" s="344"/>
      <c r="RSV3" s="344"/>
      <c r="RSW3" s="344"/>
      <c r="RSX3" s="344"/>
      <c r="RSY3" s="344"/>
      <c r="RSZ3" s="344"/>
      <c r="RTA3" s="344"/>
      <c r="RTB3" s="344"/>
      <c r="RTC3" s="344"/>
      <c r="RTD3" s="344"/>
      <c r="RTE3" s="344"/>
      <c r="RTF3" s="344"/>
      <c r="RTG3" s="344"/>
      <c r="RTH3" s="344"/>
      <c r="RTI3" s="344"/>
      <c r="RTJ3" s="344"/>
      <c r="RTK3" s="344"/>
      <c r="RTL3" s="344"/>
      <c r="RTM3" s="344"/>
      <c r="RTN3" s="344"/>
      <c r="RTO3" s="344"/>
      <c r="RTP3" s="344"/>
      <c r="RTQ3" s="344"/>
      <c r="RTR3" s="344"/>
      <c r="RTS3" s="344"/>
      <c r="RTT3" s="344"/>
      <c r="RTU3" s="344"/>
      <c r="RTV3" s="344"/>
      <c r="RTW3" s="344"/>
      <c r="RTX3" s="344"/>
      <c r="RTY3" s="344"/>
      <c r="RTZ3" s="344"/>
      <c r="RUA3" s="344"/>
      <c r="RUB3" s="344"/>
      <c r="RUC3" s="344"/>
      <c r="RUD3" s="344"/>
      <c r="RUE3" s="344"/>
      <c r="RUF3" s="344"/>
      <c r="RUG3" s="344"/>
      <c r="RUH3" s="344"/>
      <c r="RUI3" s="344"/>
      <c r="RUJ3" s="344"/>
      <c r="RUK3" s="344"/>
      <c r="RUL3" s="344"/>
      <c r="RUM3" s="344"/>
      <c r="RUN3" s="344"/>
      <c r="RUO3" s="344"/>
      <c r="RUP3" s="344"/>
      <c r="RUQ3" s="344"/>
      <c r="RUR3" s="344"/>
      <c r="RUS3" s="344"/>
      <c r="RUT3" s="344"/>
      <c r="RUU3" s="344"/>
      <c r="RUV3" s="344"/>
      <c r="RUW3" s="344"/>
      <c r="RUX3" s="344"/>
      <c r="RUY3" s="344"/>
      <c r="RUZ3" s="344"/>
      <c r="RVA3" s="344"/>
      <c r="RVB3" s="344"/>
      <c r="RVC3" s="344"/>
      <c r="RVD3" s="344"/>
      <c r="RVE3" s="344"/>
      <c r="RVF3" s="344"/>
      <c r="RVG3" s="344"/>
      <c r="RVH3" s="344"/>
      <c r="RVI3" s="344"/>
      <c r="RVJ3" s="344"/>
      <c r="RVK3" s="344"/>
      <c r="RVL3" s="344"/>
      <c r="RVM3" s="344"/>
      <c r="RVN3" s="344"/>
      <c r="RVO3" s="344"/>
      <c r="RVP3" s="344"/>
      <c r="RVQ3" s="344"/>
      <c r="RVR3" s="344"/>
      <c r="RVS3" s="344"/>
      <c r="RVT3" s="344"/>
      <c r="RVU3" s="344"/>
      <c r="RVV3" s="344"/>
      <c r="RVW3" s="344"/>
      <c r="RVX3" s="344"/>
      <c r="RVY3" s="344"/>
      <c r="RVZ3" s="344"/>
      <c r="RWA3" s="344"/>
      <c r="RWB3" s="344"/>
      <c r="RWC3" s="344"/>
      <c r="RWD3" s="344"/>
      <c r="RWE3" s="344"/>
      <c r="RWF3" s="344"/>
      <c r="RWG3" s="344"/>
      <c r="RWH3" s="344"/>
      <c r="RWI3" s="344"/>
      <c r="RWJ3" s="344"/>
      <c r="RWK3" s="344"/>
      <c r="RWL3" s="344"/>
      <c r="RWM3" s="344"/>
      <c r="RWN3" s="344"/>
      <c r="RWO3" s="344"/>
      <c r="RWP3" s="344"/>
      <c r="RWQ3" s="344"/>
      <c r="RWR3" s="344"/>
      <c r="RWS3" s="344"/>
      <c r="RWT3" s="344"/>
      <c r="RWU3" s="344"/>
      <c r="RWV3" s="344"/>
      <c r="RWW3" s="344"/>
      <c r="RWX3" s="344"/>
      <c r="RWY3" s="344"/>
      <c r="RWZ3" s="344"/>
      <c r="RXA3" s="344"/>
      <c r="RXB3" s="344"/>
      <c r="RXC3" s="344"/>
      <c r="RXD3" s="344"/>
      <c r="RXE3" s="344"/>
      <c r="RXF3" s="344"/>
      <c r="RXG3" s="344"/>
      <c r="RXH3" s="344"/>
      <c r="RXI3" s="344"/>
      <c r="RXJ3" s="344"/>
      <c r="RXK3" s="344"/>
      <c r="RXL3" s="344"/>
      <c r="RXM3" s="344"/>
      <c r="RXN3" s="344"/>
      <c r="RXO3" s="344"/>
      <c r="RXP3" s="344"/>
      <c r="RXQ3" s="344"/>
      <c r="RXR3" s="344"/>
      <c r="RXS3" s="344"/>
      <c r="RXT3" s="344"/>
      <c r="RXU3" s="344"/>
      <c r="RXV3" s="344"/>
      <c r="RXW3" s="344"/>
      <c r="RXX3" s="344"/>
      <c r="RXY3" s="344"/>
      <c r="RXZ3" s="344"/>
      <c r="RYA3" s="344"/>
      <c r="RYB3" s="344"/>
      <c r="RYC3" s="344"/>
      <c r="RYD3" s="344"/>
      <c r="RYE3" s="344"/>
      <c r="RYF3" s="344"/>
      <c r="RYG3" s="344"/>
      <c r="RYH3" s="344"/>
      <c r="RYI3" s="344"/>
      <c r="RYJ3" s="344"/>
      <c r="RYK3" s="344"/>
      <c r="RYL3" s="344"/>
      <c r="RYM3" s="344"/>
      <c r="RYN3" s="344"/>
      <c r="RYO3" s="344"/>
      <c r="RYP3" s="344"/>
      <c r="RYQ3" s="344"/>
      <c r="RYR3" s="344"/>
      <c r="RYS3" s="344"/>
      <c r="RYT3" s="344"/>
      <c r="RYU3" s="344"/>
      <c r="RYV3" s="344"/>
      <c r="RYW3" s="344"/>
      <c r="RYX3" s="344"/>
      <c r="RYY3" s="344"/>
      <c r="RYZ3" s="344"/>
      <c r="RZA3" s="344"/>
      <c r="RZB3" s="344"/>
      <c r="RZC3" s="344"/>
      <c r="RZD3" s="344"/>
      <c r="RZE3" s="344"/>
      <c r="RZF3" s="344"/>
      <c r="RZG3" s="344"/>
      <c r="RZH3" s="344"/>
      <c r="RZI3" s="344"/>
      <c r="RZJ3" s="344"/>
      <c r="RZK3" s="344"/>
      <c r="RZL3" s="344"/>
      <c r="RZM3" s="344"/>
      <c r="RZN3" s="344"/>
      <c r="RZO3" s="344"/>
      <c r="RZP3" s="344"/>
      <c r="RZQ3" s="344"/>
      <c r="RZR3" s="344"/>
      <c r="RZS3" s="344"/>
      <c r="RZT3" s="344"/>
      <c r="RZU3" s="344"/>
      <c r="RZV3" s="344"/>
      <c r="RZW3" s="344"/>
      <c r="RZX3" s="344"/>
      <c r="RZY3" s="344"/>
      <c r="RZZ3" s="344"/>
      <c r="SAA3" s="344"/>
      <c r="SAB3" s="344"/>
      <c r="SAC3" s="344"/>
      <c r="SAD3" s="344"/>
      <c r="SAE3" s="344"/>
      <c r="SAF3" s="344"/>
      <c r="SAG3" s="344"/>
      <c r="SAH3" s="344"/>
      <c r="SAI3" s="344"/>
      <c r="SAJ3" s="344"/>
      <c r="SAK3" s="344"/>
      <c r="SAL3" s="344"/>
      <c r="SAM3" s="344"/>
      <c r="SAN3" s="344"/>
      <c r="SAO3" s="344"/>
      <c r="SAP3" s="344"/>
      <c r="SAQ3" s="344"/>
      <c r="SAR3" s="344"/>
      <c r="SAS3" s="344"/>
      <c r="SAT3" s="344"/>
      <c r="SAU3" s="344"/>
      <c r="SAV3" s="344"/>
      <c r="SAW3" s="344"/>
      <c r="SAX3" s="344"/>
      <c r="SAY3" s="344"/>
      <c r="SAZ3" s="344"/>
      <c r="SBA3" s="344"/>
      <c r="SBB3" s="344"/>
      <c r="SBC3" s="344"/>
      <c r="SBD3" s="344"/>
      <c r="SBE3" s="344"/>
      <c r="SBF3" s="344"/>
      <c r="SBG3" s="344"/>
      <c r="SBH3" s="344"/>
      <c r="SBI3" s="344"/>
      <c r="SBJ3" s="344"/>
      <c r="SBK3" s="344"/>
      <c r="SBL3" s="344"/>
      <c r="SBM3" s="344"/>
      <c r="SBN3" s="344"/>
      <c r="SBO3" s="344"/>
      <c r="SBP3" s="344"/>
      <c r="SBQ3" s="344"/>
      <c r="SBR3" s="344"/>
      <c r="SBS3" s="344"/>
      <c r="SBT3" s="344"/>
      <c r="SBU3" s="344"/>
      <c r="SBV3" s="344"/>
      <c r="SBW3" s="344"/>
      <c r="SBX3" s="344"/>
      <c r="SBY3" s="344"/>
      <c r="SBZ3" s="344"/>
      <c r="SCA3" s="344"/>
      <c r="SCB3" s="344"/>
      <c r="SCC3" s="344"/>
      <c r="SCD3" s="344"/>
      <c r="SCE3" s="344"/>
      <c r="SCF3" s="344"/>
      <c r="SCG3" s="344"/>
      <c r="SCH3" s="344"/>
      <c r="SCI3" s="344"/>
      <c r="SCJ3" s="344"/>
      <c r="SCK3" s="344"/>
      <c r="SCL3" s="344"/>
      <c r="SCM3" s="344"/>
      <c r="SCN3" s="344"/>
      <c r="SCO3" s="344"/>
      <c r="SCP3" s="344"/>
      <c r="SCQ3" s="344"/>
      <c r="SCR3" s="344"/>
      <c r="SCS3" s="344"/>
      <c r="SCT3" s="344"/>
      <c r="SCU3" s="344"/>
      <c r="SCV3" s="344"/>
      <c r="SCW3" s="344"/>
      <c r="SCX3" s="344"/>
      <c r="SCY3" s="344"/>
      <c r="SCZ3" s="344"/>
      <c r="SDA3" s="344"/>
      <c r="SDB3" s="344"/>
      <c r="SDC3" s="344"/>
      <c r="SDD3" s="344"/>
      <c r="SDE3" s="344"/>
      <c r="SDF3" s="344"/>
      <c r="SDG3" s="344"/>
      <c r="SDH3" s="344"/>
      <c r="SDI3" s="344"/>
      <c r="SDJ3" s="344"/>
      <c r="SDK3" s="344"/>
      <c r="SDL3" s="344"/>
      <c r="SDM3" s="344"/>
      <c r="SDN3" s="344"/>
      <c r="SDO3" s="344"/>
      <c r="SDP3" s="344"/>
      <c r="SDQ3" s="344"/>
      <c r="SDR3" s="344"/>
      <c r="SDS3" s="344"/>
      <c r="SDT3" s="344"/>
      <c r="SDU3" s="344"/>
      <c r="SDV3" s="344"/>
      <c r="SDW3" s="344"/>
      <c r="SDX3" s="344"/>
      <c r="SDY3" s="344"/>
      <c r="SDZ3" s="344"/>
      <c r="SEA3" s="344"/>
      <c r="SEB3" s="344"/>
      <c r="SEC3" s="344"/>
      <c r="SED3" s="344"/>
      <c r="SEE3" s="344"/>
      <c r="SEF3" s="344"/>
      <c r="SEG3" s="344"/>
      <c r="SEH3" s="344"/>
      <c r="SEI3" s="344"/>
      <c r="SEJ3" s="344"/>
      <c r="SEK3" s="344"/>
      <c r="SEL3" s="344"/>
      <c r="SEM3" s="344"/>
      <c r="SEN3" s="344"/>
      <c r="SEO3" s="344"/>
      <c r="SEP3" s="344"/>
      <c r="SEQ3" s="344"/>
      <c r="SER3" s="344"/>
      <c r="SES3" s="344"/>
      <c r="SET3" s="344"/>
      <c r="SEU3" s="344"/>
      <c r="SEV3" s="344"/>
      <c r="SEW3" s="344"/>
      <c r="SEX3" s="344"/>
      <c r="SEY3" s="344"/>
      <c r="SEZ3" s="344"/>
      <c r="SFA3" s="344"/>
      <c r="SFB3" s="344"/>
      <c r="SFC3" s="344"/>
      <c r="SFD3" s="344"/>
      <c r="SFE3" s="344"/>
      <c r="SFF3" s="344"/>
      <c r="SFG3" s="344"/>
      <c r="SFH3" s="344"/>
      <c r="SFI3" s="344"/>
      <c r="SFJ3" s="344"/>
      <c r="SFK3" s="344"/>
      <c r="SFL3" s="344"/>
      <c r="SFM3" s="344"/>
      <c r="SFN3" s="344"/>
      <c r="SFO3" s="344"/>
      <c r="SFP3" s="344"/>
      <c r="SFQ3" s="344"/>
      <c r="SFR3" s="344"/>
      <c r="SFS3" s="344"/>
      <c r="SFT3" s="344"/>
      <c r="SFU3" s="344"/>
      <c r="SFV3" s="344"/>
      <c r="SFW3" s="344"/>
      <c r="SFX3" s="344"/>
      <c r="SFY3" s="344"/>
      <c r="SFZ3" s="344"/>
      <c r="SGA3" s="344"/>
      <c r="SGB3" s="344"/>
      <c r="SGC3" s="344"/>
      <c r="SGD3" s="344"/>
      <c r="SGE3" s="344"/>
      <c r="SGF3" s="344"/>
      <c r="SGG3" s="344"/>
      <c r="SGH3" s="344"/>
      <c r="SGI3" s="344"/>
      <c r="SGJ3" s="344"/>
      <c r="SGK3" s="344"/>
      <c r="SGL3" s="344"/>
      <c r="SGM3" s="344"/>
      <c r="SGN3" s="344"/>
      <c r="SGO3" s="344"/>
      <c r="SGP3" s="344"/>
      <c r="SGQ3" s="344"/>
      <c r="SGR3" s="344"/>
      <c r="SGS3" s="344"/>
      <c r="SGT3" s="344"/>
      <c r="SGU3" s="344"/>
      <c r="SGV3" s="344"/>
      <c r="SGW3" s="344"/>
      <c r="SGX3" s="344"/>
      <c r="SGY3" s="344"/>
      <c r="SGZ3" s="344"/>
      <c r="SHA3" s="344"/>
      <c r="SHB3" s="344"/>
      <c r="SHC3" s="344"/>
      <c r="SHD3" s="344"/>
      <c r="SHE3" s="344"/>
      <c r="SHF3" s="344"/>
      <c r="SHG3" s="344"/>
      <c r="SHH3" s="344"/>
      <c r="SHI3" s="344"/>
      <c r="SHJ3" s="344"/>
      <c r="SHK3" s="344"/>
      <c r="SHL3" s="344"/>
      <c r="SHM3" s="344"/>
      <c r="SHN3" s="344"/>
      <c r="SHO3" s="344"/>
      <c r="SHP3" s="344"/>
      <c r="SHQ3" s="344"/>
      <c r="SHR3" s="344"/>
      <c r="SHS3" s="344"/>
      <c r="SHT3" s="344"/>
      <c r="SHU3" s="344"/>
      <c r="SHV3" s="344"/>
      <c r="SHW3" s="344"/>
      <c r="SHX3" s="344"/>
      <c r="SHY3" s="344"/>
      <c r="SHZ3" s="344"/>
      <c r="SIA3" s="344"/>
      <c r="SIB3" s="344"/>
      <c r="SIC3" s="344"/>
      <c r="SID3" s="344"/>
      <c r="SIE3" s="344"/>
      <c r="SIF3" s="344"/>
      <c r="SIG3" s="344"/>
      <c r="SIH3" s="344"/>
      <c r="SII3" s="344"/>
      <c r="SIJ3" s="344"/>
      <c r="SIK3" s="344"/>
      <c r="SIL3" s="344"/>
      <c r="SIM3" s="344"/>
      <c r="SIN3" s="344"/>
      <c r="SIO3" s="344"/>
      <c r="SIP3" s="344"/>
      <c r="SIQ3" s="344"/>
      <c r="SIR3" s="344"/>
      <c r="SIS3" s="344"/>
      <c r="SIT3" s="344"/>
      <c r="SIU3" s="344"/>
      <c r="SIV3" s="344"/>
      <c r="SIW3" s="344"/>
      <c r="SIX3" s="344"/>
      <c r="SIY3" s="344"/>
      <c r="SIZ3" s="344"/>
      <c r="SJA3" s="344"/>
      <c r="SJB3" s="344"/>
      <c r="SJC3" s="344"/>
      <c r="SJD3" s="344"/>
      <c r="SJE3" s="344"/>
      <c r="SJF3" s="344"/>
      <c r="SJG3" s="344"/>
      <c r="SJH3" s="344"/>
      <c r="SJI3" s="344"/>
      <c r="SJJ3" s="344"/>
      <c r="SJK3" s="344"/>
      <c r="SJL3" s="344"/>
      <c r="SJM3" s="344"/>
      <c r="SJN3" s="344"/>
      <c r="SJO3" s="344"/>
      <c r="SJP3" s="344"/>
      <c r="SJQ3" s="344"/>
      <c r="SJR3" s="344"/>
      <c r="SJS3" s="344"/>
      <c r="SJT3" s="344"/>
      <c r="SJU3" s="344"/>
      <c r="SJV3" s="344"/>
      <c r="SJW3" s="344"/>
      <c r="SJX3" s="344"/>
      <c r="SJY3" s="344"/>
      <c r="SJZ3" s="344"/>
      <c r="SKA3" s="344"/>
      <c r="SKB3" s="344"/>
      <c r="SKC3" s="344"/>
      <c r="SKD3" s="344"/>
      <c r="SKE3" s="344"/>
      <c r="SKF3" s="344"/>
      <c r="SKG3" s="344"/>
      <c r="SKH3" s="344"/>
      <c r="SKI3" s="344"/>
      <c r="SKJ3" s="344"/>
      <c r="SKK3" s="344"/>
      <c r="SKL3" s="344"/>
      <c r="SKM3" s="344"/>
      <c r="SKN3" s="344"/>
      <c r="SKO3" s="344"/>
      <c r="SKP3" s="344"/>
      <c r="SKQ3" s="344"/>
      <c r="SKR3" s="344"/>
      <c r="SKS3" s="344"/>
      <c r="SKT3" s="344"/>
      <c r="SKU3" s="344"/>
      <c r="SKV3" s="344"/>
      <c r="SKW3" s="344"/>
      <c r="SKX3" s="344"/>
      <c r="SKY3" s="344"/>
      <c r="SKZ3" s="344"/>
      <c r="SLA3" s="344"/>
      <c r="SLB3" s="344"/>
      <c r="SLC3" s="344"/>
      <c r="SLD3" s="344"/>
      <c r="SLE3" s="344"/>
      <c r="SLF3" s="344"/>
      <c r="SLG3" s="344"/>
      <c r="SLH3" s="344"/>
      <c r="SLI3" s="344"/>
      <c r="SLJ3" s="344"/>
      <c r="SLK3" s="344"/>
      <c r="SLL3" s="344"/>
      <c r="SLM3" s="344"/>
      <c r="SLN3" s="344"/>
      <c r="SLO3" s="344"/>
      <c r="SLP3" s="344"/>
      <c r="SLQ3" s="344"/>
      <c r="SLR3" s="344"/>
      <c r="SLS3" s="344"/>
      <c r="SLT3" s="344"/>
      <c r="SLU3" s="344"/>
      <c r="SLV3" s="344"/>
      <c r="SLW3" s="344"/>
      <c r="SLX3" s="344"/>
      <c r="SLY3" s="344"/>
      <c r="SLZ3" s="344"/>
      <c r="SMA3" s="344"/>
      <c r="SMB3" s="344"/>
      <c r="SMC3" s="344"/>
      <c r="SMD3" s="344"/>
      <c r="SME3" s="344"/>
      <c r="SMF3" s="344"/>
      <c r="SMG3" s="344"/>
      <c r="SMH3" s="344"/>
      <c r="SMI3" s="344"/>
      <c r="SMJ3" s="344"/>
      <c r="SMK3" s="344"/>
      <c r="SML3" s="344"/>
      <c r="SMM3" s="344"/>
      <c r="SMN3" s="344"/>
      <c r="SMO3" s="344"/>
      <c r="SMP3" s="344"/>
      <c r="SMQ3" s="344"/>
      <c r="SMR3" s="344"/>
      <c r="SMS3" s="344"/>
      <c r="SMT3" s="344"/>
      <c r="SMU3" s="344"/>
      <c r="SMV3" s="344"/>
      <c r="SMW3" s="344"/>
      <c r="SMX3" s="344"/>
      <c r="SMY3" s="344"/>
      <c r="SMZ3" s="344"/>
      <c r="SNA3" s="344"/>
      <c r="SNB3" s="344"/>
      <c r="SNC3" s="344"/>
      <c r="SND3" s="344"/>
      <c r="SNE3" s="344"/>
      <c r="SNF3" s="344"/>
      <c r="SNG3" s="344"/>
      <c r="SNH3" s="344"/>
      <c r="SNI3" s="344"/>
      <c r="SNJ3" s="344"/>
      <c r="SNK3" s="344"/>
      <c r="SNL3" s="344"/>
      <c r="SNM3" s="344"/>
      <c r="SNN3" s="344"/>
      <c r="SNO3" s="344"/>
      <c r="SNP3" s="344"/>
      <c r="SNQ3" s="344"/>
      <c r="SNR3" s="344"/>
      <c r="SNS3" s="344"/>
      <c r="SNT3" s="344"/>
      <c r="SNU3" s="344"/>
      <c r="SNV3" s="344"/>
      <c r="SNW3" s="344"/>
      <c r="SNX3" s="344"/>
      <c r="SNY3" s="344"/>
      <c r="SNZ3" s="344"/>
      <c r="SOA3" s="344"/>
      <c r="SOB3" s="344"/>
      <c r="SOC3" s="344"/>
      <c r="SOD3" s="344"/>
      <c r="SOE3" s="344"/>
      <c r="SOF3" s="344"/>
      <c r="SOG3" s="344"/>
      <c r="SOH3" s="344"/>
      <c r="SOI3" s="344"/>
      <c r="SOJ3" s="344"/>
      <c r="SOK3" s="344"/>
      <c r="SOL3" s="344"/>
      <c r="SOM3" s="344"/>
      <c r="SON3" s="344"/>
      <c r="SOO3" s="344"/>
      <c r="SOP3" s="344"/>
      <c r="SOQ3" s="344"/>
      <c r="SOR3" s="344"/>
      <c r="SOS3" s="344"/>
      <c r="SOT3" s="344"/>
      <c r="SOU3" s="344"/>
      <c r="SOV3" s="344"/>
      <c r="SOW3" s="344"/>
      <c r="SOX3" s="344"/>
      <c r="SOY3" s="344"/>
      <c r="SOZ3" s="344"/>
      <c r="SPA3" s="344"/>
      <c r="SPB3" s="344"/>
      <c r="SPC3" s="344"/>
      <c r="SPD3" s="344"/>
      <c r="SPE3" s="344"/>
      <c r="SPF3" s="344"/>
      <c r="SPG3" s="344"/>
      <c r="SPH3" s="344"/>
      <c r="SPI3" s="344"/>
      <c r="SPJ3" s="344"/>
      <c r="SPK3" s="344"/>
      <c r="SPL3" s="344"/>
      <c r="SPM3" s="344"/>
      <c r="SPN3" s="344"/>
      <c r="SPO3" s="344"/>
      <c r="SPP3" s="344"/>
      <c r="SPQ3" s="344"/>
      <c r="SPR3" s="344"/>
      <c r="SPS3" s="344"/>
      <c r="SPT3" s="344"/>
      <c r="SPU3" s="344"/>
      <c r="SPV3" s="344"/>
      <c r="SPW3" s="344"/>
      <c r="SPX3" s="344"/>
      <c r="SPY3" s="344"/>
      <c r="SPZ3" s="344"/>
      <c r="SQA3" s="344"/>
      <c r="SQB3" s="344"/>
      <c r="SQC3" s="344"/>
      <c r="SQD3" s="344"/>
      <c r="SQE3" s="344"/>
      <c r="SQF3" s="344"/>
      <c r="SQG3" s="344"/>
      <c r="SQH3" s="344"/>
      <c r="SQI3" s="344"/>
      <c r="SQJ3" s="344"/>
      <c r="SQK3" s="344"/>
      <c r="SQL3" s="344"/>
      <c r="SQM3" s="344"/>
      <c r="SQN3" s="344"/>
      <c r="SQO3" s="344"/>
      <c r="SQP3" s="344"/>
      <c r="SQQ3" s="344"/>
      <c r="SQR3" s="344"/>
      <c r="SQS3" s="344"/>
      <c r="SQT3" s="344"/>
      <c r="SQU3" s="344"/>
      <c r="SQV3" s="344"/>
      <c r="SQW3" s="344"/>
      <c r="SQX3" s="344"/>
      <c r="SQY3" s="344"/>
      <c r="SQZ3" s="344"/>
      <c r="SRA3" s="344"/>
      <c r="SRB3" s="344"/>
      <c r="SRC3" s="344"/>
      <c r="SRD3" s="344"/>
      <c r="SRE3" s="344"/>
      <c r="SRF3" s="344"/>
      <c r="SRG3" s="344"/>
      <c r="SRH3" s="344"/>
      <c r="SRI3" s="344"/>
      <c r="SRJ3" s="344"/>
      <c r="SRK3" s="344"/>
      <c r="SRL3" s="344"/>
      <c r="SRM3" s="344"/>
      <c r="SRN3" s="344"/>
      <c r="SRO3" s="344"/>
      <c r="SRP3" s="344"/>
      <c r="SRQ3" s="344"/>
      <c r="SRR3" s="344"/>
      <c r="SRS3" s="344"/>
      <c r="SRT3" s="344"/>
      <c r="SRU3" s="344"/>
      <c r="SRV3" s="344"/>
      <c r="SRW3" s="344"/>
      <c r="SRX3" s="344"/>
      <c r="SRY3" s="344"/>
      <c r="SRZ3" s="344"/>
      <c r="SSA3" s="344"/>
      <c r="SSB3" s="344"/>
      <c r="SSC3" s="344"/>
      <c r="SSD3" s="344"/>
      <c r="SSE3" s="344"/>
      <c r="SSF3" s="344"/>
      <c r="SSG3" s="344"/>
      <c r="SSH3" s="344"/>
      <c r="SSI3" s="344"/>
      <c r="SSJ3" s="344"/>
      <c r="SSK3" s="344"/>
      <c r="SSL3" s="344"/>
      <c r="SSM3" s="344"/>
      <c r="SSN3" s="344"/>
      <c r="SSO3" s="344"/>
      <c r="SSP3" s="344"/>
      <c r="SSQ3" s="344"/>
      <c r="SSR3" s="344"/>
      <c r="SSS3" s="344"/>
      <c r="SST3" s="344"/>
      <c r="SSU3" s="344"/>
      <c r="SSV3" s="344"/>
      <c r="SSW3" s="344"/>
      <c r="SSX3" s="344"/>
      <c r="SSY3" s="344"/>
      <c r="SSZ3" s="344"/>
      <c r="STA3" s="344"/>
      <c r="STB3" s="344"/>
      <c r="STC3" s="344"/>
      <c r="STD3" s="344"/>
      <c r="STE3" s="344"/>
      <c r="STF3" s="344"/>
      <c r="STG3" s="344"/>
      <c r="STH3" s="344"/>
      <c r="STI3" s="344"/>
      <c r="STJ3" s="344"/>
      <c r="STK3" s="344"/>
      <c r="STL3" s="344"/>
      <c r="STM3" s="344"/>
      <c r="STN3" s="344"/>
      <c r="STO3" s="344"/>
      <c r="STP3" s="344"/>
      <c r="STQ3" s="344"/>
      <c r="STR3" s="344"/>
      <c r="STS3" s="344"/>
      <c r="STT3" s="344"/>
      <c r="STU3" s="344"/>
      <c r="STV3" s="344"/>
      <c r="STW3" s="344"/>
      <c r="STX3" s="344"/>
      <c r="STY3" s="344"/>
      <c r="STZ3" s="344"/>
      <c r="SUA3" s="344"/>
      <c r="SUB3" s="344"/>
      <c r="SUC3" s="344"/>
      <c r="SUD3" s="344"/>
      <c r="SUE3" s="344"/>
      <c r="SUF3" s="344"/>
      <c r="SUG3" s="344"/>
      <c r="SUH3" s="344"/>
      <c r="SUI3" s="344"/>
      <c r="SUJ3" s="344"/>
      <c r="SUK3" s="344"/>
      <c r="SUL3" s="344"/>
      <c r="SUM3" s="344"/>
      <c r="SUN3" s="344"/>
      <c r="SUO3" s="344"/>
      <c r="SUP3" s="344"/>
      <c r="SUQ3" s="344"/>
      <c r="SUR3" s="344"/>
      <c r="SUS3" s="344"/>
      <c r="SUT3" s="344"/>
      <c r="SUU3" s="344"/>
      <c r="SUV3" s="344"/>
      <c r="SUW3" s="344"/>
      <c r="SUX3" s="344"/>
      <c r="SUY3" s="344"/>
      <c r="SUZ3" s="344"/>
      <c r="SVA3" s="344"/>
      <c r="SVB3" s="344"/>
      <c r="SVC3" s="344"/>
      <c r="SVD3" s="344"/>
      <c r="SVE3" s="344"/>
      <c r="SVF3" s="344"/>
      <c r="SVG3" s="344"/>
      <c r="SVH3" s="344"/>
      <c r="SVI3" s="344"/>
      <c r="SVJ3" s="344"/>
      <c r="SVK3" s="344"/>
      <c r="SVL3" s="344"/>
      <c r="SVM3" s="344"/>
      <c r="SVN3" s="344"/>
      <c r="SVO3" s="344"/>
      <c r="SVP3" s="344"/>
      <c r="SVQ3" s="344"/>
      <c r="SVR3" s="344"/>
      <c r="SVS3" s="344"/>
      <c r="SVT3" s="344"/>
      <c r="SVU3" s="344"/>
      <c r="SVV3" s="344"/>
      <c r="SVW3" s="344"/>
      <c r="SVX3" s="344"/>
      <c r="SVY3" s="344"/>
      <c r="SVZ3" s="344"/>
      <c r="SWA3" s="344"/>
      <c r="SWB3" s="344"/>
      <c r="SWC3" s="344"/>
      <c r="SWD3" s="344"/>
      <c r="SWE3" s="344"/>
      <c r="SWF3" s="344"/>
      <c r="SWG3" s="344"/>
      <c r="SWH3" s="344"/>
      <c r="SWI3" s="344"/>
      <c r="SWJ3" s="344"/>
      <c r="SWK3" s="344"/>
      <c r="SWL3" s="344"/>
      <c r="SWM3" s="344"/>
      <c r="SWN3" s="344"/>
      <c r="SWO3" s="344"/>
      <c r="SWP3" s="344"/>
      <c r="SWQ3" s="344"/>
      <c r="SWR3" s="344"/>
      <c r="SWS3" s="344"/>
      <c r="SWT3" s="344"/>
      <c r="SWU3" s="344"/>
      <c r="SWV3" s="344"/>
      <c r="SWW3" s="344"/>
      <c r="SWX3" s="344"/>
      <c r="SWY3" s="344"/>
      <c r="SWZ3" s="344"/>
      <c r="SXA3" s="344"/>
      <c r="SXB3" s="344"/>
      <c r="SXC3" s="344"/>
      <c r="SXD3" s="344"/>
      <c r="SXE3" s="344"/>
      <c r="SXF3" s="344"/>
      <c r="SXG3" s="344"/>
      <c r="SXH3" s="344"/>
      <c r="SXI3" s="344"/>
      <c r="SXJ3" s="344"/>
      <c r="SXK3" s="344"/>
      <c r="SXL3" s="344"/>
      <c r="SXM3" s="344"/>
      <c r="SXN3" s="344"/>
      <c r="SXO3" s="344"/>
      <c r="SXP3" s="344"/>
      <c r="SXQ3" s="344"/>
      <c r="SXR3" s="344"/>
      <c r="SXS3" s="344"/>
      <c r="SXT3" s="344"/>
      <c r="SXU3" s="344"/>
      <c r="SXV3" s="344"/>
      <c r="SXW3" s="344"/>
      <c r="SXX3" s="344"/>
      <c r="SXY3" s="344"/>
      <c r="SXZ3" s="344"/>
      <c r="SYA3" s="344"/>
      <c r="SYB3" s="344"/>
      <c r="SYC3" s="344"/>
      <c r="SYD3" s="344"/>
      <c r="SYE3" s="344"/>
      <c r="SYF3" s="344"/>
      <c r="SYG3" s="344"/>
      <c r="SYH3" s="344"/>
      <c r="SYI3" s="344"/>
      <c r="SYJ3" s="344"/>
      <c r="SYK3" s="344"/>
      <c r="SYL3" s="344"/>
      <c r="SYM3" s="344"/>
      <c r="SYN3" s="344"/>
      <c r="SYO3" s="344"/>
      <c r="SYP3" s="344"/>
      <c r="SYQ3" s="344"/>
      <c r="SYR3" s="344"/>
      <c r="SYS3" s="344"/>
      <c r="SYT3" s="344"/>
      <c r="SYU3" s="344"/>
      <c r="SYV3" s="344"/>
      <c r="SYW3" s="344"/>
      <c r="SYX3" s="344"/>
      <c r="SYY3" s="344"/>
      <c r="SYZ3" s="344"/>
      <c r="SZA3" s="344"/>
      <c r="SZB3" s="344"/>
      <c r="SZC3" s="344"/>
      <c r="SZD3" s="344"/>
      <c r="SZE3" s="344"/>
      <c r="SZF3" s="344"/>
      <c r="SZG3" s="344"/>
      <c r="SZH3" s="344"/>
      <c r="SZI3" s="344"/>
      <c r="SZJ3" s="344"/>
      <c r="SZK3" s="344"/>
      <c r="SZL3" s="344"/>
      <c r="SZM3" s="344"/>
      <c r="SZN3" s="344"/>
      <c r="SZO3" s="344"/>
      <c r="SZP3" s="344"/>
      <c r="SZQ3" s="344"/>
      <c r="SZR3" s="344"/>
      <c r="SZS3" s="344"/>
      <c r="SZT3" s="344"/>
      <c r="SZU3" s="344"/>
      <c r="SZV3" s="344"/>
      <c r="SZW3" s="344"/>
      <c r="SZX3" s="344"/>
      <c r="SZY3" s="344"/>
      <c r="SZZ3" s="344"/>
      <c r="TAA3" s="344"/>
      <c r="TAB3" s="344"/>
      <c r="TAC3" s="344"/>
      <c r="TAD3" s="344"/>
      <c r="TAE3" s="344"/>
      <c r="TAF3" s="344"/>
      <c r="TAG3" s="344"/>
      <c r="TAH3" s="344"/>
      <c r="TAI3" s="344"/>
      <c r="TAJ3" s="344"/>
      <c r="TAK3" s="344"/>
      <c r="TAL3" s="344"/>
      <c r="TAM3" s="344"/>
      <c r="TAN3" s="344"/>
      <c r="TAO3" s="344"/>
      <c r="TAP3" s="344"/>
      <c r="TAQ3" s="344"/>
      <c r="TAR3" s="344"/>
      <c r="TAS3" s="344"/>
      <c r="TAT3" s="344"/>
      <c r="TAU3" s="344"/>
      <c r="TAV3" s="344"/>
      <c r="TAW3" s="344"/>
      <c r="TAX3" s="344"/>
      <c r="TAY3" s="344"/>
      <c r="TAZ3" s="344"/>
      <c r="TBA3" s="344"/>
      <c r="TBB3" s="344"/>
      <c r="TBC3" s="344"/>
      <c r="TBD3" s="344"/>
      <c r="TBE3" s="344"/>
      <c r="TBF3" s="344"/>
      <c r="TBG3" s="344"/>
      <c r="TBH3" s="344"/>
      <c r="TBI3" s="344"/>
      <c r="TBJ3" s="344"/>
      <c r="TBK3" s="344"/>
      <c r="TBL3" s="344"/>
      <c r="TBM3" s="344"/>
      <c r="TBN3" s="344"/>
      <c r="TBO3" s="344"/>
      <c r="TBP3" s="344"/>
      <c r="TBQ3" s="344"/>
      <c r="TBR3" s="344"/>
      <c r="TBS3" s="344"/>
      <c r="TBT3" s="344"/>
      <c r="TBU3" s="344"/>
      <c r="TBV3" s="344"/>
      <c r="TBW3" s="344"/>
      <c r="TBX3" s="344"/>
      <c r="TBY3" s="344"/>
      <c r="TBZ3" s="344"/>
      <c r="TCA3" s="344"/>
      <c r="TCB3" s="344"/>
      <c r="TCC3" s="344"/>
      <c r="TCD3" s="344"/>
      <c r="TCE3" s="344"/>
      <c r="TCF3" s="344"/>
      <c r="TCG3" s="344"/>
      <c r="TCH3" s="344"/>
      <c r="TCI3" s="344"/>
      <c r="TCJ3" s="344"/>
      <c r="TCK3" s="344"/>
      <c r="TCL3" s="344"/>
      <c r="TCM3" s="344"/>
      <c r="TCN3" s="344"/>
      <c r="TCO3" s="344"/>
      <c r="TCP3" s="344"/>
      <c r="TCQ3" s="344"/>
      <c r="TCR3" s="344"/>
      <c r="TCS3" s="344"/>
      <c r="TCT3" s="344"/>
      <c r="TCU3" s="344"/>
      <c r="TCV3" s="344"/>
      <c r="TCW3" s="344"/>
      <c r="TCX3" s="344"/>
      <c r="TCY3" s="344"/>
      <c r="TCZ3" s="344"/>
      <c r="TDA3" s="344"/>
      <c r="TDB3" s="344"/>
      <c r="TDC3" s="344"/>
      <c r="TDD3" s="344"/>
      <c r="TDE3" s="344"/>
      <c r="TDF3" s="344"/>
      <c r="TDG3" s="344"/>
      <c r="TDH3" s="344"/>
      <c r="TDI3" s="344"/>
      <c r="TDJ3" s="344"/>
      <c r="TDK3" s="344"/>
      <c r="TDL3" s="344"/>
      <c r="TDM3" s="344"/>
      <c r="TDN3" s="344"/>
      <c r="TDO3" s="344"/>
      <c r="TDP3" s="344"/>
      <c r="TDQ3" s="344"/>
      <c r="TDR3" s="344"/>
      <c r="TDS3" s="344"/>
      <c r="TDT3" s="344"/>
      <c r="TDU3" s="344"/>
      <c r="TDV3" s="344"/>
      <c r="TDW3" s="344"/>
      <c r="TDX3" s="344"/>
      <c r="TDY3" s="344"/>
      <c r="TDZ3" s="344"/>
      <c r="TEA3" s="344"/>
      <c r="TEB3" s="344"/>
      <c r="TEC3" s="344"/>
      <c r="TED3" s="344"/>
      <c r="TEE3" s="344"/>
      <c r="TEF3" s="344"/>
      <c r="TEG3" s="344"/>
      <c r="TEH3" s="344"/>
      <c r="TEI3" s="344"/>
      <c r="TEJ3" s="344"/>
      <c r="TEK3" s="344"/>
      <c r="TEL3" s="344"/>
      <c r="TEM3" s="344"/>
      <c r="TEN3" s="344"/>
      <c r="TEO3" s="344"/>
      <c r="TEP3" s="344"/>
      <c r="TEQ3" s="344"/>
      <c r="TER3" s="344"/>
      <c r="TES3" s="344"/>
      <c r="TET3" s="344"/>
      <c r="TEU3" s="344"/>
      <c r="TEV3" s="344"/>
      <c r="TEW3" s="344"/>
      <c r="TEX3" s="344"/>
      <c r="TEY3" s="344"/>
      <c r="TEZ3" s="344"/>
      <c r="TFA3" s="344"/>
      <c r="TFB3" s="344"/>
      <c r="TFC3" s="344"/>
      <c r="TFD3" s="344"/>
      <c r="TFE3" s="344"/>
      <c r="TFF3" s="344"/>
      <c r="TFG3" s="344"/>
      <c r="TFH3" s="344"/>
      <c r="TFI3" s="344"/>
      <c r="TFJ3" s="344"/>
      <c r="TFK3" s="344"/>
      <c r="TFL3" s="344"/>
      <c r="TFM3" s="344"/>
      <c r="TFN3" s="344"/>
      <c r="TFO3" s="344"/>
      <c r="TFP3" s="344"/>
      <c r="TFQ3" s="344"/>
      <c r="TFR3" s="344"/>
      <c r="TFS3" s="344"/>
      <c r="TFT3" s="344"/>
      <c r="TFU3" s="344"/>
      <c r="TFV3" s="344"/>
      <c r="TFW3" s="344"/>
      <c r="TFX3" s="344"/>
      <c r="TFY3" s="344"/>
      <c r="TFZ3" s="344"/>
      <c r="TGA3" s="344"/>
      <c r="TGB3" s="344"/>
      <c r="TGC3" s="344"/>
      <c r="TGD3" s="344"/>
      <c r="TGE3" s="344"/>
      <c r="TGF3" s="344"/>
      <c r="TGG3" s="344"/>
      <c r="TGH3" s="344"/>
      <c r="TGI3" s="344"/>
      <c r="TGJ3" s="344"/>
      <c r="TGK3" s="344"/>
      <c r="TGL3" s="344"/>
      <c r="TGM3" s="344"/>
      <c r="TGN3" s="344"/>
      <c r="TGO3" s="344"/>
      <c r="TGP3" s="344"/>
      <c r="TGQ3" s="344"/>
      <c r="TGR3" s="344"/>
      <c r="TGS3" s="344"/>
      <c r="TGT3" s="344"/>
      <c r="TGU3" s="344"/>
      <c r="TGV3" s="344"/>
      <c r="TGW3" s="344"/>
      <c r="TGX3" s="344"/>
      <c r="TGY3" s="344"/>
      <c r="TGZ3" s="344"/>
      <c r="THA3" s="344"/>
      <c r="THB3" s="344"/>
      <c r="THC3" s="344"/>
      <c r="THD3" s="344"/>
      <c r="THE3" s="344"/>
      <c r="THF3" s="344"/>
      <c r="THG3" s="344"/>
      <c r="THH3" s="344"/>
      <c r="THI3" s="344"/>
      <c r="THJ3" s="344"/>
      <c r="THK3" s="344"/>
      <c r="THL3" s="344"/>
      <c r="THM3" s="344"/>
      <c r="THN3" s="344"/>
      <c r="THO3" s="344"/>
      <c r="THP3" s="344"/>
      <c r="THQ3" s="344"/>
      <c r="THR3" s="344"/>
      <c r="THS3" s="344"/>
      <c r="THT3" s="344"/>
      <c r="THU3" s="344"/>
      <c r="THV3" s="344"/>
      <c r="THW3" s="344"/>
      <c r="THX3" s="344"/>
      <c r="THY3" s="344"/>
      <c r="THZ3" s="344"/>
      <c r="TIA3" s="344"/>
      <c r="TIB3" s="344"/>
      <c r="TIC3" s="344"/>
      <c r="TID3" s="344"/>
      <c r="TIE3" s="344"/>
      <c r="TIF3" s="344"/>
      <c r="TIG3" s="344"/>
      <c r="TIH3" s="344"/>
      <c r="TII3" s="344"/>
      <c r="TIJ3" s="344"/>
      <c r="TIK3" s="344"/>
      <c r="TIL3" s="344"/>
      <c r="TIM3" s="344"/>
      <c r="TIN3" s="344"/>
      <c r="TIO3" s="344"/>
      <c r="TIP3" s="344"/>
      <c r="TIQ3" s="344"/>
      <c r="TIR3" s="344"/>
      <c r="TIS3" s="344"/>
      <c r="TIT3" s="344"/>
      <c r="TIU3" s="344"/>
      <c r="TIV3" s="344"/>
      <c r="TIW3" s="344"/>
      <c r="TIX3" s="344"/>
      <c r="TIY3" s="344"/>
      <c r="TIZ3" s="344"/>
      <c r="TJA3" s="344"/>
      <c r="TJB3" s="344"/>
      <c r="TJC3" s="344"/>
      <c r="TJD3" s="344"/>
      <c r="TJE3" s="344"/>
      <c r="TJF3" s="344"/>
      <c r="TJG3" s="344"/>
      <c r="TJH3" s="344"/>
      <c r="TJI3" s="344"/>
      <c r="TJJ3" s="344"/>
      <c r="TJK3" s="344"/>
      <c r="TJL3" s="344"/>
      <c r="TJM3" s="344"/>
      <c r="TJN3" s="344"/>
      <c r="TJO3" s="344"/>
      <c r="TJP3" s="344"/>
      <c r="TJQ3" s="344"/>
      <c r="TJR3" s="344"/>
      <c r="TJS3" s="344"/>
      <c r="TJT3" s="344"/>
      <c r="TJU3" s="344"/>
      <c r="TJV3" s="344"/>
      <c r="TJW3" s="344"/>
      <c r="TJX3" s="344"/>
      <c r="TJY3" s="344"/>
      <c r="TJZ3" s="344"/>
      <c r="TKA3" s="344"/>
      <c r="TKB3" s="344"/>
      <c r="TKC3" s="344"/>
      <c r="TKD3" s="344"/>
      <c r="TKE3" s="344"/>
      <c r="TKF3" s="344"/>
      <c r="TKG3" s="344"/>
      <c r="TKH3" s="344"/>
      <c r="TKI3" s="344"/>
      <c r="TKJ3" s="344"/>
      <c r="TKK3" s="344"/>
      <c r="TKL3" s="344"/>
      <c r="TKM3" s="344"/>
      <c r="TKN3" s="344"/>
      <c r="TKO3" s="344"/>
      <c r="TKP3" s="344"/>
      <c r="TKQ3" s="344"/>
      <c r="TKR3" s="344"/>
      <c r="TKS3" s="344"/>
      <c r="TKT3" s="344"/>
      <c r="TKU3" s="344"/>
      <c r="TKV3" s="344"/>
      <c r="TKW3" s="344"/>
      <c r="TKX3" s="344"/>
      <c r="TKY3" s="344"/>
      <c r="TKZ3" s="344"/>
      <c r="TLA3" s="344"/>
      <c r="TLB3" s="344"/>
      <c r="TLC3" s="344"/>
      <c r="TLD3" s="344"/>
      <c r="TLE3" s="344"/>
      <c r="TLF3" s="344"/>
      <c r="TLG3" s="344"/>
      <c r="TLH3" s="344"/>
      <c r="TLI3" s="344"/>
      <c r="TLJ3" s="344"/>
      <c r="TLK3" s="344"/>
      <c r="TLL3" s="344"/>
      <c r="TLM3" s="344"/>
      <c r="TLN3" s="344"/>
      <c r="TLO3" s="344"/>
      <c r="TLP3" s="344"/>
      <c r="TLQ3" s="344"/>
      <c r="TLR3" s="344"/>
      <c r="TLS3" s="344"/>
      <c r="TLT3" s="344"/>
      <c r="TLU3" s="344"/>
      <c r="TLV3" s="344"/>
      <c r="TLW3" s="344"/>
      <c r="TLX3" s="344"/>
      <c r="TLY3" s="344"/>
      <c r="TLZ3" s="344"/>
      <c r="TMA3" s="344"/>
      <c r="TMB3" s="344"/>
      <c r="TMC3" s="344"/>
      <c r="TMD3" s="344"/>
      <c r="TME3" s="344"/>
      <c r="TMF3" s="344"/>
      <c r="TMG3" s="344"/>
      <c r="TMH3" s="344"/>
      <c r="TMI3" s="344"/>
      <c r="TMJ3" s="344"/>
      <c r="TMK3" s="344"/>
      <c r="TML3" s="344"/>
      <c r="TMM3" s="344"/>
      <c r="TMN3" s="344"/>
      <c r="TMO3" s="344"/>
      <c r="TMP3" s="344"/>
      <c r="TMQ3" s="344"/>
      <c r="TMR3" s="344"/>
      <c r="TMS3" s="344"/>
      <c r="TMT3" s="344"/>
      <c r="TMU3" s="344"/>
      <c r="TMV3" s="344"/>
      <c r="TMW3" s="344"/>
      <c r="TMX3" s="344"/>
      <c r="TMY3" s="344"/>
      <c r="TMZ3" s="344"/>
      <c r="TNA3" s="344"/>
      <c r="TNB3" s="344"/>
      <c r="TNC3" s="344"/>
      <c r="TND3" s="344"/>
      <c r="TNE3" s="344"/>
      <c r="TNF3" s="344"/>
      <c r="TNG3" s="344"/>
      <c r="TNH3" s="344"/>
      <c r="TNI3" s="344"/>
      <c r="TNJ3" s="344"/>
      <c r="TNK3" s="344"/>
      <c r="TNL3" s="344"/>
      <c r="TNM3" s="344"/>
      <c r="TNN3" s="344"/>
      <c r="TNO3" s="344"/>
      <c r="TNP3" s="344"/>
      <c r="TNQ3" s="344"/>
      <c r="TNR3" s="344"/>
      <c r="TNS3" s="344"/>
      <c r="TNT3" s="344"/>
      <c r="TNU3" s="344"/>
      <c r="TNV3" s="344"/>
      <c r="TNW3" s="344"/>
      <c r="TNX3" s="344"/>
      <c r="TNY3" s="344"/>
      <c r="TNZ3" s="344"/>
      <c r="TOA3" s="344"/>
      <c r="TOB3" s="344"/>
      <c r="TOC3" s="344"/>
      <c r="TOD3" s="344"/>
      <c r="TOE3" s="344"/>
      <c r="TOF3" s="344"/>
      <c r="TOG3" s="344"/>
      <c r="TOH3" s="344"/>
      <c r="TOI3" s="344"/>
      <c r="TOJ3" s="344"/>
      <c r="TOK3" s="344"/>
      <c r="TOL3" s="344"/>
      <c r="TOM3" s="344"/>
      <c r="TON3" s="344"/>
      <c r="TOO3" s="344"/>
      <c r="TOP3" s="344"/>
      <c r="TOQ3" s="344"/>
      <c r="TOR3" s="344"/>
      <c r="TOS3" s="344"/>
      <c r="TOT3" s="344"/>
      <c r="TOU3" s="344"/>
      <c r="TOV3" s="344"/>
      <c r="TOW3" s="344"/>
      <c r="TOX3" s="344"/>
      <c r="TOY3" s="344"/>
      <c r="TOZ3" s="344"/>
      <c r="TPA3" s="344"/>
      <c r="TPB3" s="344"/>
      <c r="TPC3" s="344"/>
      <c r="TPD3" s="344"/>
      <c r="TPE3" s="344"/>
      <c r="TPF3" s="344"/>
      <c r="TPG3" s="344"/>
      <c r="TPH3" s="344"/>
      <c r="TPI3" s="344"/>
      <c r="TPJ3" s="344"/>
      <c r="TPK3" s="344"/>
      <c r="TPL3" s="344"/>
      <c r="TPM3" s="344"/>
      <c r="TPN3" s="344"/>
      <c r="TPO3" s="344"/>
      <c r="TPP3" s="344"/>
      <c r="TPQ3" s="344"/>
      <c r="TPR3" s="344"/>
      <c r="TPS3" s="344"/>
      <c r="TPT3" s="344"/>
      <c r="TPU3" s="344"/>
      <c r="TPV3" s="344"/>
      <c r="TPW3" s="344"/>
      <c r="TPX3" s="344"/>
      <c r="TPY3" s="344"/>
      <c r="TPZ3" s="344"/>
      <c r="TQA3" s="344"/>
      <c r="TQB3" s="344"/>
      <c r="TQC3" s="344"/>
      <c r="TQD3" s="344"/>
      <c r="TQE3" s="344"/>
      <c r="TQF3" s="344"/>
      <c r="TQG3" s="344"/>
      <c r="TQH3" s="344"/>
      <c r="TQI3" s="344"/>
      <c r="TQJ3" s="344"/>
      <c r="TQK3" s="344"/>
      <c r="TQL3" s="344"/>
      <c r="TQM3" s="344"/>
      <c r="TQN3" s="344"/>
      <c r="TQO3" s="344"/>
      <c r="TQP3" s="344"/>
      <c r="TQQ3" s="344"/>
      <c r="TQR3" s="344"/>
      <c r="TQS3" s="344"/>
      <c r="TQT3" s="344"/>
      <c r="TQU3" s="344"/>
      <c r="TQV3" s="344"/>
      <c r="TQW3" s="344"/>
      <c r="TQX3" s="344"/>
      <c r="TQY3" s="344"/>
      <c r="TQZ3" s="344"/>
      <c r="TRA3" s="344"/>
      <c r="TRB3" s="344"/>
      <c r="TRC3" s="344"/>
      <c r="TRD3" s="344"/>
      <c r="TRE3" s="344"/>
      <c r="TRF3" s="344"/>
      <c r="TRG3" s="344"/>
      <c r="TRH3" s="344"/>
      <c r="TRI3" s="344"/>
      <c r="TRJ3" s="344"/>
      <c r="TRK3" s="344"/>
      <c r="TRL3" s="344"/>
      <c r="TRM3" s="344"/>
      <c r="TRN3" s="344"/>
      <c r="TRO3" s="344"/>
      <c r="TRP3" s="344"/>
      <c r="TRQ3" s="344"/>
      <c r="TRR3" s="344"/>
      <c r="TRS3" s="344"/>
      <c r="TRT3" s="344"/>
      <c r="TRU3" s="344"/>
      <c r="TRV3" s="344"/>
      <c r="TRW3" s="344"/>
      <c r="TRX3" s="344"/>
      <c r="TRY3" s="344"/>
      <c r="TRZ3" s="344"/>
      <c r="TSA3" s="344"/>
      <c r="TSB3" s="344"/>
      <c r="TSC3" s="344"/>
      <c r="TSD3" s="344"/>
      <c r="TSE3" s="344"/>
      <c r="TSF3" s="344"/>
      <c r="TSG3" s="344"/>
      <c r="TSH3" s="344"/>
      <c r="TSI3" s="344"/>
      <c r="TSJ3" s="344"/>
      <c r="TSK3" s="344"/>
      <c r="TSL3" s="344"/>
      <c r="TSM3" s="344"/>
      <c r="TSN3" s="344"/>
      <c r="TSO3" s="344"/>
      <c r="TSP3" s="344"/>
      <c r="TSQ3" s="344"/>
      <c r="TSR3" s="344"/>
      <c r="TSS3" s="344"/>
      <c r="TST3" s="344"/>
      <c r="TSU3" s="344"/>
      <c r="TSV3" s="344"/>
      <c r="TSW3" s="344"/>
      <c r="TSX3" s="344"/>
      <c r="TSY3" s="344"/>
      <c r="TSZ3" s="344"/>
      <c r="TTA3" s="344"/>
      <c r="TTB3" s="344"/>
      <c r="TTC3" s="344"/>
      <c r="TTD3" s="344"/>
      <c r="TTE3" s="344"/>
      <c r="TTF3" s="344"/>
      <c r="TTG3" s="344"/>
      <c r="TTH3" s="344"/>
      <c r="TTI3" s="344"/>
      <c r="TTJ3" s="344"/>
      <c r="TTK3" s="344"/>
      <c r="TTL3" s="344"/>
      <c r="TTM3" s="344"/>
      <c r="TTN3" s="344"/>
      <c r="TTO3" s="344"/>
      <c r="TTP3" s="344"/>
      <c r="TTQ3" s="344"/>
      <c r="TTR3" s="344"/>
      <c r="TTS3" s="344"/>
      <c r="TTT3" s="344"/>
      <c r="TTU3" s="344"/>
      <c r="TTV3" s="344"/>
      <c r="TTW3" s="344"/>
      <c r="TTX3" s="344"/>
      <c r="TTY3" s="344"/>
      <c r="TTZ3" s="344"/>
      <c r="TUA3" s="344"/>
      <c r="TUB3" s="344"/>
      <c r="TUC3" s="344"/>
      <c r="TUD3" s="344"/>
      <c r="TUE3" s="344"/>
      <c r="TUF3" s="344"/>
      <c r="TUG3" s="344"/>
      <c r="TUH3" s="344"/>
      <c r="TUI3" s="344"/>
      <c r="TUJ3" s="344"/>
      <c r="TUK3" s="344"/>
      <c r="TUL3" s="344"/>
      <c r="TUM3" s="344"/>
      <c r="TUN3" s="344"/>
      <c r="TUO3" s="344"/>
      <c r="TUP3" s="344"/>
      <c r="TUQ3" s="344"/>
      <c r="TUR3" s="344"/>
      <c r="TUS3" s="344"/>
      <c r="TUT3" s="344"/>
      <c r="TUU3" s="344"/>
      <c r="TUV3" s="344"/>
      <c r="TUW3" s="344"/>
      <c r="TUX3" s="344"/>
      <c r="TUY3" s="344"/>
      <c r="TUZ3" s="344"/>
      <c r="TVA3" s="344"/>
      <c r="TVB3" s="344"/>
      <c r="TVC3" s="344"/>
      <c r="TVD3" s="344"/>
      <c r="TVE3" s="344"/>
      <c r="TVF3" s="344"/>
      <c r="TVG3" s="344"/>
      <c r="TVH3" s="344"/>
      <c r="TVI3" s="344"/>
      <c r="TVJ3" s="344"/>
      <c r="TVK3" s="344"/>
      <c r="TVL3" s="344"/>
      <c r="TVM3" s="344"/>
      <c r="TVN3" s="344"/>
      <c r="TVO3" s="344"/>
      <c r="TVP3" s="344"/>
      <c r="TVQ3" s="344"/>
      <c r="TVR3" s="344"/>
      <c r="TVS3" s="344"/>
      <c r="TVT3" s="344"/>
      <c r="TVU3" s="344"/>
      <c r="TVV3" s="344"/>
      <c r="TVW3" s="344"/>
      <c r="TVX3" s="344"/>
      <c r="TVY3" s="344"/>
      <c r="TVZ3" s="344"/>
      <c r="TWA3" s="344"/>
      <c r="TWB3" s="344"/>
      <c r="TWC3" s="344"/>
      <c r="TWD3" s="344"/>
      <c r="TWE3" s="344"/>
      <c r="TWF3" s="344"/>
      <c r="TWG3" s="344"/>
      <c r="TWH3" s="344"/>
      <c r="TWI3" s="344"/>
      <c r="TWJ3" s="344"/>
      <c r="TWK3" s="344"/>
      <c r="TWL3" s="344"/>
      <c r="TWM3" s="344"/>
      <c r="TWN3" s="344"/>
      <c r="TWO3" s="344"/>
      <c r="TWP3" s="344"/>
      <c r="TWQ3" s="344"/>
      <c r="TWR3" s="344"/>
      <c r="TWS3" s="344"/>
      <c r="TWT3" s="344"/>
      <c r="TWU3" s="344"/>
      <c r="TWV3" s="344"/>
      <c r="TWW3" s="344"/>
      <c r="TWX3" s="344"/>
      <c r="TWY3" s="344"/>
      <c r="TWZ3" s="344"/>
      <c r="TXA3" s="344"/>
      <c r="TXB3" s="344"/>
      <c r="TXC3" s="344"/>
      <c r="TXD3" s="344"/>
      <c r="TXE3" s="344"/>
      <c r="TXF3" s="344"/>
      <c r="TXG3" s="344"/>
      <c r="TXH3" s="344"/>
      <c r="TXI3" s="344"/>
      <c r="TXJ3" s="344"/>
      <c r="TXK3" s="344"/>
      <c r="TXL3" s="344"/>
      <c r="TXM3" s="344"/>
      <c r="TXN3" s="344"/>
      <c r="TXO3" s="344"/>
      <c r="TXP3" s="344"/>
      <c r="TXQ3" s="344"/>
      <c r="TXR3" s="344"/>
      <c r="TXS3" s="344"/>
      <c r="TXT3" s="344"/>
      <c r="TXU3" s="344"/>
      <c r="TXV3" s="344"/>
      <c r="TXW3" s="344"/>
      <c r="TXX3" s="344"/>
      <c r="TXY3" s="344"/>
      <c r="TXZ3" s="344"/>
      <c r="TYA3" s="344"/>
      <c r="TYB3" s="344"/>
      <c r="TYC3" s="344"/>
      <c r="TYD3" s="344"/>
      <c r="TYE3" s="344"/>
      <c r="TYF3" s="344"/>
      <c r="TYG3" s="344"/>
      <c r="TYH3" s="344"/>
      <c r="TYI3" s="344"/>
      <c r="TYJ3" s="344"/>
      <c r="TYK3" s="344"/>
      <c r="TYL3" s="344"/>
      <c r="TYM3" s="344"/>
      <c r="TYN3" s="344"/>
      <c r="TYO3" s="344"/>
      <c r="TYP3" s="344"/>
      <c r="TYQ3" s="344"/>
      <c r="TYR3" s="344"/>
      <c r="TYS3" s="344"/>
      <c r="TYT3" s="344"/>
      <c r="TYU3" s="344"/>
      <c r="TYV3" s="344"/>
      <c r="TYW3" s="344"/>
      <c r="TYX3" s="344"/>
      <c r="TYY3" s="344"/>
      <c r="TYZ3" s="344"/>
      <c r="TZA3" s="344"/>
      <c r="TZB3" s="344"/>
      <c r="TZC3" s="344"/>
      <c r="TZD3" s="344"/>
      <c r="TZE3" s="344"/>
      <c r="TZF3" s="344"/>
      <c r="TZG3" s="344"/>
      <c r="TZH3" s="344"/>
      <c r="TZI3" s="344"/>
      <c r="TZJ3" s="344"/>
      <c r="TZK3" s="344"/>
      <c r="TZL3" s="344"/>
      <c r="TZM3" s="344"/>
      <c r="TZN3" s="344"/>
      <c r="TZO3" s="344"/>
      <c r="TZP3" s="344"/>
      <c r="TZQ3" s="344"/>
      <c r="TZR3" s="344"/>
      <c r="TZS3" s="344"/>
      <c r="TZT3" s="344"/>
      <c r="TZU3" s="344"/>
      <c r="TZV3" s="344"/>
      <c r="TZW3" s="344"/>
      <c r="TZX3" s="344"/>
      <c r="TZY3" s="344"/>
      <c r="TZZ3" s="344"/>
      <c r="UAA3" s="344"/>
      <c r="UAB3" s="344"/>
      <c r="UAC3" s="344"/>
      <c r="UAD3" s="344"/>
      <c r="UAE3" s="344"/>
      <c r="UAF3" s="344"/>
      <c r="UAG3" s="344"/>
      <c r="UAH3" s="344"/>
      <c r="UAI3" s="344"/>
      <c r="UAJ3" s="344"/>
      <c r="UAK3" s="344"/>
      <c r="UAL3" s="344"/>
      <c r="UAM3" s="344"/>
      <c r="UAN3" s="344"/>
      <c r="UAO3" s="344"/>
      <c r="UAP3" s="344"/>
      <c r="UAQ3" s="344"/>
      <c r="UAR3" s="344"/>
      <c r="UAS3" s="344"/>
      <c r="UAT3" s="344"/>
      <c r="UAU3" s="344"/>
      <c r="UAV3" s="344"/>
      <c r="UAW3" s="344"/>
      <c r="UAX3" s="344"/>
      <c r="UAY3" s="344"/>
      <c r="UAZ3" s="344"/>
      <c r="UBA3" s="344"/>
      <c r="UBB3" s="344"/>
      <c r="UBC3" s="344"/>
      <c r="UBD3" s="344"/>
      <c r="UBE3" s="344"/>
      <c r="UBF3" s="344"/>
      <c r="UBG3" s="344"/>
      <c r="UBH3" s="344"/>
      <c r="UBI3" s="344"/>
      <c r="UBJ3" s="344"/>
      <c r="UBK3" s="344"/>
      <c r="UBL3" s="344"/>
      <c r="UBM3" s="344"/>
      <c r="UBN3" s="344"/>
      <c r="UBO3" s="344"/>
      <c r="UBP3" s="344"/>
      <c r="UBQ3" s="344"/>
      <c r="UBR3" s="344"/>
      <c r="UBS3" s="344"/>
      <c r="UBT3" s="344"/>
      <c r="UBU3" s="344"/>
      <c r="UBV3" s="344"/>
      <c r="UBW3" s="344"/>
      <c r="UBX3" s="344"/>
      <c r="UBY3" s="344"/>
      <c r="UBZ3" s="344"/>
      <c r="UCA3" s="344"/>
      <c r="UCB3" s="344"/>
      <c r="UCC3" s="344"/>
      <c r="UCD3" s="344"/>
      <c r="UCE3" s="344"/>
      <c r="UCF3" s="344"/>
      <c r="UCG3" s="344"/>
      <c r="UCH3" s="344"/>
      <c r="UCI3" s="344"/>
      <c r="UCJ3" s="344"/>
      <c r="UCK3" s="344"/>
      <c r="UCL3" s="344"/>
      <c r="UCM3" s="344"/>
      <c r="UCN3" s="344"/>
      <c r="UCO3" s="344"/>
      <c r="UCP3" s="344"/>
      <c r="UCQ3" s="344"/>
      <c r="UCR3" s="344"/>
      <c r="UCS3" s="344"/>
      <c r="UCT3" s="344"/>
      <c r="UCU3" s="344"/>
      <c r="UCV3" s="344"/>
      <c r="UCW3" s="344"/>
      <c r="UCX3" s="344"/>
      <c r="UCY3" s="344"/>
      <c r="UCZ3" s="344"/>
      <c r="UDA3" s="344"/>
      <c r="UDB3" s="344"/>
      <c r="UDC3" s="344"/>
      <c r="UDD3" s="344"/>
      <c r="UDE3" s="344"/>
      <c r="UDF3" s="344"/>
      <c r="UDG3" s="344"/>
      <c r="UDH3" s="344"/>
      <c r="UDI3" s="344"/>
      <c r="UDJ3" s="344"/>
      <c r="UDK3" s="344"/>
      <c r="UDL3" s="344"/>
      <c r="UDM3" s="344"/>
      <c r="UDN3" s="344"/>
      <c r="UDO3" s="344"/>
      <c r="UDP3" s="344"/>
      <c r="UDQ3" s="344"/>
      <c r="UDR3" s="344"/>
      <c r="UDS3" s="344"/>
      <c r="UDT3" s="344"/>
      <c r="UDU3" s="344"/>
      <c r="UDV3" s="344"/>
      <c r="UDW3" s="344"/>
      <c r="UDX3" s="344"/>
      <c r="UDY3" s="344"/>
      <c r="UDZ3" s="344"/>
      <c r="UEA3" s="344"/>
      <c r="UEB3" s="344"/>
      <c r="UEC3" s="344"/>
      <c r="UED3" s="344"/>
      <c r="UEE3" s="344"/>
      <c r="UEF3" s="344"/>
      <c r="UEG3" s="344"/>
      <c r="UEH3" s="344"/>
      <c r="UEI3" s="344"/>
      <c r="UEJ3" s="344"/>
      <c r="UEK3" s="344"/>
      <c r="UEL3" s="344"/>
      <c r="UEM3" s="344"/>
      <c r="UEN3" s="344"/>
      <c r="UEO3" s="344"/>
      <c r="UEP3" s="344"/>
      <c r="UEQ3" s="344"/>
      <c r="UER3" s="344"/>
      <c r="UES3" s="344"/>
      <c r="UET3" s="344"/>
      <c r="UEU3" s="344"/>
      <c r="UEV3" s="344"/>
      <c r="UEW3" s="344"/>
      <c r="UEX3" s="344"/>
      <c r="UEY3" s="344"/>
      <c r="UEZ3" s="344"/>
      <c r="UFA3" s="344"/>
      <c r="UFB3" s="344"/>
      <c r="UFC3" s="344"/>
      <c r="UFD3" s="344"/>
      <c r="UFE3" s="344"/>
      <c r="UFF3" s="344"/>
      <c r="UFG3" s="344"/>
      <c r="UFH3" s="344"/>
      <c r="UFI3" s="344"/>
      <c r="UFJ3" s="344"/>
      <c r="UFK3" s="344"/>
      <c r="UFL3" s="344"/>
      <c r="UFM3" s="344"/>
      <c r="UFN3" s="344"/>
      <c r="UFO3" s="344"/>
      <c r="UFP3" s="344"/>
      <c r="UFQ3" s="344"/>
      <c r="UFR3" s="344"/>
      <c r="UFS3" s="344"/>
      <c r="UFT3" s="344"/>
      <c r="UFU3" s="344"/>
      <c r="UFV3" s="344"/>
      <c r="UFW3" s="344"/>
      <c r="UFX3" s="344"/>
      <c r="UFY3" s="344"/>
      <c r="UFZ3" s="344"/>
      <c r="UGA3" s="344"/>
      <c r="UGB3" s="344"/>
      <c r="UGC3" s="344"/>
      <c r="UGD3" s="344"/>
      <c r="UGE3" s="344"/>
      <c r="UGF3" s="344"/>
      <c r="UGG3" s="344"/>
      <c r="UGH3" s="344"/>
      <c r="UGI3" s="344"/>
      <c r="UGJ3" s="344"/>
      <c r="UGK3" s="344"/>
      <c r="UGL3" s="344"/>
      <c r="UGM3" s="344"/>
      <c r="UGN3" s="344"/>
      <c r="UGO3" s="344"/>
      <c r="UGP3" s="344"/>
      <c r="UGQ3" s="344"/>
      <c r="UGR3" s="344"/>
      <c r="UGS3" s="344"/>
      <c r="UGT3" s="344"/>
      <c r="UGU3" s="344"/>
      <c r="UGV3" s="344"/>
      <c r="UGW3" s="344"/>
      <c r="UGX3" s="344"/>
      <c r="UGY3" s="344"/>
      <c r="UGZ3" s="344"/>
      <c r="UHA3" s="344"/>
      <c r="UHB3" s="344"/>
      <c r="UHC3" s="344"/>
      <c r="UHD3" s="344"/>
      <c r="UHE3" s="344"/>
      <c r="UHF3" s="344"/>
      <c r="UHG3" s="344"/>
      <c r="UHH3" s="344"/>
      <c r="UHI3" s="344"/>
      <c r="UHJ3" s="344"/>
      <c r="UHK3" s="344"/>
      <c r="UHL3" s="344"/>
      <c r="UHM3" s="344"/>
      <c r="UHN3" s="344"/>
      <c r="UHO3" s="344"/>
      <c r="UHP3" s="344"/>
      <c r="UHQ3" s="344"/>
      <c r="UHR3" s="344"/>
      <c r="UHS3" s="344"/>
      <c r="UHT3" s="344"/>
      <c r="UHU3" s="344"/>
      <c r="UHV3" s="344"/>
      <c r="UHW3" s="344"/>
      <c r="UHX3" s="344"/>
      <c r="UHY3" s="344"/>
      <c r="UHZ3" s="344"/>
      <c r="UIA3" s="344"/>
      <c r="UIB3" s="344"/>
      <c r="UIC3" s="344"/>
      <c r="UID3" s="344"/>
      <c r="UIE3" s="344"/>
      <c r="UIF3" s="344"/>
      <c r="UIG3" s="344"/>
      <c r="UIH3" s="344"/>
      <c r="UII3" s="344"/>
      <c r="UIJ3" s="344"/>
      <c r="UIK3" s="344"/>
      <c r="UIL3" s="344"/>
      <c r="UIM3" s="344"/>
      <c r="UIN3" s="344"/>
      <c r="UIO3" s="344"/>
      <c r="UIP3" s="344"/>
      <c r="UIQ3" s="344"/>
      <c r="UIR3" s="344"/>
      <c r="UIS3" s="344"/>
      <c r="UIT3" s="344"/>
      <c r="UIU3" s="344"/>
      <c r="UIV3" s="344"/>
      <c r="UIW3" s="344"/>
      <c r="UIX3" s="344"/>
      <c r="UIY3" s="344"/>
      <c r="UIZ3" s="344"/>
      <c r="UJA3" s="344"/>
      <c r="UJB3" s="344"/>
      <c r="UJC3" s="344"/>
      <c r="UJD3" s="344"/>
      <c r="UJE3" s="344"/>
      <c r="UJF3" s="344"/>
      <c r="UJG3" s="344"/>
      <c r="UJH3" s="344"/>
      <c r="UJI3" s="344"/>
      <c r="UJJ3" s="344"/>
      <c r="UJK3" s="344"/>
      <c r="UJL3" s="344"/>
      <c r="UJM3" s="344"/>
      <c r="UJN3" s="344"/>
      <c r="UJO3" s="344"/>
      <c r="UJP3" s="344"/>
      <c r="UJQ3" s="344"/>
      <c r="UJR3" s="344"/>
      <c r="UJS3" s="344"/>
      <c r="UJT3" s="344"/>
      <c r="UJU3" s="344"/>
      <c r="UJV3" s="344"/>
      <c r="UJW3" s="344"/>
      <c r="UJX3" s="344"/>
      <c r="UJY3" s="344"/>
      <c r="UJZ3" s="344"/>
      <c r="UKA3" s="344"/>
      <c r="UKB3" s="344"/>
      <c r="UKC3" s="344"/>
      <c r="UKD3" s="344"/>
      <c r="UKE3" s="344"/>
      <c r="UKF3" s="344"/>
      <c r="UKG3" s="344"/>
      <c r="UKH3" s="344"/>
      <c r="UKI3" s="344"/>
      <c r="UKJ3" s="344"/>
      <c r="UKK3" s="344"/>
      <c r="UKL3" s="344"/>
      <c r="UKM3" s="344"/>
      <c r="UKN3" s="344"/>
      <c r="UKO3" s="344"/>
      <c r="UKP3" s="344"/>
      <c r="UKQ3" s="344"/>
      <c r="UKR3" s="344"/>
      <c r="UKS3" s="344"/>
      <c r="UKT3" s="344"/>
      <c r="UKU3" s="344"/>
      <c r="UKV3" s="344"/>
      <c r="UKW3" s="344"/>
      <c r="UKX3" s="344"/>
      <c r="UKY3" s="344"/>
      <c r="UKZ3" s="344"/>
      <c r="ULA3" s="344"/>
      <c r="ULB3" s="344"/>
      <c r="ULC3" s="344"/>
      <c r="ULD3" s="344"/>
      <c r="ULE3" s="344"/>
      <c r="ULF3" s="344"/>
      <c r="ULG3" s="344"/>
      <c r="ULH3" s="344"/>
      <c r="ULI3" s="344"/>
      <c r="ULJ3" s="344"/>
      <c r="ULK3" s="344"/>
      <c r="ULL3" s="344"/>
      <c r="ULM3" s="344"/>
      <c r="ULN3" s="344"/>
      <c r="ULO3" s="344"/>
      <c r="ULP3" s="344"/>
      <c r="ULQ3" s="344"/>
      <c r="ULR3" s="344"/>
      <c r="ULS3" s="344"/>
      <c r="ULT3" s="344"/>
      <c r="ULU3" s="344"/>
      <c r="ULV3" s="344"/>
      <c r="ULW3" s="344"/>
      <c r="ULX3" s="344"/>
      <c r="ULY3" s="344"/>
      <c r="ULZ3" s="344"/>
      <c r="UMA3" s="344"/>
      <c r="UMB3" s="344"/>
      <c r="UMC3" s="344"/>
      <c r="UMD3" s="344"/>
      <c r="UME3" s="344"/>
      <c r="UMF3" s="344"/>
      <c r="UMG3" s="344"/>
      <c r="UMH3" s="344"/>
      <c r="UMI3" s="344"/>
      <c r="UMJ3" s="344"/>
      <c r="UMK3" s="344"/>
      <c r="UML3" s="344"/>
      <c r="UMM3" s="344"/>
      <c r="UMN3" s="344"/>
      <c r="UMO3" s="344"/>
      <c r="UMP3" s="344"/>
      <c r="UMQ3" s="344"/>
      <c r="UMR3" s="344"/>
      <c r="UMS3" s="344"/>
      <c r="UMT3" s="344"/>
      <c r="UMU3" s="344"/>
      <c r="UMV3" s="344"/>
      <c r="UMW3" s="344"/>
      <c r="UMX3" s="344"/>
      <c r="UMY3" s="344"/>
      <c r="UMZ3" s="344"/>
      <c r="UNA3" s="344"/>
      <c r="UNB3" s="344"/>
      <c r="UNC3" s="344"/>
      <c r="UND3" s="344"/>
      <c r="UNE3" s="344"/>
      <c r="UNF3" s="344"/>
      <c r="UNG3" s="344"/>
      <c r="UNH3" s="344"/>
      <c r="UNI3" s="344"/>
      <c r="UNJ3" s="344"/>
      <c r="UNK3" s="344"/>
      <c r="UNL3" s="344"/>
      <c r="UNM3" s="344"/>
      <c r="UNN3" s="344"/>
      <c r="UNO3" s="344"/>
      <c r="UNP3" s="344"/>
      <c r="UNQ3" s="344"/>
      <c r="UNR3" s="344"/>
      <c r="UNS3" s="344"/>
      <c r="UNT3" s="344"/>
      <c r="UNU3" s="344"/>
      <c r="UNV3" s="344"/>
      <c r="UNW3" s="344"/>
      <c r="UNX3" s="344"/>
      <c r="UNY3" s="344"/>
      <c r="UNZ3" s="344"/>
      <c r="UOA3" s="344"/>
      <c r="UOB3" s="344"/>
      <c r="UOC3" s="344"/>
      <c r="UOD3" s="344"/>
      <c r="UOE3" s="344"/>
      <c r="UOF3" s="344"/>
      <c r="UOG3" s="344"/>
      <c r="UOH3" s="344"/>
      <c r="UOI3" s="344"/>
      <c r="UOJ3" s="344"/>
      <c r="UOK3" s="344"/>
      <c r="UOL3" s="344"/>
      <c r="UOM3" s="344"/>
      <c r="UON3" s="344"/>
      <c r="UOO3" s="344"/>
      <c r="UOP3" s="344"/>
      <c r="UOQ3" s="344"/>
      <c r="UOR3" s="344"/>
      <c r="UOS3" s="344"/>
      <c r="UOT3" s="344"/>
      <c r="UOU3" s="344"/>
      <c r="UOV3" s="344"/>
      <c r="UOW3" s="344"/>
      <c r="UOX3" s="344"/>
      <c r="UOY3" s="344"/>
      <c r="UOZ3" s="344"/>
      <c r="UPA3" s="344"/>
      <c r="UPB3" s="344"/>
      <c r="UPC3" s="344"/>
      <c r="UPD3" s="344"/>
      <c r="UPE3" s="344"/>
      <c r="UPF3" s="344"/>
      <c r="UPG3" s="344"/>
      <c r="UPH3" s="344"/>
      <c r="UPI3" s="344"/>
      <c r="UPJ3" s="344"/>
      <c r="UPK3" s="344"/>
      <c r="UPL3" s="344"/>
      <c r="UPM3" s="344"/>
      <c r="UPN3" s="344"/>
      <c r="UPO3" s="344"/>
      <c r="UPP3" s="344"/>
      <c r="UPQ3" s="344"/>
      <c r="UPR3" s="344"/>
      <c r="UPS3" s="344"/>
      <c r="UPT3" s="344"/>
      <c r="UPU3" s="344"/>
      <c r="UPV3" s="344"/>
      <c r="UPW3" s="344"/>
      <c r="UPX3" s="344"/>
      <c r="UPY3" s="344"/>
      <c r="UPZ3" s="344"/>
      <c r="UQA3" s="344"/>
      <c r="UQB3" s="344"/>
      <c r="UQC3" s="344"/>
      <c r="UQD3" s="344"/>
      <c r="UQE3" s="344"/>
      <c r="UQF3" s="344"/>
      <c r="UQG3" s="344"/>
      <c r="UQH3" s="344"/>
      <c r="UQI3" s="344"/>
      <c r="UQJ3" s="344"/>
      <c r="UQK3" s="344"/>
      <c r="UQL3" s="344"/>
      <c r="UQM3" s="344"/>
      <c r="UQN3" s="344"/>
      <c r="UQO3" s="344"/>
      <c r="UQP3" s="344"/>
      <c r="UQQ3" s="344"/>
      <c r="UQR3" s="344"/>
      <c r="UQS3" s="344"/>
      <c r="UQT3" s="344"/>
      <c r="UQU3" s="344"/>
      <c r="UQV3" s="344"/>
      <c r="UQW3" s="344"/>
      <c r="UQX3" s="344"/>
      <c r="UQY3" s="344"/>
      <c r="UQZ3" s="344"/>
      <c r="URA3" s="344"/>
      <c r="URB3" s="344"/>
      <c r="URC3" s="344"/>
      <c r="URD3" s="344"/>
      <c r="URE3" s="344"/>
      <c r="URF3" s="344"/>
      <c r="URG3" s="344"/>
      <c r="URH3" s="344"/>
      <c r="URI3" s="344"/>
      <c r="URJ3" s="344"/>
      <c r="URK3" s="344"/>
      <c r="URL3" s="344"/>
      <c r="URM3" s="344"/>
      <c r="URN3" s="344"/>
      <c r="URO3" s="344"/>
      <c r="URP3" s="344"/>
      <c r="URQ3" s="344"/>
      <c r="URR3" s="344"/>
      <c r="URS3" s="344"/>
      <c r="URT3" s="344"/>
      <c r="URU3" s="344"/>
      <c r="URV3" s="344"/>
      <c r="URW3" s="344"/>
      <c r="URX3" s="344"/>
      <c r="URY3" s="344"/>
      <c r="URZ3" s="344"/>
      <c r="USA3" s="344"/>
      <c r="USB3" s="344"/>
      <c r="USC3" s="344"/>
      <c r="USD3" s="344"/>
      <c r="USE3" s="344"/>
      <c r="USF3" s="344"/>
      <c r="USG3" s="344"/>
      <c r="USH3" s="344"/>
      <c r="USI3" s="344"/>
      <c r="USJ3" s="344"/>
      <c r="USK3" s="344"/>
      <c r="USL3" s="344"/>
      <c r="USM3" s="344"/>
      <c r="USN3" s="344"/>
      <c r="USO3" s="344"/>
      <c r="USP3" s="344"/>
      <c r="USQ3" s="344"/>
      <c r="USR3" s="344"/>
      <c r="USS3" s="344"/>
      <c r="UST3" s="344"/>
      <c r="USU3" s="344"/>
      <c r="USV3" s="344"/>
      <c r="USW3" s="344"/>
      <c r="USX3" s="344"/>
      <c r="USY3" s="344"/>
      <c r="USZ3" s="344"/>
      <c r="UTA3" s="344"/>
      <c r="UTB3" s="344"/>
      <c r="UTC3" s="344"/>
      <c r="UTD3" s="344"/>
      <c r="UTE3" s="344"/>
      <c r="UTF3" s="344"/>
      <c r="UTG3" s="344"/>
      <c r="UTH3" s="344"/>
      <c r="UTI3" s="344"/>
      <c r="UTJ3" s="344"/>
      <c r="UTK3" s="344"/>
      <c r="UTL3" s="344"/>
      <c r="UTM3" s="344"/>
      <c r="UTN3" s="344"/>
      <c r="UTO3" s="344"/>
      <c r="UTP3" s="344"/>
      <c r="UTQ3" s="344"/>
      <c r="UTR3" s="344"/>
      <c r="UTS3" s="344"/>
      <c r="UTT3" s="344"/>
      <c r="UTU3" s="344"/>
      <c r="UTV3" s="344"/>
      <c r="UTW3" s="344"/>
      <c r="UTX3" s="344"/>
      <c r="UTY3" s="344"/>
      <c r="UTZ3" s="344"/>
      <c r="UUA3" s="344"/>
      <c r="UUB3" s="344"/>
      <c r="UUC3" s="344"/>
      <c r="UUD3" s="344"/>
      <c r="UUE3" s="344"/>
      <c r="UUF3" s="344"/>
      <c r="UUG3" s="344"/>
      <c r="UUH3" s="344"/>
      <c r="UUI3" s="344"/>
      <c r="UUJ3" s="344"/>
      <c r="UUK3" s="344"/>
      <c r="UUL3" s="344"/>
      <c r="UUM3" s="344"/>
      <c r="UUN3" s="344"/>
      <c r="UUO3" s="344"/>
      <c r="UUP3" s="344"/>
      <c r="UUQ3" s="344"/>
      <c r="UUR3" s="344"/>
      <c r="UUS3" s="344"/>
      <c r="UUT3" s="344"/>
      <c r="UUU3" s="344"/>
      <c r="UUV3" s="344"/>
      <c r="UUW3" s="344"/>
      <c r="UUX3" s="344"/>
      <c r="UUY3" s="344"/>
      <c r="UUZ3" s="344"/>
      <c r="UVA3" s="344"/>
      <c r="UVB3" s="344"/>
      <c r="UVC3" s="344"/>
      <c r="UVD3" s="344"/>
      <c r="UVE3" s="344"/>
      <c r="UVF3" s="344"/>
      <c r="UVG3" s="344"/>
      <c r="UVH3" s="344"/>
      <c r="UVI3" s="344"/>
      <c r="UVJ3" s="344"/>
      <c r="UVK3" s="344"/>
      <c r="UVL3" s="344"/>
      <c r="UVM3" s="344"/>
      <c r="UVN3" s="344"/>
      <c r="UVO3" s="344"/>
      <c r="UVP3" s="344"/>
      <c r="UVQ3" s="344"/>
      <c r="UVR3" s="344"/>
      <c r="UVS3" s="344"/>
      <c r="UVT3" s="344"/>
      <c r="UVU3" s="344"/>
      <c r="UVV3" s="344"/>
      <c r="UVW3" s="344"/>
      <c r="UVX3" s="344"/>
      <c r="UVY3" s="344"/>
      <c r="UVZ3" s="344"/>
      <c r="UWA3" s="344"/>
      <c r="UWB3" s="344"/>
      <c r="UWC3" s="344"/>
      <c r="UWD3" s="344"/>
      <c r="UWE3" s="344"/>
      <c r="UWF3" s="344"/>
      <c r="UWG3" s="344"/>
      <c r="UWH3" s="344"/>
      <c r="UWI3" s="344"/>
      <c r="UWJ3" s="344"/>
      <c r="UWK3" s="344"/>
      <c r="UWL3" s="344"/>
      <c r="UWM3" s="344"/>
      <c r="UWN3" s="344"/>
      <c r="UWO3" s="344"/>
      <c r="UWP3" s="344"/>
      <c r="UWQ3" s="344"/>
      <c r="UWR3" s="344"/>
      <c r="UWS3" s="344"/>
      <c r="UWT3" s="344"/>
      <c r="UWU3" s="344"/>
      <c r="UWV3" s="344"/>
      <c r="UWW3" s="344"/>
      <c r="UWX3" s="344"/>
      <c r="UWY3" s="344"/>
      <c r="UWZ3" s="344"/>
      <c r="UXA3" s="344"/>
      <c r="UXB3" s="344"/>
      <c r="UXC3" s="344"/>
      <c r="UXD3" s="344"/>
      <c r="UXE3" s="344"/>
      <c r="UXF3" s="344"/>
      <c r="UXG3" s="344"/>
      <c r="UXH3" s="344"/>
      <c r="UXI3" s="344"/>
      <c r="UXJ3" s="344"/>
      <c r="UXK3" s="344"/>
      <c r="UXL3" s="344"/>
      <c r="UXM3" s="344"/>
      <c r="UXN3" s="344"/>
      <c r="UXO3" s="344"/>
      <c r="UXP3" s="344"/>
      <c r="UXQ3" s="344"/>
      <c r="UXR3" s="344"/>
      <c r="UXS3" s="344"/>
      <c r="UXT3" s="344"/>
      <c r="UXU3" s="344"/>
      <c r="UXV3" s="344"/>
      <c r="UXW3" s="344"/>
      <c r="UXX3" s="344"/>
      <c r="UXY3" s="344"/>
      <c r="UXZ3" s="344"/>
      <c r="UYA3" s="344"/>
      <c r="UYB3" s="344"/>
      <c r="UYC3" s="344"/>
      <c r="UYD3" s="344"/>
      <c r="UYE3" s="344"/>
      <c r="UYF3" s="344"/>
      <c r="UYG3" s="344"/>
      <c r="UYH3" s="344"/>
      <c r="UYI3" s="344"/>
      <c r="UYJ3" s="344"/>
      <c r="UYK3" s="344"/>
      <c r="UYL3" s="344"/>
      <c r="UYM3" s="344"/>
      <c r="UYN3" s="344"/>
      <c r="UYO3" s="344"/>
      <c r="UYP3" s="344"/>
      <c r="UYQ3" s="344"/>
      <c r="UYR3" s="344"/>
      <c r="UYS3" s="344"/>
      <c r="UYT3" s="344"/>
      <c r="UYU3" s="344"/>
      <c r="UYV3" s="344"/>
      <c r="UYW3" s="344"/>
      <c r="UYX3" s="344"/>
      <c r="UYY3" s="344"/>
      <c r="UYZ3" s="344"/>
      <c r="UZA3" s="344"/>
      <c r="UZB3" s="344"/>
      <c r="UZC3" s="344"/>
      <c r="UZD3" s="344"/>
      <c r="UZE3" s="344"/>
      <c r="UZF3" s="344"/>
      <c r="UZG3" s="344"/>
      <c r="UZH3" s="344"/>
      <c r="UZI3" s="344"/>
      <c r="UZJ3" s="344"/>
      <c r="UZK3" s="344"/>
      <c r="UZL3" s="344"/>
      <c r="UZM3" s="344"/>
      <c r="UZN3" s="344"/>
      <c r="UZO3" s="344"/>
      <c r="UZP3" s="344"/>
      <c r="UZQ3" s="344"/>
      <c r="UZR3" s="344"/>
      <c r="UZS3" s="344"/>
      <c r="UZT3" s="344"/>
      <c r="UZU3" s="344"/>
      <c r="UZV3" s="344"/>
      <c r="UZW3" s="344"/>
      <c r="UZX3" s="344"/>
      <c r="UZY3" s="344"/>
      <c r="UZZ3" s="344"/>
      <c r="VAA3" s="344"/>
      <c r="VAB3" s="344"/>
      <c r="VAC3" s="344"/>
      <c r="VAD3" s="344"/>
      <c r="VAE3" s="344"/>
      <c r="VAF3" s="344"/>
      <c r="VAG3" s="344"/>
      <c r="VAH3" s="344"/>
      <c r="VAI3" s="344"/>
      <c r="VAJ3" s="344"/>
      <c r="VAK3" s="344"/>
      <c r="VAL3" s="344"/>
      <c r="VAM3" s="344"/>
      <c r="VAN3" s="344"/>
      <c r="VAO3" s="344"/>
      <c r="VAP3" s="344"/>
      <c r="VAQ3" s="344"/>
      <c r="VAR3" s="344"/>
      <c r="VAS3" s="344"/>
      <c r="VAT3" s="344"/>
      <c r="VAU3" s="344"/>
      <c r="VAV3" s="344"/>
      <c r="VAW3" s="344"/>
      <c r="VAX3" s="344"/>
      <c r="VAY3" s="344"/>
      <c r="VAZ3" s="344"/>
      <c r="VBA3" s="344"/>
      <c r="VBB3" s="344"/>
      <c r="VBC3" s="344"/>
      <c r="VBD3" s="344"/>
      <c r="VBE3" s="344"/>
      <c r="VBF3" s="344"/>
      <c r="VBG3" s="344"/>
      <c r="VBH3" s="344"/>
      <c r="VBI3" s="344"/>
      <c r="VBJ3" s="344"/>
      <c r="VBK3" s="344"/>
      <c r="VBL3" s="344"/>
      <c r="VBM3" s="344"/>
      <c r="VBN3" s="344"/>
      <c r="VBO3" s="344"/>
      <c r="VBP3" s="344"/>
      <c r="VBQ3" s="344"/>
      <c r="VBR3" s="344"/>
      <c r="VBS3" s="344"/>
      <c r="VBT3" s="344"/>
      <c r="VBU3" s="344"/>
      <c r="VBV3" s="344"/>
      <c r="VBW3" s="344"/>
      <c r="VBX3" s="344"/>
      <c r="VBY3" s="344"/>
      <c r="VBZ3" s="344"/>
      <c r="VCA3" s="344"/>
      <c r="VCB3" s="344"/>
      <c r="VCC3" s="344"/>
      <c r="VCD3" s="344"/>
      <c r="VCE3" s="344"/>
      <c r="VCF3" s="344"/>
      <c r="VCG3" s="344"/>
      <c r="VCH3" s="344"/>
      <c r="VCI3" s="344"/>
      <c r="VCJ3" s="344"/>
      <c r="VCK3" s="344"/>
      <c r="VCL3" s="344"/>
      <c r="VCM3" s="344"/>
      <c r="VCN3" s="344"/>
      <c r="VCO3" s="344"/>
      <c r="VCP3" s="344"/>
      <c r="VCQ3" s="344"/>
      <c r="VCR3" s="344"/>
      <c r="VCS3" s="344"/>
      <c r="VCT3" s="344"/>
      <c r="VCU3" s="344"/>
      <c r="VCV3" s="344"/>
      <c r="VCW3" s="344"/>
      <c r="VCX3" s="344"/>
      <c r="VCY3" s="344"/>
      <c r="VCZ3" s="344"/>
      <c r="VDA3" s="344"/>
      <c r="VDB3" s="344"/>
      <c r="VDC3" s="344"/>
      <c r="VDD3" s="344"/>
      <c r="VDE3" s="344"/>
      <c r="VDF3" s="344"/>
      <c r="VDG3" s="344"/>
      <c r="VDH3" s="344"/>
      <c r="VDI3" s="344"/>
      <c r="VDJ3" s="344"/>
      <c r="VDK3" s="344"/>
      <c r="VDL3" s="344"/>
      <c r="VDM3" s="344"/>
      <c r="VDN3" s="344"/>
      <c r="VDO3" s="344"/>
      <c r="VDP3" s="344"/>
      <c r="VDQ3" s="344"/>
      <c r="VDR3" s="344"/>
      <c r="VDS3" s="344"/>
      <c r="VDT3" s="344"/>
      <c r="VDU3" s="344"/>
      <c r="VDV3" s="344"/>
      <c r="VDW3" s="344"/>
      <c r="VDX3" s="344"/>
      <c r="VDY3" s="344"/>
      <c r="VDZ3" s="344"/>
      <c r="VEA3" s="344"/>
      <c r="VEB3" s="344"/>
      <c r="VEC3" s="344"/>
      <c r="VED3" s="344"/>
      <c r="VEE3" s="344"/>
      <c r="VEF3" s="344"/>
      <c r="VEG3" s="344"/>
      <c r="VEH3" s="344"/>
      <c r="VEI3" s="344"/>
      <c r="VEJ3" s="344"/>
      <c r="VEK3" s="344"/>
      <c r="VEL3" s="344"/>
      <c r="VEM3" s="344"/>
      <c r="VEN3" s="344"/>
      <c r="VEO3" s="344"/>
      <c r="VEP3" s="344"/>
      <c r="VEQ3" s="344"/>
      <c r="VER3" s="344"/>
      <c r="VES3" s="344"/>
      <c r="VET3" s="344"/>
      <c r="VEU3" s="344"/>
      <c r="VEV3" s="344"/>
      <c r="VEW3" s="344"/>
      <c r="VEX3" s="344"/>
      <c r="VEY3" s="344"/>
      <c r="VEZ3" s="344"/>
      <c r="VFA3" s="344"/>
      <c r="VFB3" s="344"/>
      <c r="VFC3" s="344"/>
      <c r="VFD3" s="344"/>
      <c r="VFE3" s="344"/>
      <c r="VFF3" s="344"/>
      <c r="VFG3" s="344"/>
      <c r="VFH3" s="344"/>
      <c r="VFI3" s="344"/>
      <c r="VFJ3" s="344"/>
      <c r="VFK3" s="344"/>
      <c r="VFL3" s="344"/>
      <c r="VFM3" s="344"/>
      <c r="VFN3" s="344"/>
      <c r="VFO3" s="344"/>
      <c r="VFP3" s="344"/>
      <c r="VFQ3" s="344"/>
      <c r="VFR3" s="344"/>
      <c r="VFS3" s="344"/>
      <c r="VFT3" s="344"/>
      <c r="VFU3" s="344"/>
      <c r="VFV3" s="344"/>
      <c r="VFW3" s="344"/>
      <c r="VFX3" s="344"/>
      <c r="VFY3" s="344"/>
      <c r="VFZ3" s="344"/>
      <c r="VGA3" s="344"/>
      <c r="VGB3" s="344"/>
      <c r="VGC3" s="344"/>
      <c r="VGD3" s="344"/>
      <c r="VGE3" s="344"/>
      <c r="VGF3" s="344"/>
      <c r="VGG3" s="344"/>
      <c r="VGH3" s="344"/>
      <c r="VGI3" s="344"/>
      <c r="VGJ3" s="344"/>
      <c r="VGK3" s="344"/>
      <c r="VGL3" s="344"/>
      <c r="VGM3" s="344"/>
      <c r="VGN3" s="344"/>
      <c r="VGO3" s="344"/>
      <c r="VGP3" s="344"/>
      <c r="VGQ3" s="344"/>
      <c r="VGR3" s="344"/>
      <c r="VGS3" s="344"/>
      <c r="VGT3" s="344"/>
      <c r="VGU3" s="344"/>
      <c r="VGV3" s="344"/>
      <c r="VGW3" s="344"/>
      <c r="VGX3" s="344"/>
      <c r="VGY3" s="344"/>
      <c r="VGZ3" s="344"/>
      <c r="VHA3" s="344"/>
      <c r="VHB3" s="344"/>
      <c r="VHC3" s="344"/>
      <c r="VHD3" s="344"/>
      <c r="VHE3" s="344"/>
      <c r="VHF3" s="344"/>
      <c r="VHG3" s="344"/>
      <c r="VHH3" s="344"/>
      <c r="VHI3" s="344"/>
      <c r="VHJ3" s="344"/>
      <c r="VHK3" s="344"/>
      <c r="VHL3" s="344"/>
      <c r="VHM3" s="344"/>
      <c r="VHN3" s="344"/>
      <c r="VHO3" s="344"/>
      <c r="VHP3" s="344"/>
      <c r="VHQ3" s="344"/>
      <c r="VHR3" s="344"/>
      <c r="VHS3" s="344"/>
      <c r="VHT3" s="344"/>
      <c r="VHU3" s="344"/>
      <c r="VHV3" s="344"/>
      <c r="VHW3" s="344"/>
      <c r="VHX3" s="344"/>
      <c r="VHY3" s="344"/>
      <c r="VHZ3" s="344"/>
      <c r="VIA3" s="344"/>
      <c r="VIB3" s="344"/>
      <c r="VIC3" s="344"/>
      <c r="VID3" s="344"/>
      <c r="VIE3" s="344"/>
      <c r="VIF3" s="344"/>
      <c r="VIG3" s="344"/>
      <c r="VIH3" s="344"/>
      <c r="VII3" s="344"/>
      <c r="VIJ3" s="344"/>
      <c r="VIK3" s="344"/>
      <c r="VIL3" s="344"/>
      <c r="VIM3" s="344"/>
      <c r="VIN3" s="344"/>
      <c r="VIO3" s="344"/>
      <c r="VIP3" s="344"/>
      <c r="VIQ3" s="344"/>
      <c r="VIR3" s="344"/>
      <c r="VIS3" s="344"/>
      <c r="VIT3" s="344"/>
      <c r="VIU3" s="344"/>
      <c r="VIV3" s="344"/>
      <c r="VIW3" s="344"/>
      <c r="VIX3" s="344"/>
      <c r="VIY3" s="344"/>
      <c r="VIZ3" s="344"/>
      <c r="VJA3" s="344"/>
      <c r="VJB3" s="344"/>
      <c r="VJC3" s="344"/>
      <c r="VJD3" s="344"/>
      <c r="VJE3" s="344"/>
      <c r="VJF3" s="344"/>
      <c r="VJG3" s="344"/>
      <c r="VJH3" s="344"/>
      <c r="VJI3" s="344"/>
      <c r="VJJ3" s="344"/>
      <c r="VJK3" s="344"/>
      <c r="VJL3" s="344"/>
      <c r="VJM3" s="344"/>
      <c r="VJN3" s="344"/>
      <c r="VJO3" s="344"/>
      <c r="VJP3" s="344"/>
      <c r="VJQ3" s="344"/>
      <c r="VJR3" s="344"/>
      <c r="VJS3" s="344"/>
      <c r="VJT3" s="344"/>
      <c r="VJU3" s="344"/>
      <c r="VJV3" s="344"/>
      <c r="VJW3" s="344"/>
      <c r="VJX3" s="344"/>
      <c r="VJY3" s="344"/>
      <c r="VJZ3" s="344"/>
      <c r="VKA3" s="344"/>
      <c r="VKB3" s="344"/>
      <c r="VKC3" s="344"/>
      <c r="VKD3" s="344"/>
      <c r="VKE3" s="344"/>
      <c r="VKF3" s="344"/>
      <c r="VKG3" s="344"/>
      <c r="VKH3" s="344"/>
      <c r="VKI3" s="344"/>
      <c r="VKJ3" s="344"/>
      <c r="VKK3" s="344"/>
      <c r="VKL3" s="344"/>
      <c r="VKM3" s="344"/>
      <c r="VKN3" s="344"/>
      <c r="VKO3" s="344"/>
      <c r="VKP3" s="344"/>
      <c r="VKQ3" s="344"/>
      <c r="VKR3" s="344"/>
      <c r="VKS3" s="344"/>
      <c r="VKT3" s="344"/>
      <c r="VKU3" s="344"/>
      <c r="VKV3" s="344"/>
      <c r="VKW3" s="344"/>
      <c r="VKX3" s="344"/>
      <c r="VKY3" s="344"/>
      <c r="VKZ3" s="344"/>
      <c r="VLA3" s="344"/>
      <c r="VLB3" s="344"/>
      <c r="VLC3" s="344"/>
      <c r="VLD3" s="344"/>
      <c r="VLE3" s="344"/>
      <c r="VLF3" s="344"/>
      <c r="VLG3" s="344"/>
      <c r="VLH3" s="344"/>
      <c r="VLI3" s="344"/>
      <c r="VLJ3" s="344"/>
      <c r="VLK3" s="344"/>
      <c r="VLL3" s="344"/>
      <c r="VLM3" s="344"/>
      <c r="VLN3" s="344"/>
      <c r="VLO3" s="344"/>
      <c r="VLP3" s="344"/>
      <c r="VLQ3" s="344"/>
      <c r="VLR3" s="344"/>
      <c r="VLS3" s="344"/>
      <c r="VLT3" s="344"/>
      <c r="VLU3" s="344"/>
      <c r="VLV3" s="344"/>
      <c r="VLW3" s="344"/>
      <c r="VLX3" s="344"/>
      <c r="VLY3" s="344"/>
      <c r="VLZ3" s="344"/>
      <c r="VMA3" s="344"/>
      <c r="VMB3" s="344"/>
      <c r="VMC3" s="344"/>
      <c r="VMD3" s="344"/>
      <c r="VME3" s="344"/>
      <c r="VMF3" s="344"/>
      <c r="VMG3" s="344"/>
      <c r="VMH3" s="344"/>
      <c r="VMI3" s="344"/>
      <c r="VMJ3" s="344"/>
      <c r="VMK3" s="344"/>
      <c r="VML3" s="344"/>
      <c r="VMM3" s="344"/>
      <c r="VMN3" s="344"/>
      <c r="VMO3" s="344"/>
      <c r="VMP3" s="344"/>
      <c r="VMQ3" s="344"/>
      <c r="VMR3" s="344"/>
      <c r="VMS3" s="344"/>
      <c r="VMT3" s="344"/>
      <c r="VMU3" s="344"/>
      <c r="VMV3" s="344"/>
      <c r="VMW3" s="344"/>
      <c r="VMX3" s="344"/>
      <c r="VMY3" s="344"/>
      <c r="VMZ3" s="344"/>
      <c r="VNA3" s="344"/>
      <c r="VNB3" s="344"/>
      <c r="VNC3" s="344"/>
      <c r="VND3" s="344"/>
      <c r="VNE3" s="344"/>
      <c r="VNF3" s="344"/>
      <c r="VNG3" s="344"/>
      <c r="VNH3" s="344"/>
      <c r="VNI3" s="344"/>
      <c r="VNJ3" s="344"/>
      <c r="VNK3" s="344"/>
      <c r="VNL3" s="344"/>
      <c r="VNM3" s="344"/>
      <c r="VNN3" s="344"/>
      <c r="VNO3" s="344"/>
      <c r="VNP3" s="344"/>
      <c r="VNQ3" s="344"/>
      <c r="VNR3" s="344"/>
      <c r="VNS3" s="344"/>
      <c r="VNT3" s="344"/>
      <c r="VNU3" s="344"/>
      <c r="VNV3" s="344"/>
      <c r="VNW3" s="344"/>
      <c r="VNX3" s="344"/>
      <c r="VNY3" s="344"/>
      <c r="VNZ3" s="344"/>
      <c r="VOA3" s="344"/>
      <c r="VOB3" s="344"/>
      <c r="VOC3" s="344"/>
      <c r="VOD3" s="344"/>
      <c r="VOE3" s="344"/>
      <c r="VOF3" s="344"/>
      <c r="VOG3" s="344"/>
      <c r="VOH3" s="344"/>
      <c r="VOI3" s="344"/>
      <c r="VOJ3" s="344"/>
      <c r="VOK3" s="344"/>
      <c r="VOL3" s="344"/>
      <c r="VOM3" s="344"/>
      <c r="VON3" s="344"/>
      <c r="VOO3" s="344"/>
      <c r="VOP3" s="344"/>
      <c r="VOQ3" s="344"/>
      <c r="VOR3" s="344"/>
      <c r="VOS3" s="344"/>
      <c r="VOT3" s="344"/>
      <c r="VOU3" s="344"/>
      <c r="VOV3" s="344"/>
      <c r="VOW3" s="344"/>
      <c r="VOX3" s="344"/>
      <c r="VOY3" s="344"/>
      <c r="VOZ3" s="344"/>
      <c r="VPA3" s="344"/>
      <c r="VPB3" s="344"/>
      <c r="VPC3" s="344"/>
      <c r="VPD3" s="344"/>
      <c r="VPE3" s="344"/>
      <c r="VPF3" s="344"/>
      <c r="VPG3" s="344"/>
      <c r="VPH3" s="344"/>
      <c r="VPI3" s="344"/>
      <c r="VPJ3" s="344"/>
      <c r="VPK3" s="344"/>
      <c r="VPL3" s="344"/>
      <c r="VPM3" s="344"/>
      <c r="VPN3" s="344"/>
      <c r="VPO3" s="344"/>
      <c r="VPP3" s="344"/>
      <c r="VPQ3" s="344"/>
      <c r="VPR3" s="344"/>
      <c r="VPS3" s="344"/>
      <c r="VPT3" s="344"/>
      <c r="VPU3" s="344"/>
      <c r="VPV3" s="344"/>
      <c r="VPW3" s="344"/>
      <c r="VPX3" s="344"/>
      <c r="VPY3" s="344"/>
      <c r="VPZ3" s="344"/>
      <c r="VQA3" s="344"/>
      <c r="VQB3" s="344"/>
      <c r="VQC3" s="344"/>
      <c r="VQD3" s="344"/>
      <c r="VQE3" s="344"/>
      <c r="VQF3" s="344"/>
      <c r="VQG3" s="344"/>
      <c r="VQH3" s="344"/>
      <c r="VQI3" s="344"/>
      <c r="VQJ3" s="344"/>
      <c r="VQK3" s="344"/>
      <c r="VQL3" s="344"/>
      <c r="VQM3" s="344"/>
      <c r="VQN3" s="344"/>
      <c r="VQO3" s="344"/>
      <c r="VQP3" s="344"/>
      <c r="VQQ3" s="344"/>
      <c r="VQR3" s="344"/>
      <c r="VQS3" s="344"/>
      <c r="VQT3" s="344"/>
      <c r="VQU3" s="344"/>
      <c r="VQV3" s="344"/>
      <c r="VQW3" s="344"/>
      <c r="VQX3" s="344"/>
      <c r="VQY3" s="344"/>
      <c r="VQZ3" s="344"/>
      <c r="VRA3" s="344"/>
      <c r="VRB3" s="344"/>
      <c r="VRC3" s="344"/>
      <c r="VRD3" s="344"/>
      <c r="VRE3" s="344"/>
      <c r="VRF3" s="344"/>
      <c r="VRG3" s="344"/>
      <c r="VRH3" s="344"/>
      <c r="VRI3" s="344"/>
      <c r="VRJ3" s="344"/>
      <c r="VRK3" s="344"/>
      <c r="VRL3" s="344"/>
      <c r="VRM3" s="344"/>
      <c r="VRN3" s="344"/>
      <c r="VRO3" s="344"/>
      <c r="VRP3" s="344"/>
      <c r="VRQ3" s="344"/>
      <c r="VRR3" s="344"/>
      <c r="VRS3" s="344"/>
      <c r="VRT3" s="344"/>
      <c r="VRU3" s="344"/>
      <c r="VRV3" s="344"/>
      <c r="VRW3" s="344"/>
      <c r="VRX3" s="344"/>
      <c r="VRY3" s="344"/>
      <c r="VRZ3" s="344"/>
      <c r="VSA3" s="344"/>
      <c r="VSB3" s="344"/>
      <c r="VSC3" s="344"/>
      <c r="VSD3" s="344"/>
      <c r="VSE3" s="344"/>
      <c r="VSF3" s="344"/>
      <c r="VSG3" s="344"/>
      <c r="VSH3" s="344"/>
      <c r="VSI3" s="344"/>
      <c r="VSJ3" s="344"/>
      <c r="VSK3" s="344"/>
      <c r="VSL3" s="344"/>
      <c r="VSM3" s="344"/>
      <c r="VSN3" s="344"/>
      <c r="VSO3" s="344"/>
      <c r="VSP3" s="344"/>
      <c r="VSQ3" s="344"/>
      <c r="VSR3" s="344"/>
      <c r="VSS3" s="344"/>
      <c r="VST3" s="344"/>
      <c r="VSU3" s="344"/>
      <c r="VSV3" s="344"/>
      <c r="VSW3" s="344"/>
      <c r="VSX3" s="344"/>
      <c r="VSY3" s="344"/>
      <c r="VSZ3" s="344"/>
      <c r="VTA3" s="344"/>
      <c r="VTB3" s="344"/>
      <c r="VTC3" s="344"/>
      <c r="VTD3" s="344"/>
      <c r="VTE3" s="344"/>
      <c r="VTF3" s="344"/>
      <c r="VTG3" s="344"/>
      <c r="VTH3" s="344"/>
      <c r="VTI3" s="344"/>
      <c r="VTJ3" s="344"/>
      <c r="VTK3" s="344"/>
      <c r="VTL3" s="344"/>
      <c r="VTM3" s="344"/>
      <c r="VTN3" s="344"/>
      <c r="VTO3" s="344"/>
      <c r="VTP3" s="344"/>
      <c r="VTQ3" s="344"/>
      <c r="VTR3" s="344"/>
      <c r="VTS3" s="344"/>
      <c r="VTT3" s="344"/>
      <c r="VTU3" s="344"/>
      <c r="VTV3" s="344"/>
      <c r="VTW3" s="344"/>
      <c r="VTX3" s="344"/>
      <c r="VTY3" s="344"/>
      <c r="VTZ3" s="344"/>
      <c r="VUA3" s="344"/>
      <c r="VUB3" s="344"/>
      <c r="VUC3" s="344"/>
      <c r="VUD3" s="344"/>
      <c r="VUE3" s="344"/>
      <c r="VUF3" s="344"/>
      <c r="VUG3" s="344"/>
      <c r="VUH3" s="344"/>
      <c r="VUI3" s="344"/>
      <c r="VUJ3" s="344"/>
      <c r="VUK3" s="344"/>
      <c r="VUL3" s="344"/>
      <c r="VUM3" s="344"/>
      <c r="VUN3" s="344"/>
      <c r="VUO3" s="344"/>
      <c r="VUP3" s="344"/>
      <c r="VUQ3" s="344"/>
      <c r="VUR3" s="344"/>
      <c r="VUS3" s="344"/>
      <c r="VUT3" s="344"/>
      <c r="VUU3" s="344"/>
      <c r="VUV3" s="344"/>
      <c r="VUW3" s="344"/>
      <c r="VUX3" s="344"/>
      <c r="VUY3" s="344"/>
      <c r="VUZ3" s="344"/>
      <c r="VVA3" s="344"/>
      <c r="VVB3" s="344"/>
      <c r="VVC3" s="344"/>
      <c r="VVD3" s="344"/>
      <c r="VVE3" s="344"/>
      <c r="VVF3" s="344"/>
      <c r="VVG3" s="344"/>
      <c r="VVH3" s="344"/>
      <c r="VVI3" s="344"/>
      <c r="VVJ3" s="344"/>
      <c r="VVK3" s="344"/>
      <c r="VVL3" s="344"/>
      <c r="VVM3" s="344"/>
      <c r="VVN3" s="344"/>
      <c r="VVO3" s="344"/>
      <c r="VVP3" s="344"/>
      <c r="VVQ3" s="344"/>
      <c r="VVR3" s="344"/>
      <c r="VVS3" s="344"/>
      <c r="VVT3" s="344"/>
      <c r="VVU3" s="344"/>
      <c r="VVV3" s="344"/>
      <c r="VVW3" s="344"/>
      <c r="VVX3" s="344"/>
      <c r="VVY3" s="344"/>
      <c r="VVZ3" s="344"/>
      <c r="VWA3" s="344"/>
      <c r="VWB3" s="344"/>
      <c r="VWC3" s="344"/>
      <c r="VWD3" s="344"/>
      <c r="VWE3" s="344"/>
      <c r="VWF3" s="344"/>
      <c r="VWG3" s="344"/>
      <c r="VWH3" s="344"/>
      <c r="VWI3" s="344"/>
      <c r="VWJ3" s="344"/>
      <c r="VWK3" s="344"/>
      <c r="VWL3" s="344"/>
      <c r="VWM3" s="344"/>
      <c r="VWN3" s="344"/>
      <c r="VWO3" s="344"/>
      <c r="VWP3" s="344"/>
      <c r="VWQ3" s="344"/>
      <c r="VWR3" s="344"/>
      <c r="VWS3" s="344"/>
      <c r="VWT3" s="344"/>
      <c r="VWU3" s="344"/>
      <c r="VWV3" s="344"/>
      <c r="VWW3" s="344"/>
      <c r="VWX3" s="344"/>
      <c r="VWY3" s="344"/>
      <c r="VWZ3" s="344"/>
      <c r="VXA3" s="344"/>
      <c r="VXB3" s="344"/>
      <c r="VXC3" s="344"/>
      <c r="VXD3" s="344"/>
      <c r="VXE3" s="344"/>
      <c r="VXF3" s="344"/>
      <c r="VXG3" s="344"/>
      <c r="VXH3" s="344"/>
      <c r="VXI3" s="344"/>
      <c r="VXJ3" s="344"/>
      <c r="VXK3" s="344"/>
      <c r="VXL3" s="344"/>
      <c r="VXM3" s="344"/>
      <c r="VXN3" s="344"/>
      <c r="VXO3" s="344"/>
      <c r="VXP3" s="344"/>
      <c r="VXQ3" s="344"/>
      <c r="VXR3" s="344"/>
      <c r="VXS3" s="344"/>
      <c r="VXT3" s="344"/>
      <c r="VXU3" s="344"/>
      <c r="VXV3" s="344"/>
      <c r="VXW3" s="344"/>
      <c r="VXX3" s="344"/>
      <c r="VXY3" s="344"/>
      <c r="VXZ3" s="344"/>
      <c r="VYA3" s="344"/>
      <c r="VYB3" s="344"/>
      <c r="VYC3" s="344"/>
      <c r="VYD3" s="344"/>
      <c r="VYE3" s="344"/>
      <c r="VYF3" s="344"/>
      <c r="VYG3" s="344"/>
      <c r="VYH3" s="344"/>
      <c r="VYI3" s="344"/>
      <c r="VYJ3" s="344"/>
      <c r="VYK3" s="344"/>
      <c r="VYL3" s="344"/>
      <c r="VYM3" s="344"/>
      <c r="VYN3" s="344"/>
      <c r="VYO3" s="344"/>
      <c r="VYP3" s="344"/>
      <c r="VYQ3" s="344"/>
      <c r="VYR3" s="344"/>
      <c r="VYS3" s="344"/>
      <c r="VYT3" s="344"/>
      <c r="VYU3" s="344"/>
      <c r="VYV3" s="344"/>
      <c r="VYW3" s="344"/>
      <c r="VYX3" s="344"/>
      <c r="VYY3" s="344"/>
      <c r="VYZ3" s="344"/>
      <c r="VZA3" s="344"/>
      <c r="VZB3" s="344"/>
      <c r="VZC3" s="344"/>
      <c r="VZD3" s="344"/>
      <c r="VZE3" s="344"/>
      <c r="VZF3" s="344"/>
      <c r="VZG3" s="344"/>
      <c r="VZH3" s="344"/>
      <c r="VZI3" s="344"/>
      <c r="VZJ3" s="344"/>
      <c r="VZK3" s="344"/>
      <c r="VZL3" s="344"/>
      <c r="VZM3" s="344"/>
      <c r="VZN3" s="344"/>
      <c r="VZO3" s="344"/>
      <c r="VZP3" s="344"/>
      <c r="VZQ3" s="344"/>
      <c r="VZR3" s="344"/>
      <c r="VZS3" s="344"/>
      <c r="VZT3" s="344"/>
      <c r="VZU3" s="344"/>
      <c r="VZV3" s="344"/>
      <c r="VZW3" s="344"/>
      <c r="VZX3" s="344"/>
      <c r="VZY3" s="344"/>
      <c r="VZZ3" s="344"/>
      <c r="WAA3" s="344"/>
      <c r="WAB3" s="344"/>
      <c r="WAC3" s="344"/>
      <c r="WAD3" s="344"/>
      <c r="WAE3" s="344"/>
      <c r="WAF3" s="344"/>
      <c r="WAG3" s="344"/>
      <c r="WAH3" s="344"/>
      <c r="WAI3" s="344"/>
      <c r="WAJ3" s="344"/>
      <c r="WAK3" s="344"/>
      <c r="WAL3" s="344"/>
      <c r="WAM3" s="344"/>
      <c r="WAN3" s="344"/>
      <c r="WAO3" s="344"/>
      <c r="WAP3" s="344"/>
      <c r="WAQ3" s="344"/>
      <c r="WAR3" s="344"/>
      <c r="WAS3" s="344"/>
      <c r="WAT3" s="344"/>
      <c r="WAU3" s="344"/>
      <c r="WAV3" s="344"/>
      <c r="WAW3" s="344"/>
      <c r="WAX3" s="344"/>
      <c r="WAY3" s="344"/>
      <c r="WAZ3" s="344"/>
      <c r="WBA3" s="344"/>
      <c r="WBB3" s="344"/>
      <c r="WBC3" s="344"/>
      <c r="WBD3" s="344"/>
      <c r="WBE3" s="344"/>
      <c r="WBF3" s="344"/>
      <c r="WBG3" s="344"/>
      <c r="WBH3" s="344"/>
      <c r="WBI3" s="344"/>
      <c r="WBJ3" s="344"/>
      <c r="WBK3" s="344"/>
      <c r="WBL3" s="344"/>
      <c r="WBM3" s="344"/>
      <c r="WBN3" s="344"/>
      <c r="WBO3" s="344"/>
      <c r="WBP3" s="344"/>
      <c r="WBQ3" s="344"/>
      <c r="WBR3" s="344"/>
      <c r="WBS3" s="344"/>
      <c r="WBT3" s="344"/>
      <c r="WBU3" s="344"/>
      <c r="WBV3" s="344"/>
      <c r="WBW3" s="344"/>
      <c r="WBX3" s="344"/>
      <c r="WBY3" s="344"/>
      <c r="WBZ3" s="344"/>
      <c r="WCA3" s="344"/>
      <c r="WCB3" s="344"/>
      <c r="WCC3" s="344"/>
      <c r="WCD3" s="344"/>
      <c r="WCE3" s="344"/>
      <c r="WCF3" s="344"/>
      <c r="WCG3" s="344"/>
      <c r="WCH3" s="344"/>
      <c r="WCI3" s="344"/>
      <c r="WCJ3" s="344"/>
      <c r="WCK3" s="344"/>
      <c r="WCL3" s="344"/>
      <c r="WCM3" s="344"/>
      <c r="WCN3" s="344"/>
      <c r="WCO3" s="344"/>
      <c r="WCP3" s="344"/>
      <c r="WCQ3" s="344"/>
      <c r="WCR3" s="344"/>
      <c r="WCS3" s="344"/>
      <c r="WCT3" s="344"/>
      <c r="WCU3" s="344"/>
      <c r="WCV3" s="344"/>
      <c r="WCW3" s="344"/>
      <c r="WCX3" s="344"/>
      <c r="WCY3" s="344"/>
      <c r="WCZ3" s="344"/>
      <c r="WDA3" s="344"/>
      <c r="WDB3" s="344"/>
      <c r="WDC3" s="344"/>
      <c r="WDD3" s="344"/>
      <c r="WDE3" s="344"/>
      <c r="WDF3" s="344"/>
      <c r="WDG3" s="344"/>
      <c r="WDH3" s="344"/>
      <c r="WDI3" s="344"/>
      <c r="WDJ3" s="344"/>
      <c r="WDK3" s="344"/>
      <c r="WDL3" s="344"/>
      <c r="WDM3" s="344"/>
      <c r="WDN3" s="344"/>
      <c r="WDO3" s="344"/>
      <c r="WDP3" s="344"/>
      <c r="WDQ3" s="344"/>
      <c r="WDR3" s="344"/>
      <c r="WDS3" s="344"/>
      <c r="WDT3" s="344"/>
      <c r="WDU3" s="344"/>
      <c r="WDV3" s="344"/>
      <c r="WDW3" s="344"/>
      <c r="WDX3" s="344"/>
      <c r="WDY3" s="344"/>
      <c r="WDZ3" s="344"/>
      <c r="WEA3" s="344"/>
      <c r="WEB3" s="344"/>
      <c r="WEC3" s="344"/>
      <c r="WED3" s="344"/>
      <c r="WEE3" s="344"/>
      <c r="WEF3" s="344"/>
      <c r="WEG3" s="344"/>
      <c r="WEH3" s="344"/>
      <c r="WEI3" s="344"/>
      <c r="WEJ3" s="344"/>
      <c r="WEK3" s="344"/>
      <c r="WEL3" s="344"/>
      <c r="WEM3" s="344"/>
      <c r="WEN3" s="344"/>
      <c r="WEO3" s="344"/>
      <c r="WEP3" s="344"/>
      <c r="WEQ3" s="344"/>
      <c r="WER3" s="344"/>
      <c r="WES3" s="344"/>
      <c r="WET3" s="344"/>
      <c r="WEU3" s="344"/>
      <c r="WEV3" s="344"/>
      <c r="WEW3" s="344"/>
      <c r="WEX3" s="344"/>
      <c r="WEY3" s="344"/>
      <c r="WEZ3" s="344"/>
      <c r="WFA3" s="344"/>
      <c r="WFB3" s="344"/>
      <c r="WFC3" s="344"/>
      <c r="WFD3" s="344"/>
      <c r="WFE3" s="344"/>
      <c r="WFF3" s="344"/>
      <c r="WFG3" s="344"/>
      <c r="WFH3" s="344"/>
      <c r="WFI3" s="344"/>
      <c r="WFJ3" s="344"/>
      <c r="WFK3" s="344"/>
      <c r="WFL3" s="344"/>
      <c r="WFM3" s="344"/>
      <c r="WFN3" s="344"/>
      <c r="WFO3" s="344"/>
      <c r="WFP3" s="344"/>
      <c r="WFQ3" s="344"/>
      <c r="WFR3" s="344"/>
      <c r="WFS3" s="344"/>
      <c r="WFT3" s="344"/>
      <c r="WFU3" s="344"/>
      <c r="WFV3" s="344"/>
      <c r="WFW3" s="344"/>
      <c r="WFX3" s="344"/>
      <c r="WFY3" s="344"/>
      <c r="WFZ3" s="344"/>
      <c r="WGA3" s="344"/>
      <c r="WGB3" s="344"/>
      <c r="WGC3" s="344"/>
      <c r="WGD3" s="344"/>
      <c r="WGE3" s="344"/>
      <c r="WGF3" s="344"/>
      <c r="WGG3" s="344"/>
      <c r="WGH3" s="344"/>
      <c r="WGI3" s="344"/>
      <c r="WGJ3" s="344"/>
      <c r="WGK3" s="344"/>
      <c r="WGL3" s="344"/>
      <c r="WGM3" s="344"/>
      <c r="WGN3" s="344"/>
      <c r="WGO3" s="344"/>
      <c r="WGP3" s="344"/>
      <c r="WGQ3" s="344"/>
      <c r="WGR3" s="344"/>
      <c r="WGS3" s="344"/>
      <c r="WGT3" s="344"/>
      <c r="WGU3" s="344"/>
      <c r="WGV3" s="344"/>
      <c r="WGW3" s="344"/>
      <c r="WGX3" s="344"/>
      <c r="WGY3" s="344"/>
      <c r="WGZ3" s="344"/>
      <c r="WHA3" s="344"/>
      <c r="WHB3" s="344"/>
      <c r="WHC3" s="344"/>
      <c r="WHD3" s="344"/>
      <c r="WHE3" s="344"/>
      <c r="WHF3" s="344"/>
      <c r="WHG3" s="344"/>
      <c r="WHH3" s="344"/>
      <c r="WHI3" s="344"/>
      <c r="WHJ3" s="344"/>
      <c r="WHK3" s="344"/>
      <c r="WHL3" s="344"/>
      <c r="WHM3" s="344"/>
      <c r="WHN3" s="344"/>
      <c r="WHO3" s="344"/>
      <c r="WHP3" s="344"/>
      <c r="WHQ3" s="344"/>
      <c r="WHR3" s="344"/>
      <c r="WHS3" s="344"/>
      <c r="WHT3" s="344"/>
      <c r="WHU3" s="344"/>
      <c r="WHV3" s="344"/>
      <c r="WHW3" s="344"/>
      <c r="WHX3" s="344"/>
      <c r="WHY3" s="344"/>
      <c r="WHZ3" s="344"/>
      <c r="WIA3" s="344"/>
      <c r="WIB3" s="344"/>
      <c r="WIC3" s="344"/>
      <c r="WID3" s="344"/>
      <c r="WIE3" s="344"/>
      <c r="WIF3" s="344"/>
      <c r="WIG3" s="344"/>
      <c r="WIH3" s="344"/>
      <c r="WII3" s="344"/>
      <c r="WIJ3" s="344"/>
      <c r="WIK3" s="344"/>
      <c r="WIL3" s="344"/>
      <c r="WIM3" s="344"/>
      <c r="WIN3" s="344"/>
      <c r="WIO3" s="344"/>
      <c r="WIP3" s="344"/>
      <c r="WIQ3" s="344"/>
      <c r="WIR3" s="344"/>
      <c r="WIS3" s="344"/>
      <c r="WIT3" s="344"/>
      <c r="WIU3" s="344"/>
      <c r="WIV3" s="344"/>
      <c r="WIW3" s="344"/>
      <c r="WIX3" s="344"/>
      <c r="WIY3" s="344"/>
      <c r="WIZ3" s="344"/>
      <c r="WJA3" s="344"/>
      <c r="WJB3" s="344"/>
      <c r="WJC3" s="344"/>
      <c r="WJD3" s="344"/>
      <c r="WJE3" s="344"/>
      <c r="WJF3" s="344"/>
      <c r="WJG3" s="344"/>
      <c r="WJH3" s="344"/>
      <c r="WJI3" s="344"/>
      <c r="WJJ3" s="344"/>
      <c r="WJK3" s="344"/>
      <c r="WJL3" s="344"/>
      <c r="WJM3" s="344"/>
      <c r="WJN3" s="344"/>
      <c r="WJO3" s="344"/>
      <c r="WJP3" s="344"/>
      <c r="WJQ3" s="344"/>
      <c r="WJR3" s="344"/>
      <c r="WJS3" s="344"/>
      <c r="WJT3" s="344"/>
      <c r="WJU3" s="344"/>
      <c r="WJV3" s="344"/>
      <c r="WJW3" s="344"/>
      <c r="WJX3" s="344"/>
      <c r="WJY3" s="344"/>
      <c r="WJZ3" s="344"/>
      <c r="WKA3" s="344"/>
      <c r="WKB3" s="344"/>
      <c r="WKC3" s="344"/>
      <c r="WKD3" s="344"/>
      <c r="WKE3" s="344"/>
      <c r="WKF3" s="344"/>
      <c r="WKG3" s="344"/>
      <c r="WKH3" s="344"/>
      <c r="WKI3" s="344"/>
      <c r="WKJ3" s="344"/>
      <c r="WKK3" s="344"/>
      <c r="WKL3" s="344"/>
      <c r="WKM3" s="344"/>
      <c r="WKN3" s="344"/>
      <c r="WKO3" s="344"/>
      <c r="WKP3" s="344"/>
      <c r="WKQ3" s="344"/>
      <c r="WKR3" s="344"/>
      <c r="WKS3" s="344"/>
      <c r="WKT3" s="344"/>
      <c r="WKU3" s="344"/>
      <c r="WKV3" s="344"/>
      <c r="WKW3" s="344"/>
      <c r="WKX3" s="344"/>
      <c r="WKY3" s="344"/>
      <c r="WKZ3" s="344"/>
      <c r="WLA3" s="344"/>
      <c r="WLB3" s="344"/>
      <c r="WLC3" s="344"/>
      <c r="WLD3" s="344"/>
      <c r="WLE3" s="344"/>
      <c r="WLF3" s="344"/>
      <c r="WLG3" s="344"/>
      <c r="WLH3" s="344"/>
      <c r="WLI3" s="344"/>
      <c r="WLJ3" s="344"/>
      <c r="WLK3" s="344"/>
      <c r="WLL3" s="344"/>
      <c r="WLM3" s="344"/>
      <c r="WLN3" s="344"/>
      <c r="WLO3" s="344"/>
      <c r="WLP3" s="344"/>
      <c r="WLQ3" s="344"/>
      <c r="WLR3" s="344"/>
      <c r="WLS3" s="344"/>
      <c r="WLT3" s="344"/>
      <c r="WLU3" s="344"/>
      <c r="WLV3" s="344"/>
      <c r="WLW3" s="344"/>
      <c r="WLX3" s="344"/>
      <c r="WLY3" s="344"/>
      <c r="WLZ3" s="344"/>
      <c r="WMA3" s="344"/>
      <c r="WMB3" s="344"/>
      <c r="WMC3" s="344"/>
      <c r="WMD3" s="344"/>
      <c r="WME3" s="344"/>
      <c r="WMF3" s="344"/>
      <c r="WMG3" s="344"/>
      <c r="WMH3" s="344"/>
      <c r="WMI3" s="344"/>
      <c r="WMJ3" s="344"/>
      <c r="WMK3" s="344"/>
      <c r="WML3" s="344"/>
      <c r="WMM3" s="344"/>
      <c r="WMN3" s="344"/>
      <c r="WMO3" s="344"/>
      <c r="WMP3" s="344"/>
      <c r="WMQ3" s="344"/>
      <c r="WMR3" s="344"/>
      <c r="WMS3" s="344"/>
      <c r="WMT3" s="344"/>
      <c r="WMU3" s="344"/>
      <c r="WMV3" s="344"/>
      <c r="WMW3" s="344"/>
      <c r="WMX3" s="344"/>
      <c r="WMY3" s="344"/>
      <c r="WMZ3" s="344"/>
      <c r="WNA3" s="344"/>
      <c r="WNB3" s="344"/>
      <c r="WNC3" s="344"/>
      <c r="WND3" s="344"/>
      <c r="WNE3" s="344"/>
      <c r="WNF3" s="344"/>
      <c r="WNG3" s="344"/>
      <c r="WNH3" s="344"/>
      <c r="WNI3" s="344"/>
      <c r="WNJ3" s="344"/>
      <c r="WNK3" s="344"/>
      <c r="WNL3" s="344"/>
      <c r="WNM3" s="344"/>
      <c r="WNN3" s="344"/>
      <c r="WNO3" s="344"/>
      <c r="WNP3" s="344"/>
      <c r="WNQ3" s="344"/>
      <c r="WNR3" s="344"/>
      <c r="WNS3" s="344"/>
      <c r="WNT3" s="344"/>
      <c r="WNU3" s="344"/>
      <c r="WNV3" s="344"/>
      <c r="WNW3" s="344"/>
      <c r="WNX3" s="344"/>
      <c r="WNY3" s="344"/>
      <c r="WNZ3" s="344"/>
      <c r="WOA3" s="344"/>
      <c r="WOB3" s="344"/>
      <c r="WOC3" s="344"/>
      <c r="WOD3" s="344"/>
      <c r="WOE3" s="344"/>
      <c r="WOF3" s="344"/>
      <c r="WOG3" s="344"/>
      <c r="WOH3" s="344"/>
      <c r="WOI3" s="344"/>
      <c r="WOJ3" s="344"/>
      <c r="WOK3" s="344"/>
      <c r="WOL3" s="344"/>
      <c r="WOM3" s="344"/>
      <c r="WON3" s="344"/>
      <c r="WOO3" s="344"/>
      <c r="WOP3" s="344"/>
      <c r="WOQ3" s="344"/>
      <c r="WOR3" s="344"/>
      <c r="WOS3" s="344"/>
      <c r="WOT3" s="344"/>
      <c r="WOU3" s="344"/>
      <c r="WOV3" s="344"/>
      <c r="WOW3" s="344"/>
      <c r="WOX3" s="344"/>
      <c r="WOY3" s="344"/>
      <c r="WOZ3" s="344"/>
      <c r="WPA3" s="344"/>
      <c r="WPB3" s="344"/>
      <c r="WPC3" s="344"/>
      <c r="WPD3" s="344"/>
      <c r="WPE3" s="344"/>
      <c r="WPF3" s="344"/>
      <c r="WPG3" s="344"/>
      <c r="WPH3" s="344"/>
      <c r="WPI3" s="344"/>
      <c r="WPJ3" s="344"/>
      <c r="WPK3" s="344"/>
      <c r="WPL3" s="344"/>
      <c r="WPM3" s="344"/>
      <c r="WPN3" s="344"/>
      <c r="WPO3" s="344"/>
      <c r="WPP3" s="344"/>
      <c r="WPQ3" s="344"/>
      <c r="WPR3" s="344"/>
      <c r="WPS3" s="344"/>
      <c r="WPT3" s="344"/>
      <c r="WPU3" s="344"/>
      <c r="WPV3" s="344"/>
    </row>
    <row r="4" spans="1:15986" ht="39.75" customHeight="1">
      <c r="A4" s="329"/>
      <c r="B4" s="329"/>
      <c r="C4" s="329"/>
      <c r="D4" s="436"/>
      <c r="E4" s="436"/>
      <c r="F4" s="436"/>
      <c r="G4" s="330"/>
      <c r="H4" s="329"/>
      <c r="I4" s="331"/>
      <c r="J4" s="331"/>
      <c r="K4" s="329">
        <v>25</v>
      </c>
      <c r="L4" s="329">
        <v>26</v>
      </c>
      <c r="M4" s="329">
        <v>29</v>
      </c>
      <c r="N4" s="329"/>
      <c r="O4" s="329"/>
      <c r="P4" s="329">
        <v>1</v>
      </c>
      <c r="Q4" s="329">
        <v>2</v>
      </c>
      <c r="R4" s="329">
        <v>3</v>
      </c>
      <c r="S4" s="329">
        <v>6</v>
      </c>
      <c r="T4" s="329">
        <v>7</v>
      </c>
      <c r="U4" s="344">
        <v>8</v>
      </c>
      <c r="V4" s="329">
        <v>9</v>
      </c>
      <c r="W4" s="344">
        <v>10</v>
      </c>
      <c r="X4" s="329">
        <v>11</v>
      </c>
      <c r="Y4" s="344">
        <v>12</v>
      </c>
      <c r="Z4" s="329">
        <v>13</v>
      </c>
      <c r="AA4" s="344">
        <v>14</v>
      </c>
      <c r="AB4" s="329">
        <v>15</v>
      </c>
      <c r="AC4" s="344">
        <v>16</v>
      </c>
      <c r="AD4" s="329">
        <v>17</v>
      </c>
      <c r="AE4" s="344">
        <v>18</v>
      </c>
      <c r="AF4" s="329">
        <v>19</v>
      </c>
      <c r="AG4" s="344">
        <v>20</v>
      </c>
      <c r="AH4" s="329">
        <v>21</v>
      </c>
      <c r="AI4" s="344">
        <v>22</v>
      </c>
      <c r="AJ4" s="329">
        <v>23</v>
      </c>
      <c r="AK4" s="344">
        <v>24</v>
      </c>
      <c r="AL4" s="329">
        <v>25</v>
      </c>
      <c r="AM4" s="344">
        <v>26</v>
      </c>
      <c r="AN4" s="329">
        <v>27</v>
      </c>
      <c r="AO4" s="344">
        <v>28</v>
      </c>
      <c r="AP4" s="329">
        <v>29</v>
      </c>
      <c r="AQ4" s="344">
        <v>30</v>
      </c>
      <c r="AR4" s="329">
        <v>31</v>
      </c>
      <c r="AS4" s="344">
        <v>3</v>
      </c>
      <c r="AT4" s="344">
        <v>4</v>
      </c>
      <c r="AU4" s="344">
        <v>5</v>
      </c>
      <c r="AV4" s="344">
        <v>6</v>
      </c>
      <c r="AW4" s="344">
        <v>7</v>
      </c>
      <c r="AX4" s="344">
        <v>8</v>
      </c>
      <c r="AY4" s="344">
        <v>9</v>
      </c>
      <c r="AZ4" s="344">
        <v>10</v>
      </c>
      <c r="BA4" s="344">
        <v>11</v>
      </c>
      <c r="BB4" s="344">
        <v>12</v>
      </c>
      <c r="BC4" s="344">
        <v>13</v>
      </c>
      <c r="BD4" s="344">
        <v>14</v>
      </c>
      <c r="BE4" s="344">
        <v>15</v>
      </c>
      <c r="BF4" s="344">
        <v>16</v>
      </c>
      <c r="BG4" s="344">
        <v>17</v>
      </c>
      <c r="BH4" s="344">
        <v>18</v>
      </c>
      <c r="BI4" s="344">
        <v>19</v>
      </c>
      <c r="BJ4" s="344">
        <v>20</v>
      </c>
      <c r="BK4" s="344">
        <v>21</v>
      </c>
      <c r="BL4" s="344">
        <v>22</v>
      </c>
      <c r="BM4" s="344">
        <v>23</v>
      </c>
      <c r="BN4" s="344">
        <v>24</v>
      </c>
      <c r="BO4" s="344">
        <v>25</v>
      </c>
      <c r="BP4" s="344">
        <v>26</v>
      </c>
      <c r="BQ4" s="344">
        <v>27</v>
      </c>
      <c r="BR4" s="344">
        <v>28</v>
      </c>
      <c r="BS4" s="344">
        <v>29</v>
      </c>
      <c r="BT4" s="344">
        <v>30</v>
      </c>
      <c r="BU4" s="344">
        <v>15</v>
      </c>
      <c r="BV4" s="344">
        <v>16</v>
      </c>
      <c r="BW4" s="344">
        <v>17</v>
      </c>
      <c r="BX4" s="344">
        <v>18</v>
      </c>
      <c r="BY4" s="344">
        <v>19</v>
      </c>
      <c r="BZ4" s="344">
        <v>20</v>
      </c>
      <c r="CA4" s="344">
        <v>21</v>
      </c>
      <c r="CB4" s="344">
        <v>22</v>
      </c>
      <c r="CC4" s="344">
        <v>23</v>
      </c>
      <c r="CD4" s="344">
        <v>24</v>
      </c>
      <c r="CE4" s="344">
        <v>25</v>
      </c>
      <c r="CF4" s="344">
        <v>26</v>
      </c>
      <c r="CG4" s="344">
        <v>27</v>
      </c>
      <c r="CH4" s="344">
        <v>28</v>
      </c>
      <c r="CI4" s="425"/>
      <c r="CJ4" s="345"/>
      <c r="CK4" s="345"/>
      <c r="CL4" s="345"/>
      <c r="CM4" s="345"/>
      <c r="CN4" s="345"/>
      <c r="CO4" s="345"/>
      <c r="CP4" s="345"/>
      <c r="CQ4" s="345"/>
      <c r="CR4" s="345"/>
      <c r="CS4" s="345"/>
      <c r="CT4" s="345"/>
      <c r="CU4" s="345"/>
      <c r="CV4" s="345"/>
      <c r="CW4" s="345"/>
      <c r="CX4" s="345"/>
      <c r="CY4" s="345"/>
      <c r="CZ4" s="345"/>
      <c r="DA4" s="345"/>
      <c r="DB4" s="345"/>
      <c r="DC4" s="345"/>
      <c r="DD4" s="345"/>
      <c r="DE4" s="345"/>
      <c r="DF4" s="345"/>
      <c r="DG4" s="345"/>
      <c r="DH4" s="345"/>
      <c r="DI4" s="345"/>
      <c r="DJ4" s="345"/>
      <c r="DK4" s="345"/>
      <c r="DL4" s="345"/>
      <c r="DM4" s="345"/>
      <c r="DN4" s="345"/>
      <c r="DO4" s="345"/>
      <c r="DP4" s="345"/>
      <c r="DQ4" s="345"/>
      <c r="DR4" s="345"/>
      <c r="DS4" s="345"/>
      <c r="DT4" s="345"/>
      <c r="DU4" s="345"/>
      <c r="DV4" s="345"/>
      <c r="DW4" s="345"/>
      <c r="DX4" s="345"/>
      <c r="DY4" s="345"/>
      <c r="DZ4" s="345"/>
      <c r="EA4" s="345"/>
      <c r="EB4" s="345"/>
      <c r="EC4" s="345"/>
      <c r="ED4" s="345"/>
      <c r="EE4" s="345"/>
      <c r="EF4" s="345"/>
      <c r="EG4" s="345"/>
      <c r="EH4" s="345"/>
      <c r="EI4" s="345"/>
      <c r="EJ4" s="345"/>
      <c r="EK4" s="345"/>
      <c r="EL4" s="345"/>
      <c r="EM4" s="345"/>
      <c r="EN4" s="345"/>
      <c r="EO4" s="345"/>
      <c r="EP4" s="345"/>
      <c r="EQ4" s="345"/>
      <c r="ER4" s="345"/>
      <c r="ES4" s="345"/>
      <c r="ET4" s="345"/>
      <c r="EU4" s="345"/>
      <c r="EV4" s="345"/>
      <c r="EW4" s="345"/>
      <c r="EX4" s="345"/>
      <c r="EY4" s="345"/>
      <c r="EZ4" s="345"/>
      <c r="FA4" s="345"/>
      <c r="FB4" s="345"/>
      <c r="FC4" s="345"/>
      <c r="FD4" s="345"/>
      <c r="FE4" s="345"/>
      <c r="FF4" s="345"/>
      <c r="FG4" s="345"/>
      <c r="FH4" s="345"/>
      <c r="FI4" s="345"/>
      <c r="FJ4" s="345"/>
      <c r="FK4" s="345"/>
      <c r="FL4" s="345"/>
      <c r="FM4" s="345"/>
      <c r="FN4" s="345"/>
      <c r="FO4" s="345"/>
      <c r="FP4" s="345"/>
      <c r="FQ4" s="345"/>
      <c r="FR4" s="345"/>
      <c r="FS4" s="345"/>
      <c r="FT4" s="345"/>
      <c r="FU4" s="345"/>
      <c r="FV4" s="345"/>
      <c r="FW4" s="345"/>
      <c r="FX4" s="345"/>
      <c r="FY4" s="345"/>
      <c r="FZ4" s="345"/>
      <c r="GA4" s="345"/>
      <c r="GB4" s="345"/>
      <c r="GC4" s="345"/>
      <c r="GD4" s="345"/>
      <c r="GE4" s="345"/>
      <c r="GF4" s="345"/>
      <c r="GG4" s="345"/>
      <c r="GH4" s="345"/>
      <c r="GI4" s="345"/>
      <c r="GJ4" s="345"/>
      <c r="GK4" s="345"/>
      <c r="GL4" s="345"/>
      <c r="GM4" s="345"/>
      <c r="GN4" s="345"/>
      <c r="GO4" s="345"/>
      <c r="GP4" s="345"/>
      <c r="GQ4" s="345"/>
      <c r="GR4" s="345"/>
      <c r="GS4" s="345"/>
      <c r="GT4" s="345"/>
      <c r="GU4" s="345"/>
      <c r="GV4" s="345"/>
      <c r="GW4" s="345"/>
      <c r="GX4" s="345"/>
      <c r="GY4" s="345"/>
      <c r="GZ4" s="345"/>
      <c r="HA4" s="345"/>
      <c r="HB4" s="345"/>
      <c r="HC4" s="345"/>
      <c r="HD4" s="345"/>
      <c r="HE4" s="345"/>
      <c r="HF4" s="345"/>
      <c r="HG4" s="345"/>
      <c r="HH4" s="345"/>
      <c r="HI4" s="345"/>
      <c r="HJ4" s="345"/>
      <c r="HK4" s="345"/>
      <c r="HL4" s="345"/>
      <c r="HM4" s="345"/>
      <c r="HN4" s="345"/>
      <c r="HO4" s="345"/>
      <c r="HP4" s="345"/>
      <c r="HQ4" s="345"/>
      <c r="HR4" s="345"/>
      <c r="HS4" s="345"/>
      <c r="HT4" s="345"/>
      <c r="HU4" s="345"/>
      <c r="HV4" s="345"/>
      <c r="HW4" s="345"/>
      <c r="HX4" s="345"/>
      <c r="HY4" s="345"/>
      <c r="HZ4" s="345"/>
      <c r="IA4" s="345"/>
      <c r="IB4" s="345"/>
      <c r="IC4" s="345"/>
      <c r="ID4" s="345"/>
      <c r="IE4" s="345"/>
      <c r="IF4" s="345"/>
      <c r="IG4" s="345"/>
      <c r="IH4" s="345"/>
      <c r="II4" s="345"/>
      <c r="IJ4" s="345"/>
      <c r="IK4" s="345"/>
      <c r="IL4" s="345"/>
      <c r="IM4" s="345"/>
      <c r="IN4" s="345"/>
      <c r="IO4" s="345"/>
      <c r="IP4" s="345"/>
      <c r="IQ4" s="345"/>
      <c r="IR4" s="345"/>
      <c r="IS4" s="345"/>
      <c r="IT4" s="345"/>
      <c r="IU4" s="345"/>
      <c r="IV4" s="345"/>
      <c r="IW4" s="345"/>
      <c r="IX4" s="345"/>
      <c r="IY4" s="345"/>
      <c r="IZ4" s="345"/>
      <c r="JA4" s="345"/>
      <c r="JB4" s="345"/>
      <c r="JC4" s="345"/>
      <c r="JD4" s="345"/>
      <c r="JE4" s="345"/>
      <c r="JF4" s="345"/>
      <c r="JG4" s="345"/>
      <c r="JH4" s="345"/>
      <c r="JI4" s="345"/>
      <c r="JJ4" s="345"/>
      <c r="JK4" s="345"/>
      <c r="JL4" s="345"/>
      <c r="JM4" s="345"/>
      <c r="JN4" s="345"/>
      <c r="JO4" s="345"/>
      <c r="JP4" s="345"/>
      <c r="JQ4" s="345"/>
      <c r="JR4" s="345"/>
      <c r="JS4" s="345"/>
      <c r="JT4" s="345"/>
      <c r="JU4" s="345"/>
      <c r="JV4" s="345"/>
      <c r="JW4" s="345"/>
      <c r="JX4" s="345"/>
      <c r="JY4" s="345"/>
      <c r="JZ4" s="345"/>
      <c r="KA4" s="345"/>
      <c r="KB4" s="345"/>
      <c r="KC4" s="345"/>
      <c r="KD4" s="345"/>
      <c r="KE4" s="345"/>
      <c r="KF4" s="345"/>
      <c r="KG4" s="345"/>
      <c r="KH4" s="345"/>
      <c r="KI4" s="345"/>
      <c r="KJ4" s="345"/>
      <c r="KK4" s="345"/>
      <c r="KL4" s="345"/>
      <c r="KM4" s="345"/>
      <c r="KN4" s="345"/>
      <c r="KO4" s="345"/>
      <c r="KP4" s="345"/>
      <c r="KQ4" s="345"/>
      <c r="KR4" s="345"/>
      <c r="KS4" s="345"/>
      <c r="KT4" s="345"/>
      <c r="KU4" s="345"/>
      <c r="KV4" s="345"/>
      <c r="KW4" s="345"/>
      <c r="KX4" s="345"/>
      <c r="KY4" s="345"/>
      <c r="KZ4" s="345"/>
      <c r="LA4" s="345"/>
      <c r="LB4" s="345"/>
      <c r="LC4" s="345"/>
      <c r="LD4" s="345"/>
      <c r="LE4" s="345"/>
      <c r="LF4" s="345"/>
      <c r="LG4" s="345"/>
      <c r="LH4" s="345"/>
      <c r="LI4" s="345"/>
      <c r="LJ4" s="345"/>
      <c r="LK4" s="345"/>
      <c r="LL4" s="345"/>
      <c r="LM4" s="345"/>
      <c r="LN4" s="345"/>
      <c r="LO4" s="345"/>
      <c r="LP4" s="345"/>
      <c r="LQ4" s="345"/>
      <c r="LR4" s="345"/>
      <c r="LS4" s="345"/>
      <c r="LT4" s="345"/>
      <c r="LU4" s="345"/>
      <c r="LV4" s="345"/>
      <c r="LW4" s="345"/>
      <c r="LX4" s="345"/>
      <c r="LY4" s="345"/>
      <c r="LZ4" s="345"/>
      <c r="MA4" s="345"/>
      <c r="MB4" s="345"/>
      <c r="MC4" s="345"/>
      <c r="MD4" s="345"/>
      <c r="ME4" s="345"/>
      <c r="MF4" s="345"/>
      <c r="MG4" s="345"/>
      <c r="MH4" s="345"/>
      <c r="MI4" s="345"/>
      <c r="MJ4" s="345"/>
      <c r="MK4" s="345"/>
      <c r="ML4" s="345"/>
      <c r="MM4" s="345"/>
      <c r="MN4" s="345"/>
      <c r="MO4" s="345"/>
      <c r="MP4" s="345"/>
      <c r="MQ4" s="345"/>
      <c r="MR4" s="345"/>
      <c r="MS4" s="345"/>
      <c r="MT4" s="345"/>
      <c r="MU4" s="345"/>
      <c r="MV4" s="345"/>
      <c r="MW4" s="345"/>
      <c r="MX4" s="345"/>
      <c r="MY4" s="345"/>
      <c r="MZ4" s="345"/>
      <c r="NA4" s="345"/>
      <c r="NB4" s="345"/>
      <c r="NC4" s="345"/>
      <c r="ND4" s="345"/>
      <c r="NE4" s="345"/>
      <c r="NF4" s="345"/>
      <c r="NG4" s="345"/>
      <c r="NH4" s="345"/>
      <c r="NI4" s="345"/>
      <c r="NJ4" s="345"/>
      <c r="NK4" s="345"/>
      <c r="NL4" s="345"/>
      <c r="NM4" s="345"/>
      <c r="NN4" s="345"/>
      <c r="NO4" s="345"/>
      <c r="NP4" s="345"/>
      <c r="NQ4" s="345"/>
      <c r="NR4" s="345"/>
      <c r="NS4" s="345"/>
      <c r="NT4" s="345"/>
      <c r="NU4" s="345"/>
      <c r="NV4" s="345"/>
      <c r="NW4" s="345"/>
      <c r="NX4" s="345"/>
      <c r="NY4" s="345"/>
      <c r="NZ4" s="345"/>
      <c r="OA4" s="345"/>
      <c r="OB4" s="345"/>
      <c r="OC4" s="345"/>
      <c r="OD4" s="345"/>
      <c r="OE4" s="345"/>
      <c r="OF4" s="345"/>
      <c r="OG4" s="345"/>
      <c r="OH4" s="345"/>
      <c r="OI4" s="345"/>
      <c r="OJ4" s="345"/>
      <c r="OK4" s="345"/>
      <c r="OL4" s="345"/>
      <c r="OM4" s="345"/>
      <c r="ON4" s="345"/>
      <c r="OO4" s="345"/>
      <c r="OP4" s="345"/>
      <c r="OQ4" s="345"/>
      <c r="OR4" s="345"/>
      <c r="OS4" s="345"/>
      <c r="OT4" s="345"/>
      <c r="OU4" s="345"/>
      <c r="OV4" s="345"/>
      <c r="OW4" s="345"/>
      <c r="OX4" s="345"/>
      <c r="OY4" s="345"/>
      <c r="OZ4" s="345"/>
      <c r="PA4" s="345"/>
      <c r="PB4" s="345"/>
      <c r="PC4" s="345"/>
      <c r="PD4" s="345"/>
      <c r="PE4" s="345"/>
      <c r="PF4" s="345"/>
      <c r="PG4" s="345"/>
      <c r="PH4" s="345"/>
      <c r="PI4" s="345"/>
      <c r="PJ4" s="345"/>
      <c r="PK4" s="345"/>
      <c r="PL4" s="345"/>
      <c r="PM4" s="345"/>
      <c r="PN4" s="345"/>
      <c r="PO4" s="345"/>
      <c r="PP4" s="345"/>
      <c r="PQ4" s="345"/>
      <c r="PR4" s="345"/>
      <c r="PS4" s="345"/>
      <c r="PT4" s="345"/>
      <c r="PU4" s="345"/>
      <c r="PV4" s="345"/>
      <c r="PW4" s="345"/>
      <c r="PX4" s="345"/>
      <c r="PY4" s="345"/>
      <c r="PZ4" s="345"/>
      <c r="QA4" s="345"/>
      <c r="QB4" s="345"/>
      <c r="QC4" s="345"/>
      <c r="QD4" s="345"/>
      <c r="QE4" s="345"/>
      <c r="QF4" s="345"/>
      <c r="QG4" s="345"/>
      <c r="QH4" s="345"/>
      <c r="QI4" s="345"/>
      <c r="QJ4" s="345"/>
      <c r="QK4" s="345"/>
      <c r="QL4" s="345"/>
      <c r="QM4" s="345"/>
      <c r="QN4" s="345"/>
      <c r="QO4" s="345"/>
      <c r="QP4" s="345"/>
      <c r="QQ4" s="345"/>
      <c r="QR4" s="345"/>
      <c r="QS4" s="345"/>
      <c r="QT4" s="345"/>
      <c r="QU4" s="345"/>
      <c r="QV4" s="345"/>
      <c r="QW4" s="345"/>
      <c r="QX4" s="345"/>
      <c r="QY4" s="345"/>
      <c r="QZ4" s="345"/>
      <c r="RA4" s="345"/>
      <c r="RB4" s="345"/>
      <c r="RC4" s="345"/>
      <c r="RD4" s="345"/>
      <c r="RE4" s="345"/>
      <c r="RF4" s="345"/>
      <c r="RG4" s="345"/>
      <c r="RH4" s="345"/>
      <c r="RI4" s="345"/>
      <c r="RJ4" s="345"/>
      <c r="RK4" s="345"/>
      <c r="RL4" s="345"/>
      <c r="RM4" s="345"/>
      <c r="RN4" s="345"/>
      <c r="RO4" s="345"/>
      <c r="RP4" s="345"/>
      <c r="RQ4" s="345"/>
      <c r="RR4" s="345"/>
      <c r="RS4" s="345"/>
      <c r="RT4" s="345"/>
      <c r="RU4" s="345"/>
      <c r="RV4" s="345"/>
      <c r="RW4" s="345"/>
      <c r="RX4" s="345"/>
      <c r="RY4" s="345"/>
      <c r="RZ4" s="345"/>
      <c r="SA4" s="345"/>
      <c r="SB4" s="345"/>
      <c r="SC4" s="345"/>
      <c r="SD4" s="345"/>
      <c r="SE4" s="345"/>
      <c r="SF4" s="345"/>
      <c r="SG4" s="345"/>
      <c r="SH4" s="345"/>
      <c r="SI4" s="345"/>
      <c r="SJ4" s="345"/>
      <c r="SK4" s="345"/>
      <c r="SL4" s="345"/>
      <c r="SM4" s="345"/>
      <c r="SN4" s="345"/>
      <c r="SO4" s="345"/>
      <c r="SP4" s="345"/>
      <c r="SQ4" s="345"/>
      <c r="SR4" s="345"/>
      <c r="SS4" s="345"/>
      <c r="ST4" s="345"/>
      <c r="SU4" s="345"/>
      <c r="SV4" s="345"/>
      <c r="SW4" s="345"/>
      <c r="SX4" s="345"/>
      <c r="SY4" s="345"/>
      <c r="SZ4" s="345"/>
      <c r="TA4" s="345"/>
      <c r="TB4" s="345"/>
      <c r="TC4" s="345"/>
      <c r="TD4" s="345"/>
      <c r="TE4" s="345"/>
      <c r="TF4" s="345"/>
      <c r="TG4" s="345"/>
      <c r="TH4" s="345"/>
      <c r="TI4" s="345"/>
      <c r="TJ4" s="345"/>
      <c r="TK4" s="345"/>
      <c r="TL4" s="345"/>
      <c r="TM4" s="345"/>
      <c r="TN4" s="345"/>
      <c r="TO4" s="345"/>
      <c r="TP4" s="345"/>
      <c r="TQ4" s="345"/>
      <c r="TR4" s="345"/>
      <c r="TS4" s="345"/>
      <c r="TT4" s="345"/>
      <c r="TU4" s="345"/>
      <c r="TV4" s="345"/>
      <c r="TW4" s="345"/>
      <c r="TX4" s="345"/>
      <c r="TY4" s="345"/>
      <c r="TZ4" s="345"/>
      <c r="UA4" s="345"/>
      <c r="UB4" s="345"/>
      <c r="UC4" s="345"/>
      <c r="UD4" s="345"/>
      <c r="UE4" s="345"/>
      <c r="UF4" s="345"/>
      <c r="UG4" s="345"/>
      <c r="UH4" s="345"/>
      <c r="UI4" s="345"/>
      <c r="UJ4" s="345"/>
      <c r="UK4" s="345"/>
      <c r="UL4" s="345"/>
      <c r="UM4" s="345"/>
      <c r="UN4" s="345"/>
      <c r="UO4" s="345"/>
      <c r="UP4" s="345"/>
      <c r="UQ4" s="345"/>
      <c r="UR4" s="345"/>
      <c r="US4" s="345"/>
      <c r="UT4" s="345"/>
      <c r="UU4" s="345"/>
      <c r="UV4" s="345"/>
      <c r="UW4" s="345"/>
      <c r="UX4" s="345"/>
      <c r="UY4" s="345"/>
      <c r="UZ4" s="345"/>
      <c r="VA4" s="345"/>
      <c r="VB4" s="345"/>
      <c r="VC4" s="345"/>
      <c r="VD4" s="345"/>
      <c r="VE4" s="345"/>
      <c r="VF4" s="345"/>
      <c r="VG4" s="345"/>
      <c r="VH4" s="345"/>
      <c r="VI4" s="345"/>
      <c r="VJ4" s="345"/>
      <c r="VK4" s="345"/>
      <c r="VL4" s="345"/>
      <c r="VM4" s="345"/>
      <c r="VN4" s="345"/>
      <c r="VO4" s="345"/>
      <c r="VP4" s="345"/>
      <c r="VQ4" s="345"/>
      <c r="VR4" s="345"/>
      <c r="VS4" s="345"/>
      <c r="VT4" s="345"/>
      <c r="VU4" s="345"/>
      <c r="VV4" s="345"/>
      <c r="VW4" s="345"/>
      <c r="VX4" s="345"/>
      <c r="VY4" s="345"/>
      <c r="VZ4" s="345"/>
      <c r="WA4" s="345"/>
      <c r="WB4" s="345"/>
      <c r="WC4" s="345"/>
      <c r="WD4" s="345"/>
      <c r="WE4" s="345"/>
      <c r="WF4" s="345"/>
      <c r="WG4" s="345"/>
      <c r="WH4" s="345"/>
      <c r="WI4" s="345"/>
      <c r="WJ4" s="345"/>
      <c r="WK4" s="345"/>
      <c r="WL4" s="345"/>
      <c r="WM4" s="345"/>
      <c r="WN4" s="345"/>
      <c r="WO4" s="345"/>
      <c r="WP4" s="345"/>
      <c r="WQ4" s="345"/>
      <c r="WR4" s="345"/>
      <c r="WS4" s="345"/>
      <c r="WT4" s="345"/>
      <c r="WU4" s="345"/>
      <c r="WV4" s="345"/>
      <c r="WW4" s="345"/>
      <c r="WX4" s="345"/>
      <c r="WY4" s="345"/>
      <c r="WZ4" s="345"/>
      <c r="XA4" s="345"/>
      <c r="XB4" s="345"/>
      <c r="XC4" s="345"/>
      <c r="XD4" s="345"/>
      <c r="XE4" s="345"/>
      <c r="XF4" s="345"/>
      <c r="XG4" s="345"/>
      <c r="XH4" s="345"/>
      <c r="XI4" s="345"/>
      <c r="XJ4" s="345"/>
      <c r="XK4" s="345"/>
      <c r="XL4" s="345"/>
      <c r="XM4" s="345"/>
      <c r="XN4" s="345"/>
      <c r="XO4" s="345"/>
      <c r="XP4" s="345"/>
      <c r="XQ4" s="345"/>
      <c r="XR4" s="345"/>
      <c r="XS4" s="345"/>
      <c r="XT4" s="345"/>
      <c r="XU4" s="345"/>
      <c r="XV4" s="345"/>
      <c r="XW4" s="345"/>
      <c r="XX4" s="345"/>
      <c r="XY4" s="345"/>
      <c r="XZ4" s="345"/>
      <c r="YA4" s="345"/>
      <c r="YB4" s="345"/>
      <c r="YC4" s="345"/>
      <c r="YD4" s="345"/>
      <c r="YE4" s="345"/>
      <c r="YF4" s="345"/>
      <c r="YG4" s="345"/>
      <c r="YH4" s="345"/>
      <c r="YI4" s="345"/>
      <c r="YJ4" s="345"/>
      <c r="YK4" s="345"/>
      <c r="YL4" s="345"/>
      <c r="YM4" s="345"/>
      <c r="YN4" s="345"/>
      <c r="YO4" s="345"/>
      <c r="YP4" s="345"/>
      <c r="YQ4" s="345"/>
      <c r="YR4" s="345"/>
      <c r="YS4" s="345"/>
      <c r="YT4" s="345"/>
      <c r="YU4" s="345"/>
      <c r="YV4" s="345"/>
      <c r="YW4" s="345"/>
      <c r="YX4" s="345"/>
      <c r="YY4" s="345"/>
      <c r="YZ4" s="345"/>
      <c r="ZA4" s="345"/>
      <c r="ZB4" s="345"/>
      <c r="ZC4" s="345"/>
      <c r="ZD4" s="345"/>
      <c r="ZE4" s="345"/>
      <c r="ZF4" s="345"/>
      <c r="ZG4" s="345"/>
      <c r="ZH4" s="345"/>
      <c r="ZI4" s="345"/>
      <c r="ZJ4" s="345"/>
      <c r="ZK4" s="345"/>
      <c r="ZL4" s="345"/>
      <c r="ZM4" s="345"/>
      <c r="ZN4" s="345"/>
      <c r="ZO4" s="345"/>
      <c r="ZP4" s="345"/>
      <c r="ZQ4" s="345"/>
      <c r="ZR4" s="345"/>
      <c r="ZS4" s="345"/>
      <c r="ZT4" s="345"/>
      <c r="ZU4" s="345"/>
      <c r="ZV4" s="345"/>
      <c r="ZW4" s="345"/>
      <c r="ZX4" s="345"/>
      <c r="ZY4" s="345"/>
      <c r="ZZ4" s="345"/>
      <c r="AAA4" s="345"/>
      <c r="AAB4" s="345"/>
      <c r="AAC4" s="345"/>
      <c r="AAD4" s="345"/>
      <c r="AAE4" s="345"/>
      <c r="AAF4" s="345"/>
      <c r="AAG4" s="345"/>
      <c r="AAH4" s="345"/>
      <c r="AAI4" s="345"/>
      <c r="AAJ4" s="345"/>
      <c r="AAK4" s="345"/>
      <c r="AAL4" s="345"/>
      <c r="AAM4" s="345"/>
      <c r="AAN4" s="345"/>
      <c r="AAO4" s="345"/>
      <c r="AAP4" s="345"/>
      <c r="AAQ4" s="345"/>
      <c r="AAR4" s="345"/>
      <c r="AAS4" s="345"/>
      <c r="AAT4" s="345"/>
      <c r="AAU4" s="345"/>
      <c r="AAV4" s="345"/>
      <c r="AAW4" s="345"/>
      <c r="AAX4" s="345"/>
      <c r="AAY4" s="345"/>
      <c r="AAZ4" s="345"/>
      <c r="ABA4" s="345"/>
      <c r="ABB4" s="345"/>
      <c r="ABC4" s="345"/>
      <c r="ABD4" s="345"/>
      <c r="ABE4" s="345"/>
      <c r="ABF4" s="345"/>
      <c r="ABG4" s="345"/>
      <c r="ABH4" s="345"/>
      <c r="ABI4" s="345"/>
      <c r="ABJ4" s="345"/>
      <c r="ABK4" s="345"/>
      <c r="ABL4" s="345"/>
      <c r="ABM4" s="345"/>
      <c r="ABN4" s="345"/>
      <c r="ABO4" s="345"/>
      <c r="ABP4" s="345"/>
      <c r="ABQ4" s="345"/>
      <c r="ABR4" s="345"/>
      <c r="ABS4" s="345"/>
      <c r="ABT4" s="345"/>
      <c r="ABU4" s="345"/>
      <c r="ABV4" s="345"/>
      <c r="ABW4" s="345"/>
      <c r="ABX4" s="345"/>
      <c r="ABY4" s="345"/>
      <c r="ABZ4" s="345"/>
      <c r="ACA4" s="345"/>
      <c r="ACB4" s="345"/>
      <c r="ACC4" s="345"/>
      <c r="ACD4" s="345"/>
      <c r="ACE4" s="345"/>
      <c r="ACF4" s="345"/>
      <c r="ACG4" s="345"/>
      <c r="ACH4" s="345"/>
      <c r="ACI4" s="345"/>
      <c r="ACJ4" s="345"/>
      <c r="ACK4" s="345"/>
      <c r="ACL4" s="345"/>
      <c r="ACM4" s="345"/>
      <c r="ACN4" s="345"/>
      <c r="ACO4" s="345"/>
      <c r="ACP4" s="345"/>
      <c r="ACQ4" s="345"/>
      <c r="ACR4" s="345"/>
      <c r="ACS4" s="345"/>
      <c r="ACT4" s="345"/>
      <c r="ACU4" s="345"/>
      <c r="ACV4" s="345"/>
      <c r="ACW4" s="345"/>
      <c r="ACX4" s="345"/>
      <c r="ACY4" s="345"/>
      <c r="ACZ4" s="345"/>
      <c r="ADA4" s="345"/>
      <c r="ADB4" s="345"/>
      <c r="ADC4" s="345"/>
      <c r="ADD4" s="345"/>
      <c r="ADE4" s="345"/>
      <c r="ADF4" s="345"/>
      <c r="ADG4" s="345"/>
      <c r="ADH4" s="345"/>
      <c r="ADI4" s="345"/>
      <c r="ADJ4" s="345"/>
      <c r="ADK4" s="345"/>
      <c r="ADL4" s="345"/>
      <c r="ADM4" s="345"/>
      <c r="ADN4" s="345"/>
      <c r="ADO4" s="345"/>
      <c r="ADP4" s="345"/>
      <c r="ADQ4" s="345"/>
      <c r="ADR4" s="345"/>
      <c r="ADS4" s="345"/>
      <c r="ADT4" s="345"/>
      <c r="ADU4" s="345"/>
      <c r="ADV4" s="345"/>
      <c r="ADW4" s="345"/>
      <c r="ADX4" s="345"/>
      <c r="ADY4" s="345"/>
      <c r="ADZ4" s="345"/>
      <c r="AEA4" s="345"/>
      <c r="AEB4" s="345"/>
      <c r="AEC4" s="345"/>
      <c r="AED4" s="345"/>
      <c r="AEE4" s="345"/>
      <c r="AEF4" s="345"/>
      <c r="AEG4" s="345"/>
      <c r="AEH4" s="345"/>
      <c r="AEI4" s="345"/>
      <c r="AEJ4" s="345"/>
      <c r="AEK4" s="345"/>
      <c r="AEL4" s="345"/>
      <c r="AEM4" s="345"/>
      <c r="AEN4" s="345"/>
      <c r="AEO4" s="345"/>
      <c r="AEP4" s="345"/>
      <c r="AEQ4" s="345"/>
      <c r="AER4" s="345"/>
      <c r="AES4" s="345"/>
      <c r="AET4" s="345"/>
      <c r="AEU4" s="345"/>
      <c r="AEV4" s="345"/>
      <c r="AEW4" s="345"/>
      <c r="AEX4" s="345"/>
      <c r="AEY4" s="345"/>
      <c r="AEZ4" s="345"/>
      <c r="AFA4" s="345"/>
      <c r="AFB4" s="345"/>
      <c r="AFC4" s="345"/>
      <c r="AFD4" s="345"/>
      <c r="AFE4" s="345"/>
      <c r="AFF4" s="345"/>
      <c r="AFG4" s="345"/>
      <c r="AFH4" s="345"/>
      <c r="AFI4" s="345"/>
      <c r="AFJ4" s="345"/>
      <c r="AFK4" s="345"/>
      <c r="AFL4" s="345"/>
      <c r="AFM4" s="345"/>
      <c r="AFN4" s="345"/>
      <c r="AFO4" s="345"/>
      <c r="AFP4" s="345"/>
      <c r="AFQ4" s="345"/>
      <c r="AFR4" s="345"/>
      <c r="AFS4" s="345"/>
      <c r="AFT4" s="345"/>
      <c r="AFU4" s="345"/>
      <c r="AFV4" s="345"/>
      <c r="AFW4" s="345"/>
      <c r="AFX4" s="345"/>
      <c r="AFY4" s="345"/>
      <c r="AFZ4" s="345"/>
      <c r="AGA4" s="345"/>
      <c r="AGB4" s="345"/>
      <c r="AGC4" s="345"/>
      <c r="AGD4" s="345"/>
      <c r="AGE4" s="345"/>
      <c r="AGF4" s="345"/>
      <c r="AGG4" s="345"/>
      <c r="AGH4" s="345"/>
      <c r="AGI4" s="345"/>
      <c r="AGJ4" s="345"/>
      <c r="AGK4" s="345"/>
      <c r="AGL4" s="345"/>
      <c r="AGM4" s="345"/>
      <c r="AGN4" s="345"/>
      <c r="AGO4" s="345"/>
      <c r="AGP4" s="345"/>
      <c r="AGQ4" s="345"/>
      <c r="AGR4" s="345"/>
      <c r="AGS4" s="345"/>
      <c r="AGT4" s="345"/>
      <c r="AGU4" s="345"/>
      <c r="AGV4" s="345"/>
      <c r="AGW4" s="345"/>
      <c r="AGX4" s="345"/>
      <c r="AGY4" s="345"/>
      <c r="AGZ4" s="345"/>
      <c r="AHA4" s="345"/>
      <c r="AHB4" s="345"/>
      <c r="AHC4" s="345"/>
      <c r="AHD4" s="345"/>
      <c r="AHE4" s="345"/>
      <c r="AHF4" s="345"/>
      <c r="AHG4" s="345"/>
      <c r="AHH4" s="345"/>
      <c r="AHI4" s="345"/>
      <c r="AHJ4" s="345"/>
      <c r="AHK4" s="345"/>
      <c r="AHL4" s="345"/>
      <c r="AHM4" s="345"/>
      <c r="AHN4" s="345"/>
      <c r="AHO4" s="345"/>
      <c r="AHP4" s="345"/>
      <c r="AHQ4" s="345"/>
      <c r="AHR4" s="345"/>
      <c r="AHS4" s="345"/>
      <c r="AHT4" s="345"/>
      <c r="AHU4" s="345"/>
      <c r="AHV4" s="345"/>
      <c r="AHW4" s="345"/>
      <c r="AHX4" s="345"/>
      <c r="AHY4" s="345"/>
      <c r="AHZ4" s="345"/>
      <c r="AIA4" s="345"/>
      <c r="AIB4" s="345"/>
      <c r="AIC4" s="345"/>
      <c r="AID4" s="345"/>
      <c r="AIE4" s="345"/>
      <c r="AIF4" s="345"/>
      <c r="AIG4" s="345"/>
      <c r="AIH4" s="345"/>
      <c r="AII4" s="345"/>
      <c r="AIJ4" s="345"/>
      <c r="AIK4" s="345"/>
      <c r="AIL4" s="345"/>
      <c r="AIM4" s="345"/>
      <c r="AIN4" s="345"/>
      <c r="AIO4" s="345"/>
      <c r="AIP4" s="345"/>
      <c r="AIQ4" s="345"/>
      <c r="AIR4" s="345"/>
      <c r="AIS4" s="345"/>
      <c r="AIT4" s="345"/>
      <c r="AIU4" s="345"/>
      <c r="AIV4" s="345"/>
      <c r="AIW4" s="345"/>
      <c r="AIX4" s="345"/>
      <c r="AIY4" s="345"/>
      <c r="AIZ4" s="345"/>
      <c r="AJA4" s="345"/>
      <c r="AJB4" s="345"/>
      <c r="AJC4" s="345"/>
      <c r="AJD4" s="345"/>
      <c r="AJE4" s="345"/>
      <c r="AJF4" s="345"/>
      <c r="AJG4" s="345"/>
      <c r="AJH4" s="345"/>
      <c r="AJI4" s="345"/>
      <c r="AJJ4" s="345"/>
      <c r="AJK4" s="345"/>
      <c r="AJL4" s="345"/>
      <c r="AJM4" s="345"/>
      <c r="AJN4" s="345"/>
      <c r="AJO4" s="345"/>
      <c r="AJP4" s="345"/>
      <c r="AJQ4" s="345"/>
      <c r="AJR4" s="345"/>
      <c r="AJS4" s="345"/>
      <c r="AJT4" s="345"/>
      <c r="AJU4" s="345"/>
      <c r="AJV4" s="345"/>
      <c r="AJW4" s="345"/>
      <c r="AJX4" s="345"/>
      <c r="AJY4" s="345"/>
      <c r="AJZ4" s="345"/>
      <c r="AKA4" s="345"/>
      <c r="AKB4" s="345"/>
      <c r="AKC4" s="345"/>
      <c r="AKD4" s="345"/>
      <c r="AKE4" s="345"/>
      <c r="AKF4" s="345"/>
      <c r="AKG4" s="345"/>
      <c r="AKH4" s="345"/>
      <c r="AKI4" s="345"/>
      <c r="AKJ4" s="345"/>
      <c r="AKK4" s="345"/>
      <c r="AKL4" s="345"/>
      <c r="AKM4" s="345"/>
      <c r="AKN4" s="345"/>
      <c r="AKO4" s="345"/>
      <c r="AKP4" s="345"/>
      <c r="AKQ4" s="345"/>
      <c r="AKR4" s="345"/>
      <c r="AKS4" s="345"/>
      <c r="AKT4" s="345"/>
      <c r="AKU4" s="345"/>
      <c r="AKV4" s="345"/>
      <c r="AKW4" s="345"/>
      <c r="AKX4" s="345"/>
      <c r="AKY4" s="345"/>
      <c r="AKZ4" s="345"/>
      <c r="ALA4" s="345"/>
      <c r="ALB4" s="345"/>
      <c r="ALC4" s="345"/>
      <c r="ALD4" s="345"/>
      <c r="ALE4" s="345"/>
      <c r="ALF4" s="345"/>
      <c r="ALG4" s="345"/>
      <c r="ALH4" s="345"/>
      <c r="ALI4" s="345"/>
      <c r="ALJ4" s="345"/>
      <c r="ALK4" s="345"/>
      <c r="ALL4" s="345"/>
      <c r="ALM4" s="345"/>
      <c r="ALN4" s="345"/>
      <c r="ALO4" s="345"/>
      <c r="ALP4" s="345"/>
      <c r="ALQ4" s="345"/>
      <c r="ALR4" s="345"/>
      <c r="ALS4" s="345"/>
      <c r="ALT4" s="345"/>
      <c r="ALU4" s="345"/>
      <c r="ALV4" s="345"/>
      <c r="ALW4" s="345"/>
      <c r="ALX4" s="345"/>
      <c r="ALY4" s="345"/>
      <c r="ALZ4" s="345"/>
      <c r="AMA4" s="345"/>
      <c r="AMB4" s="345"/>
      <c r="AMC4" s="345"/>
      <c r="AMD4" s="345"/>
      <c r="AME4" s="345"/>
      <c r="AMF4" s="345"/>
      <c r="AMG4" s="345"/>
      <c r="AMH4" s="345"/>
      <c r="AMI4" s="345"/>
      <c r="AMJ4" s="345"/>
      <c r="AMK4" s="345"/>
      <c r="AML4" s="345"/>
      <c r="AMM4" s="345"/>
      <c r="AMN4" s="345"/>
      <c r="AMO4" s="345"/>
      <c r="AMP4" s="345"/>
      <c r="AMQ4" s="345"/>
      <c r="AMR4" s="345"/>
      <c r="AMS4" s="345"/>
      <c r="AMT4" s="345"/>
      <c r="AMU4" s="345"/>
      <c r="AMV4" s="345"/>
      <c r="AMW4" s="345"/>
      <c r="AMX4" s="345"/>
      <c r="AMY4" s="345"/>
      <c r="AMZ4" s="345"/>
      <c r="ANA4" s="345"/>
      <c r="ANB4" s="345"/>
      <c r="ANC4" s="345"/>
      <c r="AND4" s="345"/>
      <c r="ANE4" s="345"/>
      <c r="ANF4" s="345"/>
      <c r="ANG4" s="345"/>
      <c r="ANH4" s="345"/>
      <c r="ANI4" s="345"/>
      <c r="ANJ4" s="345"/>
      <c r="ANK4" s="345"/>
      <c r="ANL4" s="345"/>
      <c r="ANM4" s="345"/>
      <c r="ANN4" s="345"/>
      <c r="ANO4" s="345"/>
      <c r="ANP4" s="345"/>
      <c r="ANQ4" s="345"/>
      <c r="ANR4" s="345"/>
      <c r="ANS4" s="345"/>
      <c r="ANT4" s="345"/>
      <c r="ANU4" s="345"/>
      <c r="ANV4" s="345"/>
      <c r="ANW4" s="345"/>
      <c r="ANX4" s="345"/>
      <c r="ANY4" s="345"/>
      <c r="ANZ4" s="345"/>
      <c r="AOA4" s="345"/>
      <c r="AOB4" s="345"/>
      <c r="AOC4" s="345"/>
      <c r="AOD4" s="345"/>
      <c r="AOE4" s="345"/>
      <c r="AOF4" s="345"/>
      <c r="AOG4" s="345"/>
      <c r="AOH4" s="345"/>
      <c r="AOI4" s="345"/>
      <c r="AOJ4" s="345"/>
      <c r="AOK4" s="345"/>
      <c r="AOL4" s="345"/>
      <c r="AOM4" s="345"/>
      <c r="AON4" s="345"/>
      <c r="AOO4" s="345"/>
      <c r="AOP4" s="345"/>
      <c r="AOQ4" s="345"/>
      <c r="AOR4" s="345"/>
      <c r="AOS4" s="345"/>
      <c r="AOT4" s="345"/>
      <c r="AOU4" s="345"/>
      <c r="AOV4" s="345"/>
      <c r="AOW4" s="345"/>
      <c r="AOX4" s="345"/>
      <c r="AOY4" s="345"/>
      <c r="AOZ4" s="345"/>
      <c r="APA4" s="345"/>
      <c r="APB4" s="345"/>
      <c r="APC4" s="345"/>
      <c r="APD4" s="345"/>
      <c r="APE4" s="345"/>
      <c r="APF4" s="345"/>
      <c r="APG4" s="345"/>
      <c r="APH4" s="345"/>
      <c r="API4" s="345"/>
      <c r="APJ4" s="345"/>
      <c r="APK4" s="345"/>
      <c r="APL4" s="345"/>
      <c r="APM4" s="345"/>
      <c r="APN4" s="345"/>
      <c r="APO4" s="345"/>
      <c r="APP4" s="345"/>
      <c r="APQ4" s="345"/>
      <c r="APR4" s="345"/>
      <c r="APS4" s="345"/>
      <c r="APT4" s="345"/>
      <c r="APU4" s="345"/>
      <c r="APV4" s="345"/>
      <c r="APW4" s="345"/>
      <c r="APX4" s="345"/>
      <c r="APY4" s="345"/>
      <c r="APZ4" s="345"/>
      <c r="AQA4" s="345"/>
      <c r="AQB4" s="345"/>
      <c r="AQC4" s="345"/>
      <c r="AQD4" s="345"/>
      <c r="AQE4" s="345"/>
      <c r="AQF4" s="345"/>
      <c r="AQG4" s="345"/>
      <c r="AQH4" s="345"/>
      <c r="AQI4" s="345"/>
      <c r="AQJ4" s="345"/>
      <c r="AQK4" s="345"/>
      <c r="AQL4" s="345"/>
      <c r="AQM4" s="345"/>
      <c r="AQN4" s="345"/>
      <c r="AQO4" s="345"/>
      <c r="AQP4" s="345"/>
      <c r="AQQ4" s="345"/>
      <c r="AQR4" s="345"/>
      <c r="AQS4" s="345"/>
      <c r="AQT4" s="345"/>
      <c r="AQU4" s="345"/>
      <c r="AQV4" s="345"/>
      <c r="AQW4" s="345"/>
      <c r="AQX4" s="345"/>
      <c r="AQY4" s="345"/>
      <c r="AQZ4" s="345"/>
      <c r="ARA4" s="345"/>
      <c r="ARB4" s="345"/>
      <c r="ARC4" s="345"/>
      <c r="ARD4" s="345"/>
      <c r="ARE4" s="345"/>
      <c r="ARF4" s="345"/>
      <c r="ARG4" s="345"/>
      <c r="ARH4" s="345"/>
      <c r="ARI4" s="345"/>
      <c r="ARJ4" s="345"/>
      <c r="ARK4" s="345"/>
      <c r="ARL4" s="345"/>
      <c r="ARM4" s="345"/>
      <c r="ARN4" s="345"/>
      <c r="ARO4" s="345"/>
      <c r="ARP4" s="345"/>
      <c r="ARQ4" s="345"/>
      <c r="ARR4" s="345"/>
      <c r="ARS4" s="345"/>
      <c r="ART4" s="345"/>
      <c r="ARU4" s="345"/>
      <c r="ARV4" s="345"/>
      <c r="ARW4" s="345"/>
      <c r="ARX4" s="345"/>
      <c r="ARY4" s="345"/>
      <c r="ARZ4" s="345"/>
      <c r="ASA4" s="345"/>
      <c r="ASB4" s="345"/>
      <c r="ASC4" s="345"/>
      <c r="ASD4" s="345"/>
      <c r="ASE4" s="345"/>
      <c r="ASF4" s="345"/>
      <c r="ASG4" s="345"/>
      <c r="ASH4" s="345"/>
      <c r="ASI4" s="345"/>
      <c r="ASJ4" s="345"/>
      <c r="ASK4" s="345"/>
      <c r="ASL4" s="345"/>
      <c r="ASM4" s="345"/>
      <c r="ASN4" s="345"/>
      <c r="ASO4" s="345"/>
      <c r="ASP4" s="345"/>
      <c r="ASQ4" s="345"/>
      <c r="ASR4" s="345"/>
      <c r="ASS4" s="345"/>
      <c r="AST4" s="345"/>
      <c r="ASU4" s="345"/>
      <c r="ASV4" s="345"/>
      <c r="ASW4" s="345"/>
      <c r="ASX4" s="345"/>
      <c r="ASY4" s="345"/>
      <c r="ASZ4" s="345"/>
      <c r="ATA4" s="345"/>
      <c r="ATB4" s="345"/>
      <c r="ATC4" s="345"/>
      <c r="ATD4" s="345"/>
      <c r="ATE4" s="345"/>
      <c r="ATF4" s="345"/>
      <c r="ATG4" s="345"/>
      <c r="ATH4" s="345"/>
      <c r="ATI4" s="345"/>
      <c r="ATJ4" s="345"/>
      <c r="ATK4" s="345"/>
      <c r="ATL4" s="345"/>
      <c r="ATM4" s="345"/>
      <c r="ATN4" s="345"/>
      <c r="ATO4" s="345"/>
      <c r="ATP4" s="345"/>
      <c r="ATQ4" s="345"/>
      <c r="ATR4" s="345"/>
      <c r="ATS4" s="345"/>
      <c r="ATT4" s="345"/>
      <c r="ATU4" s="345"/>
      <c r="ATV4" s="345"/>
      <c r="ATW4" s="345"/>
      <c r="ATX4" s="345"/>
      <c r="ATY4" s="345"/>
      <c r="ATZ4" s="345"/>
      <c r="AUA4" s="345"/>
      <c r="AUB4" s="345"/>
      <c r="AUC4" s="345"/>
      <c r="AUD4" s="345"/>
      <c r="AUE4" s="345"/>
      <c r="AUF4" s="345"/>
      <c r="AUG4" s="345"/>
      <c r="AUH4" s="345"/>
      <c r="AUI4" s="345"/>
      <c r="AUJ4" s="345"/>
      <c r="AUK4" s="345"/>
      <c r="AUL4" s="345"/>
      <c r="AUM4" s="345"/>
      <c r="AUN4" s="345"/>
      <c r="AUO4" s="345"/>
      <c r="AUP4" s="345"/>
      <c r="AUQ4" s="345"/>
      <c r="AUR4" s="345"/>
      <c r="AUS4" s="345"/>
      <c r="AUT4" s="345"/>
      <c r="AUU4" s="345"/>
      <c r="AUV4" s="345"/>
      <c r="AUW4" s="345"/>
      <c r="AUX4" s="345"/>
      <c r="AUY4" s="345"/>
      <c r="AUZ4" s="345"/>
      <c r="AVA4" s="345"/>
      <c r="AVB4" s="345"/>
      <c r="AVC4" s="345"/>
      <c r="AVD4" s="345"/>
      <c r="AVE4" s="345"/>
      <c r="AVF4" s="345"/>
      <c r="AVG4" s="345"/>
      <c r="AVH4" s="345"/>
      <c r="AVI4" s="345"/>
      <c r="AVJ4" s="345"/>
      <c r="AVK4" s="345"/>
      <c r="AVL4" s="345"/>
      <c r="AVM4" s="345"/>
      <c r="AVN4" s="345"/>
      <c r="AVO4" s="345"/>
      <c r="AVP4" s="345"/>
      <c r="AVQ4" s="345"/>
      <c r="AVR4" s="345"/>
      <c r="AVS4" s="345"/>
      <c r="AVT4" s="345"/>
      <c r="AVU4" s="345"/>
      <c r="AVV4" s="345"/>
      <c r="AVW4" s="345"/>
      <c r="AVX4" s="345"/>
      <c r="AVY4" s="345"/>
      <c r="AVZ4" s="345"/>
      <c r="AWA4" s="345"/>
      <c r="AWB4" s="345"/>
      <c r="AWC4" s="345"/>
      <c r="AWD4" s="345"/>
      <c r="AWE4" s="345"/>
      <c r="AWF4" s="345"/>
      <c r="AWG4" s="345"/>
      <c r="AWH4" s="345"/>
      <c r="AWI4" s="345"/>
      <c r="AWJ4" s="345"/>
      <c r="AWK4" s="345"/>
      <c r="AWL4" s="345"/>
      <c r="AWM4" s="345"/>
      <c r="AWN4" s="345"/>
      <c r="AWO4" s="345"/>
      <c r="AWP4" s="345"/>
      <c r="AWQ4" s="345"/>
      <c r="AWR4" s="345"/>
      <c r="AWS4" s="345"/>
      <c r="AWT4" s="345"/>
      <c r="AWU4" s="345"/>
      <c r="AWV4" s="345"/>
      <c r="AWW4" s="345"/>
      <c r="AWX4" s="345"/>
      <c r="AWY4" s="345"/>
      <c r="AWZ4" s="345"/>
      <c r="AXA4" s="345"/>
      <c r="AXB4" s="345"/>
      <c r="AXC4" s="345"/>
      <c r="AXD4" s="345"/>
      <c r="AXE4" s="345"/>
      <c r="AXF4" s="345"/>
      <c r="AXG4" s="345"/>
      <c r="AXH4" s="345"/>
      <c r="AXI4" s="345"/>
      <c r="AXJ4" s="345"/>
      <c r="AXK4" s="345"/>
      <c r="AXL4" s="345"/>
      <c r="AXM4" s="345"/>
      <c r="AXN4" s="345"/>
      <c r="AXO4" s="345"/>
      <c r="AXP4" s="345"/>
      <c r="AXQ4" s="345"/>
      <c r="AXR4" s="345"/>
      <c r="AXS4" s="345"/>
      <c r="AXT4" s="345"/>
      <c r="AXU4" s="345"/>
      <c r="AXV4" s="345"/>
      <c r="AXW4" s="345"/>
      <c r="AXX4" s="345"/>
      <c r="AXY4" s="345"/>
      <c r="AXZ4" s="345"/>
      <c r="AYA4" s="345"/>
      <c r="AYB4" s="345"/>
      <c r="AYC4" s="345"/>
      <c r="AYD4" s="345"/>
      <c r="AYE4" s="345"/>
      <c r="AYF4" s="345"/>
      <c r="AYG4" s="345"/>
      <c r="AYH4" s="345"/>
      <c r="AYI4" s="345"/>
      <c r="AYJ4" s="345"/>
      <c r="AYK4" s="345"/>
      <c r="AYL4" s="345"/>
      <c r="AYM4" s="345"/>
      <c r="AYN4" s="345"/>
      <c r="AYO4" s="345"/>
      <c r="AYP4" s="345"/>
      <c r="AYQ4" s="345"/>
      <c r="AYR4" s="345"/>
      <c r="AYS4" s="345"/>
      <c r="AYT4" s="345"/>
      <c r="AYU4" s="345"/>
      <c r="AYV4" s="345"/>
      <c r="AYW4" s="345"/>
      <c r="AYX4" s="345"/>
      <c r="AYY4" s="345"/>
      <c r="AYZ4" s="345"/>
      <c r="AZA4" s="345"/>
      <c r="AZB4" s="345"/>
      <c r="AZC4" s="345"/>
      <c r="AZD4" s="345"/>
      <c r="AZE4" s="345"/>
      <c r="AZF4" s="345"/>
      <c r="AZG4" s="345"/>
      <c r="AZH4" s="345"/>
      <c r="AZI4" s="345"/>
      <c r="AZJ4" s="345"/>
      <c r="AZK4" s="345"/>
      <c r="AZL4" s="345"/>
      <c r="AZM4" s="345"/>
      <c r="AZN4" s="345"/>
      <c r="AZO4" s="345"/>
      <c r="AZP4" s="345"/>
      <c r="AZQ4" s="345"/>
      <c r="AZR4" s="345"/>
      <c r="AZS4" s="345"/>
      <c r="AZT4" s="345"/>
      <c r="AZU4" s="345"/>
      <c r="AZV4" s="345"/>
      <c r="AZW4" s="345"/>
      <c r="AZX4" s="345"/>
      <c r="AZY4" s="345"/>
      <c r="AZZ4" s="345"/>
      <c r="BAA4" s="345"/>
      <c r="BAB4" s="345"/>
      <c r="BAC4" s="345"/>
      <c r="BAD4" s="345"/>
      <c r="BAE4" s="345"/>
      <c r="BAF4" s="345"/>
      <c r="BAG4" s="345"/>
      <c r="BAH4" s="345"/>
      <c r="BAI4" s="345"/>
      <c r="BAJ4" s="345"/>
      <c r="BAK4" s="345"/>
      <c r="BAL4" s="345"/>
      <c r="BAM4" s="345"/>
      <c r="BAN4" s="345"/>
      <c r="BAO4" s="345"/>
      <c r="BAP4" s="345"/>
      <c r="BAQ4" s="345"/>
      <c r="BAR4" s="345"/>
      <c r="BAS4" s="345"/>
      <c r="BAT4" s="345"/>
      <c r="BAU4" s="345"/>
      <c r="BAV4" s="345"/>
      <c r="BAW4" s="345"/>
      <c r="BAX4" s="345"/>
      <c r="BAY4" s="345"/>
      <c r="BAZ4" s="345"/>
      <c r="BBA4" s="345"/>
      <c r="BBB4" s="345"/>
      <c r="BBC4" s="345"/>
      <c r="BBD4" s="345"/>
      <c r="BBE4" s="345"/>
      <c r="BBF4" s="345"/>
      <c r="BBG4" s="345"/>
      <c r="BBH4" s="345"/>
      <c r="BBI4" s="345"/>
      <c r="BBJ4" s="345"/>
      <c r="BBK4" s="345"/>
      <c r="BBL4" s="345"/>
      <c r="BBM4" s="345"/>
      <c r="BBN4" s="345"/>
      <c r="BBO4" s="345"/>
      <c r="BBP4" s="345"/>
      <c r="BBQ4" s="345"/>
      <c r="BBR4" s="345"/>
      <c r="BBS4" s="345"/>
      <c r="BBT4" s="345"/>
      <c r="BBU4" s="345"/>
      <c r="BBV4" s="345"/>
      <c r="BBW4" s="345"/>
      <c r="BBX4" s="345"/>
      <c r="BBY4" s="345"/>
      <c r="BBZ4" s="345"/>
      <c r="BCA4" s="345"/>
      <c r="BCB4" s="345"/>
      <c r="BCC4" s="345"/>
      <c r="BCD4" s="345"/>
      <c r="BCE4" s="345"/>
      <c r="BCF4" s="345"/>
      <c r="BCG4" s="345"/>
      <c r="BCH4" s="345"/>
      <c r="BCI4" s="345"/>
      <c r="BCJ4" s="345"/>
      <c r="BCK4" s="345"/>
      <c r="BCL4" s="345"/>
      <c r="BCM4" s="345"/>
      <c r="BCN4" s="345"/>
      <c r="BCO4" s="345"/>
      <c r="BCP4" s="345"/>
      <c r="BCQ4" s="345"/>
      <c r="BCR4" s="345"/>
      <c r="BCS4" s="345"/>
      <c r="BCT4" s="345"/>
      <c r="BCU4" s="345"/>
      <c r="BCV4" s="345"/>
      <c r="BCW4" s="345"/>
      <c r="BCX4" s="345"/>
      <c r="BCY4" s="345"/>
      <c r="BCZ4" s="345"/>
      <c r="BDA4" s="345"/>
      <c r="BDB4" s="345"/>
      <c r="BDC4" s="345"/>
      <c r="BDD4" s="345"/>
      <c r="BDE4" s="345"/>
      <c r="BDF4" s="345"/>
      <c r="BDG4" s="345"/>
      <c r="BDH4" s="345"/>
      <c r="BDI4" s="345"/>
      <c r="BDJ4" s="345"/>
      <c r="BDK4" s="345"/>
      <c r="BDL4" s="345"/>
      <c r="BDM4" s="345"/>
      <c r="BDN4" s="345"/>
      <c r="BDO4" s="345"/>
      <c r="BDP4" s="345"/>
      <c r="BDQ4" s="345"/>
      <c r="BDR4" s="345"/>
      <c r="BDS4" s="345"/>
      <c r="BDT4" s="345"/>
      <c r="BDU4" s="345"/>
      <c r="BDV4" s="345"/>
      <c r="BDW4" s="345"/>
      <c r="BDX4" s="345"/>
      <c r="BDY4" s="345"/>
      <c r="BDZ4" s="345"/>
      <c r="BEA4" s="345"/>
      <c r="BEB4" s="345"/>
      <c r="BEC4" s="345"/>
      <c r="BED4" s="345"/>
      <c r="BEE4" s="345"/>
      <c r="BEF4" s="345"/>
      <c r="BEG4" s="345"/>
      <c r="BEH4" s="345"/>
      <c r="BEI4" s="345"/>
      <c r="BEJ4" s="345"/>
      <c r="BEK4" s="345"/>
      <c r="BEL4" s="345"/>
      <c r="BEM4" s="345"/>
      <c r="BEN4" s="345"/>
      <c r="BEO4" s="345"/>
      <c r="BEP4" s="345"/>
      <c r="BEQ4" s="345"/>
      <c r="BER4" s="345"/>
      <c r="BES4" s="345"/>
      <c r="BET4" s="345"/>
      <c r="BEU4" s="345"/>
      <c r="BEV4" s="345"/>
      <c r="BEW4" s="345"/>
      <c r="BEX4" s="345"/>
      <c r="BEY4" s="345"/>
      <c r="BEZ4" s="345"/>
      <c r="BFA4" s="345"/>
      <c r="BFB4" s="345"/>
      <c r="BFC4" s="345"/>
      <c r="BFD4" s="345"/>
      <c r="BFE4" s="345"/>
      <c r="BFF4" s="345"/>
      <c r="BFG4" s="345"/>
      <c r="BFH4" s="345"/>
      <c r="BFI4" s="345"/>
      <c r="BFJ4" s="345"/>
      <c r="BFK4" s="345"/>
      <c r="BFL4" s="345"/>
      <c r="BFM4" s="345"/>
      <c r="BFN4" s="345"/>
      <c r="BFO4" s="345"/>
      <c r="BFP4" s="345"/>
      <c r="BFQ4" s="345"/>
      <c r="BFR4" s="345"/>
      <c r="BFS4" s="345"/>
      <c r="BFT4" s="345"/>
      <c r="BFU4" s="345"/>
      <c r="BFV4" s="345"/>
      <c r="BFW4" s="345"/>
      <c r="BFX4" s="345"/>
      <c r="BFY4" s="345"/>
      <c r="BFZ4" s="345"/>
      <c r="BGA4" s="345"/>
      <c r="BGB4" s="345"/>
      <c r="BGC4" s="345"/>
      <c r="BGD4" s="345"/>
      <c r="BGE4" s="345"/>
      <c r="BGF4" s="345"/>
      <c r="BGG4" s="345"/>
      <c r="BGH4" s="345"/>
      <c r="BGI4" s="345"/>
      <c r="BGJ4" s="345"/>
      <c r="BGK4" s="345"/>
      <c r="BGL4" s="345"/>
      <c r="BGM4" s="345"/>
      <c r="BGN4" s="345"/>
      <c r="BGO4" s="345"/>
      <c r="BGP4" s="345"/>
      <c r="BGQ4" s="345"/>
      <c r="BGR4" s="345"/>
      <c r="BGS4" s="345"/>
      <c r="BGT4" s="345"/>
      <c r="BGU4" s="345"/>
      <c r="BGV4" s="345"/>
      <c r="BGW4" s="345"/>
      <c r="BGX4" s="345"/>
      <c r="BGY4" s="345"/>
      <c r="BGZ4" s="345"/>
      <c r="BHA4" s="345"/>
      <c r="BHB4" s="345"/>
      <c r="BHC4" s="345"/>
      <c r="BHD4" s="345"/>
      <c r="BHE4" s="345"/>
      <c r="BHF4" s="345"/>
      <c r="BHG4" s="345"/>
      <c r="BHH4" s="345"/>
      <c r="BHI4" s="345"/>
      <c r="BHJ4" s="345"/>
      <c r="BHK4" s="345"/>
      <c r="BHL4" s="345"/>
      <c r="BHM4" s="345"/>
      <c r="BHN4" s="345"/>
      <c r="BHO4" s="345"/>
      <c r="BHP4" s="345"/>
      <c r="BHQ4" s="345"/>
      <c r="BHR4" s="345"/>
      <c r="BHS4" s="345"/>
      <c r="BHT4" s="345"/>
      <c r="BHU4" s="345"/>
      <c r="BHV4" s="345"/>
      <c r="BHW4" s="345"/>
      <c r="BHX4" s="345"/>
      <c r="BHY4" s="345"/>
      <c r="BHZ4" s="345"/>
      <c r="BIA4" s="345"/>
      <c r="BIB4" s="345"/>
      <c r="BIC4" s="345"/>
      <c r="BID4" s="345"/>
      <c r="BIE4" s="345"/>
      <c r="BIF4" s="345"/>
      <c r="BIG4" s="345"/>
      <c r="BIH4" s="345"/>
      <c r="BII4" s="345"/>
      <c r="BIJ4" s="345"/>
      <c r="BIK4" s="345"/>
      <c r="BIL4" s="345"/>
      <c r="BIM4" s="345"/>
      <c r="BIN4" s="345"/>
      <c r="BIO4" s="345"/>
      <c r="BIP4" s="345"/>
      <c r="BIQ4" s="345"/>
      <c r="BIR4" s="345"/>
      <c r="BIS4" s="345"/>
      <c r="BIT4" s="345"/>
      <c r="BIU4" s="345"/>
      <c r="BIV4" s="345"/>
      <c r="BIW4" s="345"/>
      <c r="BIX4" s="345"/>
      <c r="BIY4" s="345"/>
      <c r="BIZ4" s="345"/>
      <c r="BJA4" s="345"/>
      <c r="BJB4" s="345"/>
      <c r="BJC4" s="345"/>
      <c r="BJD4" s="345"/>
      <c r="BJE4" s="345"/>
      <c r="BJF4" s="345"/>
      <c r="BJG4" s="345"/>
      <c r="BJH4" s="345"/>
      <c r="BJI4" s="345"/>
      <c r="BJJ4" s="345"/>
      <c r="BJK4" s="345"/>
      <c r="BJL4" s="345"/>
      <c r="BJM4" s="345"/>
      <c r="BJN4" s="345"/>
      <c r="BJO4" s="345"/>
      <c r="BJP4" s="345"/>
      <c r="BJQ4" s="345"/>
      <c r="BJR4" s="345"/>
      <c r="BJS4" s="345"/>
      <c r="BJT4" s="345"/>
      <c r="BJU4" s="345"/>
      <c r="BJV4" s="345"/>
      <c r="BJW4" s="345"/>
      <c r="BJX4" s="345"/>
      <c r="BJY4" s="345"/>
      <c r="BJZ4" s="345"/>
      <c r="BKA4" s="345"/>
      <c r="BKB4" s="345"/>
      <c r="BKC4" s="345"/>
      <c r="BKD4" s="345"/>
      <c r="BKE4" s="345"/>
      <c r="BKF4" s="345"/>
      <c r="BKG4" s="345"/>
      <c r="BKH4" s="345"/>
      <c r="BKI4" s="345"/>
      <c r="BKJ4" s="345"/>
      <c r="BKK4" s="345"/>
      <c r="BKL4" s="345"/>
      <c r="BKM4" s="345"/>
      <c r="BKN4" s="345"/>
      <c r="BKO4" s="345"/>
      <c r="BKP4" s="345"/>
      <c r="BKQ4" s="345"/>
      <c r="BKR4" s="345"/>
      <c r="BKS4" s="345"/>
      <c r="BKT4" s="345"/>
      <c r="BKU4" s="345"/>
      <c r="BKV4" s="345"/>
      <c r="BKW4" s="345"/>
      <c r="BKX4" s="345"/>
      <c r="BKY4" s="345"/>
      <c r="BKZ4" s="345"/>
      <c r="BLA4" s="345"/>
      <c r="BLB4" s="345"/>
      <c r="BLC4" s="345"/>
      <c r="BLD4" s="345"/>
      <c r="BLE4" s="345"/>
      <c r="BLF4" s="345"/>
      <c r="BLG4" s="345"/>
      <c r="BLH4" s="345"/>
      <c r="BLI4" s="345"/>
      <c r="BLJ4" s="345"/>
      <c r="BLK4" s="345"/>
      <c r="BLL4" s="345"/>
      <c r="BLM4" s="345"/>
      <c r="BLN4" s="345"/>
      <c r="BLO4" s="345"/>
      <c r="BLP4" s="345"/>
      <c r="BLQ4" s="345"/>
      <c r="BLR4" s="345"/>
      <c r="BLS4" s="345"/>
      <c r="BLT4" s="345"/>
      <c r="BLU4" s="345"/>
      <c r="BLV4" s="345"/>
      <c r="BLW4" s="345"/>
      <c r="BLX4" s="345"/>
      <c r="BLY4" s="345"/>
      <c r="BLZ4" s="345"/>
      <c r="BMA4" s="345"/>
      <c r="BMB4" s="345"/>
      <c r="BMC4" s="345"/>
      <c r="BMD4" s="345"/>
      <c r="BME4" s="345"/>
      <c r="BMF4" s="345"/>
      <c r="BMG4" s="345"/>
      <c r="BMH4" s="345"/>
      <c r="BMI4" s="345"/>
      <c r="BMJ4" s="345"/>
      <c r="BMK4" s="345"/>
      <c r="BML4" s="345"/>
      <c r="BMM4" s="345"/>
      <c r="BMN4" s="345"/>
      <c r="BMO4" s="345"/>
      <c r="BMP4" s="345"/>
      <c r="BMQ4" s="345"/>
      <c r="BMR4" s="345"/>
      <c r="BMS4" s="345"/>
      <c r="BMT4" s="345"/>
      <c r="BMU4" s="345"/>
      <c r="BMV4" s="345"/>
      <c r="BMW4" s="345"/>
      <c r="BMX4" s="345"/>
      <c r="BMY4" s="345"/>
      <c r="BMZ4" s="345"/>
      <c r="BNA4" s="345"/>
      <c r="BNB4" s="345"/>
      <c r="BNC4" s="345"/>
      <c r="BND4" s="345"/>
      <c r="BNE4" s="345"/>
      <c r="BNF4" s="345"/>
      <c r="BNG4" s="345"/>
      <c r="BNH4" s="345"/>
      <c r="BNI4" s="345"/>
      <c r="BNJ4" s="345"/>
      <c r="BNK4" s="345"/>
      <c r="BNL4" s="345"/>
      <c r="BNM4" s="345"/>
      <c r="BNN4" s="345"/>
      <c r="BNO4" s="345"/>
      <c r="BNP4" s="345"/>
      <c r="BNQ4" s="345"/>
      <c r="BNR4" s="345"/>
      <c r="BNS4" s="345"/>
      <c r="BNT4" s="345"/>
      <c r="BNU4" s="345"/>
      <c r="BNV4" s="345"/>
      <c r="BNW4" s="345"/>
      <c r="BNX4" s="345"/>
      <c r="BNY4" s="345"/>
      <c r="BNZ4" s="345"/>
      <c r="BOA4" s="345"/>
      <c r="BOB4" s="345"/>
      <c r="BOC4" s="345"/>
      <c r="BOD4" s="345"/>
      <c r="BOE4" s="345"/>
      <c r="BOF4" s="345"/>
      <c r="BOG4" s="345"/>
      <c r="BOH4" s="345"/>
      <c r="BOI4" s="345"/>
      <c r="BOJ4" s="345"/>
      <c r="BOK4" s="345"/>
      <c r="BOL4" s="345"/>
      <c r="BOM4" s="345"/>
      <c r="BON4" s="345"/>
      <c r="BOO4" s="345"/>
      <c r="BOP4" s="345"/>
      <c r="BOQ4" s="345"/>
      <c r="BOR4" s="345"/>
      <c r="BOS4" s="345"/>
      <c r="BOT4" s="345"/>
      <c r="BOU4" s="345"/>
      <c r="BOV4" s="345"/>
      <c r="BOW4" s="345"/>
      <c r="BOX4" s="345"/>
      <c r="BOY4" s="345"/>
      <c r="BOZ4" s="345"/>
      <c r="BPA4" s="345"/>
      <c r="BPB4" s="345"/>
      <c r="BPC4" s="345"/>
      <c r="BPD4" s="345"/>
      <c r="BPE4" s="345"/>
      <c r="BPF4" s="345"/>
      <c r="BPG4" s="345"/>
      <c r="BPH4" s="345"/>
      <c r="BPI4" s="345"/>
      <c r="BPJ4" s="345"/>
      <c r="BPK4" s="345"/>
      <c r="BPL4" s="345"/>
      <c r="BPM4" s="345"/>
      <c r="BPN4" s="345"/>
      <c r="BPO4" s="345"/>
      <c r="BPP4" s="345"/>
      <c r="BPQ4" s="345"/>
      <c r="BPR4" s="345"/>
      <c r="BPS4" s="345"/>
      <c r="BPT4" s="345"/>
      <c r="BPU4" s="345"/>
      <c r="BPV4" s="345"/>
      <c r="BPW4" s="345"/>
      <c r="BPX4" s="345"/>
      <c r="BPY4" s="345"/>
      <c r="BPZ4" s="345"/>
      <c r="BQA4" s="345"/>
      <c r="BQB4" s="345"/>
      <c r="BQC4" s="345"/>
      <c r="BQD4" s="345"/>
      <c r="BQE4" s="345"/>
      <c r="BQF4" s="345"/>
      <c r="BQG4" s="345"/>
      <c r="BQH4" s="345"/>
      <c r="BQI4" s="345"/>
      <c r="BQJ4" s="345"/>
      <c r="BQK4" s="345"/>
      <c r="BQL4" s="345"/>
      <c r="BQM4" s="345"/>
      <c r="BQN4" s="345"/>
      <c r="BQO4" s="345"/>
      <c r="BQP4" s="345"/>
      <c r="BQQ4" s="345"/>
      <c r="BQR4" s="345"/>
      <c r="BQS4" s="345"/>
      <c r="BQT4" s="345"/>
      <c r="BQU4" s="345"/>
      <c r="BQV4" s="345"/>
      <c r="BQW4" s="345"/>
      <c r="BQX4" s="345"/>
      <c r="BQY4" s="345"/>
      <c r="BQZ4" s="345"/>
      <c r="BRA4" s="345"/>
      <c r="BRB4" s="345"/>
      <c r="BRC4" s="345"/>
      <c r="BRD4" s="345"/>
      <c r="BRE4" s="345"/>
      <c r="BRF4" s="345"/>
      <c r="BRG4" s="345"/>
      <c r="BRH4" s="345"/>
      <c r="BRI4" s="345"/>
      <c r="BRJ4" s="345"/>
      <c r="BRK4" s="345"/>
      <c r="BRL4" s="345"/>
      <c r="BRM4" s="345"/>
      <c r="BRN4" s="345"/>
      <c r="BRO4" s="345"/>
      <c r="BRP4" s="345"/>
      <c r="BRQ4" s="345"/>
      <c r="BRR4" s="345"/>
      <c r="BRS4" s="345"/>
      <c r="BRT4" s="345"/>
      <c r="BRU4" s="345"/>
      <c r="BRV4" s="345"/>
      <c r="BRW4" s="345"/>
      <c r="BRX4" s="345"/>
      <c r="BRY4" s="345"/>
      <c r="BRZ4" s="345"/>
      <c r="BSA4" s="345"/>
      <c r="BSB4" s="345"/>
      <c r="BSC4" s="345"/>
      <c r="BSD4" s="345"/>
      <c r="BSE4" s="345"/>
      <c r="BSF4" s="345"/>
      <c r="BSG4" s="345"/>
      <c r="BSH4" s="345"/>
      <c r="BSI4" s="345"/>
      <c r="BSJ4" s="345"/>
      <c r="BSK4" s="345"/>
      <c r="BSL4" s="345"/>
      <c r="BSM4" s="345"/>
      <c r="BSN4" s="345"/>
      <c r="BSO4" s="345"/>
      <c r="BSP4" s="345"/>
      <c r="BSQ4" s="345"/>
      <c r="BSR4" s="345"/>
      <c r="BSS4" s="345"/>
      <c r="BST4" s="345"/>
      <c r="BSU4" s="345"/>
      <c r="BSV4" s="345"/>
      <c r="BSW4" s="345"/>
      <c r="BSX4" s="345"/>
      <c r="BSY4" s="345"/>
      <c r="BSZ4" s="345"/>
      <c r="BTA4" s="345"/>
      <c r="BTB4" s="345"/>
      <c r="BTC4" s="345"/>
      <c r="BTD4" s="345"/>
      <c r="BTE4" s="345"/>
      <c r="BTF4" s="345"/>
      <c r="BTG4" s="345"/>
      <c r="BTH4" s="345"/>
      <c r="BTI4" s="345"/>
      <c r="BTJ4" s="345"/>
      <c r="BTK4" s="345"/>
      <c r="BTL4" s="345"/>
      <c r="BTM4" s="345"/>
      <c r="BTN4" s="345"/>
      <c r="BTO4" s="345"/>
      <c r="BTP4" s="345"/>
      <c r="BTQ4" s="345"/>
      <c r="BTR4" s="345"/>
      <c r="BTS4" s="345"/>
      <c r="BTT4" s="345"/>
      <c r="BTU4" s="345"/>
      <c r="BTV4" s="345"/>
      <c r="BTW4" s="345"/>
      <c r="BTX4" s="345"/>
      <c r="BTY4" s="345"/>
      <c r="BTZ4" s="345"/>
      <c r="BUA4" s="345"/>
      <c r="BUB4" s="345"/>
      <c r="BUC4" s="345"/>
      <c r="BUD4" s="345"/>
      <c r="BUE4" s="345"/>
      <c r="BUF4" s="345"/>
      <c r="BUG4" s="345"/>
      <c r="BUH4" s="345"/>
      <c r="BUI4" s="345"/>
      <c r="BUJ4" s="345"/>
      <c r="BUK4" s="345"/>
      <c r="BUL4" s="345"/>
      <c r="BUM4" s="345"/>
      <c r="BUN4" s="345"/>
      <c r="BUO4" s="345"/>
      <c r="BUP4" s="345"/>
      <c r="BUQ4" s="345"/>
      <c r="BUR4" s="345"/>
      <c r="BUS4" s="345"/>
      <c r="BUT4" s="345"/>
      <c r="BUU4" s="345"/>
      <c r="BUV4" s="345"/>
      <c r="BUW4" s="345"/>
      <c r="BUX4" s="345"/>
      <c r="BUY4" s="345"/>
      <c r="BUZ4" s="345"/>
      <c r="BVA4" s="345"/>
      <c r="BVB4" s="345"/>
      <c r="BVC4" s="345"/>
      <c r="BVD4" s="345"/>
      <c r="BVE4" s="345"/>
      <c r="BVF4" s="345"/>
      <c r="BVG4" s="345"/>
      <c r="BVH4" s="345"/>
      <c r="BVI4" s="345"/>
      <c r="BVJ4" s="345"/>
      <c r="BVK4" s="345"/>
      <c r="BVL4" s="345"/>
      <c r="BVM4" s="345"/>
      <c r="BVN4" s="345"/>
      <c r="BVO4" s="345"/>
      <c r="BVP4" s="345"/>
      <c r="BVQ4" s="345"/>
      <c r="BVR4" s="345"/>
      <c r="BVS4" s="345"/>
      <c r="BVT4" s="345"/>
      <c r="BVU4" s="345"/>
      <c r="BVV4" s="345"/>
      <c r="BVW4" s="345"/>
      <c r="BVX4" s="345"/>
      <c r="BVY4" s="345"/>
      <c r="BVZ4" s="345"/>
      <c r="BWA4" s="345"/>
      <c r="BWB4" s="345"/>
      <c r="BWC4" s="345"/>
      <c r="BWD4" s="345"/>
      <c r="BWE4" s="345"/>
      <c r="BWF4" s="345"/>
      <c r="BWG4" s="345"/>
      <c r="BWH4" s="345"/>
      <c r="BWI4" s="345"/>
      <c r="BWJ4" s="345"/>
      <c r="BWK4" s="345"/>
      <c r="BWL4" s="345"/>
      <c r="BWM4" s="345"/>
      <c r="BWN4" s="345"/>
      <c r="BWO4" s="345"/>
      <c r="BWP4" s="345"/>
      <c r="BWQ4" s="345"/>
      <c r="BWR4" s="345"/>
      <c r="BWS4" s="345"/>
      <c r="BWT4" s="345"/>
      <c r="BWU4" s="345"/>
      <c r="BWV4" s="345"/>
      <c r="BWW4" s="345"/>
      <c r="BWX4" s="345"/>
      <c r="BWY4" s="345"/>
      <c r="BWZ4" s="345"/>
      <c r="BXA4" s="345"/>
      <c r="BXB4" s="345"/>
      <c r="BXC4" s="345"/>
      <c r="BXD4" s="345"/>
      <c r="BXE4" s="345"/>
      <c r="BXF4" s="345"/>
      <c r="BXG4" s="345"/>
      <c r="BXH4" s="345"/>
      <c r="BXI4" s="345"/>
      <c r="BXJ4" s="345"/>
      <c r="BXK4" s="345"/>
      <c r="BXL4" s="345"/>
      <c r="BXM4" s="345"/>
      <c r="BXN4" s="345"/>
      <c r="BXO4" s="345"/>
      <c r="BXP4" s="345"/>
      <c r="BXQ4" s="345"/>
      <c r="BXR4" s="345"/>
      <c r="BXS4" s="345"/>
      <c r="BXT4" s="345"/>
      <c r="BXU4" s="345"/>
      <c r="BXV4" s="345"/>
      <c r="BXW4" s="345"/>
      <c r="BXX4" s="345"/>
      <c r="BXY4" s="345"/>
      <c r="BXZ4" s="345"/>
      <c r="BYA4" s="345"/>
      <c r="BYB4" s="345"/>
      <c r="BYC4" s="345"/>
      <c r="BYD4" s="345"/>
      <c r="BYE4" s="345"/>
      <c r="BYF4" s="345"/>
      <c r="BYG4" s="345"/>
      <c r="BYH4" s="345"/>
      <c r="BYI4" s="345"/>
      <c r="BYJ4" s="345"/>
      <c r="BYK4" s="345"/>
      <c r="BYL4" s="345"/>
      <c r="BYM4" s="345"/>
      <c r="BYN4" s="345"/>
      <c r="BYO4" s="345"/>
      <c r="BYP4" s="345"/>
      <c r="BYQ4" s="345"/>
      <c r="BYR4" s="345"/>
      <c r="BYS4" s="345"/>
      <c r="BYT4" s="345"/>
      <c r="BYU4" s="345"/>
      <c r="BYV4" s="345"/>
      <c r="BYW4" s="345"/>
      <c r="BYX4" s="345"/>
      <c r="BYY4" s="345"/>
      <c r="BYZ4" s="345"/>
      <c r="BZA4" s="345"/>
      <c r="BZB4" s="345"/>
      <c r="BZC4" s="345"/>
      <c r="BZD4" s="345"/>
      <c r="BZE4" s="345"/>
      <c r="BZF4" s="345"/>
      <c r="BZG4" s="345"/>
      <c r="BZH4" s="345"/>
      <c r="BZI4" s="345"/>
      <c r="BZJ4" s="345"/>
      <c r="BZK4" s="345"/>
      <c r="BZL4" s="345"/>
      <c r="BZM4" s="345"/>
      <c r="BZN4" s="345"/>
      <c r="BZO4" s="345"/>
      <c r="BZP4" s="345"/>
      <c r="BZQ4" s="345"/>
      <c r="BZR4" s="345"/>
      <c r="BZS4" s="345"/>
      <c r="BZT4" s="345"/>
      <c r="BZU4" s="345"/>
      <c r="BZV4" s="345"/>
      <c r="BZW4" s="345"/>
      <c r="BZX4" s="345"/>
      <c r="BZY4" s="345"/>
      <c r="BZZ4" s="345"/>
      <c r="CAA4" s="345"/>
      <c r="CAB4" s="345"/>
      <c r="CAC4" s="345"/>
      <c r="CAD4" s="345"/>
      <c r="CAE4" s="345"/>
      <c r="CAF4" s="345"/>
      <c r="CAG4" s="345"/>
      <c r="CAH4" s="345"/>
      <c r="CAI4" s="345"/>
      <c r="CAJ4" s="345"/>
      <c r="CAK4" s="345"/>
      <c r="CAL4" s="345"/>
      <c r="CAM4" s="345"/>
      <c r="CAN4" s="345"/>
      <c r="CAO4" s="345"/>
      <c r="CAP4" s="345"/>
      <c r="CAQ4" s="345"/>
      <c r="CAR4" s="345"/>
      <c r="CAS4" s="345"/>
      <c r="CAT4" s="345"/>
      <c r="CAU4" s="345"/>
      <c r="CAV4" s="345"/>
      <c r="CAW4" s="345"/>
      <c r="CAX4" s="345"/>
      <c r="CAY4" s="345"/>
      <c r="CAZ4" s="345"/>
      <c r="CBA4" s="345"/>
      <c r="CBB4" s="345"/>
      <c r="CBC4" s="345"/>
      <c r="CBD4" s="345"/>
      <c r="CBE4" s="345"/>
      <c r="CBF4" s="345"/>
      <c r="CBG4" s="345"/>
      <c r="CBH4" s="345"/>
      <c r="CBI4" s="345"/>
      <c r="CBJ4" s="345"/>
      <c r="CBK4" s="345"/>
      <c r="CBL4" s="345"/>
      <c r="CBM4" s="345"/>
      <c r="CBN4" s="345"/>
      <c r="CBO4" s="345"/>
      <c r="CBP4" s="345"/>
      <c r="CBQ4" s="345"/>
      <c r="CBR4" s="345"/>
      <c r="CBS4" s="345"/>
      <c r="CBT4" s="345"/>
      <c r="CBU4" s="345"/>
      <c r="CBV4" s="345"/>
      <c r="CBW4" s="345"/>
      <c r="CBX4" s="345"/>
      <c r="CBY4" s="345"/>
      <c r="CBZ4" s="345"/>
      <c r="CCA4" s="345"/>
      <c r="CCB4" s="345"/>
      <c r="CCC4" s="345"/>
      <c r="CCD4" s="345"/>
      <c r="CCE4" s="345"/>
      <c r="CCF4" s="345"/>
      <c r="CCG4" s="345"/>
      <c r="CCH4" s="345"/>
      <c r="CCI4" s="345"/>
      <c r="CCJ4" s="345"/>
      <c r="CCK4" s="345"/>
      <c r="CCL4" s="345"/>
      <c r="CCM4" s="345"/>
      <c r="CCN4" s="345"/>
      <c r="CCO4" s="345"/>
      <c r="CCP4" s="345"/>
      <c r="CCQ4" s="345"/>
      <c r="CCR4" s="345"/>
      <c r="CCS4" s="345"/>
      <c r="CCT4" s="345"/>
      <c r="CCU4" s="345"/>
      <c r="CCV4" s="345"/>
      <c r="CCW4" s="345"/>
      <c r="CCX4" s="345"/>
      <c r="CCY4" s="345"/>
      <c r="CCZ4" s="345"/>
      <c r="CDA4" s="345"/>
      <c r="CDB4" s="345"/>
      <c r="CDC4" s="345"/>
      <c r="CDD4" s="345"/>
      <c r="CDE4" s="345"/>
      <c r="CDF4" s="345"/>
      <c r="CDG4" s="345"/>
      <c r="CDH4" s="345"/>
      <c r="CDI4" s="345"/>
      <c r="CDJ4" s="345"/>
      <c r="CDK4" s="345"/>
      <c r="CDL4" s="345"/>
      <c r="CDM4" s="345"/>
      <c r="CDN4" s="345"/>
      <c r="CDO4" s="345"/>
      <c r="CDP4" s="345"/>
      <c r="CDQ4" s="345"/>
      <c r="CDR4" s="345"/>
      <c r="CDS4" s="345"/>
      <c r="CDT4" s="345"/>
      <c r="CDU4" s="345"/>
      <c r="CDV4" s="345"/>
      <c r="CDW4" s="345"/>
      <c r="CDX4" s="345"/>
      <c r="CDY4" s="345"/>
      <c r="CDZ4" s="345"/>
      <c r="CEA4" s="345"/>
      <c r="CEB4" s="345"/>
      <c r="CEC4" s="345"/>
      <c r="CED4" s="345"/>
      <c r="CEE4" s="345"/>
      <c r="CEF4" s="345"/>
      <c r="CEG4" s="345"/>
      <c r="CEH4" s="345"/>
      <c r="CEI4" s="345"/>
      <c r="CEJ4" s="345"/>
      <c r="CEK4" s="345"/>
      <c r="CEL4" s="345"/>
      <c r="CEM4" s="345"/>
      <c r="CEN4" s="345"/>
      <c r="CEO4" s="345"/>
      <c r="CEP4" s="345"/>
      <c r="CEQ4" s="345"/>
      <c r="CER4" s="345"/>
      <c r="CES4" s="345"/>
      <c r="CET4" s="345"/>
      <c r="CEU4" s="345"/>
      <c r="CEV4" s="345"/>
      <c r="CEW4" s="345"/>
      <c r="CEX4" s="345"/>
      <c r="CEY4" s="345"/>
      <c r="CEZ4" s="345"/>
      <c r="CFA4" s="345"/>
      <c r="CFB4" s="345"/>
      <c r="CFC4" s="345"/>
      <c r="CFD4" s="345"/>
      <c r="CFE4" s="345"/>
      <c r="CFF4" s="345"/>
      <c r="CFG4" s="345"/>
      <c r="CFH4" s="345"/>
      <c r="CFI4" s="345"/>
      <c r="CFJ4" s="345"/>
      <c r="CFK4" s="345"/>
      <c r="CFL4" s="345"/>
      <c r="CFM4" s="345"/>
      <c r="CFN4" s="345"/>
      <c r="CFO4" s="345"/>
      <c r="CFP4" s="345"/>
      <c r="CFQ4" s="345"/>
      <c r="CFR4" s="345"/>
      <c r="CFS4" s="345"/>
      <c r="CFT4" s="345"/>
      <c r="CFU4" s="345"/>
      <c r="CFV4" s="345"/>
      <c r="CFW4" s="345"/>
      <c r="CFX4" s="345"/>
      <c r="CFY4" s="345"/>
      <c r="CFZ4" s="345"/>
      <c r="CGA4" s="345"/>
      <c r="CGB4" s="345"/>
      <c r="CGC4" s="345"/>
      <c r="CGD4" s="345"/>
      <c r="CGE4" s="345"/>
      <c r="CGF4" s="345"/>
      <c r="CGG4" s="345"/>
      <c r="CGH4" s="345"/>
      <c r="CGI4" s="345"/>
      <c r="CGJ4" s="345"/>
      <c r="CGK4" s="345"/>
      <c r="CGL4" s="345"/>
      <c r="CGM4" s="345"/>
      <c r="CGN4" s="345"/>
      <c r="CGO4" s="345"/>
      <c r="CGP4" s="345"/>
      <c r="CGQ4" s="345"/>
      <c r="CGR4" s="345"/>
      <c r="CGS4" s="345"/>
      <c r="CGT4" s="345"/>
      <c r="CGU4" s="345"/>
      <c r="CGV4" s="345"/>
      <c r="CGW4" s="345"/>
      <c r="CGX4" s="345"/>
      <c r="CGY4" s="345"/>
      <c r="CGZ4" s="345"/>
      <c r="CHA4" s="345"/>
      <c r="CHB4" s="345"/>
      <c r="CHC4" s="345"/>
      <c r="CHD4" s="345"/>
      <c r="CHE4" s="345"/>
      <c r="CHF4" s="345"/>
      <c r="CHG4" s="345"/>
      <c r="CHH4" s="345"/>
      <c r="CHI4" s="345"/>
      <c r="CHJ4" s="345"/>
      <c r="CHK4" s="345"/>
      <c r="CHL4" s="345"/>
      <c r="CHM4" s="345"/>
      <c r="CHN4" s="345"/>
      <c r="CHO4" s="345"/>
      <c r="CHP4" s="345"/>
      <c r="CHQ4" s="345"/>
      <c r="CHR4" s="345"/>
      <c r="CHS4" s="345"/>
      <c r="CHT4" s="345"/>
      <c r="CHU4" s="345"/>
      <c r="CHV4" s="345"/>
      <c r="CHW4" s="345"/>
      <c r="CHX4" s="345"/>
      <c r="CHY4" s="345"/>
      <c r="CHZ4" s="345"/>
      <c r="CIA4" s="345"/>
      <c r="CIB4" s="345"/>
      <c r="CIC4" s="345"/>
      <c r="CID4" s="345"/>
      <c r="CIE4" s="345"/>
      <c r="CIF4" s="345"/>
      <c r="CIG4" s="345"/>
      <c r="CIH4" s="345"/>
      <c r="CII4" s="345"/>
      <c r="CIJ4" s="345"/>
      <c r="CIK4" s="345"/>
      <c r="CIL4" s="345"/>
      <c r="CIM4" s="345"/>
      <c r="CIN4" s="345"/>
      <c r="CIO4" s="345"/>
      <c r="CIP4" s="345"/>
      <c r="CIQ4" s="345"/>
      <c r="CIR4" s="345"/>
      <c r="CIS4" s="345"/>
      <c r="CIT4" s="345"/>
      <c r="CIU4" s="345"/>
      <c r="CIV4" s="345"/>
      <c r="CIW4" s="345"/>
      <c r="CIX4" s="345"/>
      <c r="CIY4" s="345"/>
      <c r="CIZ4" s="345"/>
      <c r="CJA4" s="345"/>
      <c r="CJB4" s="345"/>
      <c r="CJC4" s="345"/>
      <c r="CJD4" s="345"/>
      <c r="CJE4" s="345"/>
      <c r="CJF4" s="345"/>
      <c r="CJG4" s="345"/>
      <c r="CJH4" s="345"/>
      <c r="CJI4" s="345"/>
      <c r="CJJ4" s="345"/>
      <c r="CJK4" s="345"/>
      <c r="CJL4" s="345"/>
      <c r="CJM4" s="345"/>
      <c r="CJN4" s="345"/>
      <c r="CJO4" s="345"/>
      <c r="CJP4" s="345"/>
      <c r="CJQ4" s="345"/>
      <c r="CJR4" s="345"/>
      <c r="CJS4" s="345"/>
      <c r="CJT4" s="345"/>
      <c r="CJU4" s="345"/>
      <c r="CJV4" s="345"/>
      <c r="CJW4" s="345"/>
      <c r="CJX4" s="345"/>
      <c r="CJY4" s="345"/>
      <c r="CJZ4" s="345"/>
      <c r="CKA4" s="345"/>
      <c r="CKB4" s="345"/>
      <c r="CKC4" s="345"/>
      <c r="CKD4" s="345"/>
      <c r="CKE4" s="345"/>
      <c r="CKF4" s="345"/>
      <c r="CKG4" s="345"/>
      <c r="CKH4" s="345"/>
      <c r="CKI4" s="345"/>
      <c r="CKJ4" s="345"/>
      <c r="CKK4" s="345"/>
      <c r="CKL4" s="345"/>
      <c r="CKM4" s="345"/>
      <c r="CKN4" s="345"/>
      <c r="CKO4" s="345"/>
      <c r="CKP4" s="345"/>
      <c r="CKQ4" s="345"/>
      <c r="CKR4" s="345"/>
      <c r="CKS4" s="345"/>
      <c r="CKT4" s="345"/>
      <c r="CKU4" s="345"/>
      <c r="CKV4" s="345"/>
      <c r="CKW4" s="345"/>
      <c r="CKX4" s="345"/>
      <c r="CKY4" s="345"/>
      <c r="CKZ4" s="345"/>
      <c r="CLA4" s="345"/>
      <c r="CLB4" s="345"/>
      <c r="CLC4" s="345"/>
      <c r="CLD4" s="345"/>
      <c r="CLE4" s="345"/>
      <c r="CLF4" s="345"/>
      <c r="CLG4" s="345"/>
      <c r="CLH4" s="345"/>
      <c r="CLI4" s="345"/>
      <c r="CLJ4" s="345"/>
      <c r="CLK4" s="345"/>
      <c r="CLL4" s="345"/>
      <c r="CLM4" s="345"/>
      <c r="CLN4" s="345"/>
      <c r="CLO4" s="345"/>
      <c r="CLP4" s="345"/>
      <c r="CLQ4" s="345"/>
      <c r="CLR4" s="345"/>
      <c r="CLS4" s="345"/>
      <c r="CLT4" s="345"/>
      <c r="CLU4" s="345"/>
      <c r="CLV4" s="345"/>
      <c r="CLW4" s="345"/>
      <c r="CLX4" s="345"/>
      <c r="CLY4" s="345"/>
      <c r="CLZ4" s="345"/>
      <c r="CMA4" s="345"/>
      <c r="CMB4" s="345"/>
      <c r="CMC4" s="345"/>
      <c r="CMD4" s="345"/>
      <c r="CME4" s="345"/>
      <c r="CMF4" s="345"/>
      <c r="CMG4" s="345"/>
      <c r="CMH4" s="345"/>
      <c r="CMI4" s="345"/>
      <c r="CMJ4" s="345"/>
      <c r="CMK4" s="345"/>
      <c r="CML4" s="345"/>
      <c r="CMM4" s="345"/>
      <c r="CMN4" s="345"/>
      <c r="CMO4" s="345"/>
      <c r="CMP4" s="345"/>
      <c r="CMQ4" s="345"/>
      <c r="CMR4" s="345"/>
      <c r="CMS4" s="345"/>
      <c r="CMT4" s="345"/>
      <c r="CMU4" s="345"/>
      <c r="CMV4" s="345"/>
      <c r="CMW4" s="345"/>
      <c r="CMX4" s="345"/>
      <c r="CMY4" s="345"/>
      <c r="CMZ4" s="345"/>
      <c r="CNA4" s="345"/>
      <c r="CNB4" s="345"/>
      <c r="CNC4" s="345"/>
      <c r="CND4" s="345"/>
      <c r="CNE4" s="345"/>
      <c r="CNF4" s="345"/>
      <c r="CNG4" s="345"/>
      <c r="CNH4" s="345"/>
      <c r="CNI4" s="345"/>
      <c r="CNJ4" s="345"/>
      <c r="CNK4" s="345"/>
      <c r="CNL4" s="345"/>
      <c r="CNM4" s="345"/>
      <c r="CNN4" s="345"/>
      <c r="CNO4" s="345"/>
      <c r="CNP4" s="345"/>
      <c r="CNQ4" s="345"/>
      <c r="CNR4" s="345"/>
      <c r="CNS4" s="345"/>
      <c r="CNT4" s="345"/>
      <c r="CNU4" s="345"/>
      <c r="CNV4" s="345"/>
      <c r="CNW4" s="345"/>
      <c r="CNX4" s="345"/>
      <c r="CNY4" s="345"/>
      <c r="CNZ4" s="345"/>
      <c r="COA4" s="345"/>
      <c r="COB4" s="345"/>
      <c r="COC4" s="345"/>
      <c r="COD4" s="345"/>
      <c r="COE4" s="345"/>
      <c r="COF4" s="345"/>
      <c r="COG4" s="345"/>
      <c r="COH4" s="345"/>
      <c r="COI4" s="345"/>
      <c r="COJ4" s="345"/>
      <c r="COK4" s="345"/>
      <c r="COL4" s="345"/>
      <c r="COM4" s="345"/>
      <c r="CON4" s="345"/>
      <c r="COO4" s="345"/>
      <c r="COP4" s="345"/>
      <c r="COQ4" s="345"/>
      <c r="COR4" s="345"/>
      <c r="COS4" s="345"/>
      <c r="COT4" s="345"/>
      <c r="COU4" s="345"/>
      <c r="COV4" s="345"/>
      <c r="COW4" s="345"/>
      <c r="COX4" s="345"/>
      <c r="COY4" s="345"/>
      <c r="COZ4" s="345"/>
      <c r="CPA4" s="345"/>
      <c r="CPB4" s="345"/>
      <c r="CPC4" s="345"/>
      <c r="CPD4" s="345"/>
      <c r="CPE4" s="345"/>
      <c r="CPF4" s="345"/>
      <c r="CPG4" s="345"/>
      <c r="CPH4" s="345"/>
      <c r="CPI4" s="345"/>
      <c r="CPJ4" s="345"/>
      <c r="CPK4" s="345"/>
      <c r="CPL4" s="345"/>
      <c r="CPM4" s="345"/>
      <c r="CPN4" s="345"/>
      <c r="CPO4" s="345"/>
      <c r="CPP4" s="345"/>
      <c r="CPQ4" s="345"/>
      <c r="CPR4" s="345"/>
      <c r="CPS4" s="345"/>
      <c r="CPT4" s="345"/>
      <c r="CPU4" s="345"/>
      <c r="CPV4" s="345"/>
      <c r="CPW4" s="345"/>
      <c r="CPX4" s="345"/>
      <c r="CPY4" s="345"/>
      <c r="CPZ4" s="345"/>
      <c r="CQA4" s="345"/>
      <c r="CQB4" s="345"/>
      <c r="CQC4" s="345"/>
      <c r="CQD4" s="345"/>
      <c r="CQE4" s="345"/>
      <c r="CQF4" s="345"/>
      <c r="CQG4" s="345"/>
      <c r="CQH4" s="345"/>
      <c r="CQI4" s="345"/>
      <c r="CQJ4" s="345"/>
      <c r="CQK4" s="345"/>
      <c r="CQL4" s="345"/>
      <c r="CQM4" s="345"/>
      <c r="CQN4" s="345"/>
      <c r="CQO4" s="345"/>
      <c r="CQP4" s="345"/>
      <c r="CQQ4" s="345"/>
      <c r="CQR4" s="345"/>
      <c r="CQS4" s="345"/>
      <c r="CQT4" s="345"/>
      <c r="CQU4" s="345"/>
      <c r="CQV4" s="345"/>
      <c r="CQW4" s="345"/>
      <c r="CQX4" s="345"/>
      <c r="CQY4" s="345"/>
      <c r="CQZ4" s="345"/>
      <c r="CRA4" s="345"/>
      <c r="CRB4" s="345"/>
      <c r="CRC4" s="345"/>
      <c r="CRD4" s="345"/>
      <c r="CRE4" s="345"/>
      <c r="CRF4" s="345"/>
      <c r="CRG4" s="345"/>
      <c r="CRH4" s="345"/>
      <c r="CRI4" s="345"/>
      <c r="CRJ4" s="345"/>
      <c r="CRK4" s="345"/>
      <c r="CRL4" s="345"/>
      <c r="CRM4" s="345"/>
      <c r="CRN4" s="345"/>
      <c r="CRO4" s="345"/>
      <c r="CRP4" s="345"/>
      <c r="CRQ4" s="345"/>
      <c r="CRR4" s="345"/>
      <c r="CRS4" s="345"/>
      <c r="CRT4" s="345"/>
      <c r="CRU4" s="345"/>
      <c r="CRV4" s="345"/>
      <c r="CRW4" s="345"/>
      <c r="CRX4" s="345"/>
      <c r="CRY4" s="345"/>
      <c r="CRZ4" s="345"/>
      <c r="CSA4" s="345"/>
      <c r="CSB4" s="345"/>
      <c r="CSC4" s="345"/>
      <c r="CSD4" s="345"/>
      <c r="CSE4" s="345"/>
      <c r="CSF4" s="345"/>
      <c r="CSG4" s="345"/>
      <c r="CSH4" s="345"/>
      <c r="CSI4" s="345"/>
      <c r="CSJ4" s="345"/>
      <c r="CSK4" s="345"/>
      <c r="CSL4" s="345"/>
      <c r="CSM4" s="345"/>
      <c r="CSN4" s="345"/>
      <c r="CSO4" s="345"/>
      <c r="CSP4" s="345"/>
      <c r="CSQ4" s="345"/>
      <c r="CSR4" s="345"/>
      <c r="CSS4" s="345"/>
      <c r="CST4" s="345"/>
      <c r="CSU4" s="345"/>
      <c r="CSV4" s="345"/>
      <c r="CSW4" s="345"/>
      <c r="CSX4" s="345"/>
      <c r="CSY4" s="345"/>
      <c r="CSZ4" s="345"/>
      <c r="CTA4" s="345"/>
      <c r="CTB4" s="345"/>
      <c r="CTC4" s="345"/>
      <c r="CTD4" s="345"/>
      <c r="CTE4" s="345"/>
      <c r="CTF4" s="345"/>
      <c r="CTG4" s="345"/>
      <c r="CTH4" s="345"/>
      <c r="CTI4" s="345"/>
      <c r="CTJ4" s="345"/>
      <c r="CTK4" s="345"/>
      <c r="CTL4" s="345"/>
      <c r="CTM4" s="345"/>
      <c r="CTN4" s="345"/>
      <c r="CTO4" s="345"/>
      <c r="CTP4" s="345"/>
      <c r="CTQ4" s="345"/>
      <c r="CTR4" s="345"/>
      <c r="CTS4" s="345"/>
      <c r="CTT4" s="345"/>
      <c r="CTU4" s="345"/>
      <c r="CTV4" s="345"/>
      <c r="CTW4" s="345"/>
      <c r="CTX4" s="345"/>
      <c r="CTY4" s="345"/>
      <c r="CTZ4" s="345"/>
      <c r="CUA4" s="345"/>
      <c r="CUB4" s="345"/>
      <c r="CUC4" s="345"/>
      <c r="CUD4" s="345"/>
      <c r="CUE4" s="345"/>
      <c r="CUF4" s="345"/>
      <c r="CUG4" s="345"/>
      <c r="CUH4" s="345"/>
      <c r="CUI4" s="345"/>
      <c r="CUJ4" s="345"/>
      <c r="CUK4" s="345"/>
      <c r="CUL4" s="345"/>
      <c r="CUM4" s="345"/>
      <c r="CUN4" s="345"/>
      <c r="CUO4" s="345"/>
      <c r="CUP4" s="345"/>
      <c r="CUQ4" s="345"/>
      <c r="CUR4" s="345"/>
      <c r="CUS4" s="345"/>
      <c r="CUT4" s="345"/>
      <c r="CUU4" s="345"/>
      <c r="CUV4" s="345"/>
      <c r="CUW4" s="345"/>
      <c r="CUX4" s="345"/>
      <c r="CUY4" s="345"/>
      <c r="CUZ4" s="345"/>
      <c r="CVA4" s="345"/>
      <c r="CVB4" s="345"/>
      <c r="CVC4" s="345"/>
      <c r="CVD4" s="345"/>
      <c r="CVE4" s="345"/>
      <c r="CVF4" s="345"/>
      <c r="CVG4" s="345"/>
      <c r="CVH4" s="345"/>
      <c r="CVI4" s="345"/>
      <c r="CVJ4" s="345"/>
      <c r="CVK4" s="345"/>
      <c r="CVL4" s="345"/>
      <c r="CVM4" s="345"/>
      <c r="CVN4" s="345"/>
      <c r="CVO4" s="345"/>
      <c r="CVP4" s="345"/>
      <c r="CVQ4" s="345"/>
      <c r="CVR4" s="345"/>
      <c r="CVS4" s="345"/>
      <c r="CVT4" s="345"/>
      <c r="CVU4" s="345"/>
      <c r="CVV4" s="345"/>
      <c r="CVW4" s="345"/>
      <c r="CVX4" s="345"/>
      <c r="CVY4" s="345"/>
      <c r="CVZ4" s="345"/>
      <c r="CWA4" s="345"/>
      <c r="CWB4" s="345"/>
      <c r="CWC4" s="345"/>
      <c r="CWD4" s="345"/>
      <c r="CWE4" s="345"/>
      <c r="CWF4" s="345"/>
      <c r="CWG4" s="345"/>
      <c r="CWH4" s="345"/>
      <c r="CWI4" s="345"/>
      <c r="CWJ4" s="345"/>
      <c r="CWK4" s="345"/>
      <c r="CWL4" s="345"/>
      <c r="CWM4" s="345"/>
      <c r="CWN4" s="345"/>
      <c r="CWO4" s="345"/>
      <c r="CWP4" s="345"/>
      <c r="CWQ4" s="345"/>
      <c r="CWR4" s="345"/>
      <c r="CWS4" s="345"/>
      <c r="CWT4" s="345"/>
      <c r="CWU4" s="345"/>
      <c r="CWV4" s="345"/>
      <c r="CWW4" s="345"/>
      <c r="CWX4" s="345"/>
      <c r="CWY4" s="345"/>
      <c r="CWZ4" s="345"/>
      <c r="CXA4" s="345"/>
      <c r="CXB4" s="345"/>
      <c r="CXC4" s="345"/>
      <c r="CXD4" s="345"/>
      <c r="CXE4" s="345"/>
      <c r="CXF4" s="345"/>
      <c r="CXG4" s="345"/>
      <c r="CXH4" s="345"/>
      <c r="CXI4" s="345"/>
      <c r="CXJ4" s="345"/>
      <c r="CXK4" s="345"/>
      <c r="CXL4" s="345"/>
      <c r="CXM4" s="345"/>
      <c r="CXN4" s="345"/>
      <c r="CXO4" s="345"/>
      <c r="CXP4" s="345"/>
      <c r="CXQ4" s="345"/>
      <c r="CXR4" s="345"/>
      <c r="CXS4" s="345"/>
      <c r="CXT4" s="345"/>
      <c r="CXU4" s="345"/>
      <c r="CXV4" s="345"/>
      <c r="CXW4" s="345"/>
      <c r="CXX4" s="345"/>
      <c r="CXY4" s="345"/>
      <c r="CXZ4" s="345"/>
      <c r="CYA4" s="345"/>
      <c r="CYB4" s="345"/>
      <c r="CYC4" s="345"/>
      <c r="CYD4" s="345"/>
      <c r="CYE4" s="345"/>
      <c r="CYF4" s="345"/>
      <c r="CYG4" s="345"/>
      <c r="CYH4" s="345"/>
      <c r="CYI4" s="345"/>
      <c r="CYJ4" s="345"/>
      <c r="CYK4" s="345"/>
      <c r="CYL4" s="345"/>
      <c r="CYM4" s="345"/>
      <c r="CYN4" s="345"/>
      <c r="CYO4" s="345"/>
      <c r="CYP4" s="345"/>
      <c r="CYQ4" s="345"/>
      <c r="CYR4" s="345"/>
      <c r="CYS4" s="345"/>
      <c r="CYT4" s="345"/>
      <c r="CYU4" s="345"/>
      <c r="CYV4" s="345"/>
      <c r="CYW4" s="345"/>
      <c r="CYX4" s="345"/>
      <c r="CYY4" s="345"/>
      <c r="CYZ4" s="345"/>
      <c r="CZA4" s="345"/>
      <c r="CZB4" s="345"/>
      <c r="CZC4" s="345"/>
      <c r="CZD4" s="345"/>
      <c r="CZE4" s="345"/>
      <c r="CZF4" s="345"/>
      <c r="CZG4" s="345"/>
      <c r="CZH4" s="345"/>
      <c r="CZI4" s="345"/>
      <c r="CZJ4" s="345"/>
      <c r="CZK4" s="345"/>
      <c r="CZL4" s="345"/>
      <c r="CZM4" s="345"/>
      <c r="CZN4" s="345"/>
      <c r="CZO4" s="345"/>
      <c r="CZP4" s="345"/>
      <c r="CZQ4" s="345"/>
      <c r="CZR4" s="345"/>
      <c r="CZS4" s="345"/>
      <c r="CZT4" s="345"/>
      <c r="CZU4" s="345"/>
      <c r="CZV4" s="345"/>
      <c r="CZW4" s="345"/>
      <c r="CZX4" s="345"/>
      <c r="CZY4" s="345"/>
      <c r="CZZ4" s="345"/>
      <c r="DAA4" s="345"/>
      <c r="DAB4" s="345"/>
      <c r="DAC4" s="345"/>
      <c r="DAD4" s="345"/>
      <c r="DAE4" s="345"/>
      <c r="DAF4" s="345"/>
      <c r="DAG4" s="345"/>
      <c r="DAH4" s="345"/>
      <c r="DAI4" s="345"/>
      <c r="DAJ4" s="345"/>
      <c r="DAK4" s="345"/>
      <c r="DAL4" s="345"/>
      <c r="DAM4" s="345"/>
      <c r="DAN4" s="345"/>
      <c r="DAO4" s="345"/>
      <c r="DAP4" s="345"/>
      <c r="DAQ4" s="345"/>
      <c r="DAR4" s="345"/>
      <c r="DAS4" s="345"/>
      <c r="DAT4" s="345"/>
      <c r="DAU4" s="345"/>
      <c r="DAV4" s="345"/>
      <c r="DAW4" s="345"/>
      <c r="DAX4" s="345"/>
      <c r="DAY4" s="345"/>
      <c r="DAZ4" s="345"/>
      <c r="DBA4" s="345"/>
      <c r="DBB4" s="345"/>
      <c r="DBC4" s="345"/>
      <c r="DBD4" s="345"/>
      <c r="DBE4" s="345"/>
      <c r="DBF4" s="345"/>
      <c r="DBG4" s="345"/>
      <c r="DBH4" s="345"/>
      <c r="DBI4" s="345"/>
      <c r="DBJ4" s="345"/>
      <c r="DBK4" s="345"/>
      <c r="DBL4" s="345"/>
      <c r="DBM4" s="345"/>
      <c r="DBN4" s="345"/>
      <c r="DBO4" s="345"/>
      <c r="DBP4" s="345"/>
      <c r="DBQ4" s="345"/>
      <c r="DBR4" s="345"/>
      <c r="DBS4" s="345"/>
      <c r="DBT4" s="345"/>
      <c r="DBU4" s="345"/>
      <c r="DBV4" s="345"/>
      <c r="DBW4" s="345"/>
      <c r="DBX4" s="345"/>
      <c r="DBY4" s="345"/>
      <c r="DBZ4" s="345"/>
      <c r="DCA4" s="345"/>
      <c r="DCB4" s="345"/>
      <c r="DCC4" s="345"/>
      <c r="DCD4" s="345"/>
      <c r="DCE4" s="345"/>
      <c r="DCF4" s="345"/>
      <c r="DCG4" s="345"/>
      <c r="DCH4" s="345"/>
      <c r="DCI4" s="345"/>
      <c r="DCJ4" s="345"/>
      <c r="DCK4" s="345"/>
      <c r="DCL4" s="345"/>
      <c r="DCM4" s="345"/>
      <c r="DCN4" s="345"/>
      <c r="DCO4" s="345"/>
      <c r="DCP4" s="345"/>
      <c r="DCQ4" s="345"/>
      <c r="DCR4" s="345"/>
      <c r="DCS4" s="345"/>
      <c r="DCT4" s="345"/>
      <c r="DCU4" s="345"/>
      <c r="DCV4" s="345"/>
      <c r="DCW4" s="345"/>
      <c r="DCX4" s="345"/>
      <c r="DCY4" s="345"/>
      <c r="DCZ4" s="345"/>
      <c r="DDA4" s="345"/>
      <c r="DDB4" s="345"/>
      <c r="DDC4" s="345"/>
      <c r="DDD4" s="345"/>
      <c r="DDE4" s="345"/>
      <c r="DDF4" s="345"/>
      <c r="DDG4" s="345"/>
      <c r="DDH4" s="345"/>
      <c r="DDI4" s="345"/>
      <c r="DDJ4" s="345"/>
      <c r="DDK4" s="345"/>
      <c r="DDL4" s="345"/>
      <c r="DDM4" s="345"/>
      <c r="DDN4" s="345"/>
      <c r="DDO4" s="345"/>
      <c r="DDP4" s="345"/>
      <c r="DDQ4" s="345"/>
      <c r="DDR4" s="345"/>
      <c r="DDS4" s="345"/>
      <c r="DDT4" s="345"/>
      <c r="DDU4" s="345"/>
      <c r="DDV4" s="345"/>
      <c r="DDW4" s="345"/>
      <c r="DDX4" s="345"/>
      <c r="DDY4" s="345"/>
      <c r="DDZ4" s="345"/>
      <c r="DEA4" s="345"/>
      <c r="DEB4" s="345"/>
      <c r="DEC4" s="345"/>
      <c r="DED4" s="345"/>
      <c r="DEE4" s="345"/>
      <c r="DEF4" s="345"/>
      <c r="DEG4" s="345"/>
      <c r="DEH4" s="345"/>
      <c r="DEI4" s="345"/>
      <c r="DEJ4" s="345"/>
      <c r="DEK4" s="345"/>
      <c r="DEL4" s="345"/>
      <c r="DEM4" s="345"/>
      <c r="DEN4" s="345"/>
      <c r="DEO4" s="345"/>
      <c r="DEP4" s="345"/>
      <c r="DEQ4" s="345"/>
      <c r="DER4" s="345"/>
      <c r="DES4" s="345"/>
      <c r="DET4" s="345"/>
      <c r="DEU4" s="345"/>
      <c r="DEV4" s="345"/>
      <c r="DEW4" s="345"/>
      <c r="DEX4" s="345"/>
      <c r="DEY4" s="345"/>
      <c r="DEZ4" s="345"/>
      <c r="DFA4" s="345"/>
      <c r="DFB4" s="345"/>
      <c r="DFC4" s="345"/>
      <c r="DFD4" s="345"/>
      <c r="DFE4" s="345"/>
      <c r="DFF4" s="345"/>
      <c r="DFG4" s="345"/>
      <c r="DFH4" s="345"/>
      <c r="DFI4" s="345"/>
      <c r="DFJ4" s="345"/>
      <c r="DFK4" s="345"/>
      <c r="DFL4" s="345"/>
      <c r="DFM4" s="345"/>
      <c r="DFN4" s="345"/>
      <c r="DFO4" s="345"/>
      <c r="DFP4" s="345"/>
      <c r="DFQ4" s="345"/>
      <c r="DFR4" s="345"/>
      <c r="DFS4" s="345"/>
      <c r="DFT4" s="345"/>
      <c r="DFU4" s="345"/>
      <c r="DFV4" s="345"/>
      <c r="DFW4" s="345"/>
      <c r="DFX4" s="345"/>
      <c r="DFY4" s="345"/>
      <c r="DFZ4" s="345"/>
      <c r="DGA4" s="345"/>
      <c r="DGB4" s="345"/>
      <c r="DGC4" s="345"/>
      <c r="DGD4" s="345"/>
      <c r="DGE4" s="345"/>
      <c r="DGF4" s="345"/>
      <c r="DGG4" s="345"/>
      <c r="DGH4" s="345"/>
      <c r="DGI4" s="345"/>
      <c r="DGJ4" s="345"/>
      <c r="DGK4" s="345"/>
      <c r="DGL4" s="345"/>
      <c r="DGM4" s="345"/>
      <c r="DGN4" s="345"/>
      <c r="DGO4" s="345"/>
      <c r="DGP4" s="345"/>
      <c r="DGQ4" s="345"/>
      <c r="DGR4" s="345"/>
      <c r="DGS4" s="345"/>
      <c r="DGT4" s="345"/>
      <c r="DGU4" s="345"/>
      <c r="DGV4" s="345"/>
      <c r="DGW4" s="345"/>
      <c r="DGX4" s="345"/>
      <c r="DGY4" s="345"/>
      <c r="DGZ4" s="345"/>
      <c r="DHA4" s="345"/>
      <c r="DHB4" s="345"/>
      <c r="DHC4" s="345"/>
      <c r="DHD4" s="345"/>
      <c r="DHE4" s="345"/>
      <c r="DHF4" s="345"/>
      <c r="DHG4" s="345"/>
      <c r="DHH4" s="345"/>
      <c r="DHI4" s="345"/>
      <c r="DHJ4" s="345"/>
      <c r="DHK4" s="345"/>
      <c r="DHL4" s="345"/>
      <c r="DHM4" s="345"/>
      <c r="DHN4" s="345"/>
      <c r="DHO4" s="345"/>
      <c r="DHP4" s="345"/>
      <c r="DHQ4" s="345"/>
      <c r="DHR4" s="345"/>
      <c r="DHS4" s="345"/>
      <c r="DHT4" s="345"/>
      <c r="DHU4" s="345"/>
      <c r="DHV4" s="345"/>
      <c r="DHW4" s="345"/>
      <c r="DHX4" s="345"/>
      <c r="DHY4" s="345"/>
      <c r="DHZ4" s="345"/>
      <c r="DIA4" s="345"/>
      <c r="DIB4" s="345"/>
      <c r="DIC4" s="345"/>
      <c r="DID4" s="345"/>
      <c r="DIE4" s="345"/>
      <c r="DIF4" s="345"/>
      <c r="DIG4" s="345"/>
      <c r="DIH4" s="345"/>
      <c r="DII4" s="345"/>
      <c r="DIJ4" s="345"/>
      <c r="DIK4" s="345"/>
      <c r="DIL4" s="345"/>
      <c r="DIM4" s="345"/>
      <c r="DIN4" s="345"/>
      <c r="DIO4" s="345"/>
      <c r="DIP4" s="345"/>
      <c r="DIQ4" s="345"/>
      <c r="DIR4" s="345"/>
      <c r="DIS4" s="345"/>
      <c r="DIT4" s="345"/>
      <c r="DIU4" s="345"/>
      <c r="DIV4" s="345"/>
      <c r="DIW4" s="345"/>
      <c r="DIX4" s="345"/>
      <c r="DIY4" s="345"/>
      <c r="DIZ4" s="345"/>
      <c r="DJA4" s="345"/>
      <c r="DJB4" s="345"/>
      <c r="DJC4" s="345"/>
      <c r="DJD4" s="345"/>
      <c r="DJE4" s="345"/>
      <c r="DJF4" s="345"/>
      <c r="DJG4" s="345"/>
      <c r="DJH4" s="345"/>
      <c r="DJI4" s="345"/>
      <c r="DJJ4" s="345"/>
      <c r="DJK4" s="345"/>
      <c r="DJL4" s="345"/>
      <c r="DJM4" s="345"/>
      <c r="DJN4" s="345"/>
      <c r="DJO4" s="345"/>
      <c r="DJP4" s="345"/>
      <c r="DJQ4" s="345"/>
      <c r="DJR4" s="345"/>
      <c r="DJS4" s="345"/>
      <c r="DJT4" s="345"/>
      <c r="DJU4" s="345"/>
      <c r="DJV4" s="345"/>
      <c r="DJW4" s="345"/>
      <c r="DJX4" s="345"/>
      <c r="DJY4" s="345"/>
      <c r="DJZ4" s="345"/>
      <c r="DKA4" s="345"/>
      <c r="DKB4" s="345"/>
      <c r="DKC4" s="345"/>
      <c r="DKD4" s="345"/>
      <c r="DKE4" s="345"/>
      <c r="DKF4" s="345"/>
      <c r="DKG4" s="345"/>
      <c r="DKH4" s="345"/>
      <c r="DKI4" s="345"/>
      <c r="DKJ4" s="345"/>
      <c r="DKK4" s="345"/>
      <c r="DKL4" s="345"/>
      <c r="DKM4" s="345"/>
      <c r="DKN4" s="345"/>
      <c r="DKO4" s="345"/>
      <c r="DKP4" s="345"/>
      <c r="DKQ4" s="345"/>
      <c r="DKR4" s="345"/>
      <c r="DKS4" s="345"/>
      <c r="DKT4" s="345"/>
      <c r="DKU4" s="345"/>
      <c r="DKV4" s="345"/>
      <c r="DKW4" s="345"/>
      <c r="DKX4" s="345"/>
      <c r="DKY4" s="345"/>
      <c r="DKZ4" s="345"/>
      <c r="DLA4" s="345"/>
      <c r="DLB4" s="345"/>
      <c r="DLC4" s="345"/>
      <c r="DLD4" s="345"/>
      <c r="DLE4" s="345"/>
      <c r="DLF4" s="345"/>
      <c r="DLG4" s="345"/>
      <c r="DLH4" s="345"/>
      <c r="DLI4" s="345"/>
      <c r="DLJ4" s="345"/>
      <c r="DLK4" s="345"/>
      <c r="DLL4" s="345"/>
      <c r="DLM4" s="345"/>
      <c r="DLN4" s="345"/>
      <c r="DLO4" s="345"/>
      <c r="DLP4" s="345"/>
      <c r="DLQ4" s="345"/>
      <c r="DLR4" s="345"/>
      <c r="DLS4" s="345"/>
      <c r="DLT4" s="345"/>
      <c r="DLU4" s="345"/>
      <c r="DLV4" s="345"/>
      <c r="DLW4" s="345"/>
      <c r="DLX4" s="345"/>
      <c r="DLY4" s="345"/>
      <c r="DLZ4" s="345"/>
      <c r="DMA4" s="345"/>
      <c r="DMB4" s="345"/>
      <c r="DMC4" s="345"/>
      <c r="DMD4" s="345"/>
      <c r="DME4" s="345"/>
      <c r="DMF4" s="345"/>
      <c r="DMG4" s="345"/>
      <c r="DMH4" s="345"/>
      <c r="DMI4" s="345"/>
      <c r="DMJ4" s="345"/>
      <c r="DMK4" s="345"/>
      <c r="DML4" s="345"/>
      <c r="DMM4" s="345"/>
      <c r="DMN4" s="345"/>
      <c r="DMO4" s="345"/>
      <c r="DMP4" s="345"/>
      <c r="DMQ4" s="345"/>
      <c r="DMR4" s="345"/>
      <c r="DMS4" s="345"/>
      <c r="DMT4" s="345"/>
      <c r="DMU4" s="345"/>
      <c r="DMV4" s="345"/>
      <c r="DMW4" s="345"/>
      <c r="DMX4" s="345"/>
      <c r="DMY4" s="345"/>
      <c r="DMZ4" s="345"/>
      <c r="DNA4" s="345"/>
      <c r="DNB4" s="345"/>
      <c r="DNC4" s="345"/>
      <c r="DND4" s="345"/>
      <c r="DNE4" s="345"/>
      <c r="DNF4" s="345"/>
      <c r="DNG4" s="345"/>
      <c r="DNH4" s="345"/>
      <c r="DNI4" s="345"/>
      <c r="DNJ4" s="345"/>
      <c r="DNK4" s="345"/>
      <c r="DNL4" s="345"/>
      <c r="DNM4" s="345"/>
      <c r="DNN4" s="345"/>
      <c r="DNO4" s="345"/>
      <c r="DNP4" s="345"/>
      <c r="DNQ4" s="345"/>
      <c r="DNR4" s="345"/>
      <c r="DNS4" s="345"/>
      <c r="DNT4" s="345"/>
      <c r="DNU4" s="345"/>
      <c r="DNV4" s="345"/>
      <c r="DNW4" s="345"/>
      <c r="DNX4" s="345"/>
      <c r="DNY4" s="345"/>
      <c r="DNZ4" s="345"/>
      <c r="DOA4" s="345"/>
      <c r="DOB4" s="345"/>
      <c r="DOC4" s="345"/>
      <c r="DOD4" s="345"/>
      <c r="DOE4" s="345"/>
      <c r="DOF4" s="345"/>
      <c r="DOG4" s="345"/>
      <c r="DOH4" s="345"/>
      <c r="DOI4" s="345"/>
      <c r="DOJ4" s="345"/>
      <c r="DOK4" s="345"/>
      <c r="DOL4" s="345"/>
      <c r="DOM4" s="345"/>
      <c r="DON4" s="345"/>
      <c r="DOO4" s="345"/>
      <c r="DOP4" s="345"/>
      <c r="DOQ4" s="345"/>
      <c r="DOR4" s="345"/>
      <c r="DOS4" s="345"/>
      <c r="DOT4" s="345"/>
      <c r="DOU4" s="345"/>
      <c r="DOV4" s="345"/>
      <c r="DOW4" s="345"/>
      <c r="DOX4" s="345"/>
      <c r="DOY4" s="345"/>
      <c r="DOZ4" s="345"/>
      <c r="DPA4" s="345"/>
      <c r="DPB4" s="345"/>
      <c r="DPC4" s="345"/>
      <c r="DPD4" s="345"/>
      <c r="DPE4" s="345"/>
      <c r="DPF4" s="345"/>
      <c r="DPG4" s="345"/>
      <c r="DPH4" s="345"/>
      <c r="DPI4" s="345"/>
      <c r="DPJ4" s="345"/>
      <c r="DPK4" s="345"/>
      <c r="DPL4" s="345"/>
      <c r="DPM4" s="345"/>
      <c r="DPN4" s="345"/>
      <c r="DPO4" s="345"/>
      <c r="DPP4" s="345"/>
      <c r="DPQ4" s="345"/>
      <c r="DPR4" s="345"/>
      <c r="DPS4" s="345"/>
      <c r="DPT4" s="345"/>
      <c r="DPU4" s="345"/>
      <c r="DPV4" s="345"/>
      <c r="DPW4" s="345"/>
      <c r="DPX4" s="345"/>
      <c r="DPY4" s="345"/>
      <c r="DPZ4" s="345"/>
      <c r="DQA4" s="345"/>
      <c r="DQB4" s="345"/>
      <c r="DQC4" s="345"/>
      <c r="DQD4" s="345"/>
      <c r="DQE4" s="345"/>
      <c r="DQF4" s="345"/>
      <c r="DQG4" s="345"/>
      <c r="DQH4" s="345"/>
      <c r="DQI4" s="345"/>
      <c r="DQJ4" s="345"/>
      <c r="DQK4" s="345"/>
      <c r="DQL4" s="345"/>
      <c r="DQM4" s="345"/>
      <c r="DQN4" s="345"/>
      <c r="DQO4" s="345"/>
      <c r="DQP4" s="345"/>
      <c r="DQQ4" s="345"/>
      <c r="DQR4" s="345"/>
      <c r="DQS4" s="345"/>
      <c r="DQT4" s="345"/>
      <c r="DQU4" s="345"/>
      <c r="DQV4" s="345"/>
      <c r="DQW4" s="345"/>
      <c r="DQX4" s="345"/>
      <c r="DQY4" s="345"/>
      <c r="DQZ4" s="345"/>
      <c r="DRA4" s="345"/>
      <c r="DRB4" s="345"/>
      <c r="DRC4" s="345"/>
      <c r="DRD4" s="345"/>
      <c r="DRE4" s="345"/>
      <c r="DRF4" s="345"/>
      <c r="DRG4" s="345"/>
      <c r="DRH4" s="345"/>
      <c r="DRI4" s="345"/>
      <c r="DRJ4" s="345"/>
      <c r="DRK4" s="345"/>
      <c r="DRL4" s="345"/>
      <c r="DRM4" s="345"/>
      <c r="DRN4" s="345"/>
      <c r="DRO4" s="345"/>
      <c r="DRP4" s="345"/>
      <c r="DRQ4" s="345"/>
      <c r="DRR4" s="345"/>
      <c r="DRS4" s="345"/>
      <c r="DRT4" s="345"/>
      <c r="DRU4" s="345"/>
      <c r="DRV4" s="345"/>
      <c r="DRW4" s="345"/>
      <c r="DRX4" s="345"/>
      <c r="DRY4" s="345"/>
      <c r="DRZ4" s="345"/>
      <c r="DSA4" s="345"/>
      <c r="DSB4" s="345"/>
      <c r="DSC4" s="345"/>
      <c r="DSD4" s="345"/>
      <c r="DSE4" s="345"/>
      <c r="DSF4" s="345"/>
      <c r="DSG4" s="345"/>
      <c r="DSH4" s="345"/>
      <c r="DSI4" s="345"/>
      <c r="DSJ4" s="345"/>
      <c r="DSK4" s="345"/>
      <c r="DSL4" s="345"/>
      <c r="DSM4" s="345"/>
      <c r="DSN4" s="345"/>
      <c r="DSO4" s="345"/>
      <c r="DSP4" s="345"/>
      <c r="DSQ4" s="345"/>
      <c r="DSR4" s="345"/>
      <c r="DSS4" s="345"/>
      <c r="DST4" s="345"/>
      <c r="DSU4" s="345"/>
      <c r="DSV4" s="345"/>
      <c r="DSW4" s="345"/>
      <c r="DSX4" s="345"/>
      <c r="DSY4" s="345"/>
      <c r="DSZ4" s="345"/>
      <c r="DTA4" s="345"/>
      <c r="DTB4" s="345"/>
      <c r="DTC4" s="345"/>
      <c r="DTD4" s="345"/>
      <c r="DTE4" s="345"/>
      <c r="DTF4" s="345"/>
      <c r="DTG4" s="345"/>
      <c r="DTH4" s="345"/>
      <c r="DTI4" s="345"/>
      <c r="DTJ4" s="345"/>
      <c r="DTK4" s="345"/>
      <c r="DTL4" s="345"/>
      <c r="DTM4" s="345"/>
      <c r="DTN4" s="345"/>
      <c r="DTO4" s="345"/>
      <c r="DTP4" s="345"/>
      <c r="DTQ4" s="345"/>
      <c r="DTR4" s="345"/>
      <c r="DTS4" s="345"/>
      <c r="DTT4" s="345"/>
      <c r="DTU4" s="345"/>
      <c r="DTV4" s="345"/>
      <c r="DTW4" s="345"/>
      <c r="DTX4" s="345"/>
      <c r="DTY4" s="345"/>
      <c r="DTZ4" s="345"/>
      <c r="DUA4" s="345"/>
      <c r="DUB4" s="345"/>
      <c r="DUC4" s="345"/>
      <c r="DUD4" s="345"/>
      <c r="DUE4" s="345"/>
      <c r="DUF4" s="345"/>
      <c r="DUG4" s="345"/>
      <c r="DUH4" s="345"/>
      <c r="DUI4" s="345"/>
      <c r="DUJ4" s="345"/>
      <c r="DUK4" s="345"/>
      <c r="DUL4" s="345"/>
      <c r="DUM4" s="345"/>
      <c r="DUN4" s="345"/>
      <c r="DUO4" s="345"/>
      <c r="DUP4" s="345"/>
      <c r="DUQ4" s="345"/>
      <c r="DUR4" s="345"/>
      <c r="DUS4" s="345"/>
      <c r="DUT4" s="345"/>
      <c r="DUU4" s="345"/>
      <c r="DUV4" s="345"/>
      <c r="DUW4" s="345"/>
      <c r="DUX4" s="345"/>
      <c r="DUY4" s="345"/>
      <c r="DUZ4" s="345"/>
      <c r="DVA4" s="345"/>
      <c r="DVB4" s="345"/>
      <c r="DVC4" s="345"/>
      <c r="DVD4" s="345"/>
      <c r="DVE4" s="345"/>
      <c r="DVF4" s="345"/>
      <c r="DVG4" s="345"/>
      <c r="DVH4" s="345"/>
      <c r="DVI4" s="345"/>
      <c r="DVJ4" s="345"/>
      <c r="DVK4" s="345"/>
      <c r="DVL4" s="345"/>
      <c r="DVM4" s="345"/>
      <c r="DVN4" s="345"/>
      <c r="DVO4" s="345"/>
      <c r="DVP4" s="345"/>
      <c r="DVQ4" s="345"/>
      <c r="DVR4" s="345"/>
      <c r="DVS4" s="345"/>
      <c r="DVT4" s="345"/>
      <c r="DVU4" s="345"/>
      <c r="DVV4" s="345"/>
      <c r="DVW4" s="345"/>
      <c r="DVX4" s="345"/>
      <c r="DVY4" s="345"/>
      <c r="DVZ4" s="345"/>
      <c r="DWA4" s="345"/>
      <c r="DWB4" s="345"/>
      <c r="DWC4" s="345"/>
      <c r="DWD4" s="345"/>
      <c r="DWE4" s="345"/>
      <c r="DWF4" s="345"/>
      <c r="DWG4" s="345"/>
      <c r="DWH4" s="345"/>
      <c r="DWI4" s="345"/>
      <c r="DWJ4" s="345"/>
      <c r="DWK4" s="345"/>
      <c r="DWL4" s="345"/>
      <c r="DWM4" s="345"/>
      <c r="DWN4" s="345"/>
      <c r="DWO4" s="345"/>
      <c r="DWP4" s="345"/>
      <c r="DWQ4" s="345"/>
      <c r="DWR4" s="345"/>
      <c r="DWS4" s="345"/>
      <c r="DWT4" s="345"/>
      <c r="DWU4" s="345"/>
      <c r="DWV4" s="345"/>
      <c r="DWW4" s="345"/>
      <c r="DWX4" s="345"/>
      <c r="DWY4" s="345"/>
      <c r="DWZ4" s="345"/>
      <c r="DXA4" s="345"/>
      <c r="DXB4" s="345"/>
      <c r="DXC4" s="345"/>
      <c r="DXD4" s="345"/>
      <c r="DXE4" s="345"/>
      <c r="DXF4" s="345"/>
      <c r="DXG4" s="345"/>
      <c r="DXH4" s="345"/>
      <c r="DXI4" s="345"/>
      <c r="DXJ4" s="345"/>
      <c r="DXK4" s="345"/>
      <c r="DXL4" s="345"/>
      <c r="DXM4" s="345"/>
      <c r="DXN4" s="345"/>
      <c r="DXO4" s="345"/>
      <c r="DXP4" s="345"/>
      <c r="DXQ4" s="345"/>
      <c r="DXR4" s="345"/>
      <c r="DXS4" s="345"/>
      <c r="DXT4" s="345"/>
      <c r="DXU4" s="345"/>
      <c r="DXV4" s="345"/>
      <c r="DXW4" s="345"/>
      <c r="DXX4" s="345"/>
      <c r="DXY4" s="345"/>
      <c r="DXZ4" s="345"/>
      <c r="DYA4" s="345"/>
      <c r="DYB4" s="345"/>
      <c r="DYC4" s="345"/>
      <c r="DYD4" s="345"/>
      <c r="DYE4" s="345"/>
      <c r="DYF4" s="345"/>
      <c r="DYG4" s="345"/>
      <c r="DYH4" s="345"/>
      <c r="DYI4" s="345"/>
      <c r="DYJ4" s="345"/>
      <c r="DYK4" s="345"/>
      <c r="DYL4" s="345"/>
      <c r="DYM4" s="345"/>
      <c r="DYN4" s="345"/>
      <c r="DYO4" s="345"/>
      <c r="DYP4" s="345"/>
      <c r="DYQ4" s="345"/>
      <c r="DYR4" s="345"/>
      <c r="DYS4" s="345"/>
      <c r="DYT4" s="345"/>
      <c r="DYU4" s="345"/>
      <c r="DYV4" s="345"/>
      <c r="DYW4" s="345"/>
      <c r="DYX4" s="345"/>
      <c r="DYY4" s="345"/>
      <c r="DYZ4" s="345"/>
      <c r="DZA4" s="345"/>
      <c r="DZB4" s="345"/>
      <c r="DZC4" s="345"/>
      <c r="DZD4" s="345"/>
      <c r="DZE4" s="345"/>
      <c r="DZF4" s="345"/>
      <c r="DZG4" s="345"/>
      <c r="DZH4" s="345"/>
      <c r="DZI4" s="345"/>
      <c r="DZJ4" s="345"/>
      <c r="DZK4" s="345"/>
      <c r="DZL4" s="345"/>
      <c r="DZM4" s="345"/>
      <c r="DZN4" s="345"/>
      <c r="DZO4" s="345"/>
      <c r="DZP4" s="345"/>
      <c r="DZQ4" s="345"/>
      <c r="DZR4" s="345"/>
      <c r="DZS4" s="345"/>
      <c r="DZT4" s="345"/>
      <c r="DZU4" s="345"/>
      <c r="DZV4" s="345"/>
      <c r="DZW4" s="345"/>
      <c r="DZX4" s="345"/>
      <c r="DZY4" s="345"/>
      <c r="DZZ4" s="345"/>
      <c r="EAA4" s="345"/>
      <c r="EAB4" s="345"/>
      <c r="EAC4" s="345"/>
      <c r="EAD4" s="345"/>
      <c r="EAE4" s="345"/>
      <c r="EAF4" s="345"/>
      <c r="EAG4" s="345"/>
      <c r="EAH4" s="345"/>
      <c r="EAI4" s="345"/>
      <c r="EAJ4" s="345"/>
      <c r="EAK4" s="345"/>
      <c r="EAL4" s="345"/>
      <c r="EAM4" s="345"/>
      <c r="EAN4" s="345"/>
      <c r="EAO4" s="345"/>
      <c r="EAP4" s="345"/>
      <c r="EAQ4" s="345"/>
      <c r="EAR4" s="345"/>
      <c r="EAS4" s="345"/>
      <c r="EAT4" s="345"/>
      <c r="EAU4" s="345"/>
      <c r="EAV4" s="345"/>
      <c r="EAW4" s="345"/>
      <c r="EAX4" s="345"/>
      <c r="EAY4" s="345"/>
      <c r="EAZ4" s="345"/>
      <c r="EBA4" s="345"/>
      <c r="EBB4" s="345"/>
      <c r="EBC4" s="345"/>
      <c r="EBD4" s="345"/>
      <c r="EBE4" s="345"/>
      <c r="EBF4" s="345"/>
      <c r="EBG4" s="345"/>
      <c r="EBH4" s="345"/>
      <c r="EBI4" s="345"/>
      <c r="EBJ4" s="345"/>
      <c r="EBK4" s="345"/>
      <c r="EBL4" s="345"/>
      <c r="EBM4" s="345"/>
      <c r="EBN4" s="345"/>
      <c r="EBO4" s="345"/>
      <c r="EBP4" s="345"/>
      <c r="EBQ4" s="345"/>
      <c r="EBR4" s="345"/>
      <c r="EBS4" s="345"/>
      <c r="EBT4" s="345"/>
      <c r="EBU4" s="345"/>
      <c r="EBV4" s="345"/>
      <c r="EBW4" s="345"/>
      <c r="EBX4" s="345"/>
      <c r="EBY4" s="345"/>
      <c r="EBZ4" s="345"/>
      <c r="ECA4" s="345"/>
      <c r="ECB4" s="345"/>
      <c r="ECC4" s="345"/>
      <c r="ECD4" s="345"/>
      <c r="ECE4" s="345"/>
      <c r="ECF4" s="345"/>
      <c r="ECG4" s="345"/>
      <c r="ECH4" s="345"/>
      <c r="ECI4" s="345"/>
      <c r="ECJ4" s="345"/>
      <c r="ECK4" s="345"/>
      <c r="ECL4" s="345"/>
      <c r="ECM4" s="345"/>
      <c r="ECN4" s="345"/>
      <c r="ECO4" s="345"/>
      <c r="ECP4" s="345"/>
      <c r="ECQ4" s="345"/>
      <c r="ECR4" s="345"/>
      <c r="ECS4" s="345"/>
      <c r="ECT4" s="345"/>
      <c r="ECU4" s="345"/>
      <c r="ECV4" s="345"/>
      <c r="ECW4" s="345"/>
      <c r="ECX4" s="345"/>
      <c r="ECY4" s="345"/>
      <c r="ECZ4" s="345"/>
      <c r="EDA4" s="345"/>
      <c r="EDB4" s="345"/>
      <c r="EDC4" s="345"/>
      <c r="EDD4" s="345"/>
      <c r="EDE4" s="345"/>
      <c r="EDF4" s="345"/>
      <c r="EDG4" s="345"/>
      <c r="EDH4" s="345"/>
      <c r="EDI4" s="345"/>
      <c r="EDJ4" s="345"/>
      <c r="EDK4" s="345"/>
      <c r="EDL4" s="345"/>
      <c r="EDM4" s="345"/>
      <c r="EDN4" s="345"/>
      <c r="EDO4" s="345"/>
      <c r="EDP4" s="345"/>
      <c r="EDQ4" s="345"/>
      <c r="EDR4" s="345"/>
      <c r="EDS4" s="345"/>
      <c r="EDT4" s="345"/>
      <c r="EDU4" s="345"/>
      <c r="EDV4" s="345"/>
      <c r="EDW4" s="345"/>
      <c r="EDX4" s="345"/>
      <c r="EDY4" s="345"/>
      <c r="EDZ4" s="345"/>
      <c r="EEA4" s="345"/>
      <c r="EEB4" s="345"/>
      <c r="EEC4" s="345"/>
      <c r="EED4" s="345"/>
      <c r="EEE4" s="345"/>
      <c r="EEF4" s="345"/>
      <c r="EEG4" s="345"/>
      <c r="EEH4" s="345"/>
      <c r="EEI4" s="345"/>
      <c r="EEJ4" s="345"/>
      <c r="EEK4" s="345"/>
      <c r="EEL4" s="345"/>
      <c r="EEM4" s="345"/>
      <c r="EEN4" s="345"/>
      <c r="EEO4" s="345"/>
      <c r="EEP4" s="345"/>
      <c r="EEQ4" s="345"/>
      <c r="EER4" s="345"/>
      <c r="EES4" s="345"/>
      <c r="EET4" s="345"/>
      <c r="EEU4" s="345"/>
      <c r="EEV4" s="345"/>
      <c r="EEW4" s="345"/>
      <c r="EEX4" s="345"/>
      <c r="EEY4" s="345"/>
      <c r="EEZ4" s="345"/>
      <c r="EFA4" s="345"/>
      <c r="EFB4" s="345"/>
      <c r="EFC4" s="345"/>
      <c r="EFD4" s="345"/>
      <c r="EFE4" s="345"/>
      <c r="EFF4" s="345"/>
      <c r="EFG4" s="345"/>
      <c r="EFH4" s="345"/>
      <c r="EFI4" s="345"/>
      <c r="EFJ4" s="345"/>
      <c r="EFK4" s="345"/>
      <c r="EFL4" s="345"/>
      <c r="EFM4" s="345"/>
      <c r="EFN4" s="345"/>
      <c r="EFO4" s="345"/>
      <c r="EFP4" s="345"/>
      <c r="EFQ4" s="345"/>
      <c r="EFR4" s="345"/>
      <c r="EFS4" s="345"/>
      <c r="EFT4" s="345"/>
      <c r="EFU4" s="345"/>
      <c r="EFV4" s="345"/>
      <c r="EFW4" s="345"/>
      <c r="EFX4" s="345"/>
      <c r="EFY4" s="345"/>
      <c r="EFZ4" s="345"/>
      <c r="EGA4" s="345"/>
      <c r="EGB4" s="345"/>
      <c r="EGC4" s="345"/>
      <c r="EGD4" s="345"/>
      <c r="EGE4" s="345"/>
      <c r="EGF4" s="345"/>
      <c r="EGG4" s="345"/>
      <c r="EGH4" s="345"/>
      <c r="EGI4" s="345"/>
      <c r="EGJ4" s="345"/>
      <c r="EGK4" s="345"/>
      <c r="EGL4" s="345"/>
      <c r="EGM4" s="345"/>
      <c r="EGN4" s="345"/>
      <c r="EGO4" s="345"/>
      <c r="EGP4" s="345"/>
      <c r="EGQ4" s="345"/>
      <c r="EGR4" s="345"/>
      <c r="EGS4" s="345"/>
      <c r="EGT4" s="345"/>
      <c r="EGU4" s="345"/>
      <c r="EGV4" s="345"/>
      <c r="EGW4" s="345"/>
      <c r="EGX4" s="345"/>
      <c r="EGY4" s="345"/>
      <c r="EGZ4" s="345"/>
      <c r="EHA4" s="345"/>
      <c r="EHB4" s="345"/>
      <c r="EHC4" s="345"/>
      <c r="EHD4" s="345"/>
      <c r="EHE4" s="345"/>
      <c r="EHF4" s="345"/>
      <c r="EHG4" s="345"/>
      <c r="EHH4" s="345"/>
      <c r="EHI4" s="345"/>
      <c r="EHJ4" s="345"/>
      <c r="EHK4" s="345"/>
      <c r="EHL4" s="345"/>
      <c r="EHM4" s="345"/>
      <c r="EHN4" s="345"/>
      <c r="EHO4" s="345"/>
      <c r="EHP4" s="345"/>
      <c r="EHQ4" s="345"/>
      <c r="EHR4" s="345"/>
      <c r="EHS4" s="345"/>
      <c r="EHT4" s="345"/>
      <c r="EHU4" s="345"/>
      <c r="EHV4" s="345"/>
      <c r="EHW4" s="345"/>
      <c r="EHX4" s="345"/>
      <c r="EHY4" s="345"/>
      <c r="EHZ4" s="345"/>
      <c r="EIA4" s="345"/>
      <c r="EIB4" s="345"/>
      <c r="EIC4" s="345"/>
      <c r="EID4" s="345"/>
      <c r="EIE4" s="345"/>
      <c r="EIF4" s="345"/>
      <c r="EIG4" s="345"/>
      <c r="EIH4" s="345"/>
      <c r="EII4" s="345"/>
      <c r="EIJ4" s="345"/>
      <c r="EIK4" s="345"/>
      <c r="EIL4" s="345"/>
      <c r="EIM4" s="345"/>
      <c r="EIN4" s="345"/>
      <c r="EIO4" s="345"/>
      <c r="EIP4" s="345"/>
      <c r="EIQ4" s="345"/>
      <c r="EIR4" s="345"/>
      <c r="EIS4" s="345"/>
      <c r="EIT4" s="345"/>
      <c r="EIU4" s="345"/>
      <c r="EIV4" s="345"/>
      <c r="EIW4" s="345"/>
      <c r="EIX4" s="345"/>
      <c r="EIY4" s="345"/>
      <c r="EIZ4" s="345"/>
      <c r="EJA4" s="345"/>
      <c r="EJB4" s="345"/>
      <c r="EJC4" s="345"/>
      <c r="EJD4" s="345"/>
      <c r="EJE4" s="345"/>
      <c r="EJF4" s="345"/>
      <c r="EJG4" s="345"/>
      <c r="EJH4" s="345"/>
      <c r="EJI4" s="345"/>
      <c r="EJJ4" s="345"/>
      <c r="EJK4" s="345"/>
      <c r="EJL4" s="345"/>
      <c r="EJM4" s="345"/>
      <c r="EJN4" s="345"/>
      <c r="EJO4" s="345"/>
      <c r="EJP4" s="345"/>
      <c r="EJQ4" s="345"/>
      <c r="EJR4" s="345"/>
      <c r="EJS4" s="345"/>
      <c r="EJT4" s="345"/>
      <c r="EJU4" s="345"/>
      <c r="EJV4" s="345"/>
      <c r="EJW4" s="345"/>
      <c r="EJX4" s="345"/>
      <c r="EJY4" s="345"/>
      <c r="EJZ4" s="345"/>
      <c r="EKA4" s="345"/>
      <c r="EKB4" s="345"/>
      <c r="EKC4" s="345"/>
      <c r="EKD4" s="345"/>
      <c r="EKE4" s="345"/>
      <c r="EKF4" s="345"/>
      <c r="EKG4" s="345"/>
      <c r="EKH4" s="345"/>
      <c r="EKI4" s="345"/>
      <c r="EKJ4" s="345"/>
      <c r="EKK4" s="345"/>
      <c r="EKL4" s="345"/>
      <c r="EKM4" s="345"/>
      <c r="EKN4" s="345"/>
      <c r="EKO4" s="345"/>
      <c r="EKP4" s="345"/>
      <c r="EKQ4" s="345"/>
      <c r="EKR4" s="345"/>
      <c r="EKS4" s="345"/>
      <c r="EKT4" s="345"/>
      <c r="EKU4" s="345"/>
      <c r="EKV4" s="345"/>
      <c r="EKW4" s="345"/>
      <c r="EKX4" s="345"/>
      <c r="EKY4" s="345"/>
      <c r="EKZ4" s="345"/>
      <c r="ELA4" s="345"/>
      <c r="ELB4" s="345"/>
      <c r="ELC4" s="345"/>
      <c r="ELD4" s="345"/>
      <c r="ELE4" s="345"/>
      <c r="ELF4" s="345"/>
      <c r="ELG4" s="345"/>
      <c r="ELH4" s="345"/>
      <c r="ELI4" s="345"/>
      <c r="ELJ4" s="345"/>
      <c r="ELK4" s="345"/>
      <c r="ELL4" s="345"/>
      <c r="ELM4" s="345"/>
      <c r="ELN4" s="345"/>
      <c r="ELO4" s="345"/>
      <c r="ELP4" s="345"/>
      <c r="ELQ4" s="345"/>
      <c r="ELR4" s="345"/>
      <c r="ELS4" s="345"/>
      <c r="ELT4" s="345"/>
      <c r="ELU4" s="345"/>
      <c r="ELV4" s="345"/>
      <c r="ELW4" s="345"/>
      <c r="ELX4" s="345"/>
      <c r="ELY4" s="345"/>
      <c r="ELZ4" s="345"/>
      <c r="EMA4" s="345"/>
      <c r="EMB4" s="345"/>
      <c r="EMC4" s="345"/>
      <c r="EMD4" s="345"/>
      <c r="EME4" s="345"/>
      <c r="EMF4" s="345"/>
      <c r="EMG4" s="345"/>
      <c r="EMH4" s="345"/>
      <c r="EMI4" s="345"/>
      <c r="EMJ4" s="345"/>
      <c r="EMK4" s="345"/>
      <c r="EML4" s="345"/>
      <c r="EMM4" s="345"/>
      <c r="EMN4" s="345"/>
      <c r="EMO4" s="345"/>
      <c r="EMP4" s="345"/>
      <c r="EMQ4" s="345"/>
      <c r="EMR4" s="345"/>
      <c r="EMS4" s="345"/>
      <c r="EMT4" s="345"/>
      <c r="EMU4" s="345"/>
      <c r="EMV4" s="345"/>
      <c r="EMW4" s="345"/>
      <c r="EMX4" s="345"/>
      <c r="EMY4" s="345"/>
      <c r="EMZ4" s="345"/>
      <c r="ENA4" s="345"/>
      <c r="ENB4" s="345"/>
      <c r="ENC4" s="345"/>
      <c r="END4" s="345"/>
      <c r="ENE4" s="345"/>
      <c r="ENF4" s="345"/>
      <c r="ENG4" s="345"/>
      <c r="ENH4" s="345"/>
      <c r="ENI4" s="345"/>
      <c r="ENJ4" s="345"/>
      <c r="ENK4" s="345"/>
      <c r="ENL4" s="345"/>
      <c r="ENM4" s="345"/>
      <c r="ENN4" s="345"/>
      <c r="ENO4" s="345"/>
      <c r="ENP4" s="345"/>
      <c r="ENQ4" s="345"/>
      <c r="ENR4" s="345"/>
      <c r="ENS4" s="345"/>
      <c r="ENT4" s="345"/>
      <c r="ENU4" s="345"/>
      <c r="ENV4" s="345"/>
      <c r="ENW4" s="345"/>
      <c r="ENX4" s="345"/>
      <c r="ENY4" s="345"/>
      <c r="ENZ4" s="345"/>
      <c r="EOA4" s="345"/>
      <c r="EOB4" s="345"/>
      <c r="EOC4" s="345"/>
      <c r="EOD4" s="345"/>
      <c r="EOE4" s="345"/>
      <c r="EOF4" s="345"/>
      <c r="EOG4" s="345"/>
      <c r="EOH4" s="345"/>
      <c r="EOI4" s="345"/>
      <c r="EOJ4" s="345"/>
      <c r="EOK4" s="345"/>
      <c r="EOL4" s="345"/>
      <c r="EOM4" s="345"/>
      <c r="EON4" s="345"/>
      <c r="EOO4" s="345"/>
      <c r="EOP4" s="345"/>
      <c r="EOQ4" s="345"/>
      <c r="EOR4" s="345"/>
      <c r="EOS4" s="345"/>
      <c r="EOT4" s="345"/>
      <c r="EOU4" s="345"/>
      <c r="EOV4" s="345"/>
      <c r="EOW4" s="345"/>
      <c r="EOX4" s="345"/>
      <c r="EOY4" s="345"/>
      <c r="EOZ4" s="345"/>
      <c r="EPA4" s="345"/>
      <c r="EPB4" s="345"/>
      <c r="EPC4" s="345"/>
      <c r="EPD4" s="345"/>
      <c r="EPE4" s="345"/>
      <c r="EPF4" s="345"/>
      <c r="EPG4" s="345"/>
      <c r="EPH4" s="345"/>
      <c r="EPI4" s="345"/>
      <c r="EPJ4" s="345"/>
      <c r="EPK4" s="345"/>
      <c r="EPL4" s="345"/>
      <c r="EPM4" s="345"/>
      <c r="EPN4" s="345"/>
      <c r="EPO4" s="345"/>
      <c r="EPP4" s="345"/>
      <c r="EPQ4" s="345"/>
      <c r="EPR4" s="345"/>
      <c r="EPS4" s="345"/>
      <c r="EPT4" s="345"/>
      <c r="EPU4" s="345"/>
      <c r="EPV4" s="345"/>
      <c r="EPW4" s="345"/>
      <c r="EPX4" s="345"/>
      <c r="EPY4" s="345"/>
      <c r="EPZ4" s="345"/>
      <c r="EQA4" s="345"/>
      <c r="EQB4" s="345"/>
      <c r="EQC4" s="345"/>
      <c r="EQD4" s="345"/>
      <c r="EQE4" s="345"/>
      <c r="EQF4" s="345"/>
      <c r="EQG4" s="345"/>
      <c r="EQH4" s="345"/>
      <c r="EQI4" s="345"/>
      <c r="EQJ4" s="345"/>
      <c r="EQK4" s="345"/>
      <c r="EQL4" s="345"/>
      <c r="EQM4" s="345"/>
      <c r="EQN4" s="345"/>
      <c r="EQO4" s="345"/>
      <c r="EQP4" s="345"/>
      <c r="EQQ4" s="345"/>
      <c r="EQR4" s="345"/>
      <c r="EQS4" s="345"/>
      <c r="EQT4" s="345"/>
      <c r="EQU4" s="345"/>
      <c r="EQV4" s="345"/>
      <c r="EQW4" s="345"/>
      <c r="EQX4" s="345"/>
      <c r="EQY4" s="345"/>
      <c r="EQZ4" s="345"/>
      <c r="ERA4" s="345"/>
      <c r="ERB4" s="345"/>
      <c r="ERC4" s="345"/>
      <c r="ERD4" s="345"/>
      <c r="ERE4" s="345"/>
      <c r="ERF4" s="345"/>
      <c r="ERG4" s="345"/>
      <c r="ERH4" s="345"/>
      <c r="ERI4" s="345"/>
      <c r="ERJ4" s="345"/>
      <c r="ERK4" s="345"/>
      <c r="ERL4" s="345"/>
      <c r="ERM4" s="345"/>
      <c r="ERN4" s="345"/>
      <c r="ERO4" s="345"/>
      <c r="ERP4" s="345"/>
      <c r="ERQ4" s="345"/>
      <c r="ERR4" s="345"/>
      <c r="ERS4" s="345"/>
      <c r="ERT4" s="345"/>
      <c r="ERU4" s="345"/>
      <c r="ERV4" s="345"/>
      <c r="ERW4" s="345"/>
      <c r="ERX4" s="345"/>
      <c r="ERY4" s="345"/>
      <c r="ERZ4" s="345"/>
      <c r="ESA4" s="345"/>
      <c r="ESB4" s="345"/>
      <c r="ESC4" s="345"/>
      <c r="ESD4" s="345"/>
      <c r="ESE4" s="345"/>
      <c r="ESF4" s="345"/>
      <c r="ESG4" s="345"/>
      <c r="ESH4" s="345"/>
      <c r="ESI4" s="345"/>
      <c r="ESJ4" s="345"/>
      <c r="ESK4" s="345"/>
      <c r="ESL4" s="345"/>
      <c r="ESM4" s="345"/>
      <c r="ESN4" s="345"/>
      <c r="ESO4" s="345"/>
      <c r="ESP4" s="345"/>
      <c r="ESQ4" s="345"/>
      <c r="ESR4" s="345"/>
      <c r="ESS4" s="345"/>
      <c r="EST4" s="345"/>
      <c r="ESU4" s="345"/>
      <c r="ESV4" s="345"/>
      <c r="ESW4" s="345"/>
      <c r="ESX4" s="345"/>
      <c r="ESY4" s="345"/>
      <c r="ESZ4" s="345"/>
      <c r="ETA4" s="345"/>
      <c r="ETB4" s="345"/>
      <c r="ETC4" s="345"/>
      <c r="ETD4" s="345"/>
      <c r="ETE4" s="345"/>
      <c r="ETF4" s="345"/>
      <c r="ETG4" s="345"/>
      <c r="ETH4" s="345"/>
      <c r="ETI4" s="345"/>
      <c r="ETJ4" s="345"/>
      <c r="ETK4" s="345"/>
      <c r="ETL4" s="345"/>
      <c r="ETM4" s="345"/>
      <c r="ETN4" s="345"/>
      <c r="ETO4" s="345"/>
      <c r="ETP4" s="345"/>
      <c r="ETQ4" s="345"/>
      <c r="ETR4" s="345"/>
      <c r="ETS4" s="345"/>
      <c r="ETT4" s="345"/>
      <c r="ETU4" s="345"/>
      <c r="ETV4" s="345"/>
      <c r="ETW4" s="345"/>
      <c r="ETX4" s="345"/>
      <c r="ETY4" s="345"/>
      <c r="ETZ4" s="345"/>
      <c r="EUA4" s="345"/>
      <c r="EUB4" s="345"/>
      <c r="EUC4" s="345"/>
      <c r="EUD4" s="345"/>
      <c r="EUE4" s="345"/>
      <c r="EUF4" s="345"/>
      <c r="EUG4" s="345"/>
      <c r="EUH4" s="345"/>
      <c r="EUI4" s="345"/>
      <c r="EUJ4" s="345"/>
      <c r="EUK4" s="345"/>
      <c r="EUL4" s="345"/>
      <c r="EUM4" s="345"/>
      <c r="EUN4" s="345"/>
      <c r="EUO4" s="345"/>
      <c r="EUP4" s="345"/>
      <c r="EUQ4" s="345"/>
      <c r="EUR4" s="345"/>
      <c r="EUS4" s="345"/>
      <c r="EUT4" s="345"/>
      <c r="EUU4" s="345"/>
      <c r="EUV4" s="345"/>
      <c r="EUW4" s="345"/>
      <c r="EUX4" s="345"/>
      <c r="EUY4" s="345"/>
      <c r="EUZ4" s="345"/>
      <c r="EVA4" s="345"/>
      <c r="EVB4" s="345"/>
      <c r="EVC4" s="345"/>
      <c r="EVD4" s="345"/>
      <c r="EVE4" s="345"/>
      <c r="EVF4" s="345"/>
      <c r="EVG4" s="345"/>
      <c r="EVH4" s="345"/>
      <c r="EVI4" s="345"/>
      <c r="EVJ4" s="345"/>
      <c r="EVK4" s="345"/>
      <c r="EVL4" s="345"/>
      <c r="EVM4" s="345"/>
      <c r="EVN4" s="345"/>
      <c r="EVO4" s="345"/>
      <c r="EVP4" s="345"/>
      <c r="EVQ4" s="345"/>
      <c r="EVR4" s="345"/>
      <c r="EVS4" s="345"/>
      <c r="EVT4" s="345"/>
      <c r="EVU4" s="345"/>
      <c r="EVV4" s="345"/>
      <c r="EVW4" s="345"/>
      <c r="EVX4" s="345"/>
      <c r="EVY4" s="345"/>
      <c r="EVZ4" s="345"/>
      <c r="EWA4" s="345"/>
      <c r="EWB4" s="345"/>
      <c r="EWC4" s="345"/>
      <c r="EWD4" s="345"/>
      <c r="EWE4" s="345"/>
      <c r="EWF4" s="345"/>
      <c r="EWG4" s="345"/>
      <c r="EWH4" s="345"/>
      <c r="EWI4" s="345"/>
      <c r="EWJ4" s="345"/>
      <c r="EWK4" s="345"/>
      <c r="EWL4" s="345"/>
      <c r="EWM4" s="345"/>
      <c r="EWN4" s="345"/>
      <c r="EWO4" s="345"/>
      <c r="EWP4" s="345"/>
      <c r="EWQ4" s="345"/>
      <c r="EWR4" s="345"/>
      <c r="EWS4" s="345"/>
      <c r="EWT4" s="345"/>
      <c r="EWU4" s="345"/>
      <c r="EWV4" s="345"/>
      <c r="EWW4" s="345"/>
      <c r="EWX4" s="345"/>
      <c r="EWY4" s="345"/>
      <c r="EWZ4" s="345"/>
      <c r="EXA4" s="345"/>
      <c r="EXB4" s="345"/>
      <c r="EXC4" s="345"/>
      <c r="EXD4" s="345"/>
      <c r="EXE4" s="345"/>
      <c r="EXF4" s="345"/>
      <c r="EXG4" s="345"/>
      <c r="EXH4" s="345"/>
      <c r="EXI4" s="345"/>
      <c r="EXJ4" s="345"/>
      <c r="EXK4" s="345"/>
      <c r="EXL4" s="345"/>
      <c r="EXM4" s="345"/>
      <c r="EXN4" s="345"/>
      <c r="EXO4" s="345"/>
      <c r="EXP4" s="345"/>
      <c r="EXQ4" s="345"/>
      <c r="EXR4" s="345"/>
      <c r="EXS4" s="345"/>
      <c r="EXT4" s="345"/>
      <c r="EXU4" s="345"/>
      <c r="EXV4" s="345"/>
      <c r="EXW4" s="345"/>
      <c r="EXX4" s="345"/>
      <c r="EXY4" s="345"/>
      <c r="EXZ4" s="345"/>
      <c r="EYA4" s="345"/>
      <c r="EYB4" s="345"/>
      <c r="EYC4" s="345"/>
      <c r="EYD4" s="345"/>
      <c r="EYE4" s="345"/>
      <c r="EYF4" s="345"/>
      <c r="EYG4" s="345"/>
      <c r="EYH4" s="345"/>
      <c r="EYI4" s="345"/>
      <c r="EYJ4" s="345"/>
      <c r="EYK4" s="345"/>
      <c r="EYL4" s="345"/>
      <c r="EYM4" s="345"/>
      <c r="EYN4" s="345"/>
      <c r="EYO4" s="345"/>
      <c r="EYP4" s="345"/>
      <c r="EYQ4" s="345"/>
      <c r="EYR4" s="345"/>
      <c r="EYS4" s="345"/>
      <c r="EYT4" s="345"/>
      <c r="EYU4" s="345"/>
      <c r="EYV4" s="345"/>
      <c r="EYW4" s="345"/>
      <c r="EYX4" s="345"/>
      <c r="EYY4" s="345"/>
      <c r="EYZ4" s="345"/>
      <c r="EZA4" s="345"/>
      <c r="EZB4" s="345"/>
      <c r="EZC4" s="345"/>
      <c r="EZD4" s="345"/>
      <c r="EZE4" s="345"/>
      <c r="EZF4" s="345"/>
      <c r="EZG4" s="345"/>
      <c r="EZH4" s="345"/>
      <c r="EZI4" s="345"/>
      <c r="EZJ4" s="345"/>
      <c r="EZK4" s="345"/>
      <c r="EZL4" s="345"/>
      <c r="EZM4" s="345"/>
      <c r="EZN4" s="345"/>
      <c r="EZO4" s="345"/>
      <c r="EZP4" s="345"/>
      <c r="EZQ4" s="345"/>
      <c r="EZR4" s="345"/>
      <c r="EZS4" s="345"/>
      <c r="EZT4" s="345"/>
      <c r="EZU4" s="345"/>
      <c r="EZV4" s="345"/>
      <c r="EZW4" s="345"/>
      <c r="EZX4" s="345"/>
      <c r="EZY4" s="345"/>
      <c r="EZZ4" s="345"/>
      <c r="FAA4" s="345"/>
      <c r="FAB4" s="345"/>
      <c r="FAC4" s="345"/>
      <c r="FAD4" s="345"/>
      <c r="FAE4" s="345"/>
      <c r="FAF4" s="345"/>
      <c r="FAG4" s="345"/>
      <c r="FAH4" s="345"/>
      <c r="FAI4" s="345"/>
      <c r="FAJ4" s="345"/>
      <c r="FAK4" s="345"/>
      <c r="FAL4" s="345"/>
      <c r="FAM4" s="345"/>
      <c r="FAN4" s="345"/>
      <c r="FAO4" s="345"/>
      <c r="FAP4" s="345"/>
      <c r="FAQ4" s="345"/>
      <c r="FAR4" s="345"/>
      <c r="FAS4" s="345"/>
      <c r="FAT4" s="345"/>
      <c r="FAU4" s="345"/>
      <c r="FAV4" s="345"/>
      <c r="FAW4" s="345"/>
      <c r="FAX4" s="345"/>
      <c r="FAY4" s="345"/>
      <c r="FAZ4" s="345"/>
      <c r="FBA4" s="345"/>
      <c r="FBB4" s="345"/>
      <c r="FBC4" s="345"/>
      <c r="FBD4" s="345"/>
      <c r="FBE4" s="345"/>
      <c r="FBF4" s="345"/>
      <c r="FBG4" s="345"/>
      <c r="FBH4" s="345"/>
      <c r="FBI4" s="345"/>
      <c r="FBJ4" s="345"/>
      <c r="FBK4" s="345"/>
      <c r="FBL4" s="345"/>
      <c r="FBM4" s="345"/>
      <c r="FBN4" s="345"/>
      <c r="FBO4" s="345"/>
      <c r="FBP4" s="345"/>
      <c r="FBQ4" s="345"/>
      <c r="FBR4" s="345"/>
      <c r="FBS4" s="345"/>
      <c r="FBT4" s="345"/>
      <c r="FBU4" s="345"/>
      <c r="FBV4" s="345"/>
      <c r="FBW4" s="345"/>
      <c r="FBX4" s="345"/>
      <c r="FBY4" s="345"/>
      <c r="FBZ4" s="345"/>
      <c r="FCA4" s="345"/>
      <c r="FCB4" s="345"/>
      <c r="FCC4" s="345"/>
      <c r="FCD4" s="345"/>
      <c r="FCE4" s="345"/>
      <c r="FCF4" s="345"/>
      <c r="FCG4" s="345"/>
      <c r="FCH4" s="345"/>
      <c r="FCI4" s="345"/>
      <c r="FCJ4" s="345"/>
      <c r="FCK4" s="345"/>
      <c r="FCL4" s="345"/>
      <c r="FCM4" s="345"/>
      <c r="FCN4" s="345"/>
      <c r="FCO4" s="345"/>
      <c r="FCP4" s="345"/>
      <c r="FCQ4" s="345"/>
      <c r="FCR4" s="345"/>
      <c r="FCS4" s="345"/>
      <c r="FCT4" s="345"/>
      <c r="FCU4" s="345"/>
      <c r="FCV4" s="345"/>
      <c r="FCW4" s="345"/>
      <c r="FCX4" s="345"/>
      <c r="FCY4" s="345"/>
      <c r="FCZ4" s="345"/>
      <c r="FDA4" s="345"/>
      <c r="FDB4" s="345"/>
      <c r="FDC4" s="345"/>
      <c r="FDD4" s="345"/>
      <c r="FDE4" s="345"/>
      <c r="FDF4" s="345"/>
      <c r="FDG4" s="345"/>
      <c r="FDH4" s="345"/>
      <c r="FDI4" s="345"/>
      <c r="FDJ4" s="345"/>
      <c r="FDK4" s="345"/>
      <c r="FDL4" s="345"/>
      <c r="FDM4" s="345"/>
      <c r="FDN4" s="345"/>
      <c r="FDO4" s="345"/>
      <c r="FDP4" s="345"/>
      <c r="FDQ4" s="345"/>
      <c r="FDR4" s="345"/>
      <c r="FDS4" s="345"/>
      <c r="FDT4" s="345"/>
      <c r="FDU4" s="345"/>
      <c r="FDV4" s="345"/>
      <c r="FDW4" s="345"/>
      <c r="FDX4" s="345"/>
      <c r="FDY4" s="345"/>
      <c r="FDZ4" s="345"/>
      <c r="FEA4" s="345"/>
      <c r="FEB4" s="345"/>
      <c r="FEC4" s="345"/>
      <c r="FED4" s="345"/>
      <c r="FEE4" s="345"/>
      <c r="FEF4" s="345"/>
      <c r="FEG4" s="345"/>
      <c r="FEH4" s="345"/>
      <c r="FEI4" s="345"/>
      <c r="FEJ4" s="345"/>
      <c r="FEK4" s="345"/>
      <c r="FEL4" s="345"/>
      <c r="FEM4" s="345"/>
      <c r="FEN4" s="345"/>
      <c r="FEO4" s="345"/>
      <c r="FEP4" s="345"/>
      <c r="FEQ4" s="345"/>
      <c r="FER4" s="345"/>
      <c r="FES4" s="345"/>
      <c r="FET4" s="345"/>
      <c r="FEU4" s="345"/>
      <c r="FEV4" s="345"/>
      <c r="FEW4" s="345"/>
      <c r="FEX4" s="345"/>
      <c r="FEY4" s="345"/>
      <c r="FEZ4" s="345"/>
      <c r="FFA4" s="345"/>
      <c r="FFB4" s="345"/>
      <c r="FFC4" s="345"/>
      <c r="FFD4" s="345"/>
      <c r="FFE4" s="345"/>
      <c r="FFF4" s="345"/>
      <c r="FFG4" s="345"/>
      <c r="FFH4" s="345"/>
      <c r="FFI4" s="345"/>
      <c r="FFJ4" s="345"/>
      <c r="FFK4" s="345"/>
      <c r="FFL4" s="345"/>
      <c r="FFM4" s="345"/>
      <c r="FFN4" s="345"/>
      <c r="FFO4" s="345"/>
      <c r="FFP4" s="345"/>
      <c r="FFQ4" s="345"/>
      <c r="FFR4" s="345"/>
      <c r="FFS4" s="345"/>
      <c r="FFT4" s="345"/>
      <c r="FFU4" s="345"/>
      <c r="FFV4" s="345"/>
      <c r="FFW4" s="345"/>
      <c r="FFX4" s="345"/>
      <c r="FFY4" s="345"/>
      <c r="FFZ4" s="345"/>
      <c r="FGA4" s="345"/>
      <c r="FGB4" s="345"/>
      <c r="FGC4" s="345"/>
      <c r="FGD4" s="345"/>
      <c r="FGE4" s="345"/>
      <c r="FGF4" s="345"/>
      <c r="FGG4" s="345"/>
      <c r="FGH4" s="345"/>
      <c r="FGI4" s="345"/>
      <c r="FGJ4" s="345"/>
      <c r="FGK4" s="345"/>
      <c r="FGL4" s="345"/>
      <c r="FGM4" s="345"/>
      <c r="FGN4" s="345"/>
      <c r="FGO4" s="345"/>
      <c r="FGP4" s="345"/>
      <c r="FGQ4" s="345"/>
      <c r="FGR4" s="345"/>
      <c r="FGS4" s="345"/>
      <c r="FGT4" s="345"/>
      <c r="FGU4" s="345"/>
      <c r="FGV4" s="345"/>
      <c r="FGW4" s="345"/>
      <c r="FGX4" s="345"/>
      <c r="FGY4" s="345"/>
      <c r="FGZ4" s="345"/>
      <c r="FHA4" s="345"/>
      <c r="FHB4" s="345"/>
      <c r="FHC4" s="345"/>
      <c r="FHD4" s="345"/>
      <c r="FHE4" s="345"/>
      <c r="FHF4" s="345"/>
      <c r="FHG4" s="345"/>
      <c r="FHH4" s="345"/>
      <c r="FHI4" s="345"/>
      <c r="FHJ4" s="345"/>
      <c r="FHK4" s="345"/>
      <c r="FHL4" s="345"/>
      <c r="FHM4" s="345"/>
      <c r="FHN4" s="345"/>
      <c r="FHO4" s="345"/>
      <c r="FHP4" s="345"/>
      <c r="FHQ4" s="345"/>
      <c r="FHR4" s="345"/>
      <c r="FHS4" s="345"/>
      <c r="FHT4" s="345"/>
      <c r="FHU4" s="345"/>
      <c r="FHV4" s="345"/>
      <c r="FHW4" s="345"/>
      <c r="FHX4" s="345"/>
      <c r="FHY4" s="345"/>
      <c r="FHZ4" s="345"/>
      <c r="FIA4" s="345"/>
      <c r="FIB4" s="345"/>
      <c r="FIC4" s="345"/>
      <c r="FID4" s="345"/>
      <c r="FIE4" s="345"/>
      <c r="FIF4" s="345"/>
      <c r="FIG4" s="345"/>
      <c r="FIH4" s="345"/>
      <c r="FII4" s="345"/>
      <c r="FIJ4" s="345"/>
      <c r="FIK4" s="345"/>
      <c r="FIL4" s="345"/>
      <c r="FIM4" s="345"/>
      <c r="FIN4" s="345"/>
      <c r="FIO4" s="345"/>
      <c r="FIP4" s="345"/>
      <c r="FIQ4" s="345"/>
      <c r="FIR4" s="345"/>
      <c r="FIS4" s="345"/>
      <c r="FIT4" s="345"/>
      <c r="FIU4" s="345"/>
      <c r="FIV4" s="345"/>
      <c r="FIW4" s="345"/>
      <c r="FIX4" s="345"/>
      <c r="FIY4" s="345"/>
      <c r="FIZ4" s="345"/>
      <c r="FJA4" s="345"/>
      <c r="FJB4" s="345"/>
      <c r="FJC4" s="345"/>
      <c r="FJD4" s="345"/>
      <c r="FJE4" s="345"/>
      <c r="FJF4" s="345"/>
      <c r="FJG4" s="345"/>
      <c r="FJH4" s="345"/>
      <c r="FJI4" s="345"/>
      <c r="FJJ4" s="345"/>
      <c r="FJK4" s="345"/>
      <c r="FJL4" s="345"/>
      <c r="FJM4" s="345"/>
      <c r="FJN4" s="345"/>
      <c r="FJO4" s="345"/>
      <c r="FJP4" s="345"/>
      <c r="FJQ4" s="345"/>
      <c r="FJR4" s="345"/>
      <c r="FJS4" s="345"/>
      <c r="FJT4" s="345"/>
      <c r="FJU4" s="345"/>
      <c r="FJV4" s="345"/>
      <c r="FJW4" s="345"/>
      <c r="FJX4" s="345"/>
      <c r="FJY4" s="345"/>
      <c r="FJZ4" s="345"/>
      <c r="FKA4" s="345"/>
      <c r="FKB4" s="345"/>
      <c r="FKC4" s="345"/>
      <c r="FKD4" s="345"/>
      <c r="FKE4" s="345"/>
      <c r="FKF4" s="345"/>
      <c r="FKG4" s="345"/>
      <c r="FKH4" s="345"/>
      <c r="FKI4" s="345"/>
      <c r="FKJ4" s="345"/>
      <c r="FKK4" s="345"/>
      <c r="FKL4" s="345"/>
      <c r="FKM4" s="345"/>
      <c r="FKN4" s="345"/>
      <c r="FKO4" s="345"/>
      <c r="FKP4" s="345"/>
      <c r="FKQ4" s="345"/>
      <c r="FKR4" s="345"/>
      <c r="FKS4" s="345"/>
      <c r="FKT4" s="345"/>
      <c r="FKU4" s="345"/>
      <c r="FKV4" s="345"/>
      <c r="FKW4" s="345"/>
      <c r="FKX4" s="345"/>
      <c r="FKY4" s="345"/>
      <c r="FKZ4" s="345"/>
      <c r="FLA4" s="345"/>
      <c r="FLB4" s="345"/>
      <c r="FLC4" s="345"/>
      <c r="FLD4" s="345"/>
      <c r="FLE4" s="345"/>
      <c r="FLF4" s="345"/>
      <c r="FLG4" s="345"/>
      <c r="FLH4" s="345"/>
      <c r="FLI4" s="345"/>
      <c r="FLJ4" s="345"/>
      <c r="FLK4" s="345"/>
      <c r="FLL4" s="345"/>
      <c r="FLM4" s="345"/>
      <c r="FLN4" s="345"/>
      <c r="FLO4" s="345"/>
      <c r="FLP4" s="345"/>
      <c r="FLQ4" s="345"/>
      <c r="FLR4" s="345"/>
      <c r="FLS4" s="345"/>
      <c r="FLT4" s="345"/>
      <c r="FLU4" s="345"/>
      <c r="FLV4" s="345"/>
      <c r="FLW4" s="345"/>
      <c r="FLX4" s="345"/>
      <c r="FLY4" s="345"/>
      <c r="FLZ4" s="345"/>
      <c r="FMA4" s="345"/>
      <c r="FMB4" s="345"/>
      <c r="FMC4" s="345"/>
      <c r="FMD4" s="345"/>
      <c r="FME4" s="345"/>
      <c r="FMF4" s="345"/>
      <c r="FMG4" s="345"/>
      <c r="FMH4" s="345"/>
      <c r="FMI4" s="345"/>
      <c r="FMJ4" s="345"/>
      <c r="FMK4" s="345"/>
      <c r="FML4" s="345"/>
      <c r="FMM4" s="345"/>
      <c r="FMN4" s="345"/>
      <c r="FMO4" s="345"/>
      <c r="FMP4" s="345"/>
      <c r="FMQ4" s="345"/>
      <c r="FMR4" s="345"/>
      <c r="FMS4" s="345"/>
      <c r="FMT4" s="345"/>
      <c r="FMU4" s="345"/>
      <c r="FMV4" s="345"/>
      <c r="FMW4" s="345"/>
      <c r="FMX4" s="345"/>
      <c r="FMY4" s="345"/>
      <c r="FMZ4" s="345"/>
      <c r="FNA4" s="345"/>
      <c r="FNB4" s="345"/>
      <c r="FNC4" s="345"/>
      <c r="FND4" s="345"/>
      <c r="FNE4" s="345"/>
      <c r="FNF4" s="345"/>
      <c r="FNG4" s="345"/>
      <c r="FNH4" s="345"/>
      <c r="FNI4" s="345"/>
      <c r="FNJ4" s="345"/>
      <c r="FNK4" s="345"/>
      <c r="FNL4" s="345"/>
      <c r="FNM4" s="345"/>
      <c r="FNN4" s="345"/>
      <c r="FNO4" s="345"/>
      <c r="FNP4" s="345"/>
      <c r="FNQ4" s="345"/>
      <c r="FNR4" s="345"/>
      <c r="FNS4" s="345"/>
      <c r="FNT4" s="345"/>
      <c r="FNU4" s="345"/>
      <c r="FNV4" s="345"/>
      <c r="FNW4" s="345"/>
      <c r="FNX4" s="345"/>
      <c r="FNY4" s="345"/>
      <c r="FNZ4" s="345"/>
      <c r="FOA4" s="345"/>
      <c r="FOB4" s="345"/>
      <c r="FOC4" s="345"/>
      <c r="FOD4" s="345"/>
      <c r="FOE4" s="345"/>
      <c r="FOF4" s="345"/>
      <c r="FOG4" s="345"/>
      <c r="FOH4" s="345"/>
      <c r="FOI4" s="345"/>
      <c r="FOJ4" s="345"/>
      <c r="FOK4" s="345"/>
      <c r="FOL4" s="345"/>
      <c r="FOM4" s="345"/>
      <c r="FON4" s="345"/>
      <c r="FOO4" s="345"/>
      <c r="FOP4" s="345"/>
      <c r="FOQ4" s="345"/>
      <c r="FOR4" s="345"/>
      <c r="FOS4" s="345"/>
      <c r="FOT4" s="345"/>
      <c r="FOU4" s="345"/>
      <c r="FOV4" s="345"/>
      <c r="FOW4" s="345"/>
      <c r="FOX4" s="345"/>
      <c r="FOY4" s="345"/>
      <c r="FOZ4" s="345"/>
      <c r="FPA4" s="345"/>
      <c r="FPB4" s="345"/>
      <c r="FPC4" s="345"/>
      <c r="FPD4" s="345"/>
      <c r="FPE4" s="345"/>
      <c r="FPF4" s="345"/>
      <c r="FPG4" s="345"/>
      <c r="FPH4" s="345"/>
      <c r="FPI4" s="345"/>
      <c r="FPJ4" s="345"/>
      <c r="FPK4" s="345"/>
      <c r="FPL4" s="345"/>
      <c r="FPM4" s="345"/>
      <c r="FPN4" s="345"/>
      <c r="FPO4" s="345"/>
      <c r="FPP4" s="345"/>
      <c r="FPQ4" s="345"/>
      <c r="FPR4" s="345"/>
      <c r="FPS4" s="345"/>
      <c r="FPT4" s="345"/>
      <c r="FPU4" s="345"/>
      <c r="FPV4" s="345"/>
      <c r="FPW4" s="345"/>
      <c r="FPX4" s="345"/>
      <c r="FPY4" s="345"/>
      <c r="FPZ4" s="345"/>
      <c r="FQA4" s="345"/>
      <c r="FQB4" s="345"/>
      <c r="FQC4" s="345"/>
      <c r="FQD4" s="345"/>
      <c r="FQE4" s="345"/>
      <c r="FQF4" s="345"/>
      <c r="FQG4" s="345"/>
      <c r="FQH4" s="345"/>
      <c r="FQI4" s="345"/>
      <c r="FQJ4" s="345"/>
      <c r="FQK4" s="345"/>
      <c r="FQL4" s="345"/>
      <c r="FQM4" s="345"/>
      <c r="FQN4" s="345"/>
      <c r="FQO4" s="345"/>
      <c r="FQP4" s="345"/>
      <c r="FQQ4" s="345"/>
      <c r="FQR4" s="345"/>
      <c r="FQS4" s="345"/>
      <c r="FQT4" s="345"/>
      <c r="FQU4" s="345"/>
      <c r="FQV4" s="345"/>
      <c r="FQW4" s="345"/>
      <c r="FQX4" s="345"/>
      <c r="FQY4" s="345"/>
      <c r="FQZ4" s="345"/>
      <c r="FRA4" s="345"/>
      <c r="FRB4" s="345"/>
      <c r="FRC4" s="345"/>
      <c r="FRD4" s="345"/>
      <c r="FRE4" s="345"/>
      <c r="FRF4" s="345"/>
      <c r="FRG4" s="345"/>
      <c r="FRH4" s="345"/>
      <c r="FRI4" s="345"/>
      <c r="FRJ4" s="345"/>
      <c r="FRK4" s="345"/>
      <c r="FRL4" s="345"/>
      <c r="FRM4" s="345"/>
      <c r="FRN4" s="345"/>
      <c r="FRO4" s="345"/>
      <c r="FRP4" s="345"/>
      <c r="FRQ4" s="345"/>
      <c r="FRR4" s="345"/>
      <c r="FRS4" s="345"/>
      <c r="FRT4" s="345"/>
      <c r="FRU4" s="345"/>
      <c r="FRV4" s="345"/>
      <c r="FRW4" s="345"/>
      <c r="FRX4" s="345"/>
      <c r="FRY4" s="345"/>
      <c r="FRZ4" s="345"/>
      <c r="FSA4" s="345"/>
      <c r="FSB4" s="345"/>
      <c r="FSC4" s="345"/>
      <c r="FSD4" s="345"/>
      <c r="FSE4" s="345"/>
      <c r="FSF4" s="345"/>
      <c r="FSG4" s="345"/>
      <c r="FSH4" s="345"/>
      <c r="FSI4" s="345"/>
      <c r="FSJ4" s="345"/>
      <c r="FSK4" s="345"/>
      <c r="FSL4" s="345"/>
      <c r="FSM4" s="345"/>
      <c r="FSN4" s="345"/>
      <c r="FSO4" s="345"/>
      <c r="FSP4" s="345"/>
      <c r="FSQ4" s="345"/>
      <c r="FSR4" s="345"/>
      <c r="FSS4" s="345"/>
      <c r="FST4" s="345"/>
      <c r="FSU4" s="345"/>
      <c r="FSV4" s="345"/>
      <c r="FSW4" s="345"/>
      <c r="FSX4" s="345"/>
      <c r="FSY4" s="345"/>
      <c r="FSZ4" s="345"/>
      <c r="FTA4" s="345"/>
      <c r="FTB4" s="345"/>
      <c r="FTC4" s="345"/>
      <c r="FTD4" s="345"/>
      <c r="FTE4" s="345"/>
      <c r="FTF4" s="345"/>
      <c r="FTG4" s="345"/>
      <c r="FTH4" s="345"/>
      <c r="FTI4" s="345"/>
      <c r="FTJ4" s="345"/>
      <c r="FTK4" s="345"/>
      <c r="FTL4" s="345"/>
      <c r="FTM4" s="345"/>
      <c r="FTN4" s="345"/>
      <c r="FTO4" s="345"/>
      <c r="FTP4" s="345"/>
      <c r="FTQ4" s="345"/>
      <c r="FTR4" s="345"/>
      <c r="FTS4" s="345"/>
      <c r="FTT4" s="345"/>
      <c r="FTU4" s="345"/>
      <c r="FTV4" s="345"/>
      <c r="FTW4" s="345"/>
      <c r="FTX4" s="345"/>
      <c r="FTY4" s="345"/>
      <c r="FTZ4" s="345"/>
      <c r="FUA4" s="345"/>
      <c r="FUB4" s="345"/>
      <c r="FUC4" s="345"/>
      <c r="FUD4" s="345"/>
      <c r="FUE4" s="345"/>
      <c r="FUF4" s="345"/>
      <c r="FUG4" s="345"/>
      <c r="FUH4" s="345"/>
      <c r="FUI4" s="345"/>
      <c r="FUJ4" s="345"/>
      <c r="FUK4" s="345"/>
      <c r="FUL4" s="345"/>
      <c r="FUM4" s="345"/>
      <c r="FUN4" s="345"/>
      <c r="FUO4" s="345"/>
      <c r="FUP4" s="345"/>
      <c r="FUQ4" s="345"/>
      <c r="FUR4" s="345"/>
      <c r="FUS4" s="345"/>
      <c r="FUT4" s="345"/>
      <c r="FUU4" s="345"/>
      <c r="FUV4" s="345"/>
      <c r="FUW4" s="345"/>
      <c r="FUX4" s="345"/>
      <c r="FUY4" s="345"/>
      <c r="FUZ4" s="345"/>
      <c r="FVA4" s="345"/>
      <c r="FVB4" s="345"/>
      <c r="FVC4" s="345"/>
      <c r="FVD4" s="345"/>
      <c r="FVE4" s="345"/>
      <c r="FVF4" s="345"/>
      <c r="FVG4" s="345"/>
      <c r="FVH4" s="345"/>
      <c r="FVI4" s="345"/>
      <c r="FVJ4" s="345"/>
      <c r="FVK4" s="345"/>
      <c r="FVL4" s="345"/>
      <c r="FVM4" s="345"/>
      <c r="FVN4" s="345"/>
      <c r="FVO4" s="345"/>
      <c r="FVP4" s="345"/>
      <c r="FVQ4" s="345"/>
      <c r="FVR4" s="345"/>
      <c r="FVS4" s="345"/>
      <c r="FVT4" s="345"/>
      <c r="FVU4" s="345"/>
      <c r="FVV4" s="345"/>
      <c r="FVW4" s="345"/>
      <c r="FVX4" s="345"/>
      <c r="FVY4" s="345"/>
      <c r="FVZ4" s="345"/>
      <c r="FWA4" s="345"/>
      <c r="FWB4" s="345"/>
      <c r="FWC4" s="345"/>
      <c r="FWD4" s="345"/>
      <c r="FWE4" s="345"/>
      <c r="FWF4" s="345"/>
      <c r="FWG4" s="345"/>
      <c r="FWH4" s="345"/>
      <c r="FWI4" s="345"/>
      <c r="FWJ4" s="345"/>
      <c r="FWK4" s="345"/>
      <c r="FWL4" s="345"/>
      <c r="FWM4" s="345"/>
      <c r="FWN4" s="345"/>
      <c r="FWO4" s="345"/>
      <c r="FWP4" s="345"/>
      <c r="FWQ4" s="345"/>
      <c r="FWR4" s="345"/>
      <c r="FWS4" s="345"/>
      <c r="FWT4" s="345"/>
      <c r="FWU4" s="345"/>
      <c r="FWV4" s="345"/>
      <c r="FWW4" s="345"/>
      <c r="FWX4" s="345"/>
      <c r="FWY4" s="345"/>
      <c r="FWZ4" s="345"/>
      <c r="FXA4" s="345"/>
      <c r="FXB4" s="345"/>
      <c r="FXC4" s="345"/>
      <c r="FXD4" s="345"/>
      <c r="FXE4" s="345"/>
      <c r="FXF4" s="345"/>
      <c r="FXG4" s="345"/>
      <c r="FXH4" s="345"/>
      <c r="FXI4" s="345"/>
      <c r="FXJ4" s="345"/>
      <c r="FXK4" s="345"/>
      <c r="FXL4" s="345"/>
      <c r="FXM4" s="345"/>
      <c r="FXN4" s="345"/>
      <c r="FXO4" s="345"/>
      <c r="FXP4" s="345"/>
      <c r="FXQ4" s="345"/>
      <c r="FXR4" s="345"/>
      <c r="FXS4" s="345"/>
      <c r="FXT4" s="345"/>
      <c r="FXU4" s="345"/>
      <c r="FXV4" s="345"/>
      <c r="FXW4" s="345"/>
      <c r="FXX4" s="345"/>
      <c r="FXY4" s="345"/>
      <c r="FXZ4" s="345"/>
      <c r="FYA4" s="345"/>
      <c r="FYB4" s="345"/>
      <c r="FYC4" s="345"/>
      <c r="FYD4" s="345"/>
      <c r="FYE4" s="345"/>
      <c r="FYF4" s="345"/>
      <c r="FYG4" s="345"/>
      <c r="FYH4" s="345"/>
      <c r="FYI4" s="345"/>
      <c r="FYJ4" s="345"/>
      <c r="FYK4" s="345"/>
      <c r="FYL4" s="345"/>
      <c r="FYM4" s="345"/>
      <c r="FYN4" s="345"/>
      <c r="FYO4" s="345"/>
      <c r="FYP4" s="345"/>
      <c r="FYQ4" s="345"/>
      <c r="FYR4" s="345"/>
      <c r="FYS4" s="345"/>
      <c r="FYT4" s="345"/>
      <c r="FYU4" s="345"/>
      <c r="FYV4" s="345"/>
      <c r="FYW4" s="345"/>
      <c r="FYX4" s="345"/>
      <c r="FYY4" s="345"/>
      <c r="FYZ4" s="345"/>
      <c r="FZA4" s="345"/>
      <c r="FZB4" s="345"/>
      <c r="FZC4" s="345"/>
      <c r="FZD4" s="345"/>
      <c r="FZE4" s="345"/>
      <c r="FZF4" s="345"/>
      <c r="FZG4" s="345"/>
      <c r="FZH4" s="345"/>
      <c r="FZI4" s="345"/>
      <c r="FZJ4" s="345"/>
      <c r="FZK4" s="345"/>
      <c r="FZL4" s="345"/>
      <c r="FZM4" s="345"/>
      <c r="FZN4" s="345"/>
      <c r="FZO4" s="345"/>
      <c r="FZP4" s="345"/>
      <c r="FZQ4" s="345"/>
      <c r="FZR4" s="345"/>
      <c r="FZS4" s="345"/>
      <c r="FZT4" s="345"/>
      <c r="FZU4" s="345"/>
      <c r="FZV4" s="345"/>
      <c r="FZW4" s="345"/>
      <c r="FZX4" s="345"/>
      <c r="FZY4" s="345"/>
      <c r="FZZ4" s="345"/>
      <c r="GAA4" s="345"/>
      <c r="GAB4" s="345"/>
      <c r="GAC4" s="345"/>
      <c r="GAD4" s="345"/>
      <c r="GAE4" s="345"/>
      <c r="GAF4" s="345"/>
      <c r="GAG4" s="345"/>
      <c r="GAH4" s="345"/>
      <c r="GAI4" s="345"/>
      <c r="GAJ4" s="345"/>
      <c r="GAK4" s="345"/>
      <c r="GAL4" s="345"/>
      <c r="GAM4" s="345"/>
      <c r="GAN4" s="345"/>
      <c r="GAO4" s="345"/>
      <c r="GAP4" s="345"/>
      <c r="GAQ4" s="345"/>
      <c r="GAR4" s="345"/>
      <c r="GAS4" s="345"/>
      <c r="GAT4" s="345"/>
      <c r="GAU4" s="345"/>
      <c r="GAV4" s="345"/>
      <c r="GAW4" s="345"/>
      <c r="GAX4" s="345"/>
      <c r="GAY4" s="345"/>
      <c r="GAZ4" s="345"/>
      <c r="GBA4" s="345"/>
      <c r="GBB4" s="345"/>
      <c r="GBC4" s="345"/>
      <c r="GBD4" s="345"/>
      <c r="GBE4" s="345"/>
      <c r="GBF4" s="345"/>
      <c r="GBG4" s="345"/>
      <c r="GBH4" s="345"/>
      <c r="GBI4" s="345"/>
      <c r="GBJ4" s="345"/>
      <c r="GBK4" s="345"/>
      <c r="GBL4" s="345"/>
      <c r="GBM4" s="345"/>
      <c r="GBN4" s="345"/>
      <c r="GBO4" s="345"/>
      <c r="GBP4" s="345"/>
      <c r="GBQ4" s="345"/>
      <c r="GBR4" s="345"/>
      <c r="GBS4" s="345"/>
      <c r="GBT4" s="345"/>
      <c r="GBU4" s="345"/>
      <c r="GBV4" s="345"/>
      <c r="GBW4" s="345"/>
      <c r="GBX4" s="345"/>
      <c r="GBY4" s="345"/>
      <c r="GBZ4" s="345"/>
      <c r="GCA4" s="345"/>
      <c r="GCB4" s="345"/>
      <c r="GCC4" s="345"/>
      <c r="GCD4" s="345"/>
      <c r="GCE4" s="345"/>
      <c r="GCF4" s="345"/>
      <c r="GCG4" s="345"/>
      <c r="GCH4" s="345"/>
      <c r="GCI4" s="345"/>
      <c r="GCJ4" s="345"/>
      <c r="GCK4" s="345"/>
      <c r="GCL4" s="345"/>
      <c r="GCM4" s="345"/>
      <c r="GCN4" s="345"/>
      <c r="GCO4" s="345"/>
      <c r="GCP4" s="345"/>
      <c r="GCQ4" s="345"/>
      <c r="GCR4" s="345"/>
      <c r="GCS4" s="345"/>
      <c r="GCT4" s="345"/>
      <c r="GCU4" s="345"/>
      <c r="GCV4" s="345"/>
      <c r="GCW4" s="345"/>
      <c r="GCX4" s="345"/>
      <c r="GCY4" s="345"/>
      <c r="GCZ4" s="345"/>
      <c r="GDA4" s="345"/>
      <c r="GDB4" s="345"/>
      <c r="GDC4" s="345"/>
      <c r="GDD4" s="345"/>
      <c r="GDE4" s="345"/>
      <c r="GDF4" s="345"/>
      <c r="GDG4" s="345"/>
      <c r="GDH4" s="345"/>
      <c r="GDI4" s="345"/>
      <c r="GDJ4" s="345"/>
      <c r="GDK4" s="345"/>
      <c r="GDL4" s="345"/>
      <c r="GDM4" s="345"/>
      <c r="GDN4" s="345"/>
      <c r="GDO4" s="345"/>
      <c r="GDP4" s="345"/>
      <c r="GDQ4" s="345"/>
      <c r="GDR4" s="345"/>
      <c r="GDS4" s="345"/>
      <c r="GDT4" s="345"/>
      <c r="GDU4" s="345"/>
      <c r="GDV4" s="345"/>
      <c r="GDW4" s="345"/>
      <c r="GDX4" s="345"/>
      <c r="GDY4" s="345"/>
      <c r="GDZ4" s="345"/>
      <c r="GEA4" s="345"/>
      <c r="GEB4" s="345"/>
      <c r="GEC4" s="345"/>
      <c r="GED4" s="345"/>
      <c r="GEE4" s="345"/>
      <c r="GEF4" s="345"/>
      <c r="GEG4" s="345"/>
      <c r="GEH4" s="345"/>
      <c r="GEI4" s="345"/>
      <c r="GEJ4" s="345"/>
      <c r="GEK4" s="345"/>
      <c r="GEL4" s="345"/>
      <c r="GEM4" s="345"/>
      <c r="GEN4" s="345"/>
      <c r="GEO4" s="345"/>
      <c r="GEP4" s="345"/>
      <c r="GEQ4" s="345"/>
      <c r="GER4" s="345"/>
      <c r="GES4" s="345"/>
      <c r="GET4" s="345"/>
      <c r="GEU4" s="345"/>
      <c r="GEV4" s="345"/>
      <c r="GEW4" s="345"/>
      <c r="GEX4" s="345"/>
      <c r="GEY4" s="345"/>
      <c r="GEZ4" s="345"/>
      <c r="GFA4" s="345"/>
      <c r="GFB4" s="345"/>
      <c r="GFC4" s="345"/>
      <c r="GFD4" s="345"/>
      <c r="GFE4" s="345"/>
      <c r="GFF4" s="345"/>
      <c r="GFG4" s="345"/>
      <c r="GFH4" s="345"/>
      <c r="GFI4" s="345"/>
      <c r="GFJ4" s="345"/>
      <c r="GFK4" s="345"/>
      <c r="GFL4" s="345"/>
      <c r="GFM4" s="345"/>
      <c r="GFN4" s="345"/>
      <c r="GFO4" s="345"/>
      <c r="GFP4" s="345"/>
      <c r="GFQ4" s="345"/>
      <c r="GFR4" s="345"/>
      <c r="GFS4" s="345"/>
      <c r="GFT4" s="345"/>
      <c r="GFU4" s="345"/>
      <c r="GFV4" s="345"/>
      <c r="GFW4" s="345"/>
      <c r="GFX4" s="345"/>
      <c r="GFY4" s="345"/>
      <c r="GFZ4" s="345"/>
      <c r="GGA4" s="345"/>
      <c r="GGB4" s="345"/>
      <c r="GGC4" s="345"/>
      <c r="GGD4" s="345"/>
      <c r="GGE4" s="345"/>
      <c r="GGF4" s="345"/>
      <c r="GGG4" s="345"/>
      <c r="GGH4" s="345"/>
      <c r="GGI4" s="345"/>
      <c r="GGJ4" s="345"/>
      <c r="GGK4" s="345"/>
      <c r="GGL4" s="345"/>
      <c r="GGM4" s="345"/>
      <c r="GGN4" s="345"/>
      <c r="GGO4" s="345"/>
      <c r="GGP4" s="345"/>
      <c r="GGQ4" s="345"/>
      <c r="GGR4" s="345"/>
      <c r="GGS4" s="345"/>
      <c r="GGT4" s="345"/>
      <c r="GGU4" s="345"/>
      <c r="GGV4" s="345"/>
      <c r="GGW4" s="345"/>
      <c r="GGX4" s="345"/>
      <c r="GGY4" s="345"/>
      <c r="GGZ4" s="345"/>
      <c r="GHA4" s="345"/>
      <c r="GHB4" s="345"/>
      <c r="GHC4" s="345"/>
      <c r="GHD4" s="345"/>
      <c r="GHE4" s="345"/>
      <c r="GHF4" s="345"/>
      <c r="GHG4" s="345"/>
      <c r="GHH4" s="345"/>
      <c r="GHI4" s="345"/>
      <c r="GHJ4" s="345"/>
      <c r="GHK4" s="345"/>
      <c r="GHL4" s="345"/>
      <c r="GHM4" s="345"/>
      <c r="GHN4" s="345"/>
      <c r="GHO4" s="345"/>
      <c r="GHP4" s="345"/>
      <c r="GHQ4" s="345"/>
      <c r="GHR4" s="345"/>
      <c r="GHS4" s="345"/>
      <c r="GHT4" s="345"/>
      <c r="GHU4" s="345"/>
      <c r="GHV4" s="345"/>
      <c r="GHW4" s="345"/>
      <c r="GHX4" s="345"/>
      <c r="GHY4" s="345"/>
      <c r="GHZ4" s="345"/>
      <c r="GIA4" s="345"/>
      <c r="GIB4" s="345"/>
      <c r="GIC4" s="345"/>
      <c r="GID4" s="345"/>
      <c r="GIE4" s="345"/>
      <c r="GIF4" s="345"/>
      <c r="GIG4" s="345"/>
      <c r="GIH4" s="345"/>
      <c r="GII4" s="345"/>
      <c r="GIJ4" s="345"/>
      <c r="GIK4" s="345"/>
      <c r="GIL4" s="345"/>
      <c r="GIM4" s="345"/>
      <c r="GIN4" s="345"/>
      <c r="GIO4" s="345"/>
      <c r="GIP4" s="345"/>
      <c r="GIQ4" s="345"/>
      <c r="GIR4" s="345"/>
      <c r="GIS4" s="345"/>
      <c r="GIT4" s="345"/>
      <c r="GIU4" s="345"/>
      <c r="GIV4" s="345"/>
      <c r="GIW4" s="345"/>
      <c r="GIX4" s="345"/>
      <c r="GIY4" s="345"/>
      <c r="GIZ4" s="345"/>
      <c r="GJA4" s="345"/>
      <c r="GJB4" s="345"/>
      <c r="GJC4" s="345"/>
      <c r="GJD4" s="345"/>
      <c r="GJE4" s="345"/>
      <c r="GJF4" s="345"/>
      <c r="GJG4" s="345"/>
      <c r="GJH4" s="345"/>
      <c r="GJI4" s="345"/>
      <c r="GJJ4" s="345"/>
      <c r="GJK4" s="345"/>
      <c r="GJL4" s="345"/>
      <c r="GJM4" s="345"/>
      <c r="GJN4" s="345"/>
      <c r="GJO4" s="345"/>
      <c r="GJP4" s="345"/>
      <c r="GJQ4" s="345"/>
      <c r="GJR4" s="345"/>
      <c r="GJS4" s="345"/>
      <c r="GJT4" s="345"/>
      <c r="GJU4" s="345"/>
      <c r="GJV4" s="345"/>
      <c r="GJW4" s="345"/>
      <c r="GJX4" s="345"/>
      <c r="GJY4" s="345"/>
      <c r="GJZ4" s="345"/>
      <c r="GKA4" s="345"/>
      <c r="GKB4" s="345"/>
      <c r="GKC4" s="345"/>
      <c r="GKD4" s="345"/>
      <c r="GKE4" s="345"/>
      <c r="GKF4" s="345"/>
      <c r="GKG4" s="345"/>
      <c r="GKH4" s="345"/>
      <c r="GKI4" s="345"/>
      <c r="GKJ4" s="345"/>
      <c r="GKK4" s="345"/>
      <c r="GKL4" s="345"/>
      <c r="GKM4" s="345"/>
      <c r="GKN4" s="345"/>
      <c r="GKO4" s="345"/>
      <c r="GKP4" s="345"/>
      <c r="GKQ4" s="345"/>
      <c r="GKR4" s="345"/>
      <c r="GKS4" s="345"/>
      <c r="GKT4" s="345"/>
      <c r="GKU4" s="345"/>
      <c r="GKV4" s="345"/>
      <c r="GKW4" s="345"/>
      <c r="GKX4" s="345"/>
      <c r="GKY4" s="345"/>
      <c r="GKZ4" s="345"/>
      <c r="GLA4" s="345"/>
      <c r="GLB4" s="345"/>
      <c r="GLC4" s="345"/>
      <c r="GLD4" s="345"/>
      <c r="GLE4" s="345"/>
      <c r="GLF4" s="345"/>
      <c r="GLG4" s="345"/>
      <c r="GLH4" s="345"/>
      <c r="GLI4" s="345"/>
      <c r="GLJ4" s="345"/>
      <c r="GLK4" s="345"/>
      <c r="GLL4" s="345"/>
      <c r="GLM4" s="345"/>
      <c r="GLN4" s="345"/>
      <c r="GLO4" s="345"/>
      <c r="GLP4" s="345"/>
      <c r="GLQ4" s="345"/>
      <c r="GLR4" s="345"/>
      <c r="GLS4" s="345"/>
      <c r="GLT4" s="345"/>
      <c r="GLU4" s="345"/>
      <c r="GLV4" s="345"/>
      <c r="GLW4" s="345"/>
      <c r="GLX4" s="345"/>
      <c r="GLY4" s="345"/>
      <c r="GLZ4" s="345"/>
      <c r="GMA4" s="345"/>
      <c r="GMB4" s="345"/>
      <c r="GMC4" s="345"/>
      <c r="GMD4" s="345"/>
      <c r="GME4" s="345"/>
      <c r="GMF4" s="345"/>
      <c r="GMG4" s="345"/>
      <c r="GMH4" s="345"/>
      <c r="GMI4" s="345"/>
      <c r="GMJ4" s="345"/>
      <c r="GMK4" s="345"/>
      <c r="GML4" s="345"/>
      <c r="GMM4" s="345"/>
      <c r="GMN4" s="345"/>
      <c r="GMO4" s="345"/>
      <c r="GMP4" s="345"/>
      <c r="GMQ4" s="345"/>
      <c r="GMR4" s="345"/>
      <c r="GMS4" s="345"/>
      <c r="GMT4" s="345"/>
      <c r="GMU4" s="345"/>
      <c r="GMV4" s="345"/>
      <c r="GMW4" s="345"/>
      <c r="GMX4" s="345"/>
      <c r="GMY4" s="345"/>
      <c r="GMZ4" s="345"/>
      <c r="GNA4" s="345"/>
      <c r="GNB4" s="345"/>
      <c r="GNC4" s="345"/>
      <c r="GND4" s="345"/>
      <c r="GNE4" s="345"/>
      <c r="GNF4" s="345"/>
      <c r="GNG4" s="345"/>
      <c r="GNH4" s="345"/>
      <c r="GNI4" s="345"/>
      <c r="GNJ4" s="345"/>
      <c r="GNK4" s="345"/>
      <c r="GNL4" s="345"/>
      <c r="GNM4" s="345"/>
      <c r="GNN4" s="345"/>
      <c r="GNO4" s="345"/>
      <c r="GNP4" s="345"/>
      <c r="GNQ4" s="345"/>
      <c r="GNR4" s="345"/>
      <c r="GNS4" s="345"/>
      <c r="GNT4" s="345"/>
      <c r="GNU4" s="345"/>
      <c r="GNV4" s="345"/>
      <c r="GNW4" s="345"/>
      <c r="GNX4" s="345"/>
      <c r="GNY4" s="345"/>
      <c r="GNZ4" s="345"/>
      <c r="GOA4" s="345"/>
      <c r="GOB4" s="345"/>
      <c r="GOC4" s="345"/>
      <c r="GOD4" s="345"/>
      <c r="GOE4" s="345"/>
      <c r="GOF4" s="345"/>
      <c r="GOG4" s="345"/>
      <c r="GOH4" s="345"/>
      <c r="GOI4" s="345"/>
      <c r="GOJ4" s="345"/>
      <c r="GOK4" s="345"/>
      <c r="GOL4" s="345"/>
      <c r="GOM4" s="345"/>
      <c r="GON4" s="345"/>
      <c r="GOO4" s="345"/>
      <c r="GOP4" s="345"/>
      <c r="GOQ4" s="345"/>
      <c r="GOR4" s="345"/>
      <c r="GOS4" s="345"/>
      <c r="GOT4" s="345"/>
      <c r="GOU4" s="345"/>
      <c r="GOV4" s="345"/>
      <c r="GOW4" s="345"/>
      <c r="GOX4" s="345"/>
      <c r="GOY4" s="345"/>
      <c r="GOZ4" s="345"/>
      <c r="GPA4" s="345"/>
      <c r="GPB4" s="345"/>
      <c r="GPC4" s="345"/>
      <c r="GPD4" s="345"/>
      <c r="GPE4" s="345"/>
      <c r="GPF4" s="345"/>
      <c r="GPG4" s="345"/>
      <c r="GPH4" s="345"/>
      <c r="GPI4" s="345"/>
      <c r="GPJ4" s="345"/>
      <c r="GPK4" s="345"/>
      <c r="GPL4" s="345"/>
      <c r="GPM4" s="345"/>
      <c r="GPN4" s="345"/>
      <c r="GPO4" s="345"/>
      <c r="GPP4" s="345"/>
      <c r="GPQ4" s="345"/>
      <c r="GPR4" s="345"/>
      <c r="GPS4" s="345"/>
      <c r="GPT4" s="345"/>
      <c r="GPU4" s="345"/>
      <c r="GPV4" s="345"/>
      <c r="GPW4" s="345"/>
      <c r="GPX4" s="345"/>
      <c r="GPY4" s="345"/>
      <c r="GPZ4" s="345"/>
      <c r="GQA4" s="345"/>
      <c r="GQB4" s="345"/>
      <c r="GQC4" s="345"/>
      <c r="GQD4" s="345"/>
      <c r="GQE4" s="345"/>
      <c r="GQF4" s="345"/>
      <c r="GQG4" s="345"/>
      <c r="GQH4" s="345"/>
      <c r="GQI4" s="345"/>
      <c r="GQJ4" s="345"/>
      <c r="GQK4" s="345"/>
      <c r="GQL4" s="345"/>
      <c r="GQM4" s="345"/>
      <c r="GQN4" s="345"/>
      <c r="GQO4" s="345"/>
      <c r="GQP4" s="345"/>
      <c r="GQQ4" s="345"/>
      <c r="GQR4" s="345"/>
      <c r="GQS4" s="345"/>
      <c r="GQT4" s="345"/>
      <c r="GQU4" s="345"/>
      <c r="GQV4" s="345"/>
      <c r="GQW4" s="345"/>
      <c r="GQX4" s="345"/>
      <c r="GQY4" s="345"/>
      <c r="GQZ4" s="345"/>
      <c r="GRA4" s="345"/>
      <c r="GRB4" s="345"/>
      <c r="GRC4" s="345"/>
      <c r="GRD4" s="345"/>
      <c r="GRE4" s="345"/>
      <c r="GRF4" s="345"/>
      <c r="GRG4" s="345"/>
      <c r="GRH4" s="345"/>
      <c r="GRI4" s="345"/>
      <c r="GRJ4" s="345"/>
      <c r="GRK4" s="345"/>
      <c r="GRL4" s="345"/>
      <c r="GRM4" s="345"/>
      <c r="GRN4" s="345"/>
      <c r="GRO4" s="345"/>
      <c r="GRP4" s="345"/>
      <c r="GRQ4" s="345"/>
      <c r="GRR4" s="345"/>
      <c r="GRS4" s="345"/>
      <c r="GRT4" s="345"/>
      <c r="GRU4" s="345"/>
      <c r="GRV4" s="345"/>
      <c r="GRW4" s="345"/>
      <c r="GRX4" s="345"/>
      <c r="GRY4" s="345"/>
      <c r="GRZ4" s="345"/>
      <c r="GSA4" s="345"/>
      <c r="GSB4" s="345"/>
      <c r="GSC4" s="345"/>
      <c r="GSD4" s="345"/>
      <c r="GSE4" s="345"/>
      <c r="GSF4" s="345"/>
      <c r="GSG4" s="345"/>
      <c r="GSH4" s="345"/>
      <c r="GSI4" s="345"/>
      <c r="GSJ4" s="345"/>
      <c r="GSK4" s="345"/>
      <c r="GSL4" s="345"/>
      <c r="GSM4" s="345"/>
      <c r="GSN4" s="345"/>
      <c r="GSO4" s="345"/>
      <c r="GSP4" s="345"/>
      <c r="GSQ4" s="345"/>
      <c r="GSR4" s="345"/>
      <c r="GSS4" s="345"/>
      <c r="GST4" s="345"/>
      <c r="GSU4" s="345"/>
      <c r="GSV4" s="345"/>
      <c r="GSW4" s="345"/>
      <c r="GSX4" s="345"/>
      <c r="GSY4" s="345"/>
      <c r="GSZ4" s="345"/>
      <c r="GTA4" s="345"/>
      <c r="GTB4" s="345"/>
      <c r="GTC4" s="345"/>
      <c r="GTD4" s="345"/>
      <c r="GTE4" s="345"/>
      <c r="GTF4" s="345"/>
      <c r="GTG4" s="345"/>
      <c r="GTH4" s="345"/>
      <c r="GTI4" s="345"/>
      <c r="GTJ4" s="345"/>
      <c r="GTK4" s="345"/>
      <c r="GTL4" s="345"/>
      <c r="GTM4" s="345"/>
      <c r="GTN4" s="345"/>
      <c r="GTO4" s="345"/>
      <c r="GTP4" s="345"/>
      <c r="GTQ4" s="345"/>
      <c r="GTR4" s="345"/>
      <c r="GTS4" s="345"/>
      <c r="GTT4" s="345"/>
      <c r="GTU4" s="345"/>
      <c r="GTV4" s="345"/>
      <c r="GTW4" s="345"/>
      <c r="GTX4" s="345"/>
      <c r="GTY4" s="345"/>
      <c r="GTZ4" s="345"/>
      <c r="GUA4" s="345"/>
      <c r="GUB4" s="345"/>
      <c r="GUC4" s="345"/>
      <c r="GUD4" s="345"/>
      <c r="GUE4" s="345"/>
      <c r="GUF4" s="345"/>
      <c r="GUG4" s="345"/>
      <c r="GUH4" s="345"/>
      <c r="GUI4" s="345"/>
      <c r="GUJ4" s="345"/>
      <c r="GUK4" s="345"/>
      <c r="GUL4" s="345"/>
      <c r="GUM4" s="345"/>
      <c r="GUN4" s="345"/>
      <c r="GUO4" s="345"/>
      <c r="GUP4" s="345"/>
      <c r="GUQ4" s="345"/>
      <c r="GUR4" s="345"/>
      <c r="GUS4" s="345"/>
      <c r="GUT4" s="345"/>
      <c r="GUU4" s="345"/>
      <c r="GUV4" s="345"/>
      <c r="GUW4" s="345"/>
      <c r="GUX4" s="345"/>
      <c r="GUY4" s="345"/>
      <c r="GUZ4" s="345"/>
      <c r="GVA4" s="345"/>
      <c r="GVB4" s="345"/>
      <c r="GVC4" s="345"/>
      <c r="GVD4" s="345"/>
      <c r="GVE4" s="345"/>
      <c r="GVF4" s="345"/>
      <c r="GVG4" s="345"/>
      <c r="GVH4" s="345"/>
      <c r="GVI4" s="345"/>
      <c r="GVJ4" s="345"/>
      <c r="GVK4" s="345"/>
      <c r="GVL4" s="345"/>
      <c r="GVM4" s="345"/>
      <c r="GVN4" s="345"/>
      <c r="GVO4" s="345"/>
      <c r="GVP4" s="345"/>
      <c r="GVQ4" s="345"/>
      <c r="GVR4" s="345"/>
      <c r="GVS4" s="345"/>
      <c r="GVT4" s="345"/>
      <c r="GVU4" s="345"/>
      <c r="GVV4" s="345"/>
      <c r="GVW4" s="345"/>
      <c r="GVX4" s="345"/>
      <c r="GVY4" s="345"/>
      <c r="GVZ4" s="345"/>
      <c r="GWA4" s="345"/>
      <c r="GWB4" s="345"/>
      <c r="GWC4" s="345"/>
      <c r="GWD4" s="345"/>
      <c r="GWE4" s="345"/>
      <c r="GWF4" s="345"/>
      <c r="GWG4" s="345"/>
      <c r="GWH4" s="345"/>
      <c r="GWI4" s="345"/>
      <c r="GWJ4" s="345"/>
      <c r="GWK4" s="345"/>
      <c r="GWL4" s="345"/>
      <c r="GWM4" s="345"/>
      <c r="GWN4" s="345"/>
      <c r="GWO4" s="345"/>
      <c r="GWP4" s="345"/>
      <c r="GWQ4" s="345"/>
      <c r="GWR4" s="345"/>
      <c r="GWS4" s="345"/>
      <c r="GWT4" s="345"/>
      <c r="GWU4" s="345"/>
      <c r="GWV4" s="345"/>
      <c r="GWW4" s="345"/>
      <c r="GWX4" s="345"/>
      <c r="GWY4" s="345"/>
      <c r="GWZ4" s="345"/>
      <c r="GXA4" s="345"/>
      <c r="GXB4" s="345"/>
      <c r="GXC4" s="345"/>
      <c r="GXD4" s="345"/>
      <c r="GXE4" s="345"/>
      <c r="GXF4" s="345"/>
      <c r="GXG4" s="345"/>
      <c r="GXH4" s="345"/>
      <c r="GXI4" s="345"/>
      <c r="GXJ4" s="345"/>
      <c r="GXK4" s="345"/>
      <c r="GXL4" s="345"/>
      <c r="GXM4" s="345"/>
      <c r="GXN4" s="345"/>
      <c r="GXO4" s="345"/>
      <c r="GXP4" s="345"/>
      <c r="GXQ4" s="345"/>
      <c r="GXR4" s="345"/>
      <c r="GXS4" s="345"/>
      <c r="GXT4" s="345"/>
      <c r="GXU4" s="345"/>
      <c r="GXV4" s="345"/>
      <c r="GXW4" s="345"/>
      <c r="GXX4" s="345"/>
      <c r="GXY4" s="345"/>
      <c r="GXZ4" s="345"/>
      <c r="GYA4" s="345"/>
      <c r="GYB4" s="345"/>
      <c r="GYC4" s="345"/>
      <c r="GYD4" s="345"/>
      <c r="GYE4" s="345"/>
      <c r="GYF4" s="345"/>
      <c r="GYG4" s="345"/>
      <c r="GYH4" s="345"/>
      <c r="GYI4" s="345"/>
      <c r="GYJ4" s="345"/>
      <c r="GYK4" s="345"/>
      <c r="GYL4" s="345"/>
      <c r="GYM4" s="345"/>
      <c r="GYN4" s="345"/>
      <c r="GYO4" s="345"/>
      <c r="GYP4" s="345"/>
      <c r="GYQ4" s="345"/>
      <c r="GYR4" s="345"/>
      <c r="GYS4" s="345"/>
      <c r="GYT4" s="345"/>
      <c r="GYU4" s="345"/>
      <c r="GYV4" s="345"/>
      <c r="GYW4" s="345"/>
      <c r="GYX4" s="345"/>
      <c r="GYY4" s="345"/>
      <c r="GYZ4" s="345"/>
      <c r="GZA4" s="345"/>
      <c r="GZB4" s="345"/>
      <c r="GZC4" s="345"/>
      <c r="GZD4" s="345"/>
      <c r="GZE4" s="345"/>
      <c r="GZF4" s="345"/>
      <c r="GZG4" s="345"/>
      <c r="GZH4" s="345"/>
      <c r="GZI4" s="345"/>
      <c r="GZJ4" s="345"/>
      <c r="GZK4" s="345"/>
      <c r="GZL4" s="345"/>
      <c r="GZM4" s="345"/>
      <c r="GZN4" s="345"/>
      <c r="GZO4" s="345"/>
      <c r="GZP4" s="345"/>
      <c r="GZQ4" s="345"/>
      <c r="GZR4" s="345"/>
      <c r="GZS4" s="345"/>
      <c r="GZT4" s="345"/>
      <c r="GZU4" s="345"/>
      <c r="GZV4" s="345"/>
      <c r="GZW4" s="345"/>
      <c r="GZX4" s="345"/>
      <c r="GZY4" s="345"/>
      <c r="GZZ4" s="345"/>
      <c r="HAA4" s="345"/>
      <c r="HAB4" s="345"/>
      <c r="HAC4" s="345"/>
      <c r="HAD4" s="345"/>
      <c r="HAE4" s="345"/>
      <c r="HAF4" s="345"/>
      <c r="HAG4" s="345"/>
      <c r="HAH4" s="345"/>
      <c r="HAI4" s="345"/>
      <c r="HAJ4" s="345"/>
      <c r="HAK4" s="345"/>
      <c r="HAL4" s="345"/>
      <c r="HAM4" s="345"/>
      <c r="HAN4" s="345"/>
      <c r="HAO4" s="345"/>
      <c r="HAP4" s="345"/>
      <c r="HAQ4" s="345"/>
      <c r="HAR4" s="345"/>
      <c r="HAS4" s="345"/>
      <c r="HAT4" s="345"/>
      <c r="HAU4" s="345"/>
      <c r="HAV4" s="345"/>
      <c r="HAW4" s="345"/>
      <c r="HAX4" s="345"/>
      <c r="HAY4" s="345"/>
      <c r="HAZ4" s="345"/>
      <c r="HBA4" s="345"/>
      <c r="HBB4" s="345"/>
      <c r="HBC4" s="345"/>
      <c r="HBD4" s="345"/>
      <c r="HBE4" s="345"/>
      <c r="HBF4" s="345"/>
      <c r="HBG4" s="345"/>
      <c r="HBH4" s="345"/>
      <c r="HBI4" s="345"/>
      <c r="HBJ4" s="345"/>
      <c r="HBK4" s="345"/>
      <c r="HBL4" s="345"/>
      <c r="HBM4" s="345"/>
      <c r="HBN4" s="345"/>
      <c r="HBO4" s="345"/>
      <c r="HBP4" s="345"/>
      <c r="HBQ4" s="345"/>
      <c r="HBR4" s="345"/>
      <c r="HBS4" s="345"/>
      <c r="HBT4" s="345"/>
      <c r="HBU4" s="345"/>
      <c r="HBV4" s="345"/>
      <c r="HBW4" s="345"/>
      <c r="HBX4" s="345"/>
      <c r="HBY4" s="345"/>
      <c r="HBZ4" s="345"/>
      <c r="HCA4" s="345"/>
      <c r="HCB4" s="345"/>
      <c r="HCC4" s="345"/>
      <c r="HCD4" s="345"/>
      <c r="HCE4" s="345"/>
      <c r="HCF4" s="345"/>
      <c r="HCG4" s="345"/>
      <c r="HCH4" s="345"/>
      <c r="HCI4" s="345"/>
      <c r="HCJ4" s="345"/>
      <c r="HCK4" s="345"/>
      <c r="HCL4" s="345"/>
      <c r="HCM4" s="345"/>
      <c r="HCN4" s="345"/>
      <c r="HCO4" s="345"/>
      <c r="HCP4" s="345"/>
      <c r="HCQ4" s="345"/>
      <c r="HCR4" s="345"/>
      <c r="HCS4" s="345"/>
      <c r="HCT4" s="345"/>
      <c r="HCU4" s="345"/>
      <c r="HCV4" s="345"/>
      <c r="HCW4" s="345"/>
      <c r="HCX4" s="345"/>
      <c r="HCY4" s="345"/>
      <c r="HCZ4" s="345"/>
      <c r="HDA4" s="345"/>
      <c r="HDB4" s="345"/>
      <c r="HDC4" s="345"/>
      <c r="HDD4" s="345"/>
      <c r="HDE4" s="345"/>
      <c r="HDF4" s="345"/>
      <c r="HDG4" s="345"/>
      <c r="HDH4" s="345"/>
      <c r="HDI4" s="345"/>
      <c r="HDJ4" s="345"/>
      <c r="HDK4" s="345"/>
      <c r="HDL4" s="345"/>
      <c r="HDM4" s="345"/>
      <c r="HDN4" s="345"/>
      <c r="HDO4" s="345"/>
      <c r="HDP4" s="345"/>
      <c r="HDQ4" s="345"/>
      <c r="HDR4" s="345"/>
      <c r="HDS4" s="345"/>
      <c r="HDT4" s="345"/>
      <c r="HDU4" s="345"/>
      <c r="HDV4" s="345"/>
      <c r="HDW4" s="345"/>
      <c r="HDX4" s="345"/>
      <c r="HDY4" s="345"/>
      <c r="HDZ4" s="345"/>
      <c r="HEA4" s="345"/>
      <c r="HEB4" s="345"/>
      <c r="HEC4" s="345"/>
      <c r="HED4" s="345"/>
      <c r="HEE4" s="345"/>
      <c r="HEF4" s="345"/>
      <c r="HEG4" s="345"/>
      <c r="HEH4" s="345"/>
      <c r="HEI4" s="345"/>
      <c r="HEJ4" s="345"/>
      <c r="HEK4" s="345"/>
      <c r="HEL4" s="345"/>
      <c r="HEM4" s="345"/>
      <c r="HEN4" s="345"/>
      <c r="HEO4" s="345"/>
      <c r="HEP4" s="345"/>
      <c r="HEQ4" s="345"/>
      <c r="HER4" s="345"/>
      <c r="HES4" s="345"/>
      <c r="HET4" s="345"/>
      <c r="HEU4" s="345"/>
      <c r="HEV4" s="345"/>
      <c r="HEW4" s="345"/>
      <c r="HEX4" s="345"/>
      <c r="HEY4" s="345"/>
      <c r="HEZ4" s="345"/>
      <c r="HFA4" s="345"/>
      <c r="HFB4" s="345"/>
      <c r="HFC4" s="345"/>
      <c r="HFD4" s="345"/>
      <c r="HFE4" s="345"/>
      <c r="HFF4" s="345"/>
      <c r="HFG4" s="345"/>
      <c r="HFH4" s="345"/>
      <c r="HFI4" s="345"/>
      <c r="HFJ4" s="345"/>
      <c r="HFK4" s="345"/>
      <c r="HFL4" s="345"/>
      <c r="HFM4" s="345"/>
      <c r="HFN4" s="345"/>
      <c r="HFO4" s="345"/>
      <c r="HFP4" s="345"/>
      <c r="HFQ4" s="345"/>
      <c r="HFR4" s="345"/>
      <c r="HFS4" s="345"/>
      <c r="HFT4" s="345"/>
      <c r="HFU4" s="345"/>
      <c r="HFV4" s="345"/>
      <c r="HFW4" s="345"/>
      <c r="HFX4" s="345"/>
      <c r="HFY4" s="345"/>
      <c r="HFZ4" s="345"/>
      <c r="HGA4" s="345"/>
      <c r="HGB4" s="345"/>
      <c r="HGC4" s="345"/>
      <c r="HGD4" s="345"/>
      <c r="HGE4" s="345"/>
      <c r="HGF4" s="345"/>
      <c r="HGG4" s="345"/>
      <c r="HGH4" s="345"/>
      <c r="HGI4" s="345"/>
      <c r="HGJ4" s="345"/>
      <c r="HGK4" s="345"/>
      <c r="HGL4" s="345"/>
      <c r="HGM4" s="345"/>
      <c r="HGN4" s="345"/>
      <c r="HGO4" s="345"/>
      <c r="HGP4" s="345"/>
      <c r="HGQ4" s="345"/>
      <c r="HGR4" s="345"/>
      <c r="HGS4" s="345"/>
      <c r="HGT4" s="345"/>
      <c r="HGU4" s="345"/>
      <c r="HGV4" s="345"/>
      <c r="HGW4" s="345"/>
      <c r="HGX4" s="345"/>
      <c r="HGY4" s="345"/>
      <c r="HGZ4" s="345"/>
      <c r="HHA4" s="345"/>
      <c r="HHB4" s="345"/>
      <c r="HHC4" s="345"/>
      <c r="HHD4" s="345"/>
      <c r="HHE4" s="345"/>
      <c r="HHF4" s="345"/>
      <c r="HHG4" s="345"/>
      <c r="HHH4" s="345"/>
      <c r="HHI4" s="345"/>
      <c r="HHJ4" s="345"/>
      <c r="HHK4" s="345"/>
      <c r="HHL4" s="345"/>
      <c r="HHM4" s="345"/>
      <c r="HHN4" s="345"/>
      <c r="HHO4" s="345"/>
      <c r="HHP4" s="345"/>
      <c r="HHQ4" s="345"/>
      <c r="HHR4" s="345"/>
      <c r="HHS4" s="345"/>
      <c r="HHT4" s="345"/>
      <c r="HHU4" s="345"/>
      <c r="HHV4" s="345"/>
      <c r="HHW4" s="345"/>
      <c r="HHX4" s="345"/>
      <c r="HHY4" s="345"/>
      <c r="HHZ4" s="345"/>
      <c r="HIA4" s="345"/>
      <c r="HIB4" s="345"/>
      <c r="HIC4" s="345"/>
      <c r="HID4" s="345"/>
      <c r="HIE4" s="345"/>
      <c r="HIF4" s="345"/>
      <c r="HIG4" s="345"/>
      <c r="HIH4" s="345"/>
      <c r="HII4" s="345"/>
      <c r="HIJ4" s="345"/>
      <c r="HIK4" s="345"/>
      <c r="HIL4" s="345"/>
      <c r="HIM4" s="345"/>
      <c r="HIN4" s="345"/>
      <c r="HIO4" s="345"/>
      <c r="HIP4" s="345"/>
      <c r="HIQ4" s="345"/>
      <c r="HIR4" s="345"/>
      <c r="HIS4" s="345"/>
      <c r="HIT4" s="345"/>
      <c r="HIU4" s="345"/>
      <c r="HIV4" s="345"/>
      <c r="HIW4" s="345"/>
      <c r="HIX4" s="345"/>
      <c r="HIY4" s="345"/>
      <c r="HIZ4" s="345"/>
      <c r="HJA4" s="345"/>
      <c r="HJB4" s="345"/>
      <c r="HJC4" s="345"/>
      <c r="HJD4" s="345"/>
      <c r="HJE4" s="345"/>
      <c r="HJF4" s="345"/>
      <c r="HJG4" s="345"/>
      <c r="HJH4" s="345"/>
      <c r="HJI4" s="345"/>
      <c r="HJJ4" s="345"/>
      <c r="HJK4" s="345"/>
      <c r="HJL4" s="345"/>
      <c r="HJM4" s="345"/>
      <c r="HJN4" s="345"/>
      <c r="HJO4" s="345"/>
      <c r="HJP4" s="345"/>
      <c r="HJQ4" s="345"/>
      <c r="HJR4" s="345"/>
      <c r="HJS4" s="345"/>
      <c r="HJT4" s="345"/>
      <c r="HJU4" s="345"/>
      <c r="HJV4" s="345"/>
      <c r="HJW4" s="345"/>
      <c r="HJX4" s="345"/>
      <c r="HJY4" s="345"/>
      <c r="HJZ4" s="345"/>
      <c r="HKA4" s="345"/>
      <c r="HKB4" s="345"/>
      <c r="HKC4" s="345"/>
      <c r="HKD4" s="345"/>
      <c r="HKE4" s="345"/>
      <c r="HKF4" s="345"/>
      <c r="HKG4" s="345"/>
      <c r="HKH4" s="345"/>
      <c r="HKI4" s="345"/>
      <c r="HKJ4" s="345"/>
      <c r="HKK4" s="345"/>
      <c r="HKL4" s="345"/>
      <c r="HKM4" s="345"/>
      <c r="HKN4" s="345"/>
      <c r="HKO4" s="345"/>
      <c r="HKP4" s="345"/>
      <c r="HKQ4" s="345"/>
      <c r="HKR4" s="345"/>
      <c r="HKS4" s="345"/>
      <c r="HKT4" s="345"/>
      <c r="HKU4" s="345"/>
      <c r="HKV4" s="345"/>
      <c r="HKW4" s="345"/>
      <c r="HKX4" s="345"/>
      <c r="HKY4" s="345"/>
      <c r="HKZ4" s="345"/>
      <c r="HLA4" s="345"/>
      <c r="HLB4" s="345"/>
      <c r="HLC4" s="345"/>
      <c r="HLD4" s="345"/>
      <c r="HLE4" s="345"/>
      <c r="HLF4" s="345"/>
      <c r="HLG4" s="345"/>
      <c r="HLH4" s="345"/>
      <c r="HLI4" s="345"/>
      <c r="HLJ4" s="345"/>
      <c r="HLK4" s="345"/>
      <c r="HLL4" s="345"/>
      <c r="HLM4" s="345"/>
      <c r="HLN4" s="345"/>
      <c r="HLO4" s="345"/>
      <c r="HLP4" s="345"/>
      <c r="HLQ4" s="345"/>
      <c r="HLR4" s="345"/>
      <c r="HLS4" s="345"/>
      <c r="HLT4" s="345"/>
      <c r="HLU4" s="345"/>
      <c r="HLV4" s="345"/>
      <c r="HLW4" s="345"/>
      <c r="HLX4" s="345"/>
      <c r="HLY4" s="345"/>
      <c r="HLZ4" s="345"/>
      <c r="HMA4" s="345"/>
      <c r="HMB4" s="345"/>
      <c r="HMC4" s="345"/>
      <c r="HMD4" s="345"/>
      <c r="HME4" s="345"/>
      <c r="HMF4" s="345"/>
      <c r="HMG4" s="345"/>
      <c r="HMH4" s="345"/>
      <c r="HMI4" s="345"/>
      <c r="HMJ4" s="345"/>
      <c r="HMK4" s="345"/>
      <c r="HML4" s="345"/>
      <c r="HMM4" s="345"/>
      <c r="HMN4" s="345"/>
      <c r="HMO4" s="345"/>
      <c r="HMP4" s="345"/>
      <c r="HMQ4" s="345"/>
      <c r="HMR4" s="345"/>
      <c r="HMS4" s="345"/>
      <c r="HMT4" s="345"/>
      <c r="HMU4" s="345"/>
      <c r="HMV4" s="345"/>
      <c r="HMW4" s="345"/>
      <c r="HMX4" s="345"/>
      <c r="HMY4" s="345"/>
      <c r="HMZ4" s="345"/>
      <c r="HNA4" s="345"/>
      <c r="HNB4" s="345"/>
      <c r="HNC4" s="345"/>
      <c r="HND4" s="345"/>
      <c r="HNE4" s="345"/>
      <c r="HNF4" s="345"/>
      <c r="HNG4" s="345"/>
      <c r="HNH4" s="345"/>
      <c r="HNI4" s="345"/>
      <c r="HNJ4" s="345"/>
      <c r="HNK4" s="345"/>
      <c r="HNL4" s="345"/>
      <c r="HNM4" s="345"/>
      <c r="HNN4" s="345"/>
      <c r="HNO4" s="345"/>
      <c r="HNP4" s="345"/>
      <c r="HNQ4" s="345"/>
      <c r="HNR4" s="345"/>
      <c r="HNS4" s="345"/>
      <c r="HNT4" s="345"/>
      <c r="HNU4" s="345"/>
      <c r="HNV4" s="345"/>
      <c r="HNW4" s="345"/>
      <c r="HNX4" s="345"/>
      <c r="HNY4" s="345"/>
      <c r="HNZ4" s="345"/>
      <c r="HOA4" s="345"/>
      <c r="HOB4" s="345"/>
      <c r="HOC4" s="345"/>
      <c r="HOD4" s="345"/>
      <c r="HOE4" s="345"/>
      <c r="HOF4" s="345"/>
      <c r="HOG4" s="345"/>
      <c r="HOH4" s="345"/>
      <c r="HOI4" s="345"/>
      <c r="HOJ4" s="345"/>
      <c r="HOK4" s="345"/>
      <c r="HOL4" s="345"/>
      <c r="HOM4" s="345"/>
      <c r="HON4" s="345"/>
      <c r="HOO4" s="345"/>
      <c r="HOP4" s="345"/>
      <c r="HOQ4" s="345"/>
      <c r="HOR4" s="345"/>
      <c r="HOS4" s="345"/>
      <c r="HOT4" s="345"/>
      <c r="HOU4" s="345"/>
      <c r="HOV4" s="345"/>
      <c r="HOW4" s="345"/>
      <c r="HOX4" s="345"/>
      <c r="HOY4" s="345"/>
      <c r="HOZ4" s="345"/>
      <c r="HPA4" s="345"/>
      <c r="HPB4" s="345"/>
      <c r="HPC4" s="345"/>
      <c r="HPD4" s="345"/>
      <c r="HPE4" s="345"/>
      <c r="HPF4" s="345"/>
      <c r="HPG4" s="345"/>
      <c r="HPH4" s="345"/>
      <c r="HPI4" s="345"/>
      <c r="HPJ4" s="345"/>
      <c r="HPK4" s="345"/>
      <c r="HPL4" s="345"/>
      <c r="HPM4" s="345"/>
      <c r="HPN4" s="345"/>
      <c r="HPO4" s="345"/>
      <c r="HPP4" s="345"/>
      <c r="HPQ4" s="345"/>
      <c r="HPR4" s="345"/>
      <c r="HPS4" s="345"/>
      <c r="HPT4" s="345"/>
      <c r="HPU4" s="345"/>
      <c r="HPV4" s="345"/>
      <c r="HPW4" s="345"/>
      <c r="HPX4" s="345"/>
      <c r="HPY4" s="345"/>
      <c r="HPZ4" s="345"/>
      <c r="HQA4" s="345"/>
      <c r="HQB4" s="345"/>
      <c r="HQC4" s="345"/>
      <c r="HQD4" s="345"/>
      <c r="HQE4" s="345"/>
      <c r="HQF4" s="345"/>
      <c r="HQG4" s="345"/>
      <c r="HQH4" s="345"/>
      <c r="HQI4" s="345"/>
      <c r="HQJ4" s="345"/>
      <c r="HQK4" s="345"/>
      <c r="HQL4" s="345"/>
      <c r="HQM4" s="345"/>
      <c r="HQN4" s="345"/>
      <c r="HQO4" s="345"/>
      <c r="HQP4" s="345"/>
      <c r="HQQ4" s="345"/>
      <c r="HQR4" s="345"/>
      <c r="HQS4" s="345"/>
      <c r="HQT4" s="345"/>
      <c r="HQU4" s="345"/>
      <c r="HQV4" s="345"/>
      <c r="HQW4" s="345"/>
      <c r="HQX4" s="345"/>
      <c r="HQY4" s="345"/>
      <c r="HQZ4" s="345"/>
      <c r="HRA4" s="345"/>
      <c r="HRB4" s="345"/>
      <c r="HRC4" s="345"/>
      <c r="HRD4" s="345"/>
      <c r="HRE4" s="345"/>
      <c r="HRF4" s="345"/>
      <c r="HRG4" s="345"/>
      <c r="HRH4" s="345"/>
      <c r="HRI4" s="345"/>
      <c r="HRJ4" s="345"/>
      <c r="HRK4" s="345"/>
      <c r="HRL4" s="345"/>
      <c r="HRM4" s="345"/>
      <c r="HRN4" s="345"/>
      <c r="HRO4" s="345"/>
      <c r="HRP4" s="345"/>
      <c r="HRQ4" s="345"/>
      <c r="HRR4" s="345"/>
      <c r="HRS4" s="345"/>
      <c r="HRT4" s="345"/>
      <c r="HRU4" s="345"/>
      <c r="HRV4" s="345"/>
      <c r="HRW4" s="345"/>
      <c r="HRX4" s="345"/>
      <c r="HRY4" s="345"/>
      <c r="HRZ4" s="345"/>
      <c r="HSA4" s="345"/>
      <c r="HSB4" s="345"/>
      <c r="HSC4" s="345"/>
      <c r="HSD4" s="345"/>
      <c r="HSE4" s="345"/>
      <c r="HSF4" s="345"/>
      <c r="HSG4" s="345"/>
      <c r="HSH4" s="345"/>
      <c r="HSI4" s="345"/>
      <c r="HSJ4" s="345"/>
      <c r="HSK4" s="345"/>
      <c r="HSL4" s="345"/>
      <c r="HSM4" s="345"/>
      <c r="HSN4" s="345"/>
      <c r="HSO4" s="345"/>
      <c r="HSP4" s="345"/>
      <c r="HSQ4" s="345"/>
      <c r="HSR4" s="345"/>
      <c r="HSS4" s="345"/>
      <c r="HST4" s="345"/>
      <c r="HSU4" s="345"/>
      <c r="HSV4" s="345"/>
      <c r="HSW4" s="345"/>
      <c r="HSX4" s="345"/>
      <c r="HSY4" s="345"/>
      <c r="HSZ4" s="345"/>
      <c r="HTA4" s="345"/>
      <c r="HTB4" s="345"/>
      <c r="HTC4" s="345"/>
      <c r="HTD4" s="345"/>
      <c r="HTE4" s="345"/>
      <c r="HTF4" s="345"/>
      <c r="HTG4" s="345"/>
      <c r="HTH4" s="345"/>
      <c r="HTI4" s="345"/>
      <c r="HTJ4" s="345"/>
      <c r="HTK4" s="345"/>
      <c r="HTL4" s="345"/>
      <c r="HTM4" s="345"/>
      <c r="HTN4" s="345"/>
      <c r="HTO4" s="345"/>
      <c r="HTP4" s="345"/>
      <c r="HTQ4" s="345"/>
      <c r="HTR4" s="345"/>
      <c r="HTS4" s="345"/>
      <c r="HTT4" s="345"/>
      <c r="HTU4" s="345"/>
      <c r="HTV4" s="345"/>
      <c r="HTW4" s="345"/>
      <c r="HTX4" s="345"/>
      <c r="HTY4" s="345"/>
      <c r="HTZ4" s="345"/>
      <c r="HUA4" s="345"/>
      <c r="HUB4" s="345"/>
      <c r="HUC4" s="345"/>
      <c r="HUD4" s="345"/>
      <c r="HUE4" s="345"/>
      <c r="HUF4" s="345"/>
      <c r="HUG4" s="345"/>
      <c r="HUH4" s="345"/>
      <c r="HUI4" s="345"/>
      <c r="HUJ4" s="345"/>
      <c r="HUK4" s="345"/>
      <c r="HUL4" s="345"/>
      <c r="HUM4" s="345"/>
      <c r="HUN4" s="345"/>
      <c r="HUO4" s="345"/>
      <c r="HUP4" s="345"/>
      <c r="HUQ4" s="345"/>
      <c r="HUR4" s="345"/>
      <c r="HUS4" s="345"/>
      <c r="HUT4" s="345"/>
      <c r="HUU4" s="345"/>
      <c r="HUV4" s="345"/>
      <c r="HUW4" s="345"/>
      <c r="HUX4" s="345"/>
      <c r="HUY4" s="345"/>
      <c r="HUZ4" s="345"/>
      <c r="HVA4" s="345"/>
      <c r="HVB4" s="345"/>
      <c r="HVC4" s="345"/>
      <c r="HVD4" s="345"/>
      <c r="HVE4" s="345"/>
      <c r="HVF4" s="345"/>
      <c r="HVG4" s="345"/>
      <c r="HVH4" s="345"/>
      <c r="HVI4" s="345"/>
      <c r="HVJ4" s="345"/>
      <c r="HVK4" s="345"/>
      <c r="HVL4" s="345"/>
      <c r="HVM4" s="345"/>
      <c r="HVN4" s="345"/>
      <c r="HVO4" s="345"/>
      <c r="HVP4" s="345"/>
      <c r="HVQ4" s="345"/>
      <c r="HVR4" s="345"/>
      <c r="HVS4" s="345"/>
      <c r="HVT4" s="345"/>
      <c r="HVU4" s="345"/>
      <c r="HVV4" s="345"/>
      <c r="HVW4" s="345"/>
      <c r="HVX4" s="345"/>
      <c r="HVY4" s="345"/>
      <c r="HVZ4" s="345"/>
      <c r="HWA4" s="345"/>
      <c r="HWB4" s="345"/>
      <c r="HWC4" s="345"/>
      <c r="HWD4" s="345"/>
      <c r="HWE4" s="345"/>
      <c r="HWF4" s="345"/>
      <c r="HWG4" s="345"/>
      <c r="HWH4" s="345"/>
      <c r="HWI4" s="345"/>
      <c r="HWJ4" s="345"/>
      <c r="HWK4" s="345"/>
      <c r="HWL4" s="345"/>
      <c r="HWM4" s="345"/>
      <c r="HWN4" s="345"/>
      <c r="HWO4" s="345"/>
      <c r="HWP4" s="345"/>
      <c r="HWQ4" s="345"/>
      <c r="HWR4" s="345"/>
      <c r="HWS4" s="345"/>
      <c r="HWT4" s="345"/>
      <c r="HWU4" s="345"/>
      <c r="HWV4" s="345"/>
      <c r="HWW4" s="345"/>
      <c r="HWX4" s="345"/>
      <c r="HWY4" s="345"/>
      <c r="HWZ4" s="345"/>
      <c r="HXA4" s="345"/>
      <c r="HXB4" s="345"/>
      <c r="HXC4" s="345"/>
      <c r="HXD4" s="345"/>
      <c r="HXE4" s="345"/>
      <c r="HXF4" s="345"/>
      <c r="HXG4" s="345"/>
      <c r="HXH4" s="345"/>
      <c r="HXI4" s="345"/>
      <c r="HXJ4" s="345"/>
      <c r="HXK4" s="345"/>
      <c r="HXL4" s="345"/>
      <c r="HXM4" s="345"/>
      <c r="HXN4" s="345"/>
      <c r="HXO4" s="345"/>
      <c r="HXP4" s="345"/>
      <c r="HXQ4" s="345"/>
      <c r="HXR4" s="345"/>
      <c r="HXS4" s="345"/>
      <c r="HXT4" s="345"/>
      <c r="HXU4" s="345"/>
      <c r="HXV4" s="345"/>
      <c r="HXW4" s="345"/>
      <c r="HXX4" s="345"/>
      <c r="HXY4" s="345"/>
      <c r="HXZ4" s="345"/>
      <c r="HYA4" s="345"/>
      <c r="HYB4" s="345"/>
      <c r="HYC4" s="345"/>
      <c r="HYD4" s="345"/>
      <c r="HYE4" s="345"/>
      <c r="HYF4" s="345"/>
      <c r="HYG4" s="345"/>
      <c r="HYH4" s="345"/>
      <c r="HYI4" s="345"/>
      <c r="HYJ4" s="345"/>
      <c r="HYK4" s="345"/>
      <c r="HYL4" s="345"/>
      <c r="HYM4" s="345"/>
      <c r="HYN4" s="345"/>
      <c r="HYO4" s="345"/>
      <c r="HYP4" s="345"/>
      <c r="HYQ4" s="345"/>
      <c r="HYR4" s="345"/>
      <c r="HYS4" s="345"/>
      <c r="HYT4" s="345"/>
      <c r="HYU4" s="345"/>
      <c r="HYV4" s="345"/>
      <c r="HYW4" s="345"/>
      <c r="HYX4" s="345"/>
      <c r="HYY4" s="345"/>
      <c r="HYZ4" s="345"/>
      <c r="HZA4" s="345"/>
      <c r="HZB4" s="345"/>
      <c r="HZC4" s="345"/>
      <c r="HZD4" s="345"/>
      <c r="HZE4" s="345"/>
      <c r="HZF4" s="345"/>
      <c r="HZG4" s="345"/>
      <c r="HZH4" s="345"/>
      <c r="HZI4" s="345"/>
      <c r="HZJ4" s="345"/>
      <c r="HZK4" s="345"/>
      <c r="HZL4" s="345"/>
      <c r="HZM4" s="345"/>
      <c r="HZN4" s="345"/>
      <c r="HZO4" s="345"/>
      <c r="HZP4" s="345"/>
      <c r="HZQ4" s="345"/>
      <c r="HZR4" s="345"/>
      <c r="HZS4" s="345"/>
      <c r="HZT4" s="345"/>
      <c r="HZU4" s="345"/>
      <c r="HZV4" s="345"/>
      <c r="HZW4" s="345"/>
      <c r="HZX4" s="345"/>
      <c r="HZY4" s="345"/>
      <c r="HZZ4" s="345"/>
      <c r="IAA4" s="345"/>
      <c r="IAB4" s="345"/>
      <c r="IAC4" s="345"/>
      <c r="IAD4" s="345"/>
      <c r="IAE4" s="345"/>
      <c r="IAF4" s="345"/>
      <c r="IAG4" s="345"/>
      <c r="IAH4" s="345"/>
      <c r="IAI4" s="345"/>
      <c r="IAJ4" s="345"/>
      <c r="IAK4" s="345"/>
      <c r="IAL4" s="345"/>
      <c r="IAM4" s="345"/>
      <c r="IAN4" s="345"/>
      <c r="IAO4" s="345"/>
      <c r="IAP4" s="345"/>
      <c r="IAQ4" s="345"/>
      <c r="IAR4" s="345"/>
      <c r="IAS4" s="345"/>
      <c r="IAT4" s="345"/>
      <c r="IAU4" s="345"/>
      <c r="IAV4" s="345"/>
      <c r="IAW4" s="345"/>
      <c r="IAX4" s="345"/>
      <c r="IAY4" s="345"/>
      <c r="IAZ4" s="345"/>
      <c r="IBA4" s="345"/>
      <c r="IBB4" s="345"/>
      <c r="IBC4" s="345"/>
      <c r="IBD4" s="345"/>
      <c r="IBE4" s="345"/>
      <c r="IBF4" s="345"/>
      <c r="IBG4" s="345"/>
      <c r="IBH4" s="345"/>
      <c r="IBI4" s="345"/>
      <c r="IBJ4" s="345"/>
      <c r="IBK4" s="345"/>
      <c r="IBL4" s="345"/>
      <c r="IBM4" s="345"/>
      <c r="IBN4" s="345"/>
      <c r="IBO4" s="345"/>
      <c r="IBP4" s="345"/>
      <c r="IBQ4" s="345"/>
      <c r="IBR4" s="345"/>
      <c r="IBS4" s="345"/>
      <c r="IBT4" s="345"/>
      <c r="IBU4" s="345"/>
      <c r="IBV4" s="345"/>
      <c r="IBW4" s="345"/>
      <c r="IBX4" s="345"/>
      <c r="IBY4" s="345"/>
      <c r="IBZ4" s="345"/>
      <c r="ICA4" s="345"/>
      <c r="ICB4" s="345"/>
      <c r="ICC4" s="345"/>
      <c r="ICD4" s="345"/>
      <c r="ICE4" s="345"/>
      <c r="ICF4" s="345"/>
      <c r="ICG4" s="345"/>
      <c r="ICH4" s="345"/>
      <c r="ICI4" s="345"/>
      <c r="ICJ4" s="345"/>
      <c r="ICK4" s="345"/>
      <c r="ICL4" s="345"/>
      <c r="ICM4" s="345"/>
      <c r="ICN4" s="345"/>
      <c r="ICO4" s="345"/>
      <c r="ICP4" s="345"/>
      <c r="ICQ4" s="345"/>
      <c r="ICR4" s="345"/>
      <c r="ICS4" s="345"/>
      <c r="ICT4" s="345"/>
      <c r="ICU4" s="345"/>
      <c r="ICV4" s="345"/>
      <c r="ICW4" s="345"/>
      <c r="ICX4" s="345"/>
      <c r="ICY4" s="345"/>
      <c r="ICZ4" s="345"/>
      <c r="IDA4" s="345"/>
      <c r="IDB4" s="345"/>
      <c r="IDC4" s="345"/>
      <c r="IDD4" s="345"/>
      <c r="IDE4" s="345"/>
      <c r="IDF4" s="345"/>
      <c r="IDG4" s="345"/>
      <c r="IDH4" s="345"/>
      <c r="IDI4" s="345"/>
      <c r="IDJ4" s="345"/>
      <c r="IDK4" s="345"/>
      <c r="IDL4" s="345"/>
      <c r="IDM4" s="345"/>
      <c r="IDN4" s="345"/>
      <c r="IDO4" s="345"/>
      <c r="IDP4" s="345"/>
      <c r="IDQ4" s="345"/>
      <c r="IDR4" s="345"/>
      <c r="IDS4" s="345"/>
      <c r="IDT4" s="345"/>
      <c r="IDU4" s="345"/>
      <c r="IDV4" s="345"/>
      <c r="IDW4" s="345"/>
      <c r="IDX4" s="345"/>
      <c r="IDY4" s="345"/>
      <c r="IDZ4" s="345"/>
      <c r="IEA4" s="345"/>
      <c r="IEB4" s="345"/>
      <c r="IEC4" s="345"/>
      <c r="IED4" s="345"/>
      <c r="IEE4" s="345"/>
      <c r="IEF4" s="345"/>
      <c r="IEG4" s="345"/>
      <c r="IEH4" s="345"/>
      <c r="IEI4" s="345"/>
      <c r="IEJ4" s="345"/>
      <c r="IEK4" s="345"/>
      <c r="IEL4" s="345"/>
      <c r="IEM4" s="345"/>
      <c r="IEN4" s="345"/>
      <c r="IEO4" s="345"/>
      <c r="IEP4" s="345"/>
      <c r="IEQ4" s="345"/>
      <c r="IER4" s="345"/>
      <c r="IES4" s="345"/>
      <c r="IET4" s="345"/>
      <c r="IEU4" s="345"/>
      <c r="IEV4" s="345"/>
      <c r="IEW4" s="345"/>
      <c r="IEX4" s="345"/>
      <c r="IEY4" s="345"/>
      <c r="IEZ4" s="345"/>
      <c r="IFA4" s="345"/>
      <c r="IFB4" s="345"/>
      <c r="IFC4" s="345"/>
      <c r="IFD4" s="345"/>
      <c r="IFE4" s="345"/>
      <c r="IFF4" s="345"/>
      <c r="IFG4" s="345"/>
      <c r="IFH4" s="345"/>
      <c r="IFI4" s="345"/>
      <c r="IFJ4" s="345"/>
      <c r="IFK4" s="345"/>
      <c r="IFL4" s="345"/>
      <c r="IFM4" s="345"/>
      <c r="IFN4" s="345"/>
      <c r="IFO4" s="345"/>
      <c r="IFP4" s="345"/>
      <c r="IFQ4" s="345"/>
      <c r="IFR4" s="345"/>
      <c r="IFS4" s="345"/>
      <c r="IFT4" s="345"/>
      <c r="IFU4" s="345"/>
      <c r="IFV4" s="345"/>
      <c r="IFW4" s="345"/>
      <c r="IFX4" s="345"/>
      <c r="IFY4" s="345"/>
      <c r="IFZ4" s="345"/>
      <c r="IGA4" s="345"/>
      <c r="IGB4" s="345"/>
      <c r="IGC4" s="345"/>
      <c r="IGD4" s="345"/>
      <c r="IGE4" s="345"/>
      <c r="IGF4" s="345"/>
      <c r="IGG4" s="345"/>
      <c r="IGH4" s="345"/>
      <c r="IGI4" s="345"/>
      <c r="IGJ4" s="345"/>
      <c r="IGK4" s="345"/>
      <c r="IGL4" s="345"/>
      <c r="IGM4" s="345"/>
      <c r="IGN4" s="345"/>
      <c r="IGO4" s="345"/>
      <c r="IGP4" s="345"/>
      <c r="IGQ4" s="345"/>
      <c r="IGR4" s="345"/>
      <c r="IGS4" s="345"/>
      <c r="IGT4" s="345"/>
      <c r="IGU4" s="345"/>
      <c r="IGV4" s="345"/>
      <c r="IGW4" s="345"/>
      <c r="IGX4" s="345"/>
      <c r="IGY4" s="345"/>
      <c r="IGZ4" s="345"/>
      <c r="IHA4" s="345"/>
      <c r="IHB4" s="345"/>
      <c r="IHC4" s="345"/>
      <c r="IHD4" s="345"/>
      <c r="IHE4" s="345"/>
      <c r="IHF4" s="345"/>
      <c r="IHG4" s="345"/>
      <c r="IHH4" s="345"/>
      <c r="IHI4" s="345"/>
      <c r="IHJ4" s="345"/>
      <c r="IHK4" s="345"/>
      <c r="IHL4" s="345"/>
      <c r="IHM4" s="345"/>
      <c r="IHN4" s="345"/>
      <c r="IHO4" s="345"/>
      <c r="IHP4" s="345"/>
      <c r="IHQ4" s="345"/>
      <c r="IHR4" s="345"/>
      <c r="IHS4" s="345"/>
      <c r="IHT4" s="345"/>
      <c r="IHU4" s="345"/>
      <c r="IHV4" s="345"/>
      <c r="IHW4" s="345"/>
      <c r="IHX4" s="345"/>
      <c r="IHY4" s="345"/>
      <c r="IHZ4" s="345"/>
      <c r="IIA4" s="345"/>
      <c r="IIB4" s="345"/>
      <c r="IIC4" s="345"/>
      <c r="IID4" s="345"/>
      <c r="IIE4" s="345"/>
      <c r="IIF4" s="345"/>
      <c r="IIG4" s="345"/>
      <c r="IIH4" s="345"/>
      <c r="III4" s="345"/>
      <c r="IIJ4" s="345"/>
      <c r="IIK4" s="345"/>
      <c r="IIL4" s="345"/>
      <c r="IIM4" s="345"/>
      <c r="IIN4" s="345"/>
      <c r="IIO4" s="345"/>
      <c r="IIP4" s="345"/>
      <c r="IIQ4" s="345"/>
      <c r="IIR4" s="345"/>
      <c r="IIS4" s="345"/>
      <c r="IIT4" s="345"/>
      <c r="IIU4" s="345"/>
      <c r="IIV4" s="345"/>
      <c r="IIW4" s="345"/>
      <c r="IIX4" s="345"/>
      <c r="IIY4" s="345"/>
      <c r="IIZ4" s="345"/>
      <c r="IJA4" s="345"/>
      <c r="IJB4" s="345"/>
      <c r="IJC4" s="345"/>
      <c r="IJD4" s="345"/>
      <c r="IJE4" s="345"/>
      <c r="IJF4" s="345"/>
      <c r="IJG4" s="345"/>
      <c r="IJH4" s="345"/>
      <c r="IJI4" s="345"/>
      <c r="IJJ4" s="345"/>
      <c r="IJK4" s="345"/>
      <c r="IJL4" s="345"/>
      <c r="IJM4" s="345"/>
      <c r="IJN4" s="345"/>
      <c r="IJO4" s="345"/>
      <c r="IJP4" s="345"/>
      <c r="IJQ4" s="345"/>
      <c r="IJR4" s="345"/>
      <c r="IJS4" s="345"/>
      <c r="IJT4" s="345"/>
      <c r="IJU4" s="345"/>
      <c r="IJV4" s="345"/>
      <c r="IJW4" s="345"/>
      <c r="IJX4" s="345"/>
      <c r="IJY4" s="345"/>
      <c r="IJZ4" s="345"/>
      <c r="IKA4" s="345"/>
      <c r="IKB4" s="345"/>
      <c r="IKC4" s="345"/>
      <c r="IKD4" s="345"/>
      <c r="IKE4" s="345"/>
      <c r="IKF4" s="345"/>
      <c r="IKG4" s="345"/>
      <c r="IKH4" s="345"/>
      <c r="IKI4" s="345"/>
      <c r="IKJ4" s="345"/>
      <c r="IKK4" s="345"/>
      <c r="IKL4" s="345"/>
      <c r="IKM4" s="345"/>
      <c r="IKN4" s="345"/>
      <c r="IKO4" s="345"/>
      <c r="IKP4" s="345"/>
      <c r="IKQ4" s="345"/>
      <c r="IKR4" s="345"/>
      <c r="IKS4" s="345"/>
      <c r="IKT4" s="345"/>
      <c r="IKU4" s="345"/>
      <c r="IKV4" s="345"/>
      <c r="IKW4" s="345"/>
      <c r="IKX4" s="345"/>
      <c r="IKY4" s="345"/>
      <c r="IKZ4" s="345"/>
      <c r="ILA4" s="345"/>
      <c r="ILB4" s="345"/>
      <c r="ILC4" s="345"/>
      <c r="ILD4" s="345"/>
      <c r="ILE4" s="345"/>
      <c r="ILF4" s="345"/>
      <c r="ILG4" s="345"/>
      <c r="ILH4" s="345"/>
      <c r="ILI4" s="345"/>
      <c r="ILJ4" s="345"/>
      <c r="ILK4" s="345"/>
      <c r="ILL4" s="345"/>
      <c r="ILM4" s="345"/>
      <c r="ILN4" s="345"/>
      <c r="ILO4" s="345"/>
      <c r="ILP4" s="345"/>
      <c r="ILQ4" s="345"/>
      <c r="ILR4" s="345"/>
      <c r="ILS4" s="345"/>
      <c r="ILT4" s="345"/>
      <c r="ILU4" s="345"/>
      <c r="ILV4" s="345"/>
      <c r="ILW4" s="345"/>
      <c r="ILX4" s="345"/>
      <c r="ILY4" s="345"/>
      <c r="ILZ4" s="345"/>
      <c r="IMA4" s="345"/>
      <c r="IMB4" s="345"/>
      <c r="IMC4" s="345"/>
      <c r="IMD4" s="345"/>
      <c r="IME4" s="345"/>
      <c r="IMF4" s="345"/>
      <c r="IMG4" s="345"/>
      <c r="IMH4" s="345"/>
      <c r="IMI4" s="345"/>
      <c r="IMJ4" s="345"/>
      <c r="IMK4" s="345"/>
      <c r="IML4" s="345"/>
      <c r="IMM4" s="345"/>
      <c r="IMN4" s="345"/>
      <c r="IMO4" s="345"/>
      <c r="IMP4" s="345"/>
      <c r="IMQ4" s="345"/>
      <c r="IMR4" s="345"/>
      <c r="IMS4" s="345"/>
      <c r="IMT4" s="345"/>
      <c r="IMU4" s="345"/>
      <c r="IMV4" s="345"/>
      <c r="IMW4" s="345"/>
      <c r="IMX4" s="345"/>
      <c r="IMY4" s="345"/>
      <c r="IMZ4" s="345"/>
      <c r="INA4" s="345"/>
      <c r="INB4" s="345"/>
      <c r="INC4" s="345"/>
      <c r="IND4" s="345"/>
      <c r="INE4" s="345"/>
      <c r="INF4" s="345"/>
      <c r="ING4" s="345"/>
      <c r="INH4" s="345"/>
      <c r="INI4" s="345"/>
      <c r="INJ4" s="345"/>
      <c r="INK4" s="345"/>
      <c r="INL4" s="345"/>
      <c r="INM4" s="345"/>
      <c r="INN4" s="345"/>
      <c r="INO4" s="345"/>
      <c r="INP4" s="345"/>
      <c r="INQ4" s="345"/>
      <c r="INR4" s="345"/>
      <c r="INS4" s="345"/>
      <c r="INT4" s="345"/>
      <c r="INU4" s="345"/>
      <c r="INV4" s="345"/>
      <c r="INW4" s="345"/>
      <c r="INX4" s="345"/>
      <c r="INY4" s="345"/>
      <c r="INZ4" s="345"/>
      <c r="IOA4" s="345"/>
      <c r="IOB4" s="345"/>
      <c r="IOC4" s="345"/>
      <c r="IOD4" s="345"/>
      <c r="IOE4" s="345"/>
      <c r="IOF4" s="345"/>
      <c r="IOG4" s="345"/>
      <c r="IOH4" s="345"/>
      <c r="IOI4" s="345"/>
      <c r="IOJ4" s="345"/>
      <c r="IOK4" s="345"/>
      <c r="IOL4" s="345"/>
      <c r="IOM4" s="345"/>
      <c r="ION4" s="345"/>
      <c r="IOO4" s="345"/>
      <c r="IOP4" s="345"/>
      <c r="IOQ4" s="345"/>
      <c r="IOR4" s="345"/>
      <c r="IOS4" s="345"/>
      <c r="IOT4" s="345"/>
      <c r="IOU4" s="345"/>
      <c r="IOV4" s="345"/>
      <c r="IOW4" s="345"/>
      <c r="IOX4" s="345"/>
      <c r="IOY4" s="345"/>
      <c r="IOZ4" s="345"/>
      <c r="IPA4" s="345"/>
      <c r="IPB4" s="345"/>
      <c r="IPC4" s="345"/>
      <c r="IPD4" s="345"/>
      <c r="IPE4" s="345"/>
      <c r="IPF4" s="345"/>
      <c r="IPG4" s="345"/>
      <c r="IPH4" s="345"/>
      <c r="IPI4" s="345"/>
      <c r="IPJ4" s="345"/>
      <c r="IPK4" s="345"/>
      <c r="IPL4" s="345"/>
      <c r="IPM4" s="345"/>
      <c r="IPN4" s="345"/>
      <c r="IPO4" s="345"/>
      <c r="IPP4" s="345"/>
      <c r="IPQ4" s="345"/>
      <c r="IPR4" s="345"/>
      <c r="IPS4" s="345"/>
      <c r="IPT4" s="345"/>
      <c r="IPU4" s="345"/>
      <c r="IPV4" s="345"/>
      <c r="IPW4" s="345"/>
      <c r="IPX4" s="345"/>
      <c r="IPY4" s="345"/>
      <c r="IPZ4" s="345"/>
      <c r="IQA4" s="345"/>
      <c r="IQB4" s="345"/>
      <c r="IQC4" s="345"/>
      <c r="IQD4" s="345"/>
      <c r="IQE4" s="345"/>
      <c r="IQF4" s="345"/>
      <c r="IQG4" s="345"/>
      <c r="IQH4" s="345"/>
      <c r="IQI4" s="345"/>
      <c r="IQJ4" s="345"/>
      <c r="IQK4" s="345"/>
      <c r="IQL4" s="345"/>
      <c r="IQM4" s="345"/>
      <c r="IQN4" s="345"/>
      <c r="IQO4" s="345"/>
      <c r="IQP4" s="345"/>
      <c r="IQQ4" s="345"/>
      <c r="IQR4" s="345"/>
      <c r="IQS4" s="345"/>
      <c r="IQT4" s="345"/>
      <c r="IQU4" s="345"/>
      <c r="IQV4" s="345"/>
      <c r="IQW4" s="345"/>
      <c r="IQX4" s="345"/>
      <c r="IQY4" s="345"/>
      <c r="IQZ4" s="345"/>
      <c r="IRA4" s="345"/>
      <c r="IRB4" s="345"/>
      <c r="IRC4" s="345"/>
      <c r="IRD4" s="345"/>
      <c r="IRE4" s="345"/>
      <c r="IRF4" s="345"/>
      <c r="IRG4" s="345"/>
      <c r="IRH4" s="345"/>
      <c r="IRI4" s="345"/>
      <c r="IRJ4" s="345"/>
      <c r="IRK4" s="345"/>
      <c r="IRL4" s="345"/>
      <c r="IRM4" s="345"/>
      <c r="IRN4" s="345"/>
      <c r="IRO4" s="345"/>
      <c r="IRP4" s="345"/>
      <c r="IRQ4" s="345"/>
      <c r="IRR4" s="345"/>
      <c r="IRS4" s="345"/>
      <c r="IRT4" s="345"/>
      <c r="IRU4" s="345"/>
      <c r="IRV4" s="345"/>
      <c r="IRW4" s="345"/>
      <c r="IRX4" s="345"/>
      <c r="IRY4" s="345"/>
      <c r="IRZ4" s="345"/>
      <c r="ISA4" s="345"/>
      <c r="ISB4" s="345"/>
      <c r="ISC4" s="345"/>
      <c r="ISD4" s="345"/>
      <c r="ISE4" s="345"/>
      <c r="ISF4" s="345"/>
      <c r="ISG4" s="345"/>
      <c r="ISH4" s="345"/>
      <c r="ISI4" s="345"/>
      <c r="ISJ4" s="345"/>
      <c r="ISK4" s="345"/>
      <c r="ISL4" s="345"/>
      <c r="ISM4" s="345"/>
      <c r="ISN4" s="345"/>
      <c r="ISO4" s="345"/>
      <c r="ISP4" s="345"/>
      <c r="ISQ4" s="345"/>
      <c r="ISR4" s="345"/>
      <c r="ISS4" s="345"/>
      <c r="IST4" s="345"/>
      <c r="ISU4" s="345"/>
      <c r="ISV4" s="345"/>
      <c r="ISW4" s="345"/>
      <c r="ISX4" s="345"/>
      <c r="ISY4" s="345"/>
      <c r="ISZ4" s="345"/>
      <c r="ITA4" s="345"/>
      <c r="ITB4" s="345"/>
      <c r="ITC4" s="345"/>
      <c r="ITD4" s="345"/>
      <c r="ITE4" s="345"/>
      <c r="ITF4" s="345"/>
      <c r="ITG4" s="345"/>
      <c r="ITH4" s="345"/>
      <c r="ITI4" s="345"/>
      <c r="ITJ4" s="345"/>
      <c r="ITK4" s="345"/>
      <c r="ITL4" s="345"/>
      <c r="ITM4" s="345"/>
      <c r="ITN4" s="345"/>
      <c r="ITO4" s="345"/>
      <c r="ITP4" s="345"/>
      <c r="ITQ4" s="345"/>
      <c r="ITR4" s="345"/>
      <c r="ITS4" s="345"/>
      <c r="ITT4" s="345"/>
      <c r="ITU4" s="345"/>
      <c r="ITV4" s="345"/>
      <c r="ITW4" s="345"/>
      <c r="ITX4" s="345"/>
      <c r="ITY4" s="345"/>
      <c r="ITZ4" s="345"/>
      <c r="IUA4" s="345"/>
      <c r="IUB4" s="345"/>
      <c r="IUC4" s="345"/>
      <c r="IUD4" s="345"/>
      <c r="IUE4" s="345"/>
      <c r="IUF4" s="345"/>
      <c r="IUG4" s="345"/>
      <c r="IUH4" s="345"/>
      <c r="IUI4" s="345"/>
      <c r="IUJ4" s="345"/>
      <c r="IUK4" s="345"/>
      <c r="IUL4" s="345"/>
      <c r="IUM4" s="345"/>
      <c r="IUN4" s="345"/>
      <c r="IUO4" s="345"/>
      <c r="IUP4" s="345"/>
      <c r="IUQ4" s="345"/>
      <c r="IUR4" s="345"/>
      <c r="IUS4" s="345"/>
      <c r="IUT4" s="345"/>
      <c r="IUU4" s="345"/>
      <c r="IUV4" s="345"/>
      <c r="IUW4" s="345"/>
      <c r="IUX4" s="345"/>
      <c r="IUY4" s="345"/>
      <c r="IUZ4" s="345"/>
      <c r="IVA4" s="345"/>
      <c r="IVB4" s="345"/>
      <c r="IVC4" s="345"/>
      <c r="IVD4" s="345"/>
      <c r="IVE4" s="345"/>
      <c r="IVF4" s="345"/>
      <c r="IVG4" s="345"/>
      <c r="IVH4" s="345"/>
      <c r="IVI4" s="345"/>
      <c r="IVJ4" s="345"/>
      <c r="IVK4" s="345"/>
      <c r="IVL4" s="345"/>
      <c r="IVM4" s="345"/>
      <c r="IVN4" s="345"/>
      <c r="IVO4" s="345"/>
      <c r="IVP4" s="345"/>
      <c r="IVQ4" s="345"/>
      <c r="IVR4" s="345"/>
      <c r="IVS4" s="345"/>
      <c r="IVT4" s="345"/>
      <c r="IVU4" s="345"/>
      <c r="IVV4" s="345"/>
      <c r="IVW4" s="345"/>
      <c r="IVX4" s="345"/>
      <c r="IVY4" s="345"/>
      <c r="IVZ4" s="345"/>
      <c r="IWA4" s="345"/>
      <c r="IWB4" s="345"/>
      <c r="IWC4" s="345"/>
      <c r="IWD4" s="345"/>
      <c r="IWE4" s="345"/>
      <c r="IWF4" s="345"/>
      <c r="IWG4" s="345"/>
      <c r="IWH4" s="345"/>
      <c r="IWI4" s="345"/>
      <c r="IWJ4" s="345"/>
      <c r="IWK4" s="345"/>
      <c r="IWL4" s="345"/>
      <c r="IWM4" s="345"/>
      <c r="IWN4" s="345"/>
      <c r="IWO4" s="345"/>
      <c r="IWP4" s="345"/>
      <c r="IWQ4" s="345"/>
      <c r="IWR4" s="345"/>
      <c r="IWS4" s="345"/>
      <c r="IWT4" s="345"/>
      <c r="IWU4" s="345"/>
      <c r="IWV4" s="345"/>
      <c r="IWW4" s="345"/>
      <c r="IWX4" s="345"/>
      <c r="IWY4" s="345"/>
      <c r="IWZ4" s="345"/>
      <c r="IXA4" s="345"/>
      <c r="IXB4" s="345"/>
      <c r="IXC4" s="345"/>
      <c r="IXD4" s="345"/>
      <c r="IXE4" s="345"/>
      <c r="IXF4" s="345"/>
      <c r="IXG4" s="345"/>
      <c r="IXH4" s="345"/>
      <c r="IXI4" s="345"/>
      <c r="IXJ4" s="345"/>
      <c r="IXK4" s="345"/>
      <c r="IXL4" s="345"/>
      <c r="IXM4" s="345"/>
      <c r="IXN4" s="345"/>
      <c r="IXO4" s="345"/>
      <c r="IXP4" s="345"/>
      <c r="IXQ4" s="345"/>
      <c r="IXR4" s="345"/>
      <c r="IXS4" s="345"/>
      <c r="IXT4" s="345"/>
      <c r="IXU4" s="345"/>
      <c r="IXV4" s="345"/>
      <c r="IXW4" s="345"/>
      <c r="IXX4" s="345"/>
      <c r="IXY4" s="345"/>
      <c r="IXZ4" s="345"/>
      <c r="IYA4" s="345"/>
      <c r="IYB4" s="345"/>
      <c r="IYC4" s="345"/>
      <c r="IYD4" s="345"/>
      <c r="IYE4" s="345"/>
      <c r="IYF4" s="345"/>
      <c r="IYG4" s="345"/>
      <c r="IYH4" s="345"/>
      <c r="IYI4" s="345"/>
      <c r="IYJ4" s="345"/>
      <c r="IYK4" s="345"/>
      <c r="IYL4" s="345"/>
      <c r="IYM4" s="345"/>
      <c r="IYN4" s="345"/>
      <c r="IYO4" s="345"/>
      <c r="IYP4" s="345"/>
      <c r="IYQ4" s="345"/>
      <c r="IYR4" s="345"/>
      <c r="IYS4" s="345"/>
      <c r="IYT4" s="345"/>
      <c r="IYU4" s="345"/>
      <c r="IYV4" s="345"/>
      <c r="IYW4" s="345"/>
      <c r="IYX4" s="345"/>
      <c r="IYY4" s="345"/>
      <c r="IYZ4" s="345"/>
      <c r="IZA4" s="345"/>
      <c r="IZB4" s="345"/>
      <c r="IZC4" s="345"/>
      <c r="IZD4" s="345"/>
      <c r="IZE4" s="345"/>
      <c r="IZF4" s="345"/>
      <c r="IZG4" s="345"/>
      <c r="IZH4" s="345"/>
      <c r="IZI4" s="345"/>
      <c r="IZJ4" s="345"/>
      <c r="IZK4" s="345"/>
      <c r="IZL4" s="345"/>
      <c r="IZM4" s="345"/>
      <c r="IZN4" s="345"/>
      <c r="IZO4" s="345"/>
      <c r="IZP4" s="345"/>
      <c r="IZQ4" s="345"/>
      <c r="IZR4" s="345"/>
      <c r="IZS4" s="345"/>
      <c r="IZT4" s="345"/>
      <c r="IZU4" s="345"/>
      <c r="IZV4" s="345"/>
      <c r="IZW4" s="345"/>
      <c r="IZX4" s="345"/>
      <c r="IZY4" s="345"/>
      <c r="IZZ4" s="345"/>
      <c r="JAA4" s="345"/>
      <c r="JAB4" s="345"/>
      <c r="JAC4" s="345"/>
      <c r="JAD4" s="345"/>
      <c r="JAE4" s="345"/>
      <c r="JAF4" s="345"/>
      <c r="JAG4" s="345"/>
      <c r="JAH4" s="345"/>
      <c r="JAI4" s="345"/>
      <c r="JAJ4" s="345"/>
      <c r="JAK4" s="345"/>
      <c r="JAL4" s="345"/>
      <c r="JAM4" s="345"/>
      <c r="JAN4" s="345"/>
      <c r="JAO4" s="345"/>
      <c r="JAP4" s="345"/>
      <c r="JAQ4" s="345"/>
      <c r="JAR4" s="345"/>
      <c r="JAS4" s="345"/>
      <c r="JAT4" s="345"/>
      <c r="JAU4" s="345"/>
      <c r="JAV4" s="345"/>
      <c r="JAW4" s="345"/>
      <c r="JAX4" s="345"/>
      <c r="JAY4" s="345"/>
      <c r="JAZ4" s="345"/>
      <c r="JBA4" s="345"/>
      <c r="JBB4" s="345"/>
      <c r="JBC4" s="345"/>
      <c r="JBD4" s="345"/>
      <c r="JBE4" s="345"/>
      <c r="JBF4" s="345"/>
      <c r="JBG4" s="345"/>
      <c r="JBH4" s="345"/>
      <c r="JBI4" s="345"/>
      <c r="JBJ4" s="345"/>
      <c r="JBK4" s="345"/>
      <c r="JBL4" s="345"/>
      <c r="JBM4" s="345"/>
      <c r="JBN4" s="345"/>
      <c r="JBO4" s="345"/>
      <c r="JBP4" s="345"/>
      <c r="JBQ4" s="345"/>
      <c r="JBR4" s="345"/>
      <c r="JBS4" s="345"/>
      <c r="JBT4" s="345"/>
      <c r="JBU4" s="345"/>
      <c r="JBV4" s="345"/>
      <c r="JBW4" s="345"/>
      <c r="JBX4" s="345"/>
      <c r="JBY4" s="345"/>
      <c r="JBZ4" s="345"/>
      <c r="JCA4" s="345"/>
      <c r="JCB4" s="345"/>
      <c r="JCC4" s="345"/>
      <c r="JCD4" s="345"/>
      <c r="JCE4" s="345"/>
      <c r="JCF4" s="345"/>
      <c r="JCG4" s="345"/>
      <c r="JCH4" s="345"/>
      <c r="JCI4" s="345"/>
      <c r="JCJ4" s="345"/>
      <c r="JCK4" s="345"/>
      <c r="JCL4" s="345"/>
      <c r="JCM4" s="345"/>
      <c r="JCN4" s="345"/>
      <c r="JCO4" s="345"/>
      <c r="JCP4" s="345"/>
      <c r="JCQ4" s="345"/>
      <c r="JCR4" s="345"/>
      <c r="JCS4" s="345"/>
      <c r="JCT4" s="345"/>
      <c r="JCU4" s="345"/>
      <c r="JCV4" s="345"/>
      <c r="JCW4" s="345"/>
      <c r="JCX4" s="345"/>
      <c r="JCY4" s="345"/>
      <c r="JCZ4" s="345"/>
      <c r="JDA4" s="345"/>
      <c r="JDB4" s="345"/>
      <c r="JDC4" s="345"/>
      <c r="JDD4" s="345"/>
      <c r="JDE4" s="345"/>
      <c r="JDF4" s="345"/>
      <c r="JDG4" s="345"/>
      <c r="JDH4" s="345"/>
      <c r="JDI4" s="345"/>
      <c r="JDJ4" s="345"/>
      <c r="JDK4" s="345"/>
      <c r="JDL4" s="345"/>
      <c r="JDM4" s="345"/>
      <c r="JDN4" s="345"/>
      <c r="JDO4" s="345"/>
      <c r="JDP4" s="345"/>
      <c r="JDQ4" s="345"/>
      <c r="JDR4" s="345"/>
      <c r="JDS4" s="345"/>
      <c r="JDT4" s="345"/>
      <c r="JDU4" s="345"/>
      <c r="JDV4" s="345"/>
      <c r="JDW4" s="345"/>
      <c r="JDX4" s="345"/>
      <c r="JDY4" s="345"/>
      <c r="JDZ4" s="345"/>
      <c r="JEA4" s="345"/>
      <c r="JEB4" s="345"/>
      <c r="JEC4" s="345"/>
      <c r="JED4" s="345"/>
      <c r="JEE4" s="345"/>
      <c r="JEF4" s="345"/>
      <c r="JEG4" s="345"/>
      <c r="JEH4" s="345"/>
      <c r="JEI4" s="345"/>
      <c r="JEJ4" s="345"/>
      <c r="JEK4" s="345"/>
      <c r="JEL4" s="345"/>
      <c r="JEM4" s="345"/>
      <c r="JEN4" s="345"/>
      <c r="JEO4" s="345"/>
      <c r="JEP4" s="345"/>
      <c r="JEQ4" s="345"/>
      <c r="JER4" s="345"/>
      <c r="JES4" s="345"/>
      <c r="JET4" s="345"/>
      <c r="JEU4" s="345"/>
      <c r="JEV4" s="345"/>
      <c r="JEW4" s="345"/>
      <c r="JEX4" s="345"/>
      <c r="JEY4" s="345"/>
      <c r="JEZ4" s="345"/>
      <c r="JFA4" s="345"/>
      <c r="JFB4" s="345"/>
      <c r="JFC4" s="345"/>
      <c r="JFD4" s="345"/>
      <c r="JFE4" s="345"/>
      <c r="JFF4" s="345"/>
      <c r="JFG4" s="345"/>
      <c r="JFH4" s="345"/>
      <c r="JFI4" s="345"/>
      <c r="JFJ4" s="345"/>
      <c r="JFK4" s="345"/>
      <c r="JFL4" s="345"/>
      <c r="JFM4" s="345"/>
      <c r="JFN4" s="345"/>
      <c r="JFO4" s="345"/>
      <c r="JFP4" s="345"/>
      <c r="JFQ4" s="345"/>
      <c r="JFR4" s="345"/>
      <c r="JFS4" s="345"/>
      <c r="JFT4" s="345"/>
      <c r="JFU4" s="345"/>
      <c r="JFV4" s="345"/>
      <c r="JFW4" s="345"/>
      <c r="JFX4" s="345"/>
      <c r="JFY4" s="345"/>
      <c r="JFZ4" s="345"/>
      <c r="JGA4" s="345"/>
      <c r="JGB4" s="345"/>
      <c r="JGC4" s="345"/>
      <c r="JGD4" s="345"/>
      <c r="JGE4" s="345"/>
      <c r="JGF4" s="345"/>
      <c r="JGG4" s="345"/>
      <c r="JGH4" s="345"/>
      <c r="JGI4" s="345"/>
      <c r="JGJ4" s="345"/>
      <c r="JGK4" s="345"/>
      <c r="JGL4" s="345"/>
      <c r="JGM4" s="345"/>
      <c r="JGN4" s="345"/>
      <c r="JGO4" s="345"/>
      <c r="JGP4" s="345"/>
      <c r="JGQ4" s="345"/>
      <c r="JGR4" s="345"/>
      <c r="JGS4" s="345"/>
      <c r="JGT4" s="345"/>
      <c r="JGU4" s="345"/>
      <c r="JGV4" s="345"/>
      <c r="JGW4" s="345"/>
      <c r="JGX4" s="345"/>
      <c r="JGY4" s="345"/>
      <c r="JGZ4" s="345"/>
      <c r="JHA4" s="345"/>
      <c r="JHB4" s="345"/>
      <c r="JHC4" s="345"/>
      <c r="JHD4" s="345"/>
      <c r="JHE4" s="345"/>
      <c r="JHF4" s="345"/>
      <c r="JHG4" s="345"/>
      <c r="JHH4" s="345"/>
      <c r="JHI4" s="345"/>
      <c r="JHJ4" s="345"/>
      <c r="JHK4" s="345"/>
      <c r="JHL4" s="345"/>
      <c r="JHM4" s="345"/>
      <c r="JHN4" s="345"/>
      <c r="JHO4" s="345"/>
      <c r="JHP4" s="345"/>
      <c r="JHQ4" s="345"/>
      <c r="JHR4" s="345"/>
      <c r="JHS4" s="345"/>
      <c r="JHT4" s="345"/>
      <c r="JHU4" s="345"/>
      <c r="JHV4" s="345"/>
      <c r="JHW4" s="345"/>
      <c r="JHX4" s="345"/>
      <c r="JHY4" s="345"/>
      <c r="JHZ4" s="345"/>
      <c r="JIA4" s="345"/>
      <c r="JIB4" s="345"/>
      <c r="JIC4" s="345"/>
      <c r="JID4" s="345"/>
      <c r="JIE4" s="345"/>
      <c r="JIF4" s="345"/>
      <c r="JIG4" s="345"/>
      <c r="JIH4" s="345"/>
      <c r="JII4" s="345"/>
      <c r="JIJ4" s="345"/>
      <c r="JIK4" s="345"/>
      <c r="JIL4" s="345"/>
      <c r="JIM4" s="345"/>
      <c r="JIN4" s="345"/>
      <c r="JIO4" s="345"/>
      <c r="JIP4" s="345"/>
      <c r="JIQ4" s="345"/>
      <c r="JIR4" s="345"/>
      <c r="JIS4" s="345"/>
      <c r="JIT4" s="345"/>
      <c r="JIU4" s="345"/>
      <c r="JIV4" s="345"/>
      <c r="JIW4" s="345"/>
      <c r="JIX4" s="345"/>
      <c r="JIY4" s="345"/>
      <c r="JIZ4" s="345"/>
      <c r="JJA4" s="345"/>
      <c r="JJB4" s="345"/>
      <c r="JJC4" s="345"/>
      <c r="JJD4" s="345"/>
      <c r="JJE4" s="345"/>
      <c r="JJF4" s="345"/>
      <c r="JJG4" s="345"/>
      <c r="JJH4" s="345"/>
      <c r="JJI4" s="345"/>
      <c r="JJJ4" s="345"/>
      <c r="JJK4" s="345"/>
      <c r="JJL4" s="345"/>
      <c r="JJM4" s="345"/>
      <c r="JJN4" s="345"/>
      <c r="JJO4" s="345"/>
      <c r="JJP4" s="345"/>
      <c r="JJQ4" s="345"/>
      <c r="JJR4" s="345"/>
      <c r="JJS4" s="345"/>
      <c r="JJT4" s="345"/>
      <c r="JJU4" s="345"/>
      <c r="JJV4" s="345"/>
      <c r="JJW4" s="345"/>
      <c r="JJX4" s="345"/>
      <c r="JJY4" s="345"/>
      <c r="JJZ4" s="345"/>
      <c r="JKA4" s="345"/>
      <c r="JKB4" s="345"/>
      <c r="JKC4" s="345"/>
      <c r="JKD4" s="345"/>
      <c r="JKE4" s="345"/>
      <c r="JKF4" s="345"/>
      <c r="JKG4" s="345"/>
      <c r="JKH4" s="345"/>
      <c r="JKI4" s="345"/>
      <c r="JKJ4" s="345"/>
      <c r="JKK4" s="345"/>
      <c r="JKL4" s="345"/>
      <c r="JKM4" s="345"/>
      <c r="JKN4" s="345"/>
      <c r="JKO4" s="345"/>
      <c r="JKP4" s="345"/>
      <c r="JKQ4" s="345"/>
      <c r="JKR4" s="345"/>
      <c r="JKS4" s="345"/>
      <c r="JKT4" s="345"/>
      <c r="JKU4" s="345"/>
      <c r="JKV4" s="345"/>
      <c r="JKW4" s="345"/>
      <c r="JKX4" s="345"/>
      <c r="JKY4" s="345"/>
      <c r="JKZ4" s="345"/>
      <c r="JLA4" s="345"/>
      <c r="JLB4" s="345"/>
      <c r="JLC4" s="345"/>
      <c r="JLD4" s="345"/>
      <c r="JLE4" s="345"/>
      <c r="JLF4" s="345"/>
      <c r="JLG4" s="345"/>
      <c r="JLH4" s="345"/>
      <c r="JLI4" s="345"/>
      <c r="JLJ4" s="345"/>
      <c r="JLK4" s="345"/>
      <c r="JLL4" s="345"/>
      <c r="JLM4" s="345"/>
      <c r="JLN4" s="345"/>
      <c r="JLO4" s="345"/>
      <c r="JLP4" s="345"/>
      <c r="JLQ4" s="345"/>
      <c r="JLR4" s="345"/>
      <c r="JLS4" s="345"/>
      <c r="JLT4" s="345"/>
      <c r="JLU4" s="345"/>
      <c r="JLV4" s="345"/>
      <c r="JLW4" s="345"/>
      <c r="JLX4" s="345"/>
      <c r="JLY4" s="345"/>
      <c r="JLZ4" s="345"/>
      <c r="JMA4" s="345"/>
      <c r="JMB4" s="345"/>
      <c r="JMC4" s="345"/>
      <c r="JMD4" s="345"/>
      <c r="JME4" s="345"/>
      <c r="JMF4" s="345"/>
      <c r="JMG4" s="345"/>
      <c r="JMH4" s="345"/>
      <c r="JMI4" s="345"/>
      <c r="JMJ4" s="345"/>
      <c r="JMK4" s="345"/>
      <c r="JML4" s="345"/>
      <c r="JMM4" s="345"/>
      <c r="JMN4" s="345"/>
      <c r="JMO4" s="345"/>
      <c r="JMP4" s="345"/>
      <c r="JMQ4" s="345"/>
      <c r="JMR4" s="345"/>
      <c r="JMS4" s="345"/>
      <c r="JMT4" s="345"/>
      <c r="JMU4" s="345"/>
      <c r="JMV4" s="345"/>
      <c r="JMW4" s="345"/>
      <c r="JMX4" s="345"/>
      <c r="JMY4" s="345"/>
      <c r="JMZ4" s="345"/>
      <c r="JNA4" s="345"/>
      <c r="JNB4" s="345"/>
      <c r="JNC4" s="345"/>
      <c r="JND4" s="345"/>
      <c r="JNE4" s="345"/>
      <c r="JNF4" s="345"/>
      <c r="JNG4" s="345"/>
      <c r="JNH4" s="345"/>
      <c r="JNI4" s="345"/>
      <c r="JNJ4" s="345"/>
      <c r="JNK4" s="345"/>
      <c r="JNL4" s="345"/>
      <c r="JNM4" s="345"/>
      <c r="JNN4" s="345"/>
      <c r="JNO4" s="345"/>
      <c r="JNP4" s="345"/>
      <c r="JNQ4" s="345"/>
      <c r="JNR4" s="345"/>
      <c r="JNS4" s="345"/>
      <c r="JNT4" s="345"/>
      <c r="JNU4" s="345"/>
      <c r="JNV4" s="345"/>
      <c r="JNW4" s="345"/>
      <c r="JNX4" s="345"/>
      <c r="JNY4" s="345"/>
      <c r="JNZ4" s="345"/>
      <c r="JOA4" s="345"/>
      <c r="JOB4" s="345"/>
      <c r="JOC4" s="345"/>
      <c r="JOD4" s="345"/>
      <c r="JOE4" s="345"/>
      <c r="JOF4" s="345"/>
      <c r="JOG4" s="345"/>
      <c r="JOH4" s="345"/>
      <c r="JOI4" s="345"/>
      <c r="JOJ4" s="345"/>
      <c r="JOK4" s="345"/>
      <c r="JOL4" s="345"/>
      <c r="JOM4" s="345"/>
      <c r="JON4" s="345"/>
      <c r="JOO4" s="345"/>
      <c r="JOP4" s="345"/>
      <c r="JOQ4" s="345"/>
      <c r="JOR4" s="345"/>
      <c r="JOS4" s="345"/>
      <c r="JOT4" s="345"/>
      <c r="JOU4" s="345"/>
      <c r="JOV4" s="345"/>
      <c r="JOW4" s="345"/>
      <c r="JOX4" s="345"/>
      <c r="JOY4" s="345"/>
      <c r="JOZ4" s="345"/>
      <c r="JPA4" s="345"/>
      <c r="JPB4" s="345"/>
      <c r="JPC4" s="345"/>
      <c r="JPD4" s="345"/>
      <c r="JPE4" s="345"/>
      <c r="JPF4" s="345"/>
      <c r="JPG4" s="345"/>
      <c r="JPH4" s="345"/>
      <c r="JPI4" s="345"/>
      <c r="JPJ4" s="345"/>
      <c r="JPK4" s="345"/>
      <c r="JPL4" s="345"/>
      <c r="JPM4" s="345"/>
      <c r="JPN4" s="345"/>
      <c r="JPO4" s="345"/>
      <c r="JPP4" s="345"/>
      <c r="JPQ4" s="345"/>
      <c r="JPR4" s="345"/>
      <c r="JPS4" s="345"/>
      <c r="JPT4" s="345"/>
      <c r="JPU4" s="345"/>
      <c r="JPV4" s="345"/>
      <c r="JPW4" s="345"/>
      <c r="JPX4" s="345"/>
      <c r="JPY4" s="345"/>
      <c r="JPZ4" s="345"/>
      <c r="JQA4" s="345"/>
      <c r="JQB4" s="345"/>
      <c r="JQC4" s="345"/>
      <c r="JQD4" s="345"/>
      <c r="JQE4" s="345"/>
      <c r="JQF4" s="345"/>
      <c r="JQG4" s="345"/>
      <c r="JQH4" s="345"/>
      <c r="JQI4" s="345"/>
      <c r="JQJ4" s="345"/>
      <c r="JQK4" s="345"/>
      <c r="JQL4" s="345"/>
      <c r="JQM4" s="345"/>
      <c r="JQN4" s="345"/>
      <c r="JQO4" s="345"/>
      <c r="JQP4" s="345"/>
      <c r="JQQ4" s="345"/>
      <c r="JQR4" s="345"/>
      <c r="JQS4" s="345"/>
      <c r="JQT4" s="345"/>
      <c r="JQU4" s="345"/>
      <c r="JQV4" s="345"/>
      <c r="JQW4" s="345"/>
      <c r="JQX4" s="345"/>
      <c r="JQY4" s="345"/>
      <c r="JQZ4" s="345"/>
      <c r="JRA4" s="345"/>
      <c r="JRB4" s="345"/>
      <c r="JRC4" s="345"/>
      <c r="JRD4" s="345"/>
      <c r="JRE4" s="345"/>
      <c r="JRF4" s="345"/>
      <c r="JRG4" s="345"/>
      <c r="JRH4" s="345"/>
      <c r="JRI4" s="345"/>
      <c r="JRJ4" s="345"/>
      <c r="JRK4" s="345"/>
      <c r="JRL4" s="345"/>
      <c r="JRM4" s="345"/>
      <c r="JRN4" s="345"/>
      <c r="JRO4" s="345"/>
      <c r="JRP4" s="345"/>
      <c r="JRQ4" s="345"/>
      <c r="JRR4" s="345"/>
      <c r="JRS4" s="345"/>
      <c r="JRT4" s="345"/>
      <c r="JRU4" s="345"/>
      <c r="JRV4" s="345"/>
      <c r="JRW4" s="345"/>
      <c r="JRX4" s="345"/>
      <c r="JRY4" s="345"/>
      <c r="JRZ4" s="345"/>
      <c r="JSA4" s="345"/>
      <c r="JSB4" s="345"/>
      <c r="JSC4" s="345"/>
      <c r="JSD4" s="345"/>
      <c r="JSE4" s="345"/>
      <c r="JSF4" s="345"/>
      <c r="JSG4" s="345"/>
      <c r="JSH4" s="345"/>
      <c r="JSI4" s="345"/>
      <c r="JSJ4" s="345"/>
      <c r="JSK4" s="345"/>
      <c r="JSL4" s="345"/>
      <c r="JSM4" s="345"/>
      <c r="JSN4" s="345"/>
      <c r="JSO4" s="345"/>
      <c r="JSP4" s="345"/>
      <c r="JSQ4" s="345"/>
      <c r="JSR4" s="345"/>
      <c r="JSS4" s="345"/>
      <c r="JST4" s="345"/>
      <c r="JSU4" s="345"/>
      <c r="JSV4" s="345"/>
      <c r="JSW4" s="345"/>
      <c r="JSX4" s="345"/>
      <c r="JSY4" s="345"/>
      <c r="JSZ4" s="345"/>
      <c r="JTA4" s="345"/>
      <c r="JTB4" s="345"/>
      <c r="JTC4" s="345"/>
      <c r="JTD4" s="345"/>
      <c r="JTE4" s="345"/>
      <c r="JTF4" s="345"/>
      <c r="JTG4" s="345"/>
      <c r="JTH4" s="345"/>
      <c r="JTI4" s="345"/>
      <c r="JTJ4" s="345"/>
      <c r="JTK4" s="345"/>
      <c r="JTL4" s="345"/>
      <c r="JTM4" s="345"/>
      <c r="JTN4" s="345"/>
      <c r="JTO4" s="345"/>
      <c r="JTP4" s="345"/>
      <c r="JTQ4" s="345"/>
      <c r="JTR4" s="345"/>
      <c r="JTS4" s="345"/>
      <c r="JTT4" s="345"/>
      <c r="JTU4" s="345"/>
      <c r="JTV4" s="345"/>
      <c r="JTW4" s="345"/>
      <c r="JTX4" s="345"/>
      <c r="JTY4" s="345"/>
      <c r="JTZ4" s="345"/>
      <c r="JUA4" s="345"/>
      <c r="JUB4" s="345"/>
      <c r="JUC4" s="345"/>
      <c r="JUD4" s="345"/>
      <c r="JUE4" s="345"/>
      <c r="JUF4" s="345"/>
      <c r="JUG4" s="345"/>
      <c r="JUH4" s="345"/>
      <c r="JUI4" s="345"/>
      <c r="JUJ4" s="345"/>
      <c r="JUK4" s="345"/>
      <c r="JUL4" s="345"/>
      <c r="JUM4" s="345"/>
      <c r="JUN4" s="345"/>
      <c r="JUO4" s="345"/>
      <c r="JUP4" s="345"/>
      <c r="JUQ4" s="345"/>
      <c r="JUR4" s="345"/>
      <c r="JUS4" s="345"/>
      <c r="JUT4" s="345"/>
      <c r="JUU4" s="345"/>
      <c r="JUV4" s="345"/>
      <c r="JUW4" s="345"/>
      <c r="JUX4" s="345"/>
      <c r="JUY4" s="345"/>
      <c r="JUZ4" s="345"/>
      <c r="JVA4" s="345"/>
      <c r="JVB4" s="345"/>
      <c r="JVC4" s="345"/>
      <c r="JVD4" s="345"/>
      <c r="JVE4" s="345"/>
      <c r="JVF4" s="345"/>
      <c r="JVG4" s="345"/>
      <c r="JVH4" s="345"/>
      <c r="JVI4" s="345"/>
      <c r="JVJ4" s="345"/>
      <c r="JVK4" s="345"/>
      <c r="JVL4" s="345"/>
      <c r="JVM4" s="345"/>
      <c r="JVN4" s="345"/>
      <c r="JVO4" s="345"/>
      <c r="JVP4" s="345"/>
      <c r="JVQ4" s="345"/>
      <c r="JVR4" s="345"/>
      <c r="JVS4" s="345"/>
      <c r="JVT4" s="345"/>
      <c r="JVU4" s="345"/>
      <c r="JVV4" s="345"/>
      <c r="JVW4" s="345"/>
      <c r="JVX4" s="345"/>
      <c r="JVY4" s="345"/>
      <c r="JVZ4" s="345"/>
      <c r="JWA4" s="345"/>
      <c r="JWB4" s="345"/>
      <c r="JWC4" s="345"/>
      <c r="JWD4" s="345"/>
      <c r="JWE4" s="345"/>
      <c r="JWF4" s="345"/>
      <c r="JWG4" s="345"/>
      <c r="JWH4" s="345"/>
      <c r="JWI4" s="345"/>
      <c r="JWJ4" s="345"/>
      <c r="JWK4" s="345"/>
      <c r="JWL4" s="345"/>
      <c r="JWM4" s="345"/>
      <c r="JWN4" s="345"/>
      <c r="JWO4" s="345"/>
      <c r="JWP4" s="345"/>
      <c r="JWQ4" s="345"/>
      <c r="JWR4" s="345"/>
      <c r="JWS4" s="345"/>
      <c r="JWT4" s="345"/>
      <c r="JWU4" s="345"/>
      <c r="JWV4" s="345"/>
      <c r="JWW4" s="345"/>
      <c r="JWX4" s="345"/>
      <c r="JWY4" s="345"/>
      <c r="JWZ4" s="345"/>
      <c r="JXA4" s="345"/>
      <c r="JXB4" s="345"/>
      <c r="JXC4" s="345"/>
      <c r="JXD4" s="345"/>
      <c r="JXE4" s="345"/>
      <c r="JXF4" s="345"/>
      <c r="JXG4" s="345"/>
      <c r="JXH4" s="345"/>
      <c r="JXI4" s="345"/>
      <c r="JXJ4" s="345"/>
      <c r="JXK4" s="345"/>
      <c r="JXL4" s="345"/>
      <c r="JXM4" s="345"/>
      <c r="JXN4" s="345"/>
      <c r="JXO4" s="345"/>
      <c r="JXP4" s="345"/>
      <c r="JXQ4" s="345"/>
      <c r="JXR4" s="345"/>
      <c r="JXS4" s="345"/>
      <c r="JXT4" s="345"/>
      <c r="JXU4" s="345"/>
      <c r="JXV4" s="345"/>
      <c r="JXW4" s="345"/>
      <c r="JXX4" s="345"/>
      <c r="JXY4" s="345"/>
      <c r="JXZ4" s="345"/>
      <c r="JYA4" s="345"/>
      <c r="JYB4" s="345"/>
      <c r="JYC4" s="345"/>
      <c r="JYD4" s="345"/>
      <c r="JYE4" s="345"/>
      <c r="JYF4" s="345"/>
      <c r="JYG4" s="345"/>
      <c r="JYH4" s="345"/>
      <c r="JYI4" s="345"/>
      <c r="JYJ4" s="345"/>
      <c r="JYK4" s="345"/>
      <c r="JYL4" s="345"/>
      <c r="JYM4" s="345"/>
      <c r="JYN4" s="345"/>
      <c r="JYO4" s="345"/>
      <c r="JYP4" s="345"/>
      <c r="JYQ4" s="345"/>
      <c r="JYR4" s="345"/>
      <c r="JYS4" s="345"/>
      <c r="JYT4" s="345"/>
      <c r="JYU4" s="345"/>
      <c r="JYV4" s="345"/>
      <c r="JYW4" s="345"/>
      <c r="JYX4" s="345"/>
      <c r="JYY4" s="345"/>
      <c r="JYZ4" s="345"/>
      <c r="JZA4" s="345"/>
      <c r="JZB4" s="345"/>
      <c r="JZC4" s="345"/>
      <c r="JZD4" s="345"/>
      <c r="JZE4" s="345"/>
      <c r="JZF4" s="345"/>
      <c r="JZG4" s="345"/>
      <c r="JZH4" s="345"/>
      <c r="JZI4" s="345"/>
      <c r="JZJ4" s="345"/>
      <c r="JZK4" s="345"/>
      <c r="JZL4" s="345"/>
      <c r="JZM4" s="345"/>
      <c r="JZN4" s="345"/>
      <c r="JZO4" s="345"/>
      <c r="JZP4" s="345"/>
      <c r="JZQ4" s="345"/>
      <c r="JZR4" s="345"/>
      <c r="JZS4" s="345"/>
      <c r="JZT4" s="345"/>
      <c r="JZU4" s="345"/>
      <c r="JZV4" s="345"/>
      <c r="JZW4" s="345"/>
      <c r="JZX4" s="345"/>
      <c r="JZY4" s="345"/>
      <c r="JZZ4" s="345"/>
      <c r="KAA4" s="345"/>
      <c r="KAB4" s="345"/>
      <c r="KAC4" s="345"/>
      <c r="KAD4" s="345"/>
      <c r="KAE4" s="345"/>
      <c r="KAF4" s="345"/>
      <c r="KAG4" s="345"/>
      <c r="KAH4" s="345"/>
      <c r="KAI4" s="345"/>
      <c r="KAJ4" s="345"/>
      <c r="KAK4" s="345"/>
      <c r="KAL4" s="345"/>
      <c r="KAM4" s="345"/>
      <c r="KAN4" s="345"/>
      <c r="KAO4" s="345"/>
      <c r="KAP4" s="345"/>
      <c r="KAQ4" s="345"/>
      <c r="KAR4" s="345"/>
      <c r="KAS4" s="345"/>
      <c r="KAT4" s="345"/>
      <c r="KAU4" s="345"/>
      <c r="KAV4" s="345"/>
      <c r="KAW4" s="345"/>
      <c r="KAX4" s="345"/>
      <c r="KAY4" s="345"/>
      <c r="KAZ4" s="345"/>
      <c r="KBA4" s="345"/>
      <c r="KBB4" s="345"/>
      <c r="KBC4" s="345"/>
      <c r="KBD4" s="345"/>
      <c r="KBE4" s="345"/>
      <c r="KBF4" s="345"/>
      <c r="KBG4" s="345"/>
      <c r="KBH4" s="345"/>
      <c r="KBI4" s="345"/>
      <c r="KBJ4" s="345"/>
      <c r="KBK4" s="345"/>
      <c r="KBL4" s="345"/>
      <c r="KBM4" s="345"/>
      <c r="KBN4" s="345"/>
      <c r="KBO4" s="345"/>
      <c r="KBP4" s="345"/>
      <c r="KBQ4" s="345"/>
      <c r="KBR4" s="345"/>
      <c r="KBS4" s="345"/>
      <c r="KBT4" s="345"/>
      <c r="KBU4" s="345"/>
      <c r="KBV4" s="345"/>
      <c r="KBW4" s="345"/>
      <c r="KBX4" s="345"/>
      <c r="KBY4" s="345"/>
      <c r="KBZ4" s="345"/>
      <c r="KCA4" s="345"/>
      <c r="KCB4" s="345"/>
      <c r="KCC4" s="345"/>
      <c r="KCD4" s="345"/>
      <c r="KCE4" s="345"/>
      <c r="KCF4" s="345"/>
      <c r="KCG4" s="345"/>
      <c r="KCH4" s="345"/>
      <c r="KCI4" s="345"/>
      <c r="KCJ4" s="345"/>
      <c r="KCK4" s="345"/>
      <c r="KCL4" s="345"/>
      <c r="KCM4" s="345"/>
      <c r="KCN4" s="345"/>
      <c r="KCO4" s="345"/>
      <c r="KCP4" s="345"/>
      <c r="KCQ4" s="345"/>
      <c r="KCR4" s="345"/>
      <c r="KCS4" s="345"/>
      <c r="KCT4" s="345"/>
      <c r="KCU4" s="345"/>
      <c r="KCV4" s="345"/>
      <c r="KCW4" s="345"/>
      <c r="KCX4" s="345"/>
      <c r="KCY4" s="345"/>
      <c r="KCZ4" s="345"/>
      <c r="KDA4" s="345"/>
      <c r="KDB4" s="345"/>
      <c r="KDC4" s="345"/>
      <c r="KDD4" s="345"/>
      <c r="KDE4" s="345"/>
      <c r="KDF4" s="345"/>
      <c r="KDG4" s="345"/>
      <c r="KDH4" s="345"/>
      <c r="KDI4" s="345"/>
      <c r="KDJ4" s="345"/>
      <c r="KDK4" s="345"/>
      <c r="KDL4" s="345"/>
      <c r="KDM4" s="345"/>
      <c r="KDN4" s="345"/>
      <c r="KDO4" s="345"/>
      <c r="KDP4" s="345"/>
      <c r="KDQ4" s="345"/>
      <c r="KDR4" s="345"/>
      <c r="KDS4" s="345"/>
      <c r="KDT4" s="345"/>
      <c r="KDU4" s="345"/>
      <c r="KDV4" s="345"/>
      <c r="KDW4" s="345"/>
      <c r="KDX4" s="345"/>
      <c r="KDY4" s="345"/>
      <c r="KDZ4" s="345"/>
      <c r="KEA4" s="345"/>
      <c r="KEB4" s="345"/>
      <c r="KEC4" s="345"/>
      <c r="KED4" s="345"/>
      <c r="KEE4" s="345"/>
      <c r="KEF4" s="345"/>
      <c r="KEG4" s="345"/>
      <c r="KEH4" s="345"/>
      <c r="KEI4" s="345"/>
      <c r="KEJ4" s="345"/>
      <c r="KEK4" s="345"/>
      <c r="KEL4" s="345"/>
      <c r="KEM4" s="345"/>
      <c r="KEN4" s="345"/>
      <c r="KEO4" s="345"/>
      <c r="KEP4" s="345"/>
      <c r="KEQ4" s="345"/>
      <c r="KER4" s="345"/>
      <c r="KES4" s="345"/>
      <c r="KET4" s="345"/>
      <c r="KEU4" s="345"/>
      <c r="KEV4" s="345"/>
      <c r="KEW4" s="345"/>
      <c r="KEX4" s="345"/>
      <c r="KEY4" s="345"/>
      <c r="KEZ4" s="345"/>
      <c r="KFA4" s="345"/>
      <c r="KFB4" s="345"/>
      <c r="KFC4" s="345"/>
      <c r="KFD4" s="345"/>
      <c r="KFE4" s="345"/>
      <c r="KFF4" s="345"/>
      <c r="KFG4" s="345"/>
      <c r="KFH4" s="345"/>
      <c r="KFI4" s="345"/>
      <c r="KFJ4" s="345"/>
      <c r="KFK4" s="345"/>
      <c r="KFL4" s="345"/>
      <c r="KFM4" s="345"/>
      <c r="KFN4" s="345"/>
      <c r="KFO4" s="345"/>
      <c r="KFP4" s="345"/>
      <c r="KFQ4" s="345"/>
      <c r="KFR4" s="345"/>
      <c r="KFS4" s="345"/>
      <c r="KFT4" s="345"/>
      <c r="KFU4" s="345"/>
      <c r="KFV4" s="345"/>
      <c r="KFW4" s="345"/>
      <c r="KFX4" s="345"/>
      <c r="KFY4" s="345"/>
      <c r="KFZ4" s="345"/>
      <c r="KGA4" s="345"/>
      <c r="KGB4" s="345"/>
      <c r="KGC4" s="345"/>
      <c r="KGD4" s="345"/>
      <c r="KGE4" s="345"/>
      <c r="KGF4" s="345"/>
      <c r="KGG4" s="345"/>
      <c r="KGH4" s="345"/>
      <c r="KGI4" s="345"/>
      <c r="KGJ4" s="345"/>
      <c r="KGK4" s="345"/>
      <c r="KGL4" s="345"/>
      <c r="KGM4" s="345"/>
      <c r="KGN4" s="345"/>
      <c r="KGO4" s="345"/>
      <c r="KGP4" s="345"/>
      <c r="KGQ4" s="345"/>
      <c r="KGR4" s="345"/>
      <c r="KGS4" s="345"/>
      <c r="KGT4" s="345"/>
      <c r="KGU4" s="345"/>
      <c r="KGV4" s="345"/>
      <c r="KGW4" s="345"/>
      <c r="KGX4" s="345"/>
      <c r="KGY4" s="345"/>
      <c r="KGZ4" s="345"/>
      <c r="KHA4" s="345"/>
      <c r="KHB4" s="345"/>
      <c r="KHC4" s="345"/>
      <c r="KHD4" s="345"/>
      <c r="KHE4" s="345"/>
      <c r="KHF4" s="345"/>
      <c r="KHG4" s="345"/>
      <c r="KHH4" s="345"/>
      <c r="KHI4" s="345"/>
      <c r="KHJ4" s="345"/>
      <c r="KHK4" s="345"/>
      <c r="KHL4" s="345"/>
      <c r="KHM4" s="345"/>
      <c r="KHN4" s="345"/>
      <c r="KHO4" s="345"/>
      <c r="KHP4" s="345"/>
      <c r="KHQ4" s="345"/>
      <c r="KHR4" s="345"/>
      <c r="KHS4" s="345"/>
      <c r="KHT4" s="345"/>
      <c r="KHU4" s="345"/>
      <c r="KHV4" s="345"/>
      <c r="KHW4" s="345"/>
      <c r="KHX4" s="345"/>
      <c r="KHY4" s="345"/>
      <c r="KHZ4" s="345"/>
      <c r="KIA4" s="345"/>
      <c r="KIB4" s="345"/>
      <c r="KIC4" s="345"/>
      <c r="KID4" s="345"/>
      <c r="KIE4" s="345"/>
      <c r="KIF4" s="345"/>
      <c r="KIG4" s="345"/>
      <c r="KIH4" s="345"/>
      <c r="KII4" s="345"/>
      <c r="KIJ4" s="345"/>
      <c r="KIK4" s="345"/>
      <c r="KIL4" s="345"/>
      <c r="KIM4" s="345"/>
      <c r="KIN4" s="345"/>
      <c r="KIO4" s="345"/>
      <c r="KIP4" s="345"/>
      <c r="KIQ4" s="345"/>
      <c r="KIR4" s="345"/>
      <c r="KIS4" s="345"/>
      <c r="KIT4" s="345"/>
      <c r="KIU4" s="345"/>
      <c r="KIV4" s="345"/>
      <c r="KIW4" s="345"/>
      <c r="KIX4" s="345"/>
      <c r="KIY4" s="345"/>
      <c r="KIZ4" s="345"/>
      <c r="KJA4" s="345"/>
      <c r="KJB4" s="345"/>
      <c r="KJC4" s="345"/>
      <c r="KJD4" s="345"/>
      <c r="KJE4" s="345"/>
      <c r="KJF4" s="345"/>
      <c r="KJG4" s="345"/>
      <c r="KJH4" s="345"/>
      <c r="KJI4" s="345"/>
      <c r="KJJ4" s="345"/>
      <c r="KJK4" s="345"/>
      <c r="KJL4" s="345"/>
      <c r="KJM4" s="345"/>
      <c r="KJN4" s="345"/>
      <c r="KJO4" s="345"/>
      <c r="KJP4" s="345"/>
      <c r="KJQ4" s="345"/>
      <c r="KJR4" s="345"/>
      <c r="KJS4" s="345"/>
      <c r="KJT4" s="345"/>
      <c r="KJU4" s="345"/>
      <c r="KJV4" s="345"/>
      <c r="KJW4" s="345"/>
      <c r="KJX4" s="345"/>
      <c r="KJY4" s="345"/>
      <c r="KJZ4" s="345"/>
      <c r="KKA4" s="345"/>
      <c r="KKB4" s="345"/>
      <c r="KKC4" s="345"/>
      <c r="KKD4" s="345"/>
      <c r="KKE4" s="345"/>
      <c r="KKF4" s="345"/>
      <c r="KKG4" s="345"/>
      <c r="KKH4" s="345"/>
      <c r="KKI4" s="345"/>
      <c r="KKJ4" s="345"/>
      <c r="KKK4" s="345"/>
      <c r="KKL4" s="345"/>
      <c r="KKM4" s="345"/>
      <c r="KKN4" s="345"/>
      <c r="KKO4" s="345"/>
      <c r="KKP4" s="345"/>
      <c r="KKQ4" s="345"/>
      <c r="KKR4" s="345"/>
      <c r="KKS4" s="345"/>
      <c r="KKT4" s="345"/>
      <c r="KKU4" s="345"/>
      <c r="KKV4" s="345"/>
      <c r="KKW4" s="345"/>
      <c r="KKX4" s="345"/>
      <c r="KKY4" s="345"/>
      <c r="KKZ4" s="345"/>
      <c r="KLA4" s="345"/>
      <c r="KLB4" s="345"/>
      <c r="KLC4" s="345"/>
      <c r="KLD4" s="345"/>
      <c r="KLE4" s="345"/>
      <c r="KLF4" s="345"/>
      <c r="KLG4" s="345"/>
      <c r="KLH4" s="345"/>
      <c r="KLI4" s="345"/>
      <c r="KLJ4" s="345"/>
      <c r="KLK4" s="345"/>
      <c r="KLL4" s="345"/>
      <c r="KLM4" s="345"/>
      <c r="KLN4" s="345"/>
      <c r="KLO4" s="345"/>
      <c r="KLP4" s="345"/>
      <c r="KLQ4" s="345"/>
      <c r="KLR4" s="345"/>
      <c r="KLS4" s="345"/>
      <c r="KLT4" s="345"/>
      <c r="KLU4" s="345"/>
      <c r="KLV4" s="345"/>
      <c r="KLW4" s="345"/>
      <c r="KLX4" s="345"/>
      <c r="KLY4" s="345"/>
      <c r="KLZ4" s="345"/>
      <c r="KMA4" s="345"/>
      <c r="KMB4" s="345"/>
      <c r="KMC4" s="345"/>
      <c r="KMD4" s="345"/>
      <c r="KME4" s="345"/>
      <c r="KMF4" s="345"/>
      <c r="KMG4" s="345"/>
      <c r="KMH4" s="345"/>
      <c r="KMI4" s="345"/>
      <c r="KMJ4" s="345"/>
      <c r="KMK4" s="345"/>
      <c r="KML4" s="345"/>
      <c r="KMM4" s="345"/>
      <c r="KMN4" s="345"/>
      <c r="KMO4" s="345"/>
      <c r="KMP4" s="345"/>
      <c r="KMQ4" s="345"/>
      <c r="KMR4" s="345"/>
      <c r="KMS4" s="345"/>
      <c r="KMT4" s="345"/>
      <c r="KMU4" s="345"/>
      <c r="KMV4" s="345"/>
      <c r="KMW4" s="345"/>
      <c r="KMX4" s="345"/>
      <c r="KMY4" s="345"/>
      <c r="KMZ4" s="345"/>
      <c r="KNA4" s="345"/>
      <c r="KNB4" s="345"/>
      <c r="KNC4" s="345"/>
      <c r="KND4" s="345"/>
      <c r="KNE4" s="345"/>
      <c r="KNF4" s="345"/>
      <c r="KNG4" s="345"/>
      <c r="KNH4" s="345"/>
      <c r="KNI4" s="345"/>
      <c r="KNJ4" s="345"/>
      <c r="KNK4" s="345"/>
      <c r="KNL4" s="345"/>
      <c r="KNM4" s="345"/>
      <c r="KNN4" s="345"/>
      <c r="KNO4" s="345"/>
      <c r="KNP4" s="345"/>
      <c r="KNQ4" s="345"/>
      <c r="KNR4" s="345"/>
      <c r="KNS4" s="345"/>
      <c r="KNT4" s="345"/>
      <c r="KNU4" s="345"/>
      <c r="KNV4" s="345"/>
      <c r="KNW4" s="345"/>
      <c r="KNX4" s="345"/>
      <c r="KNY4" s="345"/>
      <c r="KNZ4" s="345"/>
      <c r="KOA4" s="345"/>
      <c r="KOB4" s="345"/>
      <c r="KOC4" s="345"/>
      <c r="KOD4" s="345"/>
      <c r="KOE4" s="345"/>
      <c r="KOF4" s="345"/>
      <c r="KOG4" s="345"/>
      <c r="KOH4" s="345"/>
      <c r="KOI4" s="345"/>
      <c r="KOJ4" s="345"/>
      <c r="KOK4" s="345"/>
      <c r="KOL4" s="345"/>
      <c r="KOM4" s="345"/>
      <c r="KON4" s="345"/>
      <c r="KOO4" s="345"/>
      <c r="KOP4" s="345"/>
      <c r="KOQ4" s="345"/>
      <c r="KOR4" s="345"/>
      <c r="KOS4" s="345"/>
      <c r="KOT4" s="345"/>
      <c r="KOU4" s="345"/>
      <c r="KOV4" s="345"/>
      <c r="KOW4" s="345"/>
      <c r="KOX4" s="345"/>
      <c r="KOY4" s="345"/>
      <c r="KOZ4" s="345"/>
      <c r="KPA4" s="345"/>
      <c r="KPB4" s="345"/>
      <c r="KPC4" s="345"/>
      <c r="KPD4" s="345"/>
      <c r="KPE4" s="345"/>
      <c r="KPF4" s="345"/>
      <c r="KPG4" s="345"/>
      <c r="KPH4" s="345"/>
      <c r="KPI4" s="345"/>
      <c r="KPJ4" s="345"/>
      <c r="KPK4" s="345"/>
      <c r="KPL4" s="345"/>
      <c r="KPM4" s="345"/>
      <c r="KPN4" s="345"/>
      <c r="KPO4" s="345"/>
      <c r="KPP4" s="345"/>
      <c r="KPQ4" s="345"/>
      <c r="KPR4" s="345"/>
      <c r="KPS4" s="345"/>
      <c r="KPT4" s="345"/>
      <c r="KPU4" s="345"/>
      <c r="KPV4" s="345"/>
      <c r="KPW4" s="345"/>
      <c r="KPX4" s="345"/>
      <c r="KPY4" s="345"/>
      <c r="KPZ4" s="345"/>
      <c r="KQA4" s="345"/>
      <c r="KQB4" s="345"/>
      <c r="KQC4" s="345"/>
      <c r="KQD4" s="345"/>
      <c r="KQE4" s="345"/>
      <c r="KQF4" s="345"/>
      <c r="KQG4" s="345"/>
      <c r="KQH4" s="345"/>
      <c r="KQI4" s="345"/>
      <c r="KQJ4" s="345"/>
      <c r="KQK4" s="345"/>
      <c r="KQL4" s="345"/>
      <c r="KQM4" s="345"/>
      <c r="KQN4" s="345"/>
      <c r="KQO4" s="345"/>
      <c r="KQP4" s="345"/>
      <c r="KQQ4" s="345"/>
      <c r="KQR4" s="345"/>
      <c r="KQS4" s="345"/>
      <c r="KQT4" s="345"/>
      <c r="KQU4" s="345"/>
      <c r="KQV4" s="345"/>
      <c r="KQW4" s="345"/>
      <c r="KQX4" s="345"/>
      <c r="KQY4" s="345"/>
      <c r="KQZ4" s="345"/>
      <c r="KRA4" s="345"/>
      <c r="KRB4" s="345"/>
      <c r="KRC4" s="345"/>
      <c r="KRD4" s="345"/>
      <c r="KRE4" s="345"/>
      <c r="KRF4" s="345"/>
      <c r="KRG4" s="345"/>
      <c r="KRH4" s="345"/>
      <c r="KRI4" s="345"/>
      <c r="KRJ4" s="345"/>
      <c r="KRK4" s="345"/>
      <c r="KRL4" s="345"/>
      <c r="KRM4" s="345"/>
      <c r="KRN4" s="345"/>
      <c r="KRO4" s="345"/>
      <c r="KRP4" s="345"/>
      <c r="KRQ4" s="345"/>
      <c r="KRR4" s="345"/>
      <c r="KRS4" s="345"/>
      <c r="KRT4" s="345"/>
      <c r="KRU4" s="345"/>
      <c r="KRV4" s="345"/>
      <c r="KRW4" s="345"/>
      <c r="KRX4" s="345"/>
      <c r="KRY4" s="345"/>
      <c r="KRZ4" s="345"/>
      <c r="KSA4" s="345"/>
      <c r="KSB4" s="345"/>
      <c r="KSC4" s="345"/>
      <c r="KSD4" s="345"/>
      <c r="KSE4" s="345"/>
      <c r="KSF4" s="345"/>
      <c r="KSG4" s="345"/>
      <c r="KSH4" s="345"/>
      <c r="KSI4" s="345"/>
      <c r="KSJ4" s="345"/>
      <c r="KSK4" s="345"/>
      <c r="KSL4" s="345"/>
      <c r="KSM4" s="345"/>
      <c r="KSN4" s="345"/>
      <c r="KSO4" s="345"/>
      <c r="KSP4" s="345"/>
      <c r="KSQ4" s="345"/>
      <c r="KSR4" s="345"/>
      <c r="KSS4" s="345"/>
      <c r="KST4" s="345"/>
      <c r="KSU4" s="345"/>
      <c r="KSV4" s="345"/>
      <c r="KSW4" s="345"/>
      <c r="KSX4" s="345"/>
      <c r="KSY4" s="345"/>
      <c r="KSZ4" s="345"/>
      <c r="KTA4" s="345"/>
      <c r="KTB4" s="345"/>
      <c r="KTC4" s="345"/>
      <c r="KTD4" s="345"/>
      <c r="KTE4" s="345"/>
      <c r="KTF4" s="345"/>
      <c r="KTG4" s="345"/>
      <c r="KTH4" s="345"/>
      <c r="KTI4" s="345"/>
      <c r="KTJ4" s="345"/>
      <c r="KTK4" s="345"/>
      <c r="KTL4" s="345"/>
      <c r="KTM4" s="345"/>
      <c r="KTN4" s="345"/>
      <c r="KTO4" s="345"/>
      <c r="KTP4" s="345"/>
      <c r="KTQ4" s="345"/>
      <c r="KTR4" s="345"/>
      <c r="KTS4" s="345"/>
      <c r="KTT4" s="345"/>
      <c r="KTU4" s="345"/>
      <c r="KTV4" s="345"/>
      <c r="KTW4" s="345"/>
      <c r="KTX4" s="345"/>
      <c r="KTY4" s="345"/>
      <c r="KTZ4" s="345"/>
      <c r="KUA4" s="345"/>
      <c r="KUB4" s="345"/>
      <c r="KUC4" s="345"/>
      <c r="KUD4" s="345"/>
      <c r="KUE4" s="345"/>
      <c r="KUF4" s="345"/>
      <c r="KUG4" s="345"/>
      <c r="KUH4" s="345"/>
      <c r="KUI4" s="345"/>
      <c r="KUJ4" s="345"/>
      <c r="KUK4" s="345"/>
      <c r="KUL4" s="345"/>
      <c r="KUM4" s="345"/>
      <c r="KUN4" s="345"/>
      <c r="KUO4" s="345"/>
      <c r="KUP4" s="345"/>
      <c r="KUQ4" s="345"/>
      <c r="KUR4" s="345"/>
      <c r="KUS4" s="345"/>
      <c r="KUT4" s="345"/>
      <c r="KUU4" s="345"/>
      <c r="KUV4" s="345"/>
      <c r="KUW4" s="345"/>
      <c r="KUX4" s="345"/>
      <c r="KUY4" s="345"/>
      <c r="KUZ4" s="345"/>
      <c r="KVA4" s="345"/>
      <c r="KVB4" s="345"/>
      <c r="KVC4" s="345"/>
      <c r="KVD4" s="345"/>
      <c r="KVE4" s="345"/>
      <c r="KVF4" s="345"/>
      <c r="KVG4" s="345"/>
      <c r="KVH4" s="345"/>
      <c r="KVI4" s="345"/>
      <c r="KVJ4" s="345"/>
      <c r="KVK4" s="345"/>
      <c r="KVL4" s="345"/>
      <c r="KVM4" s="345"/>
      <c r="KVN4" s="345"/>
      <c r="KVO4" s="345"/>
      <c r="KVP4" s="345"/>
      <c r="KVQ4" s="345"/>
      <c r="KVR4" s="345"/>
      <c r="KVS4" s="345"/>
      <c r="KVT4" s="345"/>
      <c r="KVU4" s="345"/>
      <c r="KVV4" s="345"/>
      <c r="KVW4" s="345"/>
      <c r="KVX4" s="345"/>
      <c r="KVY4" s="345"/>
      <c r="KVZ4" s="345"/>
      <c r="KWA4" s="345"/>
      <c r="KWB4" s="345"/>
      <c r="KWC4" s="345"/>
      <c r="KWD4" s="345"/>
      <c r="KWE4" s="345"/>
      <c r="KWF4" s="345"/>
      <c r="KWG4" s="345"/>
      <c r="KWH4" s="345"/>
      <c r="KWI4" s="345"/>
      <c r="KWJ4" s="345"/>
      <c r="KWK4" s="345"/>
      <c r="KWL4" s="345"/>
      <c r="KWM4" s="345"/>
      <c r="KWN4" s="345"/>
      <c r="KWO4" s="345"/>
      <c r="KWP4" s="345"/>
      <c r="KWQ4" s="345"/>
      <c r="KWR4" s="345"/>
      <c r="KWS4" s="345"/>
      <c r="KWT4" s="345"/>
      <c r="KWU4" s="345"/>
      <c r="KWV4" s="345"/>
      <c r="KWW4" s="345"/>
      <c r="KWX4" s="345"/>
      <c r="KWY4" s="345"/>
      <c r="KWZ4" s="345"/>
      <c r="KXA4" s="345"/>
      <c r="KXB4" s="345"/>
      <c r="KXC4" s="345"/>
      <c r="KXD4" s="345"/>
      <c r="KXE4" s="345"/>
      <c r="KXF4" s="345"/>
      <c r="KXG4" s="345"/>
      <c r="KXH4" s="345"/>
      <c r="KXI4" s="345"/>
      <c r="KXJ4" s="345"/>
      <c r="KXK4" s="345"/>
      <c r="KXL4" s="345"/>
      <c r="KXM4" s="345"/>
      <c r="KXN4" s="345"/>
      <c r="KXO4" s="345"/>
      <c r="KXP4" s="345"/>
      <c r="KXQ4" s="345"/>
      <c r="KXR4" s="345"/>
      <c r="KXS4" s="345"/>
      <c r="KXT4" s="345"/>
      <c r="KXU4" s="345"/>
      <c r="KXV4" s="345"/>
      <c r="KXW4" s="345"/>
      <c r="KXX4" s="345"/>
      <c r="KXY4" s="345"/>
      <c r="KXZ4" s="345"/>
      <c r="KYA4" s="345"/>
      <c r="KYB4" s="345"/>
      <c r="KYC4" s="345"/>
      <c r="KYD4" s="345"/>
      <c r="KYE4" s="345"/>
      <c r="KYF4" s="345"/>
      <c r="KYG4" s="345"/>
      <c r="KYH4" s="345"/>
      <c r="KYI4" s="345"/>
      <c r="KYJ4" s="345"/>
      <c r="KYK4" s="345"/>
      <c r="KYL4" s="345"/>
      <c r="KYM4" s="345"/>
      <c r="KYN4" s="345"/>
      <c r="KYO4" s="345"/>
      <c r="KYP4" s="345"/>
      <c r="KYQ4" s="345"/>
      <c r="KYR4" s="345"/>
      <c r="KYS4" s="345"/>
      <c r="KYT4" s="345"/>
      <c r="KYU4" s="345"/>
      <c r="KYV4" s="345"/>
      <c r="KYW4" s="345"/>
      <c r="KYX4" s="345"/>
      <c r="KYY4" s="345"/>
      <c r="KYZ4" s="345"/>
      <c r="KZA4" s="345"/>
      <c r="KZB4" s="345"/>
      <c r="KZC4" s="345"/>
      <c r="KZD4" s="345"/>
      <c r="KZE4" s="345"/>
      <c r="KZF4" s="345"/>
      <c r="KZG4" s="345"/>
      <c r="KZH4" s="345"/>
      <c r="KZI4" s="345"/>
      <c r="KZJ4" s="345"/>
      <c r="KZK4" s="345"/>
      <c r="KZL4" s="345"/>
      <c r="KZM4" s="345"/>
      <c r="KZN4" s="345"/>
      <c r="KZO4" s="345"/>
      <c r="KZP4" s="345"/>
      <c r="KZQ4" s="345"/>
      <c r="KZR4" s="345"/>
      <c r="KZS4" s="345"/>
      <c r="KZT4" s="345"/>
      <c r="KZU4" s="345"/>
      <c r="KZV4" s="345"/>
      <c r="KZW4" s="345"/>
      <c r="KZX4" s="345"/>
      <c r="KZY4" s="345"/>
      <c r="KZZ4" s="345"/>
      <c r="LAA4" s="345"/>
      <c r="LAB4" s="345"/>
      <c r="LAC4" s="345"/>
      <c r="LAD4" s="345"/>
      <c r="LAE4" s="345"/>
      <c r="LAF4" s="345"/>
      <c r="LAG4" s="345"/>
      <c r="LAH4" s="345"/>
      <c r="LAI4" s="345"/>
      <c r="LAJ4" s="345"/>
      <c r="LAK4" s="345"/>
      <c r="LAL4" s="345"/>
      <c r="LAM4" s="345"/>
      <c r="LAN4" s="345"/>
      <c r="LAO4" s="345"/>
      <c r="LAP4" s="345"/>
      <c r="LAQ4" s="345"/>
      <c r="LAR4" s="345"/>
      <c r="LAS4" s="345"/>
      <c r="LAT4" s="345"/>
      <c r="LAU4" s="345"/>
      <c r="LAV4" s="345"/>
      <c r="LAW4" s="345"/>
      <c r="LAX4" s="345"/>
      <c r="LAY4" s="345"/>
      <c r="LAZ4" s="345"/>
      <c r="LBA4" s="345"/>
      <c r="LBB4" s="345"/>
      <c r="LBC4" s="345"/>
      <c r="LBD4" s="345"/>
      <c r="LBE4" s="345"/>
      <c r="LBF4" s="345"/>
      <c r="LBG4" s="345"/>
      <c r="LBH4" s="345"/>
      <c r="LBI4" s="345"/>
      <c r="LBJ4" s="345"/>
      <c r="LBK4" s="345"/>
      <c r="LBL4" s="345"/>
      <c r="LBM4" s="345"/>
      <c r="LBN4" s="345"/>
      <c r="LBO4" s="345"/>
      <c r="LBP4" s="345"/>
      <c r="LBQ4" s="345"/>
      <c r="LBR4" s="345"/>
      <c r="LBS4" s="345"/>
      <c r="LBT4" s="345"/>
      <c r="LBU4" s="345"/>
      <c r="LBV4" s="345"/>
      <c r="LBW4" s="345"/>
      <c r="LBX4" s="345"/>
      <c r="LBY4" s="345"/>
      <c r="LBZ4" s="345"/>
      <c r="LCA4" s="345"/>
      <c r="LCB4" s="345"/>
      <c r="LCC4" s="345"/>
      <c r="LCD4" s="345"/>
      <c r="LCE4" s="345"/>
      <c r="LCF4" s="345"/>
      <c r="LCG4" s="345"/>
      <c r="LCH4" s="345"/>
      <c r="LCI4" s="345"/>
      <c r="LCJ4" s="345"/>
      <c r="LCK4" s="345"/>
      <c r="LCL4" s="345"/>
      <c r="LCM4" s="345"/>
      <c r="LCN4" s="345"/>
      <c r="LCO4" s="345"/>
      <c r="LCP4" s="345"/>
      <c r="LCQ4" s="345"/>
      <c r="LCR4" s="345"/>
      <c r="LCS4" s="345"/>
      <c r="LCT4" s="345"/>
      <c r="LCU4" s="345"/>
      <c r="LCV4" s="345"/>
      <c r="LCW4" s="345"/>
      <c r="LCX4" s="345"/>
      <c r="LCY4" s="345"/>
      <c r="LCZ4" s="345"/>
      <c r="LDA4" s="345"/>
      <c r="LDB4" s="345"/>
      <c r="LDC4" s="345"/>
      <c r="LDD4" s="345"/>
      <c r="LDE4" s="345"/>
      <c r="LDF4" s="345"/>
      <c r="LDG4" s="345"/>
      <c r="LDH4" s="345"/>
      <c r="LDI4" s="345"/>
      <c r="LDJ4" s="345"/>
      <c r="LDK4" s="345"/>
      <c r="LDL4" s="345"/>
      <c r="LDM4" s="345"/>
      <c r="LDN4" s="345"/>
      <c r="LDO4" s="345"/>
      <c r="LDP4" s="345"/>
      <c r="LDQ4" s="345"/>
      <c r="LDR4" s="345"/>
      <c r="LDS4" s="345"/>
      <c r="LDT4" s="345"/>
      <c r="LDU4" s="345"/>
      <c r="LDV4" s="345"/>
      <c r="LDW4" s="345"/>
      <c r="LDX4" s="345"/>
      <c r="LDY4" s="345"/>
      <c r="LDZ4" s="345"/>
      <c r="LEA4" s="345"/>
      <c r="LEB4" s="345"/>
      <c r="LEC4" s="345"/>
      <c r="LED4" s="345"/>
      <c r="LEE4" s="345"/>
      <c r="LEF4" s="345"/>
      <c r="LEG4" s="345"/>
      <c r="LEH4" s="345"/>
      <c r="LEI4" s="345"/>
      <c r="LEJ4" s="345"/>
      <c r="LEK4" s="345"/>
      <c r="LEL4" s="345"/>
      <c r="LEM4" s="345"/>
      <c r="LEN4" s="345"/>
      <c r="LEO4" s="345"/>
      <c r="LEP4" s="345"/>
      <c r="LEQ4" s="345"/>
      <c r="LER4" s="345"/>
      <c r="LES4" s="345"/>
      <c r="LET4" s="345"/>
      <c r="LEU4" s="345"/>
      <c r="LEV4" s="345"/>
      <c r="LEW4" s="345"/>
      <c r="LEX4" s="345"/>
      <c r="LEY4" s="345"/>
      <c r="LEZ4" s="345"/>
      <c r="LFA4" s="345"/>
      <c r="LFB4" s="345"/>
      <c r="LFC4" s="345"/>
      <c r="LFD4" s="345"/>
      <c r="LFE4" s="345"/>
      <c r="LFF4" s="345"/>
      <c r="LFG4" s="345"/>
      <c r="LFH4" s="345"/>
      <c r="LFI4" s="345"/>
      <c r="LFJ4" s="345"/>
      <c r="LFK4" s="345"/>
      <c r="LFL4" s="345"/>
      <c r="LFM4" s="345"/>
      <c r="LFN4" s="345"/>
      <c r="LFO4" s="345"/>
      <c r="LFP4" s="345"/>
      <c r="LFQ4" s="345"/>
      <c r="LFR4" s="345"/>
      <c r="LFS4" s="345"/>
      <c r="LFT4" s="345"/>
      <c r="LFU4" s="345"/>
      <c r="LFV4" s="345"/>
      <c r="LFW4" s="345"/>
      <c r="LFX4" s="345"/>
      <c r="LFY4" s="345"/>
      <c r="LFZ4" s="345"/>
      <c r="LGA4" s="345"/>
      <c r="LGB4" s="345"/>
      <c r="LGC4" s="345"/>
      <c r="LGD4" s="345"/>
      <c r="LGE4" s="345"/>
      <c r="LGF4" s="345"/>
      <c r="LGG4" s="345"/>
      <c r="LGH4" s="345"/>
      <c r="LGI4" s="345"/>
      <c r="LGJ4" s="345"/>
      <c r="LGK4" s="345"/>
      <c r="LGL4" s="345"/>
      <c r="LGM4" s="345"/>
      <c r="LGN4" s="345"/>
      <c r="LGO4" s="345"/>
      <c r="LGP4" s="345"/>
      <c r="LGQ4" s="345"/>
      <c r="LGR4" s="345"/>
      <c r="LGS4" s="345"/>
      <c r="LGT4" s="345"/>
      <c r="LGU4" s="345"/>
      <c r="LGV4" s="345"/>
      <c r="LGW4" s="345"/>
      <c r="LGX4" s="345"/>
      <c r="LGY4" s="345"/>
      <c r="LGZ4" s="345"/>
      <c r="LHA4" s="345"/>
      <c r="LHB4" s="345"/>
      <c r="LHC4" s="345"/>
      <c r="LHD4" s="345"/>
      <c r="LHE4" s="345"/>
      <c r="LHF4" s="345"/>
      <c r="LHG4" s="345"/>
      <c r="LHH4" s="345"/>
      <c r="LHI4" s="345"/>
      <c r="LHJ4" s="345"/>
      <c r="LHK4" s="345"/>
      <c r="LHL4" s="345"/>
      <c r="LHM4" s="345"/>
      <c r="LHN4" s="345"/>
      <c r="LHO4" s="345"/>
      <c r="LHP4" s="345"/>
      <c r="LHQ4" s="345"/>
      <c r="LHR4" s="345"/>
      <c r="LHS4" s="345"/>
      <c r="LHT4" s="345"/>
      <c r="LHU4" s="345"/>
      <c r="LHV4" s="345"/>
      <c r="LHW4" s="345"/>
      <c r="LHX4" s="345"/>
      <c r="LHY4" s="345"/>
      <c r="LHZ4" s="345"/>
      <c r="LIA4" s="345"/>
      <c r="LIB4" s="345"/>
      <c r="LIC4" s="345"/>
      <c r="LID4" s="345"/>
      <c r="LIE4" s="345"/>
      <c r="LIF4" s="345"/>
      <c r="LIG4" s="345"/>
      <c r="LIH4" s="345"/>
      <c r="LII4" s="345"/>
      <c r="LIJ4" s="345"/>
      <c r="LIK4" s="345"/>
      <c r="LIL4" s="345"/>
      <c r="LIM4" s="345"/>
      <c r="LIN4" s="345"/>
      <c r="LIO4" s="345"/>
      <c r="LIP4" s="345"/>
      <c r="LIQ4" s="345"/>
      <c r="LIR4" s="345"/>
      <c r="LIS4" s="345"/>
      <c r="LIT4" s="345"/>
      <c r="LIU4" s="345"/>
      <c r="LIV4" s="345"/>
      <c r="LIW4" s="345"/>
      <c r="LIX4" s="345"/>
      <c r="LIY4" s="345"/>
      <c r="LIZ4" s="345"/>
      <c r="LJA4" s="345"/>
      <c r="LJB4" s="345"/>
      <c r="LJC4" s="345"/>
      <c r="LJD4" s="345"/>
      <c r="LJE4" s="345"/>
      <c r="LJF4" s="345"/>
      <c r="LJG4" s="345"/>
      <c r="LJH4" s="345"/>
      <c r="LJI4" s="345"/>
      <c r="LJJ4" s="345"/>
      <c r="LJK4" s="345"/>
      <c r="LJL4" s="345"/>
      <c r="LJM4" s="345"/>
      <c r="LJN4" s="345"/>
      <c r="LJO4" s="345"/>
      <c r="LJP4" s="345"/>
      <c r="LJQ4" s="345"/>
      <c r="LJR4" s="345"/>
      <c r="LJS4" s="345"/>
      <c r="LJT4" s="345"/>
      <c r="LJU4" s="345"/>
      <c r="LJV4" s="345"/>
      <c r="LJW4" s="345"/>
      <c r="LJX4" s="345"/>
      <c r="LJY4" s="345"/>
      <c r="LJZ4" s="345"/>
      <c r="LKA4" s="345"/>
      <c r="LKB4" s="345"/>
      <c r="LKC4" s="345"/>
      <c r="LKD4" s="345"/>
      <c r="LKE4" s="345"/>
      <c r="LKF4" s="345"/>
      <c r="LKG4" s="345"/>
      <c r="LKH4" s="345"/>
      <c r="LKI4" s="345"/>
      <c r="LKJ4" s="345"/>
      <c r="LKK4" s="345"/>
      <c r="LKL4" s="345"/>
      <c r="LKM4" s="345"/>
      <c r="LKN4" s="345"/>
      <c r="LKO4" s="345"/>
      <c r="LKP4" s="345"/>
      <c r="LKQ4" s="345"/>
      <c r="LKR4" s="345"/>
      <c r="LKS4" s="345"/>
      <c r="LKT4" s="345"/>
      <c r="LKU4" s="345"/>
      <c r="LKV4" s="345"/>
      <c r="LKW4" s="345"/>
      <c r="LKX4" s="345"/>
      <c r="LKY4" s="345"/>
      <c r="LKZ4" s="345"/>
      <c r="LLA4" s="345"/>
      <c r="LLB4" s="345"/>
      <c r="LLC4" s="345"/>
      <c r="LLD4" s="345"/>
      <c r="LLE4" s="345"/>
      <c r="LLF4" s="345"/>
      <c r="LLG4" s="345"/>
      <c r="LLH4" s="345"/>
      <c r="LLI4" s="345"/>
      <c r="LLJ4" s="345"/>
      <c r="LLK4" s="345"/>
      <c r="LLL4" s="345"/>
      <c r="LLM4" s="345"/>
      <c r="LLN4" s="345"/>
      <c r="LLO4" s="345"/>
      <c r="LLP4" s="345"/>
      <c r="LLQ4" s="345"/>
      <c r="LLR4" s="345"/>
      <c r="LLS4" s="345"/>
      <c r="LLT4" s="345"/>
      <c r="LLU4" s="345"/>
      <c r="LLV4" s="345"/>
      <c r="LLW4" s="345"/>
      <c r="LLX4" s="345"/>
      <c r="LLY4" s="345"/>
      <c r="LLZ4" s="345"/>
      <c r="LMA4" s="345"/>
      <c r="LMB4" s="345"/>
      <c r="LMC4" s="345"/>
      <c r="LMD4" s="345"/>
      <c r="LME4" s="345"/>
      <c r="LMF4" s="345"/>
      <c r="LMG4" s="345"/>
      <c r="LMH4" s="345"/>
      <c r="LMI4" s="345"/>
      <c r="LMJ4" s="345"/>
      <c r="LMK4" s="345"/>
      <c r="LML4" s="345"/>
      <c r="LMM4" s="345"/>
      <c r="LMN4" s="345"/>
      <c r="LMO4" s="345"/>
      <c r="LMP4" s="345"/>
      <c r="LMQ4" s="345"/>
      <c r="LMR4" s="345"/>
      <c r="LMS4" s="345"/>
      <c r="LMT4" s="345"/>
      <c r="LMU4" s="345"/>
      <c r="LMV4" s="345"/>
      <c r="LMW4" s="345"/>
      <c r="LMX4" s="345"/>
      <c r="LMY4" s="345"/>
      <c r="LMZ4" s="345"/>
      <c r="LNA4" s="345"/>
      <c r="LNB4" s="345"/>
      <c r="LNC4" s="345"/>
      <c r="LND4" s="345"/>
      <c r="LNE4" s="345"/>
      <c r="LNF4" s="345"/>
      <c r="LNG4" s="345"/>
      <c r="LNH4" s="345"/>
      <c r="LNI4" s="345"/>
      <c r="LNJ4" s="345"/>
      <c r="LNK4" s="345"/>
      <c r="LNL4" s="345"/>
      <c r="LNM4" s="345"/>
      <c r="LNN4" s="345"/>
      <c r="LNO4" s="345"/>
      <c r="LNP4" s="345"/>
      <c r="LNQ4" s="345"/>
      <c r="LNR4" s="345"/>
      <c r="LNS4" s="345"/>
      <c r="LNT4" s="345"/>
      <c r="LNU4" s="345"/>
      <c r="LNV4" s="345"/>
      <c r="LNW4" s="345"/>
      <c r="LNX4" s="345"/>
      <c r="LNY4" s="345"/>
      <c r="LNZ4" s="345"/>
      <c r="LOA4" s="345"/>
      <c r="LOB4" s="345"/>
      <c r="LOC4" s="345"/>
      <c r="LOD4" s="345"/>
      <c r="LOE4" s="345"/>
      <c r="LOF4" s="345"/>
      <c r="LOG4" s="345"/>
      <c r="LOH4" s="345"/>
      <c r="LOI4" s="345"/>
      <c r="LOJ4" s="345"/>
      <c r="LOK4" s="345"/>
      <c r="LOL4" s="345"/>
      <c r="LOM4" s="345"/>
      <c r="LON4" s="345"/>
      <c r="LOO4" s="345"/>
      <c r="LOP4" s="345"/>
      <c r="LOQ4" s="345"/>
      <c r="LOR4" s="345"/>
      <c r="LOS4" s="345"/>
      <c r="LOT4" s="345"/>
      <c r="LOU4" s="345"/>
      <c r="LOV4" s="345"/>
      <c r="LOW4" s="345"/>
      <c r="LOX4" s="345"/>
      <c r="LOY4" s="345"/>
      <c r="LOZ4" s="345"/>
      <c r="LPA4" s="345"/>
      <c r="LPB4" s="345"/>
      <c r="LPC4" s="345"/>
      <c r="LPD4" s="345"/>
      <c r="LPE4" s="345"/>
      <c r="LPF4" s="345"/>
      <c r="LPG4" s="345"/>
      <c r="LPH4" s="345"/>
      <c r="LPI4" s="345"/>
      <c r="LPJ4" s="345"/>
      <c r="LPK4" s="345"/>
      <c r="LPL4" s="345"/>
      <c r="LPM4" s="345"/>
      <c r="LPN4" s="345"/>
      <c r="LPO4" s="345"/>
      <c r="LPP4" s="345"/>
      <c r="LPQ4" s="345"/>
      <c r="LPR4" s="345"/>
      <c r="LPS4" s="345"/>
      <c r="LPT4" s="345"/>
      <c r="LPU4" s="345"/>
      <c r="LPV4" s="345"/>
      <c r="LPW4" s="345"/>
      <c r="LPX4" s="345"/>
      <c r="LPY4" s="345"/>
      <c r="LPZ4" s="345"/>
      <c r="LQA4" s="345"/>
      <c r="LQB4" s="345"/>
      <c r="LQC4" s="345"/>
      <c r="LQD4" s="345"/>
      <c r="LQE4" s="345"/>
      <c r="LQF4" s="345"/>
      <c r="LQG4" s="345"/>
      <c r="LQH4" s="345"/>
      <c r="LQI4" s="345"/>
      <c r="LQJ4" s="345"/>
      <c r="LQK4" s="345"/>
      <c r="LQL4" s="345"/>
      <c r="LQM4" s="345"/>
      <c r="LQN4" s="345"/>
      <c r="LQO4" s="345"/>
      <c r="LQP4" s="345"/>
      <c r="LQQ4" s="345"/>
      <c r="LQR4" s="345"/>
      <c r="LQS4" s="345"/>
      <c r="LQT4" s="345"/>
      <c r="LQU4" s="345"/>
      <c r="LQV4" s="345"/>
      <c r="LQW4" s="345"/>
      <c r="LQX4" s="345"/>
      <c r="LQY4" s="345"/>
      <c r="LQZ4" s="345"/>
      <c r="LRA4" s="345"/>
      <c r="LRB4" s="345"/>
      <c r="LRC4" s="345"/>
      <c r="LRD4" s="345"/>
      <c r="LRE4" s="345"/>
      <c r="LRF4" s="345"/>
      <c r="LRG4" s="345"/>
      <c r="LRH4" s="345"/>
      <c r="LRI4" s="345"/>
      <c r="LRJ4" s="345"/>
      <c r="LRK4" s="345"/>
      <c r="LRL4" s="345"/>
      <c r="LRM4" s="345"/>
      <c r="LRN4" s="345"/>
      <c r="LRO4" s="345"/>
      <c r="LRP4" s="345"/>
      <c r="LRQ4" s="345"/>
      <c r="LRR4" s="345"/>
      <c r="LRS4" s="345"/>
      <c r="LRT4" s="345"/>
      <c r="LRU4" s="345"/>
      <c r="LRV4" s="345"/>
      <c r="LRW4" s="345"/>
      <c r="LRX4" s="345"/>
      <c r="LRY4" s="345"/>
      <c r="LRZ4" s="345"/>
      <c r="LSA4" s="345"/>
      <c r="LSB4" s="345"/>
      <c r="LSC4" s="345"/>
      <c r="LSD4" s="345"/>
      <c r="LSE4" s="345"/>
      <c r="LSF4" s="345"/>
      <c r="LSG4" s="345"/>
      <c r="LSH4" s="345"/>
      <c r="LSI4" s="345"/>
      <c r="LSJ4" s="345"/>
      <c r="LSK4" s="345"/>
      <c r="LSL4" s="345"/>
      <c r="LSM4" s="345"/>
      <c r="LSN4" s="345"/>
      <c r="LSO4" s="345"/>
      <c r="LSP4" s="345"/>
      <c r="LSQ4" s="345"/>
      <c r="LSR4" s="345"/>
      <c r="LSS4" s="345"/>
      <c r="LST4" s="345"/>
      <c r="LSU4" s="345"/>
      <c r="LSV4" s="345"/>
      <c r="LSW4" s="345"/>
      <c r="LSX4" s="345"/>
      <c r="LSY4" s="345"/>
      <c r="LSZ4" s="345"/>
      <c r="LTA4" s="345"/>
      <c r="LTB4" s="345"/>
      <c r="LTC4" s="345"/>
      <c r="LTD4" s="345"/>
      <c r="LTE4" s="345"/>
      <c r="LTF4" s="345"/>
      <c r="LTG4" s="345"/>
      <c r="LTH4" s="345"/>
      <c r="LTI4" s="345"/>
      <c r="LTJ4" s="345"/>
      <c r="LTK4" s="345"/>
      <c r="LTL4" s="345"/>
      <c r="LTM4" s="345"/>
      <c r="LTN4" s="345"/>
      <c r="LTO4" s="345"/>
      <c r="LTP4" s="345"/>
      <c r="LTQ4" s="345"/>
      <c r="LTR4" s="345"/>
      <c r="LTS4" s="345"/>
      <c r="LTT4" s="345"/>
      <c r="LTU4" s="345"/>
      <c r="LTV4" s="345"/>
      <c r="LTW4" s="345"/>
      <c r="LTX4" s="345"/>
      <c r="LTY4" s="345"/>
      <c r="LTZ4" s="345"/>
      <c r="LUA4" s="345"/>
      <c r="LUB4" s="345"/>
      <c r="LUC4" s="345"/>
      <c r="LUD4" s="345"/>
      <c r="LUE4" s="345"/>
      <c r="LUF4" s="345"/>
      <c r="LUG4" s="345"/>
      <c r="LUH4" s="345"/>
      <c r="LUI4" s="345"/>
      <c r="LUJ4" s="345"/>
      <c r="LUK4" s="345"/>
      <c r="LUL4" s="345"/>
      <c r="LUM4" s="345"/>
      <c r="LUN4" s="345"/>
      <c r="LUO4" s="345"/>
      <c r="LUP4" s="345"/>
      <c r="LUQ4" s="345"/>
      <c r="LUR4" s="345"/>
      <c r="LUS4" s="345"/>
      <c r="LUT4" s="345"/>
      <c r="LUU4" s="345"/>
      <c r="LUV4" s="345"/>
      <c r="LUW4" s="345"/>
      <c r="LUX4" s="345"/>
      <c r="LUY4" s="345"/>
      <c r="LUZ4" s="345"/>
      <c r="LVA4" s="345"/>
      <c r="LVB4" s="345"/>
      <c r="LVC4" s="345"/>
      <c r="LVD4" s="345"/>
      <c r="LVE4" s="345"/>
      <c r="LVF4" s="345"/>
      <c r="LVG4" s="345"/>
      <c r="LVH4" s="345"/>
      <c r="LVI4" s="345"/>
      <c r="LVJ4" s="345"/>
      <c r="LVK4" s="345"/>
      <c r="LVL4" s="345"/>
      <c r="LVM4" s="345"/>
      <c r="LVN4" s="345"/>
      <c r="LVO4" s="345"/>
      <c r="LVP4" s="345"/>
      <c r="LVQ4" s="345"/>
      <c r="LVR4" s="345"/>
      <c r="LVS4" s="345"/>
      <c r="LVT4" s="345"/>
      <c r="LVU4" s="345"/>
      <c r="LVV4" s="345"/>
      <c r="LVW4" s="345"/>
      <c r="LVX4" s="345"/>
      <c r="LVY4" s="345"/>
      <c r="LVZ4" s="345"/>
      <c r="LWA4" s="345"/>
      <c r="LWB4" s="345"/>
      <c r="LWC4" s="345"/>
      <c r="LWD4" s="345"/>
      <c r="LWE4" s="345"/>
      <c r="LWF4" s="345"/>
      <c r="LWG4" s="345"/>
      <c r="LWH4" s="345"/>
      <c r="LWI4" s="345"/>
      <c r="LWJ4" s="345"/>
      <c r="LWK4" s="345"/>
      <c r="LWL4" s="345"/>
      <c r="LWM4" s="345"/>
      <c r="LWN4" s="345"/>
      <c r="LWO4" s="345"/>
      <c r="LWP4" s="345"/>
      <c r="LWQ4" s="345"/>
      <c r="LWR4" s="345"/>
      <c r="LWS4" s="345"/>
      <c r="LWT4" s="345"/>
      <c r="LWU4" s="345"/>
      <c r="LWV4" s="345"/>
      <c r="LWW4" s="345"/>
      <c r="LWX4" s="345"/>
      <c r="LWY4" s="345"/>
      <c r="LWZ4" s="345"/>
      <c r="LXA4" s="345"/>
      <c r="LXB4" s="345"/>
      <c r="LXC4" s="345"/>
      <c r="LXD4" s="345"/>
      <c r="LXE4" s="345"/>
      <c r="LXF4" s="345"/>
      <c r="LXG4" s="345"/>
      <c r="LXH4" s="345"/>
      <c r="LXI4" s="345"/>
      <c r="LXJ4" s="345"/>
      <c r="LXK4" s="345"/>
      <c r="LXL4" s="345"/>
      <c r="LXM4" s="345"/>
      <c r="LXN4" s="345"/>
      <c r="LXO4" s="345"/>
      <c r="LXP4" s="345"/>
      <c r="LXQ4" s="345"/>
      <c r="LXR4" s="345"/>
      <c r="LXS4" s="345"/>
      <c r="LXT4" s="345"/>
      <c r="LXU4" s="345"/>
      <c r="LXV4" s="345"/>
      <c r="LXW4" s="345"/>
      <c r="LXX4" s="345"/>
      <c r="LXY4" s="345"/>
      <c r="LXZ4" s="345"/>
      <c r="LYA4" s="345"/>
      <c r="LYB4" s="345"/>
      <c r="LYC4" s="345"/>
      <c r="LYD4" s="345"/>
      <c r="LYE4" s="345"/>
      <c r="LYF4" s="345"/>
      <c r="LYG4" s="345"/>
      <c r="LYH4" s="345"/>
      <c r="LYI4" s="345"/>
      <c r="LYJ4" s="345"/>
      <c r="LYK4" s="345"/>
      <c r="LYL4" s="345"/>
      <c r="LYM4" s="345"/>
      <c r="LYN4" s="345"/>
      <c r="LYO4" s="345"/>
      <c r="LYP4" s="345"/>
      <c r="LYQ4" s="345"/>
      <c r="LYR4" s="345"/>
      <c r="LYS4" s="345"/>
      <c r="LYT4" s="345"/>
      <c r="LYU4" s="345"/>
      <c r="LYV4" s="345"/>
      <c r="LYW4" s="345"/>
      <c r="LYX4" s="345"/>
      <c r="LYY4" s="345"/>
      <c r="LYZ4" s="345"/>
      <c r="LZA4" s="345"/>
      <c r="LZB4" s="345"/>
      <c r="LZC4" s="345"/>
      <c r="LZD4" s="345"/>
      <c r="LZE4" s="345"/>
      <c r="LZF4" s="345"/>
      <c r="LZG4" s="345"/>
      <c r="LZH4" s="345"/>
      <c r="LZI4" s="345"/>
      <c r="LZJ4" s="345"/>
      <c r="LZK4" s="345"/>
      <c r="LZL4" s="345"/>
      <c r="LZM4" s="345"/>
      <c r="LZN4" s="345"/>
      <c r="LZO4" s="345"/>
      <c r="LZP4" s="345"/>
      <c r="LZQ4" s="345"/>
      <c r="LZR4" s="345"/>
      <c r="LZS4" s="345"/>
      <c r="LZT4" s="345"/>
      <c r="LZU4" s="345"/>
      <c r="LZV4" s="345"/>
      <c r="LZW4" s="345"/>
      <c r="LZX4" s="345"/>
      <c r="LZY4" s="345"/>
      <c r="LZZ4" s="345"/>
      <c r="MAA4" s="345"/>
      <c r="MAB4" s="345"/>
      <c r="MAC4" s="345"/>
      <c r="MAD4" s="345"/>
      <c r="MAE4" s="345"/>
      <c r="MAF4" s="345"/>
      <c r="MAG4" s="345"/>
      <c r="MAH4" s="345"/>
      <c r="MAI4" s="345"/>
      <c r="MAJ4" s="345"/>
      <c r="MAK4" s="345"/>
      <c r="MAL4" s="345"/>
      <c r="MAM4" s="345"/>
      <c r="MAN4" s="345"/>
      <c r="MAO4" s="345"/>
      <c r="MAP4" s="345"/>
      <c r="MAQ4" s="345"/>
      <c r="MAR4" s="345"/>
      <c r="MAS4" s="345"/>
      <c r="MAT4" s="345"/>
      <c r="MAU4" s="345"/>
      <c r="MAV4" s="345"/>
      <c r="MAW4" s="345"/>
      <c r="MAX4" s="345"/>
      <c r="MAY4" s="345"/>
      <c r="MAZ4" s="345"/>
      <c r="MBA4" s="345"/>
      <c r="MBB4" s="345"/>
      <c r="MBC4" s="345"/>
      <c r="MBD4" s="345"/>
      <c r="MBE4" s="345"/>
      <c r="MBF4" s="345"/>
      <c r="MBG4" s="345"/>
      <c r="MBH4" s="345"/>
      <c r="MBI4" s="345"/>
      <c r="MBJ4" s="345"/>
      <c r="MBK4" s="345"/>
      <c r="MBL4" s="345"/>
      <c r="MBM4" s="345"/>
      <c r="MBN4" s="345"/>
      <c r="MBO4" s="345"/>
      <c r="MBP4" s="345"/>
      <c r="MBQ4" s="345"/>
      <c r="MBR4" s="345"/>
      <c r="MBS4" s="345"/>
      <c r="MBT4" s="345"/>
      <c r="MBU4" s="345"/>
      <c r="MBV4" s="345"/>
      <c r="MBW4" s="345"/>
      <c r="MBX4" s="345"/>
      <c r="MBY4" s="345"/>
      <c r="MBZ4" s="345"/>
      <c r="MCA4" s="345"/>
      <c r="MCB4" s="345"/>
      <c r="MCC4" s="345"/>
      <c r="MCD4" s="345"/>
      <c r="MCE4" s="345"/>
      <c r="MCF4" s="345"/>
      <c r="MCG4" s="345"/>
      <c r="MCH4" s="345"/>
      <c r="MCI4" s="345"/>
      <c r="MCJ4" s="345"/>
      <c r="MCK4" s="345"/>
      <c r="MCL4" s="345"/>
      <c r="MCM4" s="345"/>
      <c r="MCN4" s="345"/>
      <c r="MCO4" s="345"/>
      <c r="MCP4" s="345"/>
      <c r="MCQ4" s="345"/>
      <c r="MCR4" s="345"/>
      <c r="MCS4" s="345"/>
      <c r="MCT4" s="345"/>
      <c r="MCU4" s="345"/>
      <c r="MCV4" s="345"/>
      <c r="MCW4" s="345"/>
      <c r="MCX4" s="345"/>
      <c r="MCY4" s="345"/>
      <c r="MCZ4" s="345"/>
      <c r="MDA4" s="345"/>
      <c r="MDB4" s="345"/>
      <c r="MDC4" s="345"/>
      <c r="MDD4" s="345"/>
      <c r="MDE4" s="345"/>
      <c r="MDF4" s="345"/>
      <c r="MDG4" s="345"/>
      <c r="MDH4" s="345"/>
      <c r="MDI4" s="345"/>
      <c r="MDJ4" s="345"/>
      <c r="MDK4" s="345"/>
      <c r="MDL4" s="345"/>
      <c r="MDM4" s="345"/>
      <c r="MDN4" s="345"/>
      <c r="MDO4" s="345"/>
      <c r="MDP4" s="345"/>
      <c r="MDQ4" s="345"/>
      <c r="MDR4" s="345"/>
      <c r="MDS4" s="345"/>
      <c r="MDT4" s="345"/>
      <c r="MDU4" s="345"/>
      <c r="MDV4" s="345"/>
      <c r="MDW4" s="345"/>
      <c r="MDX4" s="345"/>
      <c r="MDY4" s="345"/>
      <c r="MDZ4" s="345"/>
      <c r="MEA4" s="345"/>
      <c r="MEB4" s="345"/>
      <c r="MEC4" s="345"/>
      <c r="MED4" s="345"/>
      <c r="MEE4" s="345"/>
      <c r="MEF4" s="345"/>
      <c r="MEG4" s="345"/>
      <c r="MEH4" s="345"/>
      <c r="MEI4" s="345"/>
      <c r="MEJ4" s="345"/>
      <c r="MEK4" s="345"/>
      <c r="MEL4" s="345"/>
      <c r="MEM4" s="345"/>
      <c r="MEN4" s="345"/>
      <c r="MEO4" s="345"/>
      <c r="MEP4" s="345"/>
      <c r="MEQ4" s="345"/>
      <c r="MER4" s="345"/>
      <c r="MES4" s="345"/>
      <c r="MET4" s="345"/>
      <c r="MEU4" s="345"/>
      <c r="MEV4" s="345"/>
      <c r="MEW4" s="345"/>
      <c r="MEX4" s="345"/>
      <c r="MEY4" s="345"/>
      <c r="MEZ4" s="345"/>
      <c r="MFA4" s="345"/>
      <c r="MFB4" s="345"/>
      <c r="MFC4" s="345"/>
      <c r="MFD4" s="345"/>
      <c r="MFE4" s="345"/>
      <c r="MFF4" s="345"/>
      <c r="MFG4" s="345"/>
      <c r="MFH4" s="345"/>
      <c r="MFI4" s="345"/>
      <c r="MFJ4" s="345"/>
      <c r="MFK4" s="345"/>
      <c r="MFL4" s="345"/>
      <c r="MFM4" s="345"/>
      <c r="MFN4" s="345"/>
      <c r="MFO4" s="345"/>
      <c r="MFP4" s="345"/>
      <c r="MFQ4" s="345"/>
      <c r="MFR4" s="345"/>
      <c r="MFS4" s="345"/>
      <c r="MFT4" s="345"/>
      <c r="MFU4" s="345"/>
      <c r="MFV4" s="345"/>
      <c r="MFW4" s="345"/>
      <c r="MFX4" s="345"/>
      <c r="MFY4" s="345"/>
      <c r="MFZ4" s="345"/>
      <c r="MGA4" s="345"/>
      <c r="MGB4" s="345"/>
      <c r="MGC4" s="345"/>
      <c r="MGD4" s="345"/>
      <c r="MGE4" s="345"/>
      <c r="MGF4" s="345"/>
      <c r="MGG4" s="345"/>
      <c r="MGH4" s="345"/>
      <c r="MGI4" s="345"/>
      <c r="MGJ4" s="345"/>
      <c r="MGK4" s="345"/>
      <c r="MGL4" s="345"/>
      <c r="MGM4" s="345"/>
      <c r="MGN4" s="345"/>
      <c r="MGO4" s="345"/>
      <c r="MGP4" s="345"/>
      <c r="MGQ4" s="345"/>
      <c r="MGR4" s="345"/>
      <c r="MGS4" s="345"/>
      <c r="MGT4" s="345"/>
      <c r="MGU4" s="345"/>
      <c r="MGV4" s="345"/>
      <c r="MGW4" s="345"/>
      <c r="MGX4" s="345"/>
      <c r="MGY4" s="345"/>
      <c r="MGZ4" s="345"/>
      <c r="MHA4" s="345"/>
      <c r="MHB4" s="345"/>
      <c r="MHC4" s="345"/>
      <c r="MHD4" s="345"/>
      <c r="MHE4" s="345"/>
      <c r="MHF4" s="345"/>
      <c r="MHG4" s="345"/>
      <c r="MHH4" s="345"/>
      <c r="MHI4" s="345"/>
      <c r="MHJ4" s="345"/>
      <c r="MHK4" s="345"/>
      <c r="MHL4" s="345"/>
      <c r="MHM4" s="345"/>
      <c r="MHN4" s="345"/>
      <c r="MHO4" s="345"/>
      <c r="MHP4" s="345"/>
      <c r="MHQ4" s="345"/>
      <c r="MHR4" s="345"/>
      <c r="MHS4" s="345"/>
      <c r="MHT4" s="345"/>
      <c r="MHU4" s="345"/>
      <c r="MHV4" s="345"/>
      <c r="MHW4" s="345"/>
      <c r="MHX4" s="345"/>
      <c r="MHY4" s="345"/>
      <c r="MHZ4" s="345"/>
      <c r="MIA4" s="345"/>
      <c r="MIB4" s="345"/>
      <c r="MIC4" s="345"/>
      <c r="MID4" s="345"/>
      <c r="MIE4" s="345"/>
      <c r="MIF4" s="345"/>
      <c r="MIG4" s="345"/>
      <c r="MIH4" s="345"/>
      <c r="MII4" s="345"/>
      <c r="MIJ4" s="345"/>
      <c r="MIK4" s="345"/>
      <c r="MIL4" s="345"/>
      <c r="MIM4" s="345"/>
      <c r="MIN4" s="345"/>
      <c r="MIO4" s="345"/>
      <c r="MIP4" s="345"/>
      <c r="MIQ4" s="345"/>
      <c r="MIR4" s="345"/>
      <c r="MIS4" s="345"/>
      <c r="MIT4" s="345"/>
      <c r="MIU4" s="345"/>
      <c r="MIV4" s="345"/>
      <c r="MIW4" s="345"/>
      <c r="MIX4" s="345"/>
      <c r="MIY4" s="345"/>
      <c r="MIZ4" s="345"/>
      <c r="MJA4" s="345"/>
      <c r="MJB4" s="345"/>
      <c r="MJC4" s="345"/>
      <c r="MJD4" s="345"/>
      <c r="MJE4" s="345"/>
      <c r="MJF4" s="345"/>
      <c r="MJG4" s="345"/>
      <c r="MJH4" s="345"/>
      <c r="MJI4" s="345"/>
      <c r="MJJ4" s="345"/>
      <c r="MJK4" s="345"/>
      <c r="MJL4" s="345"/>
      <c r="MJM4" s="345"/>
      <c r="MJN4" s="345"/>
      <c r="MJO4" s="345"/>
      <c r="MJP4" s="345"/>
      <c r="MJQ4" s="345"/>
      <c r="MJR4" s="345"/>
      <c r="MJS4" s="345"/>
      <c r="MJT4" s="345"/>
      <c r="MJU4" s="345"/>
      <c r="MJV4" s="345"/>
      <c r="MJW4" s="345"/>
      <c r="MJX4" s="345"/>
      <c r="MJY4" s="345"/>
      <c r="MJZ4" s="345"/>
      <c r="MKA4" s="345"/>
      <c r="MKB4" s="345"/>
      <c r="MKC4" s="345"/>
      <c r="MKD4" s="345"/>
      <c r="MKE4" s="345"/>
      <c r="MKF4" s="345"/>
      <c r="MKG4" s="345"/>
      <c r="MKH4" s="345"/>
      <c r="MKI4" s="345"/>
      <c r="MKJ4" s="345"/>
      <c r="MKK4" s="345"/>
      <c r="MKL4" s="345"/>
      <c r="MKM4" s="345"/>
      <c r="MKN4" s="345"/>
      <c r="MKO4" s="345"/>
      <c r="MKP4" s="345"/>
      <c r="MKQ4" s="345"/>
      <c r="MKR4" s="345"/>
      <c r="MKS4" s="345"/>
      <c r="MKT4" s="345"/>
      <c r="MKU4" s="345"/>
      <c r="MKV4" s="345"/>
      <c r="MKW4" s="345"/>
      <c r="MKX4" s="345"/>
      <c r="MKY4" s="345"/>
      <c r="MKZ4" s="345"/>
      <c r="MLA4" s="345"/>
      <c r="MLB4" s="345"/>
      <c r="MLC4" s="345"/>
      <c r="MLD4" s="345"/>
      <c r="MLE4" s="345"/>
      <c r="MLF4" s="345"/>
      <c r="MLG4" s="345"/>
      <c r="MLH4" s="345"/>
      <c r="MLI4" s="345"/>
      <c r="MLJ4" s="345"/>
      <c r="MLK4" s="345"/>
      <c r="MLL4" s="345"/>
      <c r="MLM4" s="345"/>
      <c r="MLN4" s="345"/>
      <c r="MLO4" s="345"/>
      <c r="MLP4" s="345"/>
      <c r="MLQ4" s="345"/>
      <c r="MLR4" s="345"/>
      <c r="MLS4" s="345"/>
      <c r="MLT4" s="345"/>
      <c r="MLU4" s="345"/>
      <c r="MLV4" s="345"/>
      <c r="MLW4" s="345"/>
      <c r="MLX4" s="345"/>
      <c r="MLY4" s="345"/>
      <c r="MLZ4" s="345"/>
      <c r="MMA4" s="345"/>
      <c r="MMB4" s="345"/>
      <c r="MMC4" s="345"/>
      <c r="MMD4" s="345"/>
      <c r="MME4" s="345"/>
      <c r="MMF4" s="345"/>
      <c r="MMG4" s="345"/>
      <c r="MMH4" s="345"/>
      <c r="MMI4" s="345"/>
      <c r="MMJ4" s="345"/>
      <c r="MMK4" s="345"/>
      <c r="MML4" s="345"/>
      <c r="MMM4" s="345"/>
      <c r="MMN4" s="345"/>
      <c r="MMO4" s="345"/>
      <c r="MMP4" s="345"/>
      <c r="MMQ4" s="345"/>
      <c r="MMR4" s="345"/>
      <c r="MMS4" s="345"/>
      <c r="MMT4" s="345"/>
      <c r="MMU4" s="345"/>
      <c r="MMV4" s="345"/>
      <c r="MMW4" s="345"/>
      <c r="MMX4" s="345"/>
      <c r="MMY4" s="345"/>
      <c r="MMZ4" s="345"/>
      <c r="MNA4" s="345"/>
      <c r="MNB4" s="345"/>
      <c r="MNC4" s="345"/>
      <c r="MND4" s="345"/>
      <c r="MNE4" s="345"/>
      <c r="MNF4" s="345"/>
      <c r="MNG4" s="345"/>
      <c r="MNH4" s="345"/>
      <c r="MNI4" s="345"/>
      <c r="MNJ4" s="345"/>
      <c r="MNK4" s="345"/>
      <c r="MNL4" s="345"/>
      <c r="MNM4" s="345"/>
      <c r="MNN4" s="345"/>
      <c r="MNO4" s="345"/>
      <c r="MNP4" s="345"/>
      <c r="MNQ4" s="345"/>
      <c r="MNR4" s="345"/>
      <c r="MNS4" s="345"/>
      <c r="MNT4" s="345"/>
      <c r="MNU4" s="345"/>
      <c r="MNV4" s="345"/>
      <c r="MNW4" s="345"/>
      <c r="MNX4" s="345"/>
      <c r="MNY4" s="345"/>
      <c r="MNZ4" s="345"/>
      <c r="MOA4" s="345"/>
      <c r="MOB4" s="345"/>
      <c r="MOC4" s="345"/>
      <c r="MOD4" s="345"/>
      <c r="MOE4" s="345"/>
      <c r="MOF4" s="345"/>
      <c r="MOG4" s="345"/>
      <c r="MOH4" s="345"/>
      <c r="MOI4" s="345"/>
      <c r="MOJ4" s="345"/>
      <c r="MOK4" s="345"/>
      <c r="MOL4" s="345"/>
      <c r="MOM4" s="345"/>
      <c r="MON4" s="345"/>
      <c r="MOO4" s="345"/>
      <c r="MOP4" s="345"/>
      <c r="MOQ4" s="345"/>
      <c r="MOR4" s="345"/>
      <c r="MOS4" s="345"/>
      <c r="MOT4" s="345"/>
      <c r="MOU4" s="345"/>
      <c r="MOV4" s="345"/>
      <c r="MOW4" s="345"/>
      <c r="MOX4" s="345"/>
      <c r="MOY4" s="345"/>
      <c r="MOZ4" s="345"/>
      <c r="MPA4" s="345"/>
      <c r="MPB4" s="345"/>
      <c r="MPC4" s="345"/>
      <c r="MPD4" s="345"/>
      <c r="MPE4" s="345"/>
      <c r="MPF4" s="345"/>
      <c r="MPG4" s="345"/>
      <c r="MPH4" s="345"/>
      <c r="MPI4" s="345"/>
      <c r="MPJ4" s="345"/>
      <c r="MPK4" s="345"/>
      <c r="MPL4" s="345"/>
      <c r="MPM4" s="345"/>
      <c r="MPN4" s="345"/>
      <c r="MPO4" s="345"/>
      <c r="MPP4" s="345"/>
      <c r="MPQ4" s="345"/>
      <c r="MPR4" s="345"/>
      <c r="MPS4" s="345"/>
      <c r="MPT4" s="345"/>
      <c r="MPU4" s="345"/>
      <c r="MPV4" s="345"/>
      <c r="MPW4" s="345"/>
      <c r="MPX4" s="345"/>
      <c r="MPY4" s="345"/>
      <c r="MPZ4" s="345"/>
      <c r="MQA4" s="345"/>
      <c r="MQB4" s="345"/>
      <c r="MQC4" s="345"/>
      <c r="MQD4" s="345"/>
      <c r="MQE4" s="345"/>
      <c r="MQF4" s="345"/>
      <c r="MQG4" s="345"/>
      <c r="MQH4" s="345"/>
      <c r="MQI4" s="345"/>
      <c r="MQJ4" s="345"/>
      <c r="MQK4" s="345"/>
      <c r="MQL4" s="345"/>
      <c r="MQM4" s="345"/>
      <c r="MQN4" s="345"/>
      <c r="MQO4" s="345"/>
      <c r="MQP4" s="345"/>
      <c r="MQQ4" s="345"/>
      <c r="MQR4" s="345"/>
      <c r="MQS4" s="345"/>
      <c r="MQT4" s="345"/>
      <c r="MQU4" s="345"/>
      <c r="MQV4" s="345"/>
      <c r="MQW4" s="345"/>
      <c r="MQX4" s="345"/>
      <c r="MQY4" s="345"/>
      <c r="MQZ4" s="345"/>
      <c r="MRA4" s="345"/>
      <c r="MRB4" s="345"/>
      <c r="MRC4" s="345"/>
      <c r="MRD4" s="345"/>
      <c r="MRE4" s="345"/>
      <c r="MRF4" s="345"/>
      <c r="MRG4" s="345"/>
      <c r="MRH4" s="345"/>
      <c r="MRI4" s="345"/>
      <c r="MRJ4" s="345"/>
      <c r="MRK4" s="345"/>
      <c r="MRL4" s="345"/>
      <c r="MRM4" s="345"/>
      <c r="MRN4" s="345"/>
      <c r="MRO4" s="345"/>
      <c r="MRP4" s="345"/>
      <c r="MRQ4" s="345"/>
      <c r="MRR4" s="345"/>
      <c r="MRS4" s="345"/>
      <c r="MRT4" s="345"/>
      <c r="MRU4" s="345"/>
      <c r="MRV4" s="345"/>
      <c r="MRW4" s="345"/>
      <c r="MRX4" s="345"/>
      <c r="MRY4" s="345"/>
      <c r="MRZ4" s="345"/>
      <c r="MSA4" s="345"/>
      <c r="MSB4" s="345"/>
      <c r="MSC4" s="345"/>
      <c r="MSD4" s="345"/>
      <c r="MSE4" s="345"/>
      <c r="MSF4" s="345"/>
      <c r="MSG4" s="345"/>
      <c r="MSH4" s="345"/>
      <c r="MSI4" s="345"/>
      <c r="MSJ4" s="345"/>
      <c r="MSK4" s="345"/>
      <c r="MSL4" s="345"/>
      <c r="MSM4" s="345"/>
      <c r="MSN4" s="345"/>
      <c r="MSO4" s="345"/>
      <c r="MSP4" s="345"/>
      <c r="MSQ4" s="345"/>
      <c r="MSR4" s="345"/>
      <c r="MSS4" s="345"/>
      <c r="MST4" s="345"/>
      <c r="MSU4" s="345"/>
      <c r="MSV4" s="345"/>
      <c r="MSW4" s="345"/>
      <c r="MSX4" s="345"/>
      <c r="MSY4" s="345"/>
      <c r="MSZ4" s="345"/>
      <c r="MTA4" s="345"/>
      <c r="MTB4" s="345"/>
      <c r="MTC4" s="345"/>
      <c r="MTD4" s="345"/>
      <c r="MTE4" s="345"/>
      <c r="MTF4" s="345"/>
      <c r="MTG4" s="345"/>
      <c r="MTH4" s="345"/>
      <c r="MTI4" s="345"/>
      <c r="MTJ4" s="345"/>
      <c r="MTK4" s="345"/>
      <c r="MTL4" s="345"/>
      <c r="MTM4" s="345"/>
      <c r="MTN4" s="345"/>
      <c r="MTO4" s="345"/>
      <c r="MTP4" s="345"/>
      <c r="MTQ4" s="345"/>
      <c r="MTR4" s="345"/>
      <c r="MTS4" s="345"/>
      <c r="MTT4" s="345"/>
      <c r="MTU4" s="345"/>
      <c r="MTV4" s="345"/>
      <c r="MTW4" s="345"/>
      <c r="MTX4" s="345"/>
      <c r="MTY4" s="345"/>
      <c r="MTZ4" s="345"/>
      <c r="MUA4" s="345"/>
      <c r="MUB4" s="345"/>
      <c r="MUC4" s="345"/>
      <c r="MUD4" s="345"/>
      <c r="MUE4" s="345"/>
      <c r="MUF4" s="345"/>
      <c r="MUG4" s="345"/>
      <c r="MUH4" s="345"/>
      <c r="MUI4" s="345"/>
      <c r="MUJ4" s="345"/>
      <c r="MUK4" s="345"/>
      <c r="MUL4" s="345"/>
      <c r="MUM4" s="345"/>
      <c r="MUN4" s="345"/>
      <c r="MUO4" s="345"/>
      <c r="MUP4" s="345"/>
      <c r="MUQ4" s="345"/>
      <c r="MUR4" s="345"/>
      <c r="MUS4" s="345"/>
      <c r="MUT4" s="345"/>
      <c r="MUU4" s="345"/>
      <c r="MUV4" s="345"/>
      <c r="MUW4" s="345"/>
      <c r="MUX4" s="345"/>
      <c r="MUY4" s="345"/>
      <c r="MUZ4" s="345"/>
      <c r="MVA4" s="345"/>
      <c r="MVB4" s="345"/>
      <c r="MVC4" s="345"/>
      <c r="MVD4" s="345"/>
      <c r="MVE4" s="345"/>
      <c r="MVF4" s="345"/>
      <c r="MVG4" s="345"/>
      <c r="MVH4" s="345"/>
      <c r="MVI4" s="345"/>
      <c r="MVJ4" s="345"/>
      <c r="MVK4" s="345"/>
      <c r="MVL4" s="345"/>
      <c r="MVM4" s="345"/>
      <c r="MVN4" s="345"/>
      <c r="MVO4" s="345"/>
      <c r="MVP4" s="345"/>
      <c r="MVQ4" s="345"/>
      <c r="MVR4" s="345"/>
      <c r="MVS4" s="345"/>
      <c r="MVT4" s="345"/>
      <c r="MVU4" s="345"/>
      <c r="MVV4" s="345"/>
      <c r="MVW4" s="345"/>
      <c r="MVX4" s="345"/>
      <c r="MVY4" s="345"/>
      <c r="MVZ4" s="345"/>
      <c r="MWA4" s="345"/>
      <c r="MWB4" s="345"/>
      <c r="MWC4" s="345"/>
      <c r="MWD4" s="345"/>
      <c r="MWE4" s="345"/>
      <c r="MWF4" s="345"/>
      <c r="MWG4" s="345"/>
      <c r="MWH4" s="345"/>
      <c r="MWI4" s="345"/>
      <c r="MWJ4" s="345"/>
      <c r="MWK4" s="345"/>
      <c r="MWL4" s="345"/>
      <c r="MWM4" s="345"/>
      <c r="MWN4" s="345"/>
      <c r="MWO4" s="345"/>
      <c r="MWP4" s="345"/>
      <c r="MWQ4" s="345"/>
      <c r="MWR4" s="345"/>
      <c r="MWS4" s="345"/>
      <c r="MWT4" s="345"/>
      <c r="MWU4" s="345"/>
      <c r="MWV4" s="345"/>
      <c r="MWW4" s="345"/>
      <c r="MWX4" s="345"/>
      <c r="MWY4" s="345"/>
      <c r="MWZ4" s="345"/>
      <c r="MXA4" s="345"/>
      <c r="MXB4" s="345"/>
      <c r="MXC4" s="345"/>
      <c r="MXD4" s="345"/>
      <c r="MXE4" s="345"/>
      <c r="MXF4" s="345"/>
      <c r="MXG4" s="345"/>
      <c r="MXH4" s="345"/>
      <c r="MXI4" s="345"/>
      <c r="MXJ4" s="345"/>
      <c r="MXK4" s="345"/>
      <c r="MXL4" s="345"/>
      <c r="MXM4" s="345"/>
      <c r="MXN4" s="345"/>
      <c r="MXO4" s="345"/>
      <c r="MXP4" s="345"/>
      <c r="MXQ4" s="345"/>
      <c r="MXR4" s="345"/>
      <c r="MXS4" s="345"/>
      <c r="MXT4" s="345"/>
      <c r="MXU4" s="345"/>
      <c r="MXV4" s="345"/>
      <c r="MXW4" s="345"/>
      <c r="MXX4" s="345"/>
      <c r="MXY4" s="345"/>
      <c r="MXZ4" s="345"/>
      <c r="MYA4" s="345"/>
      <c r="MYB4" s="345"/>
      <c r="MYC4" s="345"/>
      <c r="MYD4" s="345"/>
      <c r="MYE4" s="345"/>
      <c r="MYF4" s="345"/>
      <c r="MYG4" s="345"/>
      <c r="MYH4" s="345"/>
      <c r="MYI4" s="345"/>
      <c r="MYJ4" s="345"/>
      <c r="MYK4" s="345"/>
      <c r="MYL4" s="345"/>
      <c r="MYM4" s="345"/>
      <c r="MYN4" s="345"/>
      <c r="MYO4" s="345"/>
      <c r="MYP4" s="345"/>
      <c r="MYQ4" s="345"/>
      <c r="MYR4" s="345"/>
      <c r="MYS4" s="345"/>
      <c r="MYT4" s="345"/>
      <c r="MYU4" s="345"/>
      <c r="MYV4" s="345"/>
      <c r="MYW4" s="345"/>
      <c r="MYX4" s="345"/>
      <c r="MYY4" s="345"/>
      <c r="MYZ4" s="345"/>
      <c r="MZA4" s="345"/>
      <c r="MZB4" s="345"/>
      <c r="MZC4" s="345"/>
      <c r="MZD4" s="345"/>
      <c r="MZE4" s="345"/>
      <c r="MZF4" s="345"/>
      <c r="MZG4" s="345"/>
      <c r="MZH4" s="345"/>
      <c r="MZI4" s="345"/>
      <c r="MZJ4" s="345"/>
      <c r="MZK4" s="345"/>
      <c r="MZL4" s="345"/>
      <c r="MZM4" s="345"/>
      <c r="MZN4" s="345"/>
      <c r="MZO4" s="345"/>
      <c r="MZP4" s="345"/>
      <c r="MZQ4" s="345"/>
      <c r="MZR4" s="345"/>
      <c r="MZS4" s="345"/>
      <c r="MZT4" s="345"/>
      <c r="MZU4" s="345"/>
      <c r="MZV4" s="345"/>
      <c r="MZW4" s="345"/>
      <c r="MZX4" s="345"/>
      <c r="MZY4" s="345"/>
      <c r="MZZ4" s="345"/>
      <c r="NAA4" s="345"/>
      <c r="NAB4" s="345"/>
      <c r="NAC4" s="345"/>
      <c r="NAD4" s="345"/>
      <c r="NAE4" s="345"/>
      <c r="NAF4" s="345"/>
      <c r="NAG4" s="345"/>
      <c r="NAH4" s="345"/>
      <c r="NAI4" s="345"/>
      <c r="NAJ4" s="345"/>
      <c r="NAK4" s="345"/>
      <c r="NAL4" s="345"/>
      <c r="NAM4" s="345"/>
      <c r="NAN4" s="345"/>
      <c r="NAO4" s="345"/>
      <c r="NAP4" s="345"/>
      <c r="NAQ4" s="345"/>
      <c r="NAR4" s="345"/>
      <c r="NAS4" s="345"/>
      <c r="NAT4" s="345"/>
      <c r="NAU4" s="345"/>
      <c r="NAV4" s="345"/>
      <c r="NAW4" s="345"/>
      <c r="NAX4" s="345"/>
      <c r="NAY4" s="345"/>
      <c r="NAZ4" s="345"/>
      <c r="NBA4" s="345"/>
      <c r="NBB4" s="345"/>
      <c r="NBC4" s="345"/>
      <c r="NBD4" s="345"/>
      <c r="NBE4" s="345"/>
      <c r="NBF4" s="345"/>
      <c r="NBG4" s="345"/>
      <c r="NBH4" s="345"/>
      <c r="NBI4" s="345"/>
      <c r="NBJ4" s="345"/>
      <c r="NBK4" s="345"/>
      <c r="NBL4" s="345"/>
      <c r="NBM4" s="345"/>
      <c r="NBN4" s="345"/>
      <c r="NBO4" s="345"/>
      <c r="NBP4" s="345"/>
      <c r="NBQ4" s="345"/>
      <c r="NBR4" s="345"/>
      <c r="NBS4" s="345"/>
      <c r="NBT4" s="345"/>
      <c r="NBU4" s="345"/>
      <c r="NBV4" s="345"/>
      <c r="NBW4" s="345"/>
      <c r="NBX4" s="345"/>
      <c r="NBY4" s="345"/>
      <c r="NBZ4" s="345"/>
      <c r="NCA4" s="345"/>
      <c r="NCB4" s="345"/>
      <c r="NCC4" s="345"/>
      <c r="NCD4" s="345"/>
      <c r="NCE4" s="345"/>
      <c r="NCF4" s="345"/>
      <c r="NCG4" s="345"/>
      <c r="NCH4" s="345"/>
      <c r="NCI4" s="345"/>
      <c r="NCJ4" s="345"/>
      <c r="NCK4" s="345"/>
      <c r="NCL4" s="345"/>
      <c r="NCM4" s="345"/>
      <c r="NCN4" s="345"/>
      <c r="NCO4" s="345"/>
      <c r="NCP4" s="345"/>
      <c r="NCQ4" s="345"/>
      <c r="NCR4" s="345"/>
      <c r="NCS4" s="345"/>
      <c r="NCT4" s="345"/>
      <c r="NCU4" s="345"/>
      <c r="NCV4" s="345"/>
      <c r="NCW4" s="345"/>
      <c r="NCX4" s="345"/>
      <c r="NCY4" s="345"/>
      <c r="NCZ4" s="345"/>
      <c r="NDA4" s="345"/>
      <c r="NDB4" s="345"/>
      <c r="NDC4" s="345"/>
      <c r="NDD4" s="345"/>
      <c r="NDE4" s="345"/>
      <c r="NDF4" s="345"/>
      <c r="NDG4" s="345"/>
      <c r="NDH4" s="345"/>
      <c r="NDI4" s="345"/>
      <c r="NDJ4" s="345"/>
      <c r="NDK4" s="345"/>
      <c r="NDL4" s="345"/>
      <c r="NDM4" s="345"/>
      <c r="NDN4" s="345"/>
      <c r="NDO4" s="345"/>
      <c r="NDP4" s="345"/>
      <c r="NDQ4" s="345"/>
      <c r="NDR4" s="345"/>
      <c r="NDS4" s="345"/>
      <c r="NDT4" s="345"/>
      <c r="NDU4" s="345"/>
      <c r="NDV4" s="345"/>
      <c r="NDW4" s="345"/>
      <c r="NDX4" s="345"/>
      <c r="NDY4" s="345"/>
      <c r="NDZ4" s="345"/>
      <c r="NEA4" s="345"/>
      <c r="NEB4" s="345"/>
      <c r="NEC4" s="345"/>
      <c r="NED4" s="345"/>
      <c r="NEE4" s="345"/>
      <c r="NEF4" s="345"/>
      <c r="NEG4" s="345"/>
      <c r="NEH4" s="345"/>
      <c r="NEI4" s="345"/>
      <c r="NEJ4" s="345"/>
      <c r="NEK4" s="345"/>
      <c r="NEL4" s="345"/>
      <c r="NEM4" s="345"/>
      <c r="NEN4" s="345"/>
      <c r="NEO4" s="345"/>
      <c r="NEP4" s="345"/>
      <c r="NEQ4" s="345"/>
      <c r="NER4" s="345"/>
      <c r="NES4" s="345"/>
      <c r="NET4" s="345"/>
      <c r="NEU4" s="345"/>
      <c r="NEV4" s="345"/>
      <c r="NEW4" s="345"/>
      <c r="NEX4" s="345"/>
      <c r="NEY4" s="345"/>
      <c r="NEZ4" s="345"/>
      <c r="NFA4" s="345"/>
      <c r="NFB4" s="345"/>
      <c r="NFC4" s="345"/>
      <c r="NFD4" s="345"/>
      <c r="NFE4" s="345"/>
      <c r="NFF4" s="345"/>
      <c r="NFG4" s="345"/>
      <c r="NFH4" s="345"/>
      <c r="NFI4" s="345"/>
      <c r="NFJ4" s="345"/>
      <c r="NFK4" s="345"/>
      <c r="NFL4" s="345"/>
      <c r="NFM4" s="345"/>
      <c r="NFN4" s="345"/>
      <c r="NFO4" s="345"/>
      <c r="NFP4" s="345"/>
      <c r="NFQ4" s="345"/>
      <c r="NFR4" s="345"/>
      <c r="NFS4" s="345"/>
      <c r="NFT4" s="345"/>
      <c r="NFU4" s="345"/>
      <c r="NFV4" s="345"/>
      <c r="NFW4" s="345"/>
      <c r="NFX4" s="345"/>
      <c r="NFY4" s="345"/>
      <c r="NFZ4" s="345"/>
      <c r="NGA4" s="345"/>
      <c r="NGB4" s="345"/>
      <c r="NGC4" s="345"/>
      <c r="NGD4" s="345"/>
      <c r="NGE4" s="345"/>
      <c r="NGF4" s="345"/>
      <c r="NGG4" s="345"/>
      <c r="NGH4" s="345"/>
      <c r="NGI4" s="345"/>
      <c r="NGJ4" s="345"/>
      <c r="NGK4" s="345"/>
      <c r="NGL4" s="345"/>
      <c r="NGM4" s="345"/>
      <c r="NGN4" s="345"/>
      <c r="NGO4" s="345"/>
      <c r="NGP4" s="345"/>
      <c r="NGQ4" s="345"/>
      <c r="NGR4" s="345"/>
      <c r="NGS4" s="345"/>
      <c r="NGT4" s="345"/>
      <c r="NGU4" s="345"/>
      <c r="NGV4" s="345"/>
      <c r="NGW4" s="345"/>
      <c r="NGX4" s="345"/>
      <c r="NGY4" s="345"/>
      <c r="NGZ4" s="345"/>
      <c r="NHA4" s="345"/>
      <c r="NHB4" s="345"/>
      <c r="NHC4" s="345"/>
      <c r="NHD4" s="345"/>
      <c r="NHE4" s="345"/>
      <c r="NHF4" s="345"/>
      <c r="NHG4" s="345"/>
      <c r="NHH4" s="345"/>
      <c r="NHI4" s="345"/>
      <c r="NHJ4" s="345"/>
      <c r="NHK4" s="345"/>
      <c r="NHL4" s="345"/>
      <c r="NHM4" s="345"/>
      <c r="NHN4" s="345"/>
      <c r="NHO4" s="345"/>
      <c r="NHP4" s="345"/>
      <c r="NHQ4" s="345"/>
      <c r="NHR4" s="345"/>
      <c r="NHS4" s="345"/>
      <c r="NHT4" s="345"/>
      <c r="NHU4" s="345"/>
      <c r="NHV4" s="345"/>
      <c r="NHW4" s="345"/>
      <c r="NHX4" s="345"/>
      <c r="NHY4" s="345"/>
      <c r="NHZ4" s="345"/>
      <c r="NIA4" s="345"/>
      <c r="NIB4" s="345"/>
      <c r="NIC4" s="345"/>
      <c r="NID4" s="345"/>
      <c r="NIE4" s="345"/>
      <c r="NIF4" s="345"/>
      <c r="NIG4" s="345"/>
      <c r="NIH4" s="345"/>
      <c r="NII4" s="345"/>
      <c r="NIJ4" s="345"/>
      <c r="NIK4" s="345"/>
      <c r="NIL4" s="345"/>
      <c r="NIM4" s="345"/>
      <c r="NIN4" s="345"/>
      <c r="NIO4" s="345"/>
      <c r="NIP4" s="345"/>
      <c r="NIQ4" s="345"/>
      <c r="NIR4" s="345"/>
      <c r="NIS4" s="345"/>
      <c r="NIT4" s="345"/>
      <c r="NIU4" s="345"/>
      <c r="NIV4" s="345"/>
      <c r="NIW4" s="345"/>
      <c r="NIX4" s="345"/>
      <c r="NIY4" s="345"/>
      <c r="NIZ4" s="345"/>
      <c r="NJA4" s="345"/>
      <c r="NJB4" s="345"/>
      <c r="NJC4" s="345"/>
      <c r="NJD4" s="345"/>
      <c r="NJE4" s="345"/>
      <c r="NJF4" s="345"/>
      <c r="NJG4" s="345"/>
      <c r="NJH4" s="345"/>
      <c r="NJI4" s="345"/>
      <c r="NJJ4" s="345"/>
      <c r="NJK4" s="345"/>
      <c r="NJL4" s="345"/>
      <c r="NJM4" s="345"/>
      <c r="NJN4" s="345"/>
      <c r="NJO4" s="345"/>
      <c r="NJP4" s="345"/>
      <c r="NJQ4" s="345"/>
      <c r="NJR4" s="345"/>
      <c r="NJS4" s="345"/>
      <c r="NJT4" s="345"/>
      <c r="NJU4" s="345"/>
      <c r="NJV4" s="345"/>
      <c r="NJW4" s="345"/>
      <c r="NJX4" s="345"/>
      <c r="NJY4" s="345"/>
      <c r="NJZ4" s="345"/>
      <c r="NKA4" s="345"/>
      <c r="NKB4" s="345"/>
      <c r="NKC4" s="345"/>
      <c r="NKD4" s="345"/>
      <c r="NKE4" s="345"/>
      <c r="NKF4" s="345"/>
      <c r="NKG4" s="345"/>
      <c r="NKH4" s="345"/>
      <c r="NKI4" s="345"/>
      <c r="NKJ4" s="345"/>
      <c r="NKK4" s="345"/>
      <c r="NKL4" s="345"/>
      <c r="NKM4" s="345"/>
      <c r="NKN4" s="345"/>
      <c r="NKO4" s="345"/>
      <c r="NKP4" s="345"/>
      <c r="NKQ4" s="345"/>
      <c r="NKR4" s="345"/>
      <c r="NKS4" s="345"/>
      <c r="NKT4" s="345"/>
      <c r="NKU4" s="345"/>
      <c r="NKV4" s="345"/>
      <c r="NKW4" s="345"/>
      <c r="NKX4" s="345"/>
      <c r="NKY4" s="345"/>
      <c r="NKZ4" s="345"/>
      <c r="NLA4" s="345"/>
      <c r="NLB4" s="345"/>
      <c r="NLC4" s="345"/>
      <c r="NLD4" s="345"/>
      <c r="NLE4" s="345"/>
      <c r="NLF4" s="345"/>
      <c r="NLG4" s="345"/>
      <c r="NLH4" s="345"/>
      <c r="NLI4" s="345"/>
      <c r="NLJ4" s="345"/>
      <c r="NLK4" s="345"/>
      <c r="NLL4" s="345"/>
      <c r="NLM4" s="345"/>
      <c r="NLN4" s="345"/>
      <c r="NLO4" s="345"/>
      <c r="NLP4" s="345"/>
      <c r="NLQ4" s="345"/>
      <c r="NLR4" s="345"/>
      <c r="NLS4" s="345"/>
      <c r="NLT4" s="345"/>
      <c r="NLU4" s="345"/>
      <c r="NLV4" s="345"/>
      <c r="NLW4" s="345"/>
      <c r="NLX4" s="345"/>
      <c r="NLY4" s="345"/>
      <c r="NLZ4" s="345"/>
      <c r="NMA4" s="345"/>
      <c r="NMB4" s="345"/>
      <c r="NMC4" s="345"/>
      <c r="NMD4" s="345"/>
      <c r="NME4" s="345"/>
      <c r="NMF4" s="345"/>
      <c r="NMG4" s="345"/>
      <c r="NMH4" s="345"/>
      <c r="NMI4" s="345"/>
      <c r="NMJ4" s="345"/>
      <c r="NMK4" s="345"/>
      <c r="NML4" s="345"/>
      <c r="NMM4" s="345"/>
      <c r="NMN4" s="345"/>
      <c r="NMO4" s="345"/>
      <c r="NMP4" s="345"/>
      <c r="NMQ4" s="345"/>
      <c r="NMR4" s="345"/>
      <c r="NMS4" s="345"/>
      <c r="NMT4" s="345"/>
      <c r="NMU4" s="345"/>
      <c r="NMV4" s="345"/>
      <c r="NMW4" s="345"/>
      <c r="NMX4" s="345"/>
      <c r="NMY4" s="345"/>
      <c r="NMZ4" s="345"/>
      <c r="NNA4" s="345"/>
      <c r="NNB4" s="345"/>
      <c r="NNC4" s="345"/>
      <c r="NND4" s="345"/>
      <c r="NNE4" s="345"/>
      <c r="NNF4" s="345"/>
      <c r="NNG4" s="345"/>
      <c r="NNH4" s="345"/>
      <c r="NNI4" s="345"/>
      <c r="NNJ4" s="345"/>
      <c r="NNK4" s="345"/>
      <c r="NNL4" s="345"/>
      <c r="NNM4" s="345"/>
      <c r="NNN4" s="345"/>
      <c r="NNO4" s="345"/>
      <c r="NNP4" s="345"/>
      <c r="NNQ4" s="345"/>
      <c r="NNR4" s="345"/>
      <c r="NNS4" s="345"/>
      <c r="NNT4" s="345"/>
      <c r="NNU4" s="345"/>
      <c r="NNV4" s="345"/>
      <c r="NNW4" s="345"/>
      <c r="NNX4" s="345"/>
      <c r="NNY4" s="345"/>
      <c r="NNZ4" s="345"/>
      <c r="NOA4" s="345"/>
      <c r="NOB4" s="345"/>
      <c r="NOC4" s="345"/>
      <c r="NOD4" s="345"/>
      <c r="NOE4" s="345"/>
      <c r="NOF4" s="345"/>
      <c r="NOG4" s="345"/>
      <c r="NOH4" s="345"/>
      <c r="NOI4" s="345"/>
      <c r="NOJ4" s="345"/>
      <c r="NOK4" s="345"/>
      <c r="NOL4" s="345"/>
      <c r="NOM4" s="345"/>
      <c r="NON4" s="345"/>
      <c r="NOO4" s="345"/>
      <c r="NOP4" s="345"/>
      <c r="NOQ4" s="345"/>
      <c r="NOR4" s="345"/>
      <c r="NOS4" s="345"/>
      <c r="NOT4" s="345"/>
      <c r="NOU4" s="345"/>
      <c r="NOV4" s="345"/>
      <c r="NOW4" s="345"/>
      <c r="NOX4" s="345"/>
      <c r="NOY4" s="345"/>
      <c r="NOZ4" s="345"/>
      <c r="NPA4" s="345"/>
      <c r="NPB4" s="345"/>
      <c r="NPC4" s="345"/>
      <c r="NPD4" s="345"/>
      <c r="NPE4" s="345"/>
      <c r="NPF4" s="345"/>
      <c r="NPG4" s="345"/>
      <c r="NPH4" s="345"/>
      <c r="NPI4" s="345"/>
      <c r="NPJ4" s="345"/>
      <c r="NPK4" s="345"/>
      <c r="NPL4" s="345"/>
      <c r="NPM4" s="345"/>
      <c r="NPN4" s="345"/>
      <c r="NPO4" s="345"/>
      <c r="NPP4" s="345"/>
      <c r="NPQ4" s="345"/>
      <c r="NPR4" s="345"/>
      <c r="NPS4" s="345"/>
      <c r="NPT4" s="345"/>
      <c r="NPU4" s="345"/>
      <c r="NPV4" s="345"/>
      <c r="NPW4" s="345"/>
      <c r="NPX4" s="345"/>
      <c r="NPY4" s="345"/>
      <c r="NPZ4" s="345"/>
      <c r="NQA4" s="345"/>
      <c r="NQB4" s="345"/>
      <c r="NQC4" s="345"/>
      <c r="NQD4" s="345"/>
      <c r="NQE4" s="345"/>
      <c r="NQF4" s="345"/>
      <c r="NQG4" s="345"/>
      <c r="NQH4" s="345"/>
      <c r="NQI4" s="345"/>
      <c r="NQJ4" s="345"/>
      <c r="NQK4" s="345"/>
      <c r="NQL4" s="345"/>
      <c r="NQM4" s="345"/>
      <c r="NQN4" s="345"/>
      <c r="NQO4" s="345"/>
      <c r="NQP4" s="345"/>
      <c r="NQQ4" s="345"/>
      <c r="NQR4" s="345"/>
      <c r="NQS4" s="345"/>
      <c r="NQT4" s="345"/>
      <c r="NQU4" s="345"/>
      <c r="NQV4" s="345"/>
      <c r="NQW4" s="345"/>
      <c r="NQX4" s="345"/>
      <c r="NQY4" s="345"/>
      <c r="NQZ4" s="345"/>
      <c r="NRA4" s="345"/>
      <c r="NRB4" s="345"/>
      <c r="NRC4" s="345"/>
      <c r="NRD4" s="345"/>
      <c r="NRE4" s="345"/>
      <c r="NRF4" s="345"/>
      <c r="NRG4" s="345"/>
      <c r="NRH4" s="345"/>
      <c r="NRI4" s="345"/>
      <c r="NRJ4" s="345"/>
      <c r="NRK4" s="345"/>
      <c r="NRL4" s="345"/>
      <c r="NRM4" s="345"/>
      <c r="NRN4" s="345"/>
      <c r="NRO4" s="345"/>
      <c r="NRP4" s="345"/>
      <c r="NRQ4" s="345"/>
      <c r="NRR4" s="345"/>
      <c r="NRS4" s="345"/>
      <c r="NRT4" s="345"/>
      <c r="NRU4" s="345"/>
      <c r="NRV4" s="345"/>
      <c r="NRW4" s="345"/>
      <c r="NRX4" s="345"/>
      <c r="NRY4" s="345"/>
      <c r="NRZ4" s="345"/>
      <c r="NSA4" s="345"/>
      <c r="NSB4" s="345"/>
      <c r="NSC4" s="345"/>
      <c r="NSD4" s="345"/>
      <c r="NSE4" s="345"/>
      <c r="NSF4" s="345"/>
      <c r="NSG4" s="345"/>
      <c r="NSH4" s="345"/>
      <c r="NSI4" s="345"/>
      <c r="NSJ4" s="345"/>
      <c r="NSK4" s="345"/>
      <c r="NSL4" s="345"/>
      <c r="NSM4" s="345"/>
      <c r="NSN4" s="345"/>
      <c r="NSO4" s="345"/>
      <c r="NSP4" s="345"/>
      <c r="NSQ4" s="345"/>
      <c r="NSR4" s="345"/>
      <c r="NSS4" s="345"/>
      <c r="NST4" s="345"/>
      <c r="NSU4" s="345"/>
      <c r="NSV4" s="345"/>
      <c r="NSW4" s="345"/>
      <c r="NSX4" s="345"/>
      <c r="NSY4" s="345"/>
      <c r="NSZ4" s="345"/>
      <c r="NTA4" s="345"/>
      <c r="NTB4" s="345"/>
      <c r="NTC4" s="345"/>
      <c r="NTD4" s="345"/>
      <c r="NTE4" s="345"/>
      <c r="NTF4" s="345"/>
      <c r="NTG4" s="345"/>
      <c r="NTH4" s="345"/>
      <c r="NTI4" s="345"/>
      <c r="NTJ4" s="345"/>
      <c r="NTK4" s="345"/>
      <c r="NTL4" s="345"/>
      <c r="NTM4" s="345"/>
      <c r="NTN4" s="345"/>
      <c r="NTO4" s="345"/>
      <c r="NTP4" s="345"/>
      <c r="NTQ4" s="345"/>
      <c r="NTR4" s="345"/>
      <c r="NTS4" s="345"/>
      <c r="NTT4" s="345"/>
      <c r="NTU4" s="345"/>
      <c r="NTV4" s="345"/>
      <c r="NTW4" s="345"/>
      <c r="NTX4" s="345"/>
      <c r="NTY4" s="345"/>
      <c r="NTZ4" s="345"/>
      <c r="NUA4" s="345"/>
      <c r="NUB4" s="345"/>
      <c r="NUC4" s="345"/>
      <c r="NUD4" s="345"/>
      <c r="NUE4" s="345"/>
      <c r="NUF4" s="345"/>
      <c r="NUG4" s="345"/>
      <c r="NUH4" s="345"/>
      <c r="NUI4" s="345"/>
      <c r="NUJ4" s="345"/>
      <c r="NUK4" s="345"/>
      <c r="NUL4" s="345"/>
      <c r="NUM4" s="345"/>
      <c r="NUN4" s="345"/>
      <c r="NUO4" s="345"/>
      <c r="NUP4" s="345"/>
      <c r="NUQ4" s="345"/>
      <c r="NUR4" s="345"/>
      <c r="NUS4" s="345"/>
      <c r="NUT4" s="345"/>
      <c r="NUU4" s="345"/>
      <c r="NUV4" s="345"/>
      <c r="NUW4" s="345"/>
      <c r="NUX4" s="345"/>
      <c r="NUY4" s="345"/>
      <c r="NUZ4" s="345"/>
      <c r="NVA4" s="345"/>
      <c r="NVB4" s="345"/>
      <c r="NVC4" s="345"/>
      <c r="NVD4" s="345"/>
      <c r="NVE4" s="345"/>
      <c r="NVF4" s="345"/>
      <c r="NVG4" s="345"/>
      <c r="NVH4" s="345"/>
      <c r="NVI4" s="345"/>
      <c r="NVJ4" s="345"/>
      <c r="NVK4" s="345"/>
      <c r="NVL4" s="345"/>
      <c r="NVM4" s="345"/>
      <c r="NVN4" s="345"/>
      <c r="NVO4" s="345"/>
      <c r="NVP4" s="345"/>
      <c r="NVQ4" s="345"/>
      <c r="NVR4" s="345"/>
      <c r="NVS4" s="345"/>
      <c r="NVT4" s="345"/>
      <c r="NVU4" s="345"/>
      <c r="NVV4" s="345"/>
      <c r="NVW4" s="345"/>
      <c r="NVX4" s="345"/>
      <c r="NVY4" s="345"/>
      <c r="NVZ4" s="345"/>
      <c r="NWA4" s="345"/>
      <c r="NWB4" s="345"/>
      <c r="NWC4" s="345"/>
      <c r="NWD4" s="345"/>
      <c r="NWE4" s="345"/>
      <c r="NWF4" s="345"/>
      <c r="NWG4" s="345"/>
      <c r="NWH4" s="345"/>
      <c r="NWI4" s="345"/>
      <c r="NWJ4" s="345"/>
      <c r="NWK4" s="345"/>
      <c r="NWL4" s="345"/>
      <c r="NWM4" s="345"/>
      <c r="NWN4" s="345"/>
      <c r="NWO4" s="345"/>
      <c r="NWP4" s="345"/>
      <c r="NWQ4" s="345"/>
      <c r="NWR4" s="345"/>
      <c r="NWS4" s="345"/>
      <c r="NWT4" s="345"/>
      <c r="NWU4" s="345"/>
      <c r="NWV4" s="345"/>
      <c r="NWW4" s="345"/>
      <c r="NWX4" s="345"/>
      <c r="NWY4" s="345"/>
      <c r="NWZ4" s="345"/>
      <c r="NXA4" s="345"/>
      <c r="NXB4" s="345"/>
      <c r="NXC4" s="345"/>
      <c r="NXD4" s="345"/>
      <c r="NXE4" s="345"/>
      <c r="NXF4" s="345"/>
      <c r="NXG4" s="345"/>
      <c r="NXH4" s="345"/>
      <c r="NXI4" s="345"/>
      <c r="NXJ4" s="345"/>
      <c r="NXK4" s="345"/>
      <c r="NXL4" s="345"/>
      <c r="NXM4" s="345"/>
      <c r="NXN4" s="345"/>
      <c r="NXO4" s="345"/>
      <c r="NXP4" s="345"/>
      <c r="NXQ4" s="345"/>
      <c r="NXR4" s="345"/>
      <c r="NXS4" s="345"/>
      <c r="NXT4" s="345"/>
      <c r="NXU4" s="345"/>
      <c r="NXV4" s="345"/>
      <c r="NXW4" s="345"/>
      <c r="NXX4" s="345"/>
      <c r="NXY4" s="345"/>
      <c r="NXZ4" s="345"/>
      <c r="NYA4" s="345"/>
      <c r="NYB4" s="345"/>
      <c r="NYC4" s="345"/>
      <c r="NYD4" s="345"/>
      <c r="NYE4" s="345"/>
      <c r="NYF4" s="345"/>
      <c r="NYG4" s="345"/>
      <c r="NYH4" s="345"/>
      <c r="NYI4" s="345"/>
      <c r="NYJ4" s="345"/>
      <c r="NYK4" s="345"/>
      <c r="NYL4" s="345"/>
      <c r="NYM4" s="345"/>
      <c r="NYN4" s="345"/>
      <c r="NYO4" s="345"/>
      <c r="NYP4" s="345"/>
      <c r="NYQ4" s="345"/>
      <c r="NYR4" s="345"/>
      <c r="NYS4" s="345"/>
      <c r="NYT4" s="345"/>
      <c r="NYU4" s="345"/>
      <c r="NYV4" s="345"/>
      <c r="NYW4" s="345"/>
      <c r="NYX4" s="345"/>
      <c r="NYY4" s="345"/>
      <c r="NYZ4" s="345"/>
      <c r="NZA4" s="345"/>
      <c r="NZB4" s="345"/>
      <c r="NZC4" s="345"/>
      <c r="NZD4" s="345"/>
      <c r="NZE4" s="345"/>
      <c r="NZF4" s="345"/>
      <c r="NZG4" s="345"/>
      <c r="NZH4" s="345"/>
      <c r="NZI4" s="345"/>
      <c r="NZJ4" s="345"/>
      <c r="NZK4" s="345"/>
      <c r="NZL4" s="345"/>
      <c r="NZM4" s="345"/>
      <c r="NZN4" s="345"/>
      <c r="NZO4" s="345"/>
      <c r="NZP4" s="345"/>
      <c r="NZQ4" s="345"/>
      <c r="NZR4" s="345"/>
      <c r="NZS4" s="345"/>
      <c r="NZT4" s="345"/>
      <c r="NZU4" s="345"/>
      <c r="NZV4" s="345"/>
      <c r="NZW4" s="345"/>
      <c r="NZX4" s="345"/>
      <c r="NZY4" s="345"/>
      <c r="NZZ4" s="345"/>
      <c r="OAA4" s="345"/>
      <c r="OAB4" s="345"/>
      <c r="OAC4" s="345"/>
      <c r="OAD4" s="345"/>
      <c r="OAE4" s="345"/>
      <c r="OAF4" s="345"/>
      <c r="OAG4" s="345"/>
      <c r="OAH4" s="345"/>
      <c r="OAI4" s="345"/>
      <c r="OAJ4" s="345"/>
      <c r="OAK4" s="345"/>
      <c r="OAL4" s="345"/>
      <c r="OAM4" s="345"/>
      <c r="OAN4" s="345"/>
      <c r="OAO4" s="345"/>
      <c r="OAP4" s="345"/>
      <c r="OAQ4" s="345"/>
      <c r="OAR4" s="345"/>
      <c r="OAS4" s="345"/>
      <c r="OAT4" s="345"/>
      <c r="OAU4" s="345"/>
      <c r="OAV4" s="345"/>
      <c r="OAW4" s="345"/>
      <c r="OAX4" s="345"/>
      <c r="OAY4" s="345"/>
      <c r="OAZ4" s="345"/>
      <c r="OBA4" s="345"/>
      <c r="OBB4" s="345"/>
      <c r="OBC4" s="345"/>
      <c r="OBD4" s="345"/>
      <c r="OBE4" s="345"/>
      <c r="OBF4" s="345"/>
      <c r="OBG4" s="345"/>
      <c r="OBH4" s="345"/>
      <c r="OBI4" s="345"/>
      <c r="OBJ4" s="345"/>
      <c r="OBK4" s="345"/>
      <c r="OBL4" s="345"/>
      <c r="OBM4" s="345"/>
      <c r="OBN4" s="345"/>
      <c r="OBO4" s="345"/>
      <c r="OBP4" s="345"/>
      <c r="OBQ4" s="345"/>
      <c r="OBR4" s="345"/>
      <c r="OBS4" s="345"/>
      <c r="OBT4" s="345"/>
      <c r="OBU4" s="345"/>
      <c r="OBV4" s="345"/>
      <c r="OBW4" s="345"/>
      <c r="OBX4" s="345"/>
      <c r="OBY4" s="345"/>
      <c r="OBZ4" s="345"/>
      <c r="OCA4" s="345"/>
      <c r="OCB4" s="345"/>
      <c r="OCC4" s="345"/>
      <c r="OCD4" s="345"/>
      <c r="OCE4" s="345"/>
      <c r="OCF4" s="345"/>
      <c r="OCG4" s="345"/>
      <c r="OCH4" s="345"/>
      <c r="OCI4" s="345"/>
      <c r="OCJ4" s="345"/>
      <c r="OCK4" s="345"/>
      <c r="OCL4" s="345"/>
      <c r="OCM4" s="345"/>
      <c r="OCN4" s="345"/>
      <c r="OCO4" s="345"/>
      <c r="OCP4" s="345"/>
      <c r="OCQ4" s="345"/>
      <c r="OCR4" s="345"/>
      <c r="OCS4" s="345"/>
      <c r="OCT4" s="345"/>
      <c r="OCU4" s="345"/>
      <c r="OCV4" s="345"/>
      <c r="OCW4" s="345"/>
      <c r="OCX4" s="345"/>
      <c r="OCY4" s="345"/>
      <c r="OCZ4" s="345"/>
      <c r="ODA4" s="345"/>
      <c r="ODB4" s="345"/>
      <c r="ODC4" s="345"/>
      <c r="ODD4" s="345"/>
      <c r="ODE4" s="345"/>
      <c r="ODF4" s="345"/>
      <c r="ODG4" s="345"/>
      <c r="ODH4" s="345"/>
      <c r="ODI4" s="345"/>
      <c r="ODJ4" s="345"/>
      <c r="ODK4" s="345"/>
      <c r="ODL4" s="345"/>
      <c r="ODM4" s="345"/>
      <c r="ODN4" s="345"/>
      <c r="ODO4" s="345"/>
      <c r="ODP4" s="345"/>
      <c r="ODQ4" s="345"/>
      <c r="ODR4" s="345"/>
      <c r="ODS4" s="345"/>
      <c r="ODT4" s="345"/>
      <c r="ODU4" s="345"/>
      <c r="ODV4" s="345"/>
      <c r="ODW4" s="345"/>
      <c r="ODX4" s="345"/>
      <c r="ODY4" s="345"/>
      <c r="ODZ4" s="345"/>
      <c r="OEA4" s="345"/>
      <c r="OEB4" s="345"/>
      <c r="OEC4" s="345"/>
      <c r="OED4" s="345"/>
      <c r="OEE4" s="345"/>
      <c r="OEF4" s="345"/>
      <c r="OEG4" s="345"/>
      <c r="OEH4" s="345"/>
      <c r="OEI4" s="345"/>
      <c r="OEJ4" s="345"/>
      <c r="OEK4" s="345"/>
      <c r="OEL4" s="345"/>
      <c r="OEM4" s="345"/>
      <c r="OEN4" s="345"/>
      <c r="OEO4" s="345"/>
      <c r="OEP4" s="345"/>
      <c r="OEQ4" s="345"/>
      <c r="OER4" s="345"/>
      <c r="OES4" s="345"/>
      <c r="OET4" s="345"/>
      <c r="OEU4" s="345"/>
      <c r="OEV4" s="345"/>
      <c r="OEW4" s="345"/>
      <c r="OEX4" s="345"/>
      <c r="OEY4" s="345"/>
      <c r="OEZ4" s="345"/>
      <c r="OFA4" s="345"/>
      <c r="OFB4" s="345"/>
      <c r="OFC4" s="345"/>
      <c r="OFD4" s="345"/>
      <c r="OFE4" s="345"/>
      <c r="OFF4" s="345"/>
      <c r="OFG4" s="345"/>
      <c r="OFH4" s="345"/>
      <c r="OFI4" s="345"/>
      <c r="OFJ4" s="345"/>
      <c r="OFK4" s="345"/>
      <c r="OFL4" s="345"/>
      <c r="OFM4" s="345"/>
      <c r="OFN4" s="345"/>
      <c r="OFO4" s="345"/>
      <c r="OFP4" s="345"/>
      <c r="OFQ4" s="345"/>
      <c r="OFR4" s="345"/>
      <c r="OFS4" s="345"/>
      <c r="OFT4" s="345"/>
      <c r="OFU4" s="345"/>
      <c r="OFV4" s="345"/>
      <c r="OFW4" s="345"/>
      <c r="OFX4" s="345"/>
      <c r="OFY4" s="345"/>
      <c r="OFZ4" s="345"/>
      <c r="OGA4" s="345"/>
      <c r="OGB4" s="345"/>
      <c r="OGC4" s="345"/>
      <c r="OGD4" s="345"/>
      <c r="OGE4" s="345"/>
      <c r="OGF4" s="345"/>
      <c r="OGG4" s="345"/>
      <c r="OGH4" s="345"/>
      <c r="OGI4" s="345"/>
      <c r="OGJ4" s="345"/>
      <c r="OGK4" s="345"/>
      <c r="OGL4" s="345"/>
      <c r="OGM4" s="345"/>
      <c r="OGN4" s="345"/>
      <c r="OGO4" s="345"/>
      <c r="OGP4" s="345"/>
      <c r="OGQ4" s="345"/>
      <c r="OGR4" s="345"/>
      <c r="OGS4" s="345"/>
      <c r="OGT4" s="345"/>
      <c r="OGU4" s="345"/>
      <c r="OGV4" s="345"/>
      <c r="OGW4" s="345"/>
      <c r="OGX4" s="345"/>
      <c r="OGY4" s="345"/>
      <c r="OGZ4" s="345"/>
      <c r="OHA4" s="345"/>
      <c r="OHB4" s="345"/>
      <c r="OHC4" s="345"/>
      <c r="OHD4" s="345"/>
      <c r="OHE4" s="345"/>
      <c r="OHF4" s="345"/>
      <c r="OHG4" s="345"/>
      <c r="OHH4" s="345"/>
      <c r="OHI4" s="345"/>
      <c r="OHJ4" s="345"/>
      <c r="OHK4" s="345"/>
      <c r="OHL4" s="345"/>
      <c r="OHM4" s="345"/>
      <c r="OHN4" s="345"/>
      <c r="OHO4" s="345"/>
      <c r="OHP4" s="345"/>
      <c r="OHQ4" s="345"/>
      <c r="OHR4" s="345"/>
      <c r="OHS4" s="345"/>
      <c r="OHT4" s="345"/>
      <c r="OHU4" s="345"/>
      <c r="OHV4" s="345"/>
      <c r="OHW4" s="345"/>
      <c r="OHX4" s="345"/>
      <c r="OHY4" s="345"/>
      <c r="OHZ4" s="345"/>
      <c r="OIA4" s="345"/>
      <c r="OIB4" s="345"/>
      <c r="OIC4" s="345"/>
      <c r="OID4" s="345"/>
      <c r="OIE4" s="345"/>
      <c r="OIF4" s="345"/>
      <c r="OIG4" s="345"/>
      <c r="OIH4" s="345"/>
      <c r="OII4" s="345"/>
      <c r="OIJ4" s="345"/>
      <c r="OIK4" s="345"/>
      <c r="OIL4" s="345"/>
      <c r="OIM4" s="345"/>
      <c r="OIN4" s="345"/>
      <c r="OIO4" s="345"/>
      <c r="OIP4" s="345"/>
      <c r="OIQ4" s="345"/>
      <c r="OIR4" s="345"/>
      <c r="OIS4" s="345"/>
      <c r="OIT4" s="345"/>
      <c r="OIU4" s="345"/>
      <c r="OIV4" s="345"/>
      <c r="OIW4" s="345"/>
      <c r="OIX4" s="345"/>
      <c r="OIY4" s="345"/>
      <c r="OIZ4" s="345"/>
      <c r="OJA4" s="345"/>
      <c r="OJB4" s="345"/>
      <c r="OJC4" s="345"/>
      <c r="OJD4" s="345"/>
      <c r="OJE4" s="345"/>
      <c r="OJF4" s="345"/>
      <c r="OJG4" s="345"/>
      <c r="OJH4" s="345"/>
      <c r="OJI4" s="345"/>
      <c r="OJJ4" s="345"/>
      <c r="OJK4" s="345"/>
      <c r="OJL4" s="345"/>
      <c r="OJM4" s="345"/>
      <c r="OJN4" s="345"/>
      <c r="OJO4" s="345"/>
      <c r="OJP4" s="345"/>
      <c r="OJQ4" s="345"/>
      <c r="OJR4" s="345"/>
      <c r="OJS4" s="345"/>
      <c r="OJT4" s="345"/>
      <c r="OJU4" s="345"/>
      <c r="OJV4" s="345"/>
      <c r="OJW4" s="345"/>
      <c r="OJX4" s="345"/>
      <c r="OJY4" s="345"/>
      <c r="OJZ4" s="345"/>
      <c r="OKA4" s="345"/>
      <c r="OKB4" s="345"/>
      <c r="OKC4" s="345"/>
      <c r="OKD4" s="345"/>
      <c r="OKE4" s="345"/>
      <c r="OKF4" s="345"/>
      <c r="OKG4" s="345"/>
      <c r="OKH4" s="345"/>
      <c r="OKI4" s="345"/>
      <c r="OKJ4" s="345"/>
      <c r="OKK4" s="345"/>
      <c r="OKL4" s="345"/>
      <c r="OKM4" s="345"/>
      <c r="OKN4" s="345"/>
      <c r="OKO4" s="345"/>
      <c r="OKP4" s="345"/>
      <c r="OKQ4" s="345"/>
      <c r="OKR4" s="345"/>
      <c r="OKS4" s="345"/>
      <c r="OKT4" s="345"/>
      <c r="OKU4" s="345"/>
      <c r="OKV4" s="345"/>
      <c r="OKW4" s="345"/>
      <c r="OKX4" s="345"/>
      <c r="OKY4" s="345"/>
      <c r="OKZ4" s="345"/>
      <c r="OLA4" s="345"/>
      <c r="OLB4" s="345"/>
      <c r="OLC4" s="345"/>
      <c r="OLD4" s="345"/>
      <c r="OLE4" s="345"/>
      <c r="OLF4" s="345"/>
      <c r="OLG4" s="345"/>
      <c r="OLH4" s="345"/>
      <c r="OLI4" s="345"/>
      <c r="OLJ4" s="345"/>
      <c r="OLK4" s="345"/>
      <c r="OLL4" s="345"/>
      <c r="OLM4" s="345"/>
      <c r="OLN4" s="345"/>
      <c r="OLO4" s="345"/>
      <c r="OLP4" s="345"/>
      <c r="OLQ4" s="345"/>
      <c r="OLR4" s="345"/>
      <c r="OLS4" s="345"/>
      <c r="OLT4" s="345"/>
      <c r="OLU4" s="345"/>
      <c r="OLV4" s="345"/>
      <c r="OLW4" s="345"/>
      <c r="OLX4" s="345"/>
      <c r="OLY4" s="345"/>
      <c r="OLZ4" s="345"/>
      <c r="OMA4" s="345"/>
      <c r="OMB4" s="345"/>
      <c r="OMC4" s="345"/>
      <c r="OMD4" s="345"/>
      <c r="OME4" s="345"/>
      <c r="OMF4" s="345"/>
      <c r="OMG4" s="345"/>
      <c r="OMH4" s="345"/>
      <c r="OMI4" s="345"/>
      <c r="OMJ4" s="345"/>
      <c r="OMK4" s="345"/>
      <c r="OML4" s="345"/>
      <c r="OMM4" s="345"/>
      <c r="OMN4" s="345"/>
      <c r="OMO4" s="345"/>
      <c r="OMP4" s="345"/>
      <c r="OMQ4" s="345"/>
      <c r="OMR4" s="345"/>
      <c r="OMS4" s="345"/>
      <c r="OMT4" s="345"/>
      <c r="OMU4" s="345"/>
      <c r="OMV4" s="345"/>
      <c r="OMW4" s="345"/>
      <c r="OMX4" s="345"/>
      <c r="OMY4" s="345"/>
      <c r="OMZ4" s="345"/>
      <c r="ONA4" s="345"/>
      <c r="ONB4" s="345"/>
      <c r="ONC4" s="345"/>
      <c r="OND4" s="345"/>
      <c r="ONE4" s="345"/>
      <c r="ONF4" s="345"/>
      <c r="ONG4" s="345"/>
      <c r="ONH4" s="345"/>
      <c r="ONI4" s="345"/>
      <c r="ONJ4" s="345"/>
      <c r="ONK4" s="345"/>
      <c r="ONL4" s="345"/>
      <c r="ONM4" s="345"/>
      <c r="ONN4" s="345"/>
      <c r="ONO4" s="345"/>
      <c r="ONP4" s="345"/>
      <c r="ONQ4" s="345"/>
      <c r="ONR4" s="345"/>
      <c r="ONS4" s="345"/>
      <c r="ONT4" s="345"/>
      <c r="ONU4" s="345"/>
      <c r="ONV4" s="345"/>
      <c r="ONW4" s="345"/>
      <c r="ONX4" s="345"/>
      <c r="ONY4" s="345"/>
      <c r="ONZ4" s="345"/>
      <c r="OOA4" s="345"/>
      <c r="OOB4" s="345"/>
      <c r="OOC4" s="345"/>
      <c r="OOD4" s="345"/>
      <c r="OOE4" s="345"/>
      <c r="OOF4" s="345"/>
      <c r="OOG4" s="345"/>
      <c r="OOH4" s="345"/>
      <c r="OOI4" s="345"/>
      <c r="OOJ4" s="345"/>
      <c r="OOK4" s="345"/>
      <c r="OOL4" s="345"/>
      <c r="OOM4" s="345"/>
      <c r="OON4" s="345"/>
      <c r="OOO4" s="345"/>
      <c r="OOP4" s="345"/>
      <c r="OOQ4" s="345"/>
      <c r="OOR4" s="345"/>
      <c r="OOS4" s="345"/>
      <c r="OOT4" s="345"/>
      <c r="OOU4" s="345"/>
      <c r="OOV4" s="345"/>
      <c r="OOW4" s="345"/>
      <c r="OOX4" s="345"/>
      <c r="OOY4" s="345"/>
      <c r="OOZ4" s="345"/>
      <c r="OPA4" s="345"/>
      <c r="OPB4" s="345"/>
      <c r="OPC4" s="345"/>
      <c r="OPD4" s="345"/>
      <c r="OPE4" s="345"/>
      <c r="OPF4" s="345"/>
      <c r="OPG4" s="345"/>
      <c r="OPH4" s="345"/>
      <c r="OPI4" s="345"/>
      <c r="OPJ4" s="345"/>
      <c r="OPK4" s="345"/>
      <c r="OPL4" s="345"/>
      <c r="OPM4" s="345"/>
      <c r="OPN4" s="345"/>
      <c r="OPO4" s="345"/>
      <c r="OPP4" s="345"/>
      <c r="OPQ4" s="345"/>
      <c r="OPR4" s="345"/>
      <c r="OPS4" s="345"/>
      <c r="OPT4" s="345"/>
      <c r="OPU4" s="345"/>
      <c r="OPV4" s="345"/>
      <c r="OPW4" s="345"/>
      <c r="OPX4" s="345"/>
      <c r="OPY4" s="345"/>
      <c r="OPZ4" s="345"/>
      <c r="OQA4" s="345"/>
      <c r="OQB4" s="345"/>
      <c r="OQC4" s="345"/>
      <c r="OQD4" s="345"/>
      <c r="OQE4" s="345"/>
      <c r="OQF4" s="345"/>
      <c r="OQG4" s="345"/>
      <c r="OQH4" s="345"/>
      <c r="OQI4" s="345"/>
      <c r="OQJ4" s="345"/>
      <c r="OQK4" s="345"/>
      <c r="OQL4" s="345"/>
      <c r="OQM4" s="345"/>
      <c r="OQN4" s="345"/>
      <c r="OQO4" s="345"/>
      <c r="OQP4" s="345"/>
      <c r="OQQ4" s="345"/>
      <c r="OQR4" s="345"/>
      <c r="OQS4" s="345"/>
      <c r="OQT4" s="345"/>
      <c r="OQU4" s="345"/>
      <c r="OQV4" s="345"/>
      <c r="OQW4" s="345"/>
      <c r="OQX4" s="345"/>
      <c r="OQY4" s="345"/>
      <c r="OQZ4" s="345"/>
      <c r="ORA4" s="345"/>
      <c r="ORB4" s="345"/>
      <c r="ORC4" s="345"/>
      <c r="ORD4" s="345"/>
      <c r="ORE4" s="345"/>
      <c r="ORF4" s="345"/>
      <c r="ORG4" s="345"/>
      <c r="ORH4" s="345"/>
      <c r="ORI4" s="345"/>
      <c r="ORJ4" s="345"/>
      <c r="ORK4" s="345"/>
      <c r="ORL4" s="345"/>
      <c r="ORM4" s="345"/>
      <c r="ORN4" s="345"/>
      <c r="ORO4" s="345"/>
      <c r="ORP4" s="345"/>
      <c r="ORQ4" s="345"/>
      <c r="ORR4" s="345"/>
      <c r="ORS4" s="345"/>
      <c r="ORT4" s="345"/>
      <c r="ORU4" s="345"/>
      <c r="ORV4" s="345"/>
      <c r="ORW4" s="345"/>
      <c r="ORX4" s="345"/>
      <c r="ORY4" s="345"/>
      <c r="ORZ4" s="345"/>
      <c r="OSA4" s="345"/>
      <c r="OSB4" s="345"/>
      <c r="OSC4" s="345"/>
      <c r="OSD4" s="345"/>
      <c r="OSE4" s="345"/>
      <c r="OSF4" s="345"/>
      <c r="OSG4" s="345"/>
      <c r="OSH4" s="345"/>
      <c r="OSI4" s="345"/>
      <c r="OSJ4" s="345"/>
      <c r="OSK4" s="345"/>
      <c r="OSL4" s="345"/>
      <c r="OSM4" s="345"/>
      <c r="OSN4" s="345"/>
      <c r="OSO4" s="345"/>
      <c r="OSP4" s="345"/>
      <c r="OSQ4" s="345"/>
      <c r="OSR4" s="345"/>
      <c r="OSS4" s="345"/>
      <c r="OST4" s="345"/>
      <c r="OSU4" s="345"/>
      <c r="OSV4" s="345"/>
      <c r="OSW4" s="345"/>
      <c r="OSX4" s="345"/>
      <c r="OSY4" s="345"/>
      <c r="OSZ4" s="345"/>
      <c r="OTA4" s="345"/>
      <c r="OTB4" s="345"/>
      <c r="OTC4" s="345"/>
      <c r="OTD4" s="345"/>
      <c r="OTE4" s="345"/>
      <c r="OTF4" s="345"/>
      <c r="OTG4" s="345"/>
      <c r="OTH4" s="345"/>
      <c r="OTI4" s="345"/>
      <c r="OTJ4" s="345"/>
      <c r="OTK4" s="345"/>
      <c r="OTL4" s="345"/>
      <c r="OTM4" s="345"/>
      <c r="OTN4" s="345"/>
      <c r="OTO4" s="345"/>
      <c r="OTP4" s="345"/>
      <c r="OTQ4" s="345"/>
      <c r="OTR4" s="345"/>
      <c r="OTS4" s="345"/>
      <c r="OTT4" s="345"/>
      <c r="OTU4" s="345"/>
      <c r="OTV4" s="345"/>
      <c r="OTW4" s="345"/>
      <c r="OTX4" s="345"/>
      <c r="OTY4" s="345"/>
      <c r="OTZ4" s="345"/>
      <c r="OUA4" s="345"/>
      <c r="OUB4" s="345"/>
      <c r="OUC4" s="345"/>
      <c r="OUD4" s="345"/>
      <c r="OUE4" s="345"/>
      <c r="OUF4" s="345"/>
      <c r="OUG4" s="345"/>
      <c r="OUH4" s="345"/>
      <c r="OUI4" s="345"/>
      <c r="OUJ4" s="345"/>
      <c r="OUK4" s="345"/>
      <c r="OUL4" s="345"/>
      <c r="OUM4" s="345"/>
      <c r="OUN4" s="345"/>
      <c r="OUO4" s="345"/>
      <c r="OUP4" s="345"/>
      <c r="OUQ4" s="345"/>
      <c r="OUR4" s="345"/>
      <c r="OUS4" s="345"/>
      <c r="OUT4" s="345"/>
      <c r="OUU4" s="345"/>
      <c r="OUV4" s="345"/>
      <c r="OUW4" s="345"/>
      <c r="OUX4" s="345"/>
      <c r="OUY4" s="345"/>
      <c r="OUZ4" s="345"/>
      <c r="OVA4" s="345"/>
      <c r="OVB4" s="345"/>
      <c r="OVC4" s="345"/>
      <c r="OVD4" s="345"/>
      <c r="OVE4" s="345"/>
      <c r="OVF4" s="345"/>
      <c r="OVG4" s="345"/>
      <c r="OVH4" s="345"/>
      <c r="OVI4" s="345"/>
      <c r="OVJ4" s="345"/>
      <c r="OVK4" s="345"/>
      <c r="OVL4" s="345"/>
      <c r="OVM4" s="345"/>
      <c r="OVN4" s="345"/>
      <c r="OVO4" s="345"/>
      <c r="OVP4" s="345"/>
      <c r="OVQ4" s="345"/>
      <c r="OVR4" s="345"/>
      <c r="OVS4" s="345"/>
      <c r="OVT4" s="345"/>
      <c r="OVU4" s="345"/>
      <c r="OVV4" s="345"/>
      <c r="OVW4" s="345"/>
      <c r="OVX4" s="345"/>
      <c r="OVY4" s="345"/>
      <c r="OVZ4" s="345"/>
      <c r="OWA4" s="345"/>
      <c r="OWB4" s="345"/>
      <c r="OWC4" s="345"/>
      <c r="OWD4" s="345"/>
      <c r="OWE4" s="345"/>
      <c r="OWF4" s="345"/>
      <c r="OWG4" s="345"/>
      <c r="OWH4" s="345"/>
      <c r="OWI4" s="345"/>
      <c r="OWJ4" s="345"/>
      <c r="OWK4" s="345"/>
      <c r="OWL4" s="345"/>
      <c r="OWM4" s="345"/>
      <c r="OWN4" s="345"/>
      <c r="OWO4" s="345"/>
      <c r="OWP4" s="345"/>
      <c r="OWQ4" s="345"/>
      <c r="OWR4" s="345"/>
      <c r="OWS4" s="345"/>
      <c r="OWT4" s="345"/>
      <c r="OWU4" s="345"/>
      <c r="OWV4" s="345"/>
      <c r="OWW4" s="345"/>
      <c r="OWX4" s="345"/>
      <c r="OWY4" s="345"/>
      <c r="OWZ4" s="345"/>
      <c r="OXA4" s="345"/>
      <c r="OXB4" s="345"/>
      <c r="OXC4" s="345"/>
      <c r="OXD4" s="345"/>
      <c r="OXE4" s="345"/>
      <c r="OXF4" s="345"/>
      <c r="OXG4" s="345"/>
      <c r="OXH4" s="345"/>
      <c r="OXI4" s="345"/>
      <c r="OXJ4" s="345"/>
      <c r="OXK4" s="345"/>
      <c r="OXL4" s="345"/>
      <c r="OXM4" s="345"/>
      <c r="OXN4" s="345"/>
      <c r="OXO4" s="345"/>
      <c r="OXP4" s="345"/>
      <c r="OXQ4" s="345"/>
      <c r="OXR4" s="345"/>
      <c r="OXS4" s="345"/>
      <c r="OXT4" s="345"/>
      <c r="OXU4" s="345"/>
      <c r="OXV4" s="345"/>
      <c r="OXW4" s="345"/>
      <c r="OXX4" s="345"/>
      <c r="OXY4" s="345"/>
      <c r="OXZ4" s="345"/>
      <c r="OYA4" s="345"/>
      <c r="OYB4" s="345"/>
      <c r="OYC4" s="345"/>
      <c r="OYD4" s="345"/>
      <c r="OYE4" s="345"/>
      <c r="OYF4" s="345"/>
      <c r="OYG4" s="345"/>
      <c r="OYH4" s="345"/>
      <c r="OYI4" s="345"/>
      <c r="OYJ4" s="345"/>
      <c r="OYK4" s="345"/>
      <c r="OYL4" s="345"/>
      <c r="OYM4" s="345"/>
      <c r="OYN4" s="345"/>
      <c r="OYO4" s="345"/>
      <c r="OYP4" s="345"/>
      <c r="OYQ4" s="345"/>
      <c r="OYR4" s="345"/>
      <c r="OYS4" s="345"/>
      <c r="OYT4" s="345"/>
      <c r="OYU4" s="345"/>
      <c r="OYV4" s="345"/>
      <c r="OYW4" s="345"/>
      <c r="OYX4" s="345"/>
      <c r="OYY4" s="345"/>
      <c r="OYZ4" s="345"/>
      <c r="OZA4" s="345"/>
      <c r="OZB4" s="345"/>
      <c r="OZC4" s="345"/>
      <c r="OZD4" s="345"/>
      <c r="OZE4" s="345"/>
      <c r="OZF4" s="345"/>
      <c r="OZG4" s="345"/>
      <c r="OZH4" s="345"/>
      <c r="OZI4" s="345"/>
      <c r="OZJ4" s="345"/>
      <c r="OZK4" s="345"/>
      <c r="OZL4" s="345"/>
      <c r="OZM4" s="345"/>
      <c r="OZN4" s="345"/>
      <c r="OZO4" s="345"/>
      <c r="OZP4" s="345"/>
      <c r="OZQ4" s="345"/>
      <c r="OZR4" s="345"/>
      <c r="OZS4" s="345"/>
      <c r="OZT4" s="345"/>
      <c r="OZU4" s="345"/>
      <c r="OZV4" s="345"/>
      <c r="OZW4" s="345"/>
      <c r="OZX4" s="345"/>
      <c r="OZY4" s="345"/>
      <c r="OZZ4" s="345"/>
      <c r="PAA4" s="345"/>
      <c r="PAB4" s="345"/>
      <c r="PAC4" s="345"/>
      <c r="PAD4" s="345"/>
      <c r="PAE4" s="345"/>
      <c r="PAF4" s="345"/>
      <c r="PAG4" s="345"/>
      <c r="PAH4" s="345"/>
      <c r="PAI4" s="345"/>
      <c r="PAJ4" s="345"/>
      <c r="PAK4" s="345"/>
      <c r="PAL4" s="345"/>
      <c r="PAM4" s="345"/>
      <c r="PAN4" s="345"/>
      <c r="PAO4" s="345"/>
      <c r="PAP4" s="345"/>
      <c r="PAQ4" s="345"/>
      <c r="PAR4" s="345"/>
      <c r="PAS4" s="345"/>
      <c r="PAT4" s="345"/>
      <c r="PAU4" s="345"/>
      <c r="PAV4" s="345"/>
      <c r="PAW4" s="345"/>
      <c r="PAX4" s="345"/>
      <c r="PAY4" s="345"/>
      <c r="PAZ4" s="345"/>
      <c r="PBA4" s="345"/>
      <c r="PBB4" s="345"/>
      <c r="PBC4" s="345"/>
      <c r="PBD4" s="345"/>
      <c r="PBE4" s="345"/>
      <c r="PBF4" s="345"/>
      <c r="PBG4" s="345"/>
      <c r="PBH4" s="345"/>
      <c r="PBI4" s="345"/>
      <c r="PBJ4" s="345"/>
      <c r="PBK4" s="345"/>
      <c r="PBL4" s="345"/>
      <c r="PBM4" s="345"/>
      <c r="PBN4" s="345"/>
      <c r="PBO4" s="345"/>
      <c r="PBP4" s="345"/>
      <c r="PBQ4" s="345"/>
      <c r="PBR4" s="345"/>
      <c r="PBS4" s="345"/>
      <c r="PBT4" s="345"/>
      <c r="PBU4" s="345"/>
      <c r="PBV4" s="345"/>
      <c r="PBW4" s="345"/>
      <c r="PBX4" s="345"/>
      <c r="PBY4" s="345"/>
      <c r="PBZ4" s="345"/>
      <c r="PCA4" s="345"/>
      <c r="PCB4" s="345"/>
      <c r="PCC4" s="345"/>
      <c r="PCD4" s="345"/>
      <c r="PCE4" s="345"/>
      <c r="PCF4" s="345"/>
      <c r="PCG4" s="345"/>
      <c r="PCH4" s="345"/>
      <c r="PCI4" s="345"/>
      <c r="PCJ4" s="345"/>
      <c r="PCK4" s="345"/>
      <c r="PCL4" s="345"/>
      <c r="PCM4" s="345"/>
      <c r="PCN4" s="345"/>
      <c r="PCO4" s="345"/>
      <c r="PCP4" s="345"/>
      <c r="PCQ4" s="345"/>
      <c r="PCR4" s="345"/>
      <c r="PCS4" s="345"/>
      <c r="PCT4" s="345"/>
      <c r="PCU4" s="345"/>
      <c r="PCV4" s="345"/>
      <c r="PCW4" s="345"/>
      <c r="PCX4" s="345"/>
      <c r="PCY4" s="345"/>
      <c r="PCZ4" s="345"/>
      <c r="PDA4" s="345"/>
      <c r="PDB4" s="345"/>
      <c r="PDC4" s="345"/>
      <c r="PDD4" s="345"/>
      <c r="PDE4" s="345"/>
      <c r="PDF4" s="345"/>
      <c r="PDG4" s="345"/>
      <c r="PDH4" s="345"/>
      <c r="PDI4" s="345"/>
      <c r="PDJ4" s="345"/>
      <c r="PDK4" s="345"/>
      <c r="PDL4" s="345"/>
      <c r="PDM4" s="345"/>
      <c r="PDN4" s="345"/>
      <c r="PDO4" s="345"/>
      <c r="PDP4" s="345"/>
      <c r="PDQ4" s="345"/>
      <c r="PDR4" s="345"/>
      <c r="PDS4" s="345"/>
      <c r="PDT4" s="345"/>
      <c r="PDU4" s="345"/>
      <c r="PDV4" s="345"/>
      <c r="PDW4" s="345"/>
      <c r="PDX4" s="345"/>
      <c r="PDY4" s="345"/>
      <c r="PDZ4" s="345"/>
      <c r="PEA4" s="345"/>
      <c r="PEB4" s="345"/>
      <c r="PEC4" s="345"/>
      <c r="PED4" s="345"/>
      <c r="PEE4" s="345"/>
      <c r="PEF4" s="345"/>
      <c r="PEG4" s="345"/>
      <c r="PEH4" s="345"/>
      <c r="PEI4" s="345"/>
      <c r="PEJ4" s="345"/>
      <c r="PEK4" s="345"/>
      <c r="PEL4" s="345"/>
      <c r="PEM4" s="345"/>
      <c r="PEN4" s="345"/>
      <c r="PEO4" s="345"/>
      <c r="PEP4" s="345"/>
      <c r="PEQ4" s="345"/>
      <c r="PER4" s="345"/>
      <c r="PES4" s="345"/>
      <c r="PET4" s="345"/>
      <c r="PEU4" s="345"/>
      <c r="PEV4" s="345"/>
      <c r="PEW4" s="345"/>
      <c r="PEX4" s="345"/>
      <c r="PEY4" s="345"/>
      <c r="PEZ4" s="345"/>
      <c r="PFA4" s="345"/>
      <c r="PFB4" s="345"/>
      <c r="PFC4" s="345"/>
      <c r="PFD4" s="345"/>
      <c r="PFE4" s="345"/>
      <c r="PFF4" s="345"/>
      <c r="PFG4" s="345"/>
      <c r="PFH4" s="345"/>
      <c r="PFI4" s="345"/>
      <c r="PFJ4" s="345"/>
      <c r="PFK4" s="345"/>
      <c r="PFL4" s="345"/>
      <c r="PFM4" s="345"/>
      <c r="PFN4" s="345"/>
      <c r="PFO4" s="345"/>
      <c r="PFP4" s="345"/>
      <c r="PFQ4" s="345"/>
      <c r="PFR4" s="345"/>
      <c r="PFS4" s="345"/>
      <c r="PFT4" s="345"/>
      <c r="PFU4" s="345"/>
      <c r="PFV4" s="345"/>
      <c r="PFW4" s="345"/>
      <c r="PFX4" s="345"/>
      <c r="PFY4" s="345"/>
      <c r="PFZ4" s="345"/>
      <c r="PGA4" s="345"/>
      <c r="PGB4" s="345"/>
      <c r="PGC4" s="345"/>
      <c r="PGD4" s="345"/>
      <c r="PGE4" s="345"/>
      <c r="PGF4" s="345"/>
      <c r="PGG4" s="345"/>
      <c r="PGH4" s="345"/>
      <c r="PGI4" s="345"/>
      <c r="PGJ4" s="345"/>
      <c r="PGK4" s="345"/>
      <c r="PGL4" s="345"/>
      <c r="PGM4" s="345"/>
      <c r="PGN4" s="345"/>
      <c r="PGO4" s="345"/>
      <c r="PGP4" s="345"/>
      <c r="PGQ4" s="345"/>
      <c r="PGR4" s="345"/>
      <c r="PGS4" s="345"/>
      <c r="PGT4" s="345"/>
      <c r="PGU4" s="345"/>
      <c r="PGV4" s="345"/>
      <c r="PGW4" s="345"/>
      <c r="PGX4" s="345"/>
      <c r="PGY4" s="345"/>
      <c r="PGZ4" s="345"/>
      <c r="PHA4" s="345"/>
      <c r="PHB4" s="345"/>
      <c r="PHC4" s="345"/>
      <c r="PHD4" s="345"/>
      <c r="PHE4" s="345"/>
      <c r="PHF4" s="345"/>
      <c r="PHG4" s="345"/>
      <c r="PHH4" s="345"/>
      <c r="PHI4" s="345"/>
      <c r="PHJ4" s="345"/>
      <c r="PHK4" s="345"/>
      <c r="PHL4" s="345"/>
      <c r="PHM4" s="345"/>
      <c r="PHN4" s="345"/>
      <c r="PHO4" s="345"/>
      <c r="PHP4" s="345"/>
      <c r="PHQ4" s="345"/>
      <c r="PHR4" s="345"/>
      <c r="PHS4" s="345"/>
      <c r="PHT4" s="345"/>
      <c r="PHU4" s="345"/>
      <c r="PHV4" s="345"/>
      <c r="PHW4" s="345"/>
      <c r="PHX4" s="345"/>
      <c r="PHY4" s="345"/>
      <c r="PHZ4" s="345"/>
      <c r="PIA4" s="345"/>
      <c r="PIB4" s="345"/>
      <c r="PIC4" s="345"/>
      <c r="PID4" s="345"/>
      <c r="PIE4" s="345"/>
      <c r="PIF4" s="345"/>
      <c r="PIG4" s="345"/>
      <c r="PIH4" s="345"/>
      <c r="PII4" s="345"/>
      <c r="PIJ4" s="345"/>
      <c r="PIK4" s="345"/>
      <c r="PIL4" s="345"/>
      <c r="PIM4" s="345"/>
      <c r="PIN4" s="345"/>
      <c r="PIO4" s="345"/>
      <c r="PIP4" s="345"/>
      <c r="PIQ4" s="345"/>
      <c r="PIR4" s="345"/>
      <c r="PIS4" s="345"/>
      <c r="PIT4" s="345"/>
      <c r="PIU4" s="345"/>
      <c r="PIV4" s="345"/>
      <c r="PIW4" s="345"/>
      <c r="PIX4" s="345"/>
      <c r="PIY4" s="345"/>
      <c r="PIZ4" s="345"/>
      <c r="PJA4" s="345"/>
      <c r="PJB4" s="345"/>
      <c r="PJC4" s="345"/>
      <c r="PJD4" s="345"/>
      <c r="PJE4" s="345"/>
      <c r="PJF4" s="345"/>
      <c r="PJG4" s="345"/>
      <c r="PJH4" s="345"/>
      <c r="PJI4" s="345"/>
      <c r="PJJ4" s="345"/>
      <c r="PJK4" s="345"/>
      <c r="PJL4" s="345"/>
      <c r="PJM4" s="345"/>
      <c r="PJN4" s="345"/>
      <c r="PJO4" s="345"/>
      <c r="PJP4" s="345"/>
      <c r="PJQ4" s="345"/>
      <c r="PJR4" s="345"/>
      <c r="PJS4" s="345"/>
      <c r="PJT4" s="345"/>
      <c r="PJU4" s="345"/>
      <c r="PJV4" s="345"/>
      <c r="PJW4" s="345"/>
      <c r="PJX4" s="345"/>
      <c r="PJY4" s="345"/>
      <c r="PJZ4" s="345"/>
      <c r="PKA4" s="345"/>
      <c r="PKB4" s="345"/>
      <c r="PKC4" s="345"/>
      <c r="PKD4" s="345"/>
      <c r="PKE4" s="345"/>
      <c r="PKF4" s="345"/>
      <c r="PKG4" s="345"/>
      <c r="PKH4" s="345"/>
      <c r="PKI4" s="345"/>
      <c r="PKJ4" s="345"/>
      <c r="PKK4" s="345"/>
      <c r="PKL4" s="345"/>
      <c r="PKM4" s="345"/>
      <c r="PKN4" s="345"/>
      <c r="PKO4" s="345"/>
      <c r="PKP4" s="345"/>
      <c r="PKQ4" s="345"/>
      <c r="PKR4" s="345"/>
      <c r="PKS4" s="345"/>
      <c r="PKT4" s="345"/>
      <c r="PKU4" s="345"/>
      <c r="PKV4" s="345"/>
      <c r="PKW4" s="345"/>
      <c r="PKX4" s="345"/>
      <c r="PKY4" s="345"/>
      <c r="PKZ4" s="345"/>
      <c r="PLA4" s="345"/>
      <c r="PLB4" s="345"/>
      <c r="PLC4" s="345"/>
      <c r="PLD4" s="345"/>
      <c r="PLE4" s="345"/>
      <c r="PLF4" s="345"/>
      <c r="PLG4" s="345"/>
      <c r="PLH4" s="345"/>
      <c r="PLI4" s="345"/>
      <c r="PLJ4" s="345"/>
      <c r="PLK4" s="345"/>
      <c r="PLL4" s="345"/>
      <c r="PLM4" s="345"/>
      <c r="PLN4" s="345"/>
      <c r="PLO4" s="345"/>
      <c r="PLP4" s="345"/>
      <c r="PLQ4" s="345"/>
      <c r="PLR4" s="345"/>
      <c r="PLS4" s="345"/>
      <c r="PLT4" s="345"/>
      <c r="PLU4" s="345"/>
      <c r="PLV4" s="345"/>
      <c r="PLW4" s="345"/>
      <c r="PLX4" s="345"/>
      <c r="PLY4" s="345"/>
      <c r="PLZ4" s="345"/>
      <c r="PMA4" s="345"/>
      <c r="PMB4" s="345"/>
      <c r="PMC4" s="345"/>
      <c r="PMD4" s="345"/>
      <c r="PME4" s="345"/>
      <c r="PMF4" s="345"/>
      <c r="PMG4" s="345"/>
      <c r="PMH4" s="345"/>
      <c r="PMI4" s="345"/>
      <c r="PMJ4" s="345"/>
      <c r="PMK4" s="345"/>
      <c r="PML4" s="345"/>
      <c r="PMM4" s="345"/>
      <c r="PMN4" s="345"/>
      <c r="PMO4" s="345"/>
      <c r="PMP4" s="345"/>
      <c r="PMQ4" s="345"/>
      <c r="PMR4" s="345"/>
      <c r="PMS4" s="345"/>
      <c r="PMT4" s="345"/>
      <c r="PMU4" s="345"/>
      <c r="PMV4" s="345"/>
      <c r="PMW4" s="345"/>
      <c r="PMX4" s="345"/>
      <c r="PMY4" s="345"/>
      <c r="PMZ4" s="345"/>
      <c r="PNA4" s="345"/>
      <c r="PNB4" s="345"/>
      <c r="PNC4" s="345"/>
      <c r="PND4" s="345"/>
      <c r="PNE4" s="345"/>
      <c r="PNF4" s="345"/>
      <c r="PNG4" s="345"/>
      <c r="PNH4" s="345"/>
      <c r="PNI4" s="345"/>
      <c r="PNJ4" s="345"/>
      <c r="PNK4" s="345"/>
      <c r="PNL4" s="345"/>
      <c r="PNM4" s="345"/>
      <c r="PNN4" s="345"/>
      <c r="PNO4" s="345"/>
      <c r="PNP4" s="345"/>
      <c r="PNQ4" s="345"/>
      <c r="PNR4" s="345"/>
      <c r="PNS4" s="345"/>
      <c r="PNT4" s="345"/>
      <c r="PNU4" s="345"/>
      <c r="PNV4" s="345"/>
      <c r="PNW4" s="345"/>
      <c r="PNX4" s="345"/>
      <c r="PNY4" s="345"/>
      <c r="PNZ4" s="345"/>
      <c r="POA4" s="345"/>
      <c r="POB4" s="345"/>
      <c r="POC4" s="345"/>
      <c r="POD4" s="345"/>
      <c r="POE4" s="345"/>
      <c r="POF4" s="345"/>
      <c r="POG4" s="345"/>
      <c r="POH4" s="345"/>
      <c r="POI4" s="345"/>
      <c r="POJ4" s="345"/>
      <c r="POK4" s="345"/>
      <c r="POL4" s="345"/>
      <c r="POM4" s="345"/>
      <c r="PON4" s="345"/>
      <c r="POO4" s="345"/>
      <c r="POP4" s="345"/>
      <c r="POQ4" s="345"/>
      <c r="POR4" s="345"/>
      <c r="POS4" s="345"/>
      <c r="POT4" s="345"/>
      <c r="POU4" s="345"/>
      <c r="POV4" s="345"/>
      <c r="POW4" s="345"/>
      <c r="POX4" s="345"/>
      <c r="POY4" s="345"/>
      <c r="POZ4" s="345"/>
      <c r="PPA4" s="345"/>
      <c r="PPB4" s="345"/>
      <c r="PPC4" s="345"/>
      <c r="PPD4" s="345"/>
      <c r="PPE4" s="345"/>
      <c r="PPF4" s="345"/>
      <c r="PPG4" s="345"/>
      <c r="PPH4" s="345"/>
      <c r="PPI4" s="345"/>
      <c r="PPJ4" s="345"/>
      <c r="PPK4" s="345"/>
      <c r="PPL4" s="345"/>
      <c r="PPM4" s="345"/>
      <c r="PPN4" s="345"/>
      <c r="PPO4" s="345"/>
      <c r="PPP4" s="345"/>
      <c r="PPQ4" s="345"/>
      <c r="PPR4" s="345"/>
      <c r="PPS4" s="345"/>
      <c r="PPT4" s="345"/>
      <c r="PPU4" s="345"/>
      <c r="PPV4" s="345"/>
      <c r="PPW4" s="345"/>
      <c r="PPX4" s="345"/>
      <c r="PPY4" s="345"/>
      <c r="PPZ4" s="345"/>
      <c r="PQA4" s="345"/>
      <c r="PQB4" s="345"/>
      <c r="PQC4" s="345"/>
      <c r="PQD4" s="345"/>
      <c r="PQE4" s="345"/>
      <c r="PQF4" s="345"/>
      <c r="PQG4" s="345"/>
      <c r="PQH4" s="345"/>
      <c r="PQI4" s="345"/>
      <c r="PQJ4" s="345"/>
      <c r="PQK4" s="345"/>
      <c r="PQL4" s="345"/>
      <c r="PQM4" s="345"/>
      <c r="PQN4" s="345"/>
      <c r="PQO4" s="345"/>
      <c r="PQP4" s="345"/>
      <c r="PQQ4" s="345"/>
      <c r="PQR4" s="345"/>
      <c r="PQS4" s="345"/>
      <c r="PQT4" s="345"/>
      <c r="PQU4" s="345"/>
      <c r="PQV4" s="345"/>
      <c r="PQW4" s="345"/>
      <c r="PQX4" s="345"/>
      <c r="PQY4" s="345"/>
      <c r="PQZ4" s="345"/>
      <c r="PRA4" s="345"/>
      <c r="PRB4" s="345"/>
      <c r="PRC4" s="345"/>
      <c r="PRD4" s="345"/>
      <c r="PRE4" s="345"/>
      <c r="PRF4" s="345"/>
      <c r="PRG4" s="345"/>
      <c r="PRH4" s="345"/>
      <c r="PRI4" s="345"/>
      <c r="PRJ4" s="345"/>
      <c r="PRK4" s="345"/>
      <c r="PRL4" s="345"/>
      <c r="PRM4" s="345"/>
      <c r="PRN4" s="345"/>
      <c r="PRO4" s="345"/>
      <c r="PRP4" s="345"/>
      <c r="PRQ4" s="345"/>
      <c r="PRR4" s="345"/>
      <c r="PRS4" s="345"/>
      <c r="PRT4" s="345"/>
      <c r="PRU4" s="345"/>
      <c r="PRV4" s="345"/>
      <c r="PRW4" s="345"/>
      <c r="PRX4" s="345"/>
      <c r="PRY4" s="345"/>
      <c r="PRZ4" s="345"/>
      <c r="PSA4" s="345"/>
      <c r="PSB4" s="345"/>
      <c r="PSC4" s="345"/>
      <c r="PSD4" s="345"/>
      <c r="PSE4" s="345"/>
      <c r="PSF4" s="345"/>
      <c r="PSG4" s="345"/>
      <c r="PSH4" s="345"/>
      <c r="PSI4" s="345"/>
      <c r="PSJ4" s="345"/>
      <c r="PSK4" s="345"/>
      <c r="PSL4" s="345"/>
      <c r="PSM4" s="345"/>
      <c r="PSN4" s="345"/>
      <c r="PSO4" s="345"/>
      <c r="PSP4" s="345"/>
      <c r="PSQ4" s="345"/>
      <c r="PSR4" s="345"/>
      <c r="PSS4" s="345"/>
      <c r="PST4" s="345"/>
      <c r="PSU4" s="345"/>
      <c r="PSV4" s="345"/>
      <c r="PSW4" s="345"/>
      <c r="PSX4" s="345"/>
      <c r="PSY4" s="345"/>
      <c r="PSZ4" s="345"/>
      <c r="PTA4" s="345"/>
      <c r="PTB4" s="345"/>
      <c r="PTC4" s="345"/>
      <c r="PTD4" s="345"/>
      <c r="PTE4" s="345"/>
      <c r="PTF4" s="345"/>
      <c r="PTG4" s="345"/>
      <c r="PTH4" s="345"/>
      <c r="PTI4" s="345"/>
      <c r="PTJ4" s="345"/>
      <c r="PTK4" s="345"/>
      <c r="PTL4" s="345"/>
      <c r="PTM4" s="345"/>
      <c r="PTN4" s="345"/>
      <c r="PTO4" s="345"/>
      <c r="PTP4" s="345"/>
      <c r="PTQ4" s="345"/>
      <c r="PTR4" s="345"/>
      <c r="PTS4" s="345"/>
      <c r="PTT4" s="345"/>
      <c r="PTU4" s="345"/>
      <c r="PTV4" s="345"/>
      <c r="PTW4" s="345"/>
      <c r="PTX4" s="345"/>
      <c r="PTY4" s="345"/>
      <c r="PTZ4" s="345"/>
      <c r="PUA4" s="345"/>
      <c r="PUB4" s="345"/>
      <c r="PUC4" s="345"/>
      <c r="PUD4" s="345"/>
      <c r="PUE4" s="345"/>
      <c r="PUF4" s="345"/>
      <c r="PUG4" s="345"/>
      <c r="PUH4" s="345"/>
      <c r="PUI4" s="345"/>
      <c r="PUJ4" s="345"/>
      <c r="PUK4" s="345"/>
      <c r="PUL4" s="345"/>
      <c r="PUM4" s="345"/>
      <c r="PUN4" s="345"/>
      <c r="PUO4" s="345"/>
      <c r="PUP4" s="345"/>
      <c r="PUQ4" s="345"/>
      <c r="PUR4" s="345"/>
      <c r="PUS4" s="345"/>
      <c r="PUT4" s="345"/>
      <c r="PUU4" s="345"/>
      <c r="PUV4" s="345"/>
      <c r="PUW4" s="345"/>
      <c r="PUX4" s="345"/>
      <c r="PUY4" s="345"/>
      <c r="PUZ4" s="345"/>
      <c r="PVA4" s="345"/>
      <c r="PVB4" s="345"/>
      <c r="PVC4" s="345"/>
      <c r="PVD4" s="345"/>
      <c r="PVE4" s="345"/>
      <c r="PVF4" s="345"/>
      <c r="PVG4" s="345"/>
      <c r="PVH4" s="345"/>
      <c r="PVI4" s="345"/>
      <c r="PVJ4" s="345"/>
      <c r="PVK4" s="345"/>
      <c r="PVL4" s="345"/>
      <c r="PVM4" s="345"/>
      <c r="PVN4" s="345"/>
      <c r="PVO4" s="345"/>
      <c r="PVP4" s="345"/>
      <c r="PVQ4" s="345"/>
      <c r="PVR4" s="345"/>
      <c r="PVS4" s="345"/>
      <c r="PVT4" s="345"/>
      <c r="PVU4" s="345"/>
      <c r="PVV4" s="345"/>
      <c r="PVW4" s="345"/>
      <c r="PVX4" s="345"/>
      <c r="PVY4" s="345"/>
      <c r="PVZ4" s="345"/>
      <c r="PWA4" s="345"/>
      <c r="PWB4" s="345"/>
      <c r="PWC4" s="345"/>
      <c r="PWD4" s="345"/>
      <c r="PWE4" s="345"/>
      <c r="PWF4" s="345"/>
      <c r="PWG4" s="345"/>
      <c r="PWH4" s="345"/>
      <c r="PWI4" s="345"/>
      <c r="PWJ4" s="345"/>
      <c r="PWK4" s="345"/>
      <c r="PWL4" s="345"/>
      <c r="PWM4" s="345"/>
      <c r="PWN4" s="345"/>
      <c r="PWO4" s="345"/>
      <c r="PWP4" s="345"/>
      <c r="PWQ4" s="345"/>
      <c r="PWR4" s="345"/>
      <c r="PWS4" s="345"/>
      <c r="PWT4" s="345"/>
      <c r="PWU4" s="345"/>
      <c r="PWV4" s="345"/>
      <c r="PWW4" s="345"/>
      <c r="PWX4" s="345"/>
      <c r="PWY4" s="345"/>
      <c r="PWZ4" s="345"/>
      <c r="PXA4" s="345"/>
      <c r="PXB4" s="345"/>
      <c r="PXC4" s="345"/>
      <c r="PXD4" s="345"/>
      <c r="PXE4" s="345"/>
      <c r="PXF4" s="345"/>
      <c r="PXG4" s="345"/>
      <c r="PXH4" s="345"/>
      <c r="PXI4" s="345"/>
      <c r="PXJ4" s="345"/>
      <c r="PXK4" s="345"/>
      <c r="PXL4" s="345"/>
      <c r="PXM4" s="345"/>
      <c r="PXN4" s="345"/>
      <c r="PXO4" s="345"/>
      <c r="PXP4" s="345"/>
      <c r="PXQ4" s="345"/>
      <c r="PXR4" s="345"/>
      <c r="PXS4" s="345"/>
      <c r="PXT4" s="345"/>
      <c r="PXU4" s="345"/>
      <c r="PXV4" s="345"/>
      <c r="PXW4" s="345"/>
      <c r="PXX4" s="345"/>
      <c r="PXY4" s="345"/>
      <c r="PXZ4" s="345"/>
      <c r="PYA4" s="345"/>
      <c r="PYB4" s="345"/>
      <c r="PYC4" s="345"/>
      <c r="PYD4" s="345"/>
      <c r="PYE4" s="345"/>
      <c r="PYF4" s="345"/>
      <c r="PYG4" s="345"/>
      <c r="PYH4" s="345"/>
      <c r="PYI4" s="345"/>
      <c r="PYJ4" s="345"/>
      <c r="PYK4" s="345"/>
      <c r="PYL4" s="345"/>
      <c r="PYM4" s="345"/>
      <c r="PYN4" s="345"/>
      <c r="PYO4" s="345"/>
      <c r="PYP4" s="345"/>
      <c r="PYQ4" s="345"/>
      <c r="PYR4" s="345"/>
      <c r="PYS4" s="345"/>
      <c r="PYT4" s="345"/>
      <c r="PYU4" s="345"/>
      <c r="PYV4" s="345"/>
      <c r="PYW4" s="345"/>
      <c r="PYX4" s="345"/>
      <c r="PYY4" s="345"/>
      <c r="PYZ4" s="345"/>
      <c r="PZA4" s="345"/>
      <c r="PZB4" s="345"/>
      <c r="PZC4" s="345"/>
      <c r="PZD4" s="345"/>
      <c r="PZE4" s="345"/>
      <c r="PZF4" s="345"/>
      <c r="PZG4" s="345"/>
      <c r="PZH4" s="345"/>
      <c r="PZI4" s="345"/>
      <c r="PZJ4" s="345"/>
      <c r="PZK4" s="345"/>
      <c r="PZL4" s="345"/>
      <c r="PZM4" s="345"/>
      <c r="PZN4" s="345"/>
      <c r="PZO4" s="345"/>
      <c r="PZP4" s="345"/>
      <c r="PZQ4" s="345"/>
      <c r="PZR4" s="345"/>
      <c r="PZS4" s="345"/>
      <c r="PZT4" s="345"/>
      <c r="PZU4" s="345"/>
      <c r="PZV4" s="345"/>
      <c r="PZW4" s="345"/>
      <c r="PZX4" s="345"/>
      <c r="PZY4" s="345"/>
      <c r="PZZ4" s="345"/>
      <c r="QAA4" s="345"/>
      <c r="QAB4" s="345"/>
      <c r="QAC4" s="345"/>
      <c r="QAD4" s="345"/>
      <c r="QAE4" s="345"/>
      <c r="QAF4" s="345"/>
      <c r="QAG4" s="345"/>
      <c r="QAH4" s="345"/>
      <c r="QAI4" s="345"/>
      <c r="QAJ4" s="345"/>
      <c r="QAK4" s="345"/>
      <c r="QAL4" s="345"/>
      <c r="QAM4" s="345"/>
      <c r="QAN4" s="345"/>
      <c r="QAO4" s="345"/>
      <c r="QAP4" s="345"/>
      <c r="QAQ4" s="345"/>
      <c r="QAR4" s="345"/>
      <c r="QAS4" s="345"/>
      <c r="QAT4" s="345"/>
      <c r="QAU4" s="345"/>
      <c r="QAV4" s="345"/>
      <c r="QAW4" s="345"/>
      <c r="QAX4" s="345"/>
      <c r="QAY4" s="345"/>
      <c r="QAZ4" s="345"/>
      <c r="QBA4" s="345"/>
      <c r="QBB4" s="345"/>
      <c r="QBC4" s="345"/>
      <c r="QBD4" s="345"/>
      <c r="QBE4" s="345"/>
      <c r="QBF4" s="345"/>
      <c r="QBG4" s="345"/>
      <c r="QBH4" s="345"/>
      <c r="QBI4" s="345"/>
      <c r="QBJ4" s="345"/>
      <c r="QBK4" s="345"/>
      <c r="QBL4" s="345"/>
      <c r="QBM4" s="345"/>
      <c r="QBN4" s="345"/>
      <c r="QBO4" s="345"/>
      <c r="QBP4" s="345"/>
      <c r="QBQ4" s="345"/>
      <c r="QBR4" s="345"/>
      <c r="QBS4" s="345"/>
      <c r="QBT4" s="345"/>
      <c r="QBU4" s="345"/>
      <c r="QBV4" s="345"/>
      <c r="QBW4" s="345"/>
      <c r="QBX4" s="345"/>
      <c r="QBY4" s="345"/>
      <c r="QBZ4" s="345"/>
      <c r="QCA4" s="345"/>
      <c r="QCB4" s="345"/>
      <c r="QCC4" s="345"/>
      <c r="QCD4" s="345"/>
      <c r="QCE4" s="345"/>
      <c r="QCF4" s="345"/>
      <c r="QCG4" s="345"/>
      <c r="QCH4" s="345"/>
      <c r="QCI4" s="345"/>
      <c r="QCJ4" s="345"/>
      <c r="QCK4" s="345"/>
      <c r="QCL4" s="345"/>
      <c r="QCM4" s="345"/>
      <c r="QCN4" s="345"/>
      <c r="QCO4" s="345"/>
      <c r="QCP4" s="345"/>
      <c r="QCQ4" s="345"/>
      <c r="QCR4" s="345"/>
      <c r="QCS4" s="345"/>
      <c r="QCT4" s="345"/>
      <c r="QCU4" s="345"/>
      <c r="QCV4" s="345"/>
      <c r="QCW4" s="345"/>
      <c r="QCX4" s="345"/>
      <c r="QCY4" s="345"/>
      <c r="QCZ4" s="345"/>
      <c r="QDA4" s="345"/>
      <c r="QDB4" s="345"/>
      <c r="QDC4" s="345"/>
      <c r="QDD4" s="345"/>
      <c r="QDE4" s="345"/>
      <c r="QDF4" s="345"/>
      <c r="QDG4" s="345"/>
      <c r="QDH4" s="345"/>
      <c r="QDI4" s="345"/>
      <c r="QDJ4" s="345"/>
      <c r="QDK4" s="345"/>
      <c r="QDL4" s="345"/>
      <c r="QDM4" s="345"/>
      <c r="QDN4" s="345"/>
      <c r="QDO4" s="345"/>
      <c r="QDP4" s="345"/>
      <c r="QDQ4" s="345"/>
      <c r="QDR4" s="345"/>
      <c r="QDS4" s="345"/>
      <c r="QDT4" s="345"/>
      <c r="QDU4" s="345"/>
      <c r="QDV4" s="345"/>
      <c r="QDW4" s="345"/>
      <c r="QDX4" s="345"/>
      <c r="QDY4" s="345"/>
      <c r="QDZ4" s="345"/>
      <c r="QEA4" s="345"/>
      <c r="QEB4" s="345"/>
      <c r="QEC4" s="345"/>
      <c r="QED4" s="345"/>
      <c r="QEE4" s="345"/>
      <c r="QEF4" s="345"/>
      <c r="QEG4" s="345"/>
      <c r="QEH4" s="345"/>
      <c r="QEI4" s="345"/>
      <c r="QEJ4" s="345"/>
      <c r="QEK4" s="345"/>
      <c r="QEL4" s="345"/>
      <c r="QEM4" s="345"/>
      <c r="QEN4" s="345"/>
      <c r="QEO4" s="345"/>
      <c r="QEP4" s="345"/>
      <c r="QEQ4" s="345"/>
      <c r="QER4" s="345"/>
      <c r="QES4" s="345"/>
      <c r="QET4" s="345"/>
      <c r="QEU4" s="345"/>
      <c r="QEV4" s="345"/>
      <c r="QEW4" s="345"/>
      <c r="QEX4" s="345"/>
      <c r="QEY4" s="345"/>
      <c r="QEZ4" s="345"/>
      <c r="QFA4" s="345"/>
      <c r="QFB4" s="345"/>
      <c r="QFC4" s="345"/>
      <c r="QFD4" s="345"/>
      <c r="QFE4" s="345"/>
      <c r="QFF4" s="345"/>
      <c r="QFG4" s="345"/>
      <c r="QFH4" s="345"/>
      <c r="QFI4" s="345"/>
      <c r="QFJ4" s="345"/>
      <c r="QFK4" s="345"/>
      <c r="QFL4" s="345"/>
      <c r="QFM4" s="345"/>
      <c r="QFN4" s="345"/>
      <c r="QFO4" s="345"/>
      <c r="QFP4" s="345"/>
      <c r="QFQ4" s="345"/>
      <c r="QFR4" s="345"/>
      <c r="QFS4" s="345"/>
      <c r="QFT4" s="345"/>
      <c r="QFU4" s="345"/>
      <c r="QFV4" s="345"/>
      <c r="QFW4" s="345"/>
      <c r="QFX4" s="345"/>
      <c r="QFY4" s="345"/>
      <c r="QFZ4" s="345"/>
      <c r="QGA4" s="345"/>
      <c r="QGB4" s="345"/>
      <c r="QGC4" s="345"/>
      <c r="QGD4" s="345"/>
      <c r="QGE4" s="345"/>
      <c r="QGF4" s="345"/>
      <c r="QGG4" s="345"/>
      <c r="QGH4" s="345"/>
      <c r="QGI4" s="345"/>
      <c r="QGJ4" s="345"/>
      <c r="QGK4" s="345"/>
      <c r="QGL4" s="345"/>
      <c r="QGM4" s="345"/>
      <c r="QGN4" s="345"/>
      <c r="QGO4" s="345"/>
      <c r="QGP4" s="345"/>
      <c r="QGQ4" s="345"/>
      <c r="QGR4" s="345"/>
      <c r="QGS4" s="345"/>
      <c r="QGT4" s="345"/>
      <c r="QGU4" s="345"/>
      <c r="QGV4" s="345"/>
      <c r="QGW4" s="345"/>
      <c r="QGX4" s="345"/>
      <c r="QGY4" s="345"/>
      <c r="QGZ4" s="345"/>
      <c r="QHA4" s="345"/>
      <c r="QHB4" s="345"/>
      <c r="QHC4" s="345"/>
      <c r="QHD4" s="345"/>
      <c r="QHE4" s="345"/>
      <c r="QHF4" s="345"/>
      <c r="QHG4" s="345"/>
      <c r="QHH4" s="345"/>
      <c r="QHI4" s="345"/>
      <c r="QHJ4" s="345"/>
      <c r="QHK4" s="345"/>
      <c r="QHL4" s="345"/>
      <c r="QHM4" s="345"/>
      <c r="QHN4" s="345"/>
      <c r="QHO4" s="345"/>
      <c r="QHP4" s="345"/>
      <c r="QHQ4" s="345"/>
      <c r="QHR4" s="345"/>
      <c r="QHS4" s="345"/>
      <c r="QHT4" s="345"/>
      <c r="QHU4" s="345"/>
      <c r="QHV4" s="345"/>
      <c r="QHW4" s="345"/>
      <c r="QHX4" s="345"/>
      <c r="QHY4" s="345"/>
      <c r="QHZ4" s="345"/>
      <c r="QIA4" s="345"/>
      <c r="QIB4" s="345"/>
      <c r="QIC4" s="345"/>
      <c r="QID4" s="345"/>
      <c r="QIE4" s="345"/>
      <c r="QIF4" s="345"/>
      <c r="QIG4" s="345"/>
      <c r="QIH4" s="345"/>
      <c r="QII4" s="345"/>
      <c r="QIJ4" s="345"/>
      <c r="QIK4" s="345"/>
      <c r="QIL4" s="345"/>
      <c r="QIM4" s="345"/>
      <c r="QIN4" s="345"/>
      <c r="QIO4" s="345"/>
      <c r="QIP4" s="345"/>
      <c r="QIQ4" s="345"/>
      <c r="QIR4" s="345"/>
      <c r="QIS4" s="345"/>
      <c r="QIT4" s="345"/>
      <c r="QIU4" s="345"/>
      <c r="QIV4" s="345"/>
      <c r="QIW4" s="345"/>
      <c r="QIX4" s="345"/>
      <c r="QIY4" s="345"/>
      <c r="QIZ4" s="345"/>
      <c r="QJA4" s="345"/>
      <c r="QJB4" s="345"/>
      <c r="QJC4" s="345"/>
      <c r="QJD4" s="345"/>
      <c r="QJE4" s="345"/>
      <c r="QJF4" s="345"/>
      <c r="QJG4" s="345"/>
      <c r="QJH4" s="345"/>
      <c r="QJI4" s="345"/>
      <c r="QJJ4" s="345"/>
      <c r="QJK4" s="345"/>
      <c r="QJL4" s="345"/>
      <c r="QJM4" s="345"/>
      <c r="QJN4" s="345"/>
      <c r="QJO4" s="345"/>
      <c r="QJP4" s="345"/>
      <c r="QJQ4" s="345"/>
      <c r="QJR4" s="345"/>
      <c r="QJS4" s="345"/>
      <c r="QJT4" s="345"/>
      <c r="QJU4" s="345"/>
      <c r="QJV4" s="345"/>
      <c r="QJW4" s="345"/>
      <c r="QJX4" s="345"/>
      <c r="QJY4" s="345"/>
      <c r="QJZ4" s="345"/>
      <c r="QKA4" s="345"/>
      <c r="QKB4" s="345"/>
      <c r="QKC4" s="345"/>
      <c r="QKD4" s="345"/>
      <c r="QKE4" s="345"/>
      <c r="QKF4" s="345"/>
      <c r="QKG4" s="345"/>
      <c r="QKH4" s="345"/>
      <c r="QKI4" s="345"/>
      <c r="QKJ4" s="345"/>
      <c r="QKK4" s="345"/>
      <c r="QKL4" s="345"/>
      <c r="QKM4" s="345"/>
      <c r="QKN4" s="345"/>
      <c r="QKO4" s="345"/>
      <c r="QKP4" s="345"/>
      <c r="QKQ4" s="345"/>
      <c r="QKR4" s="345"/>
      <c r="QKS4" s="345"/>
      <c r="QKT4" s="345"/>
      <c r="QKU4" s="345"/>
      <c r="QKV4" s="345"/>
      <c r="QKW4" s="345"/>
      <c r="QKX4" s="345"/>
      <c r="QKY4" s="345"/>
      <c r="QKZ4" s="345"/>
      <c r="QLA4" s="345"/>
      <c r="QLB4" s="345"/>
      <c r="QLC4" s="345"/>
      <c r="QLD4" s="345"/>
      <c r="QLE4" s="345"/>
      <c r="QLF4" s="345"/>
      <c r="QLG4" s="345"/>
      <c r="QLH4" s="345"/>
      <c r="QLI4" s="345"/>
      <c r="QLJ4" s="345"/>
      <c r="QLK4" s="345"/>
      <c r="QLL4" s="345"/>
      <c r="QLM4" s="345"/>
      <c r="QLN4" s="345"/>
      <c r="QLO4" s="345"/>
      <c r="QLP4" s="345"/>
      <c r="QLQ4" s="345"/>
      <c r="QLR4" s="345"/>
      <c r="QLS4" s="345"/>
      <c r="QLT4" s="345"/>
      <c r="QLU4" s="345"/>
      <c r="QLV4" s="345"/>
      <c r="QLW4" s="345"/>
      <c r="QLX4" s="345"/>
      <c r="QLY4" s="345"/>
      <c r="QLZ4" s="345"/>
      <c r="QMA4" s="345"/>
      <c r="QMB4" s="345"/>
      <c r="QMC4" s="345"/>
      <c r="QMD4" s="345"/>
      <c r="QME4" s="345"/>
      <c r="QMF4" s="345"/>
      <c r="QMG4" s="345"/>
      <c r="QMH4" s="345"/>
      <c r="QMI4" s="345"/>
      <c r="QMJ4" s="345"/>
      <c r="QMK4" s="345"/>
      <c r="QML4" s="345"/>
      <c r="QMM4" s="345"/>
      <c r="QMN4" s="345"/>
      <c r="QMO4" s="345"/>
      <c r="QMP4" s="345"/>
      <c r="QMQ4" s="345"/>
      <c r="QMR4" s="345"/>
      <c r="QMS4" s="345"/>
      <c r="QMT4" s="345"/>
      <c r="QMU4" s="345"/>
      <c r="QMV4" s="345"/>
      <c r="QMW4" s="345"/>
      <c r="QMX4" s="345"/>
      <c r="QMY4" s="345"/>
      <c r="QMZ4" s="345"/>
      <c r="QNA4" s="345"/>
      <c r="QNB4" s="345"/>
      <c r="QNC4" s="345"/>
      <c r="QND4" s="345"/>
      <c r="QNE4" s="345"/>
      <c r="QNF4" s="345"/>
      <c r="QNG4" s="345"/>
      <c r="QNH4" s="345"/>
      <c r="QNI4" s="345"/>
      <c r="QNJ4" s="345"/>
      <c r="QNK4" s="345"/>
      <c r="QNL4" s="345"/>
      <c r="QNM4" s="345"/>
      <c r="QNN4" s="345"/>
      <c r="QNO4" s="345"/>
      <c r="QNP4" s="345"/>
      <c r="QNQ4" s="345"/>
      <c r="QNR4" s="345"/>
      <c r="QNS4" s="345"/>
      <c r="QNT4" s="345"/>
      <c r="QNU4" s="345"/>
      <c r="QNV4" s="345"/>
      <c r="QNW4" s="345"/>
      <c r="QNX4" s="345"/>
      <c r="QNY4" s="345"/>
      <c r="QNZ4" s="345"/>
      <c r="QOA4" s="345"/>
      <c r="QOB4" s="345"/>
      <c r="QOC4" s="345"/>
      <c r="QOD4" s="345"/>
      <c r="QOE4" s="345"/>
      <c r="QOF4" s="345"/>
      <c r="QOG4" s="345"/>
      <c r="QOH4" s="345"/>
      <c r="QOI4" s="345"/>
      <c r="QOJ4" s="345"/>
      <c r="QOK4" s="345"/>
      <c r="QOL4" s="345"/>
      <c r="QOM4" s="345"/>
      <c r="QON4" s="345"/>
      <c r="QOO4" s="345"/>
      <c r="QOP4" s="345"/>
      <c r="QOQ4" s="345"/>
      <c r="QOR4" s="345"/>
      <c r="QOS4" s="345"/>
      <c r="QOT4" s="345"/>
      <c r="QOU4" s="345"/>
      <c r="QOV4" s="345"/>
      <c r="QOW4" s="345"/>
      <c r="QOX4" s="345"/>
      <c r="QOY4" s="345"/>
      <c r="QOZ4" s="345"/>
      <c r="QPA4" s="345"/>
      <c r="QPB4" s="345"/>
      <c r="QPC4" s="345"/>
      <c r="QPD4" s="345"/>
      <c r="QPE4" s="345"/>
      <c r="QPF4" s="345"/>
      <c r="QPG4" s="345"/>
      <c r="QPH4" s="345"/>
      <c r="QPI4" s="345"/>
      <c r="QPJ4" s="345"/>
      <c r="QPK4" s="345"/>
      <c r="QPL4" s="345"/>
      <c r="QPM4" s="345"/>
      <c r="QPN4" s="345"/>
      <c r="QPO4" s="345"/>
      <c r="QPP4" s="345"/>
      <c r="QPQ4" s="345"/>
      <c r="QPR4" s="345"/>
      <c r="QPS4" s="345"/>
      <c r="QPT4" s="345"/>
      <c r="QPU4" s="345"/>
      <c r="QPV4" s="345"/>
      <c r="QPW4" s="345"/>
      <c r="QPX4" s="345"/>
      <c r="QPY4" s="345"/>
      <c r="QPZ4" s="345"/>
      <c r="QQA4" s="345"/>
      <c r="QQB4" s="345"/>
      <c r="QQC4" s="345"/>
      <c r="QQD4" s="345"/>
      <c r="QQE4" s="345"/>
      <c r="QQF4" s="345"/>
      <c r="QQG4" s="345"/>
      <c r="QQH4" s="345"/>
      <c r="QQI4" s="345"/>
      <c r="QQJ4" s="345"/>
      <c r="QQK4" s="345"/>
      <c r="QQL4" s="345"/>
      <c r="QQM4" s="345"/>
      <c r="QQN4" s="345"/>
      <c r="QQO4" s="345"/>
      <c r="QQP4" s="345"/>
      <c r="QQQ4" s="345"/>
      <c r="QQR4" s="345"/>
      <c r="QQS4" s="345"/>
      <c r="QQT4" s="345"/>
      <c r="QQU4" s="345"/>
      <c r="QQV4" s="345"/>
      <c r="QQW4" s="345"/>
      <c r="QQX4" s="345"/>
      <c r="QQY4" s="345"/>
      <c r="QQZ4" s="345"/>
      <c r="QRA4" s="345"/>
      <c r="QRB4" s="345"/>
      <c r="QRC4" s="345"/>
      <c r="QRD4" s="345"/>
      <c r="QRE4" s="345"/>
      <c r="QRF4" s="345"/>
      <c r="QRG4" s="345"/>
      <c r="QRH4" s="345"/>
      <c r="QRI4" s="345"/>
      <c r="QRJ4" s="345"/>
      <c r="QRK4" s="345"/>
      <c r="QRL4" s="345"/>
      <c r="QRM4" s="345"/>
      <c r="QRN4" s="345"/>
      <c r="QRO4" s="345"/>
      <c r="QRP4" s="345"/>
      <c r="QRQ4" s="345"/>
      <c r="QRR4" s="345"/>
      <c r="QRS4" s="345"/>
      <c r="QRT4" s="345"/>
      <c r="QRU4" s="345"/>
      <c r="QRV4" s="345"/>
      <c r="QRW4" s="345"/>
      <c r="QRX4" s="345"/>
      <c r="QRY4" s="345"/>
      <c r="QRZ4" s="345"/>
      <c r="QSA4" s="345"/>
      <c r="QSB4" s="345"/>
      <c r="QSC4" s="345"/>
      <c r="QSD4" s="345"/>
      <c r="QSE4" s="345"/>
      <c r="QSF4" s="345"/>
      <c r="QSG4" s="345"/>
      <c r="QSH4" s="345"/>
      <c r="QSI4" s="345"/>
      <c r="QSJ4" s="345"/>
      <c r="QSK4" s="345"/>
      <c r="QSL4" s="345"/>
      <c r="QSM4" s="345"/>
      <c r="QSN4" s="345"/>
      <c r="QSO4" s="345"/>
      <c r="QSP4" s="345"/>
      <c r="QSQ4" s="345"/>
      <c r="QSR4" s="345"/>
      <c r="QSS4" s="345"/>
      <c r="QST4" s="345"/>
      <c r="QSU4" s="345"/>
      <c r="QSV4" s="345"/>
      <c r="QSW4" s="345"/>
      <c r="QSX4" s="345"/>
      <c r="QSY4" s="345"/>
      <c r="QSZ4" s="345"/>
      <c r="QTA4" s="345"/>
      <c r="QTB4" s="345"/>
      <c r="QTC4" s="345"/>
      <c r="QTD4" s="345"/>
      <c r="QTE4" s="345"/>
      <c r="QTF4" s="345"/>
      <c r="QTG4" s="345"/>
      <c r="QTH4" s="345"/>
      <c r="QTI4" s="345"/>
      <c r="QTJ4" s="345"/>
      <c r="QTK4" s="345"/>
      <c r="QTL4" s="345"/>
      <c r="QTM4" s="345"/>
      <c r="QTN4" s="345"/>
      <c r="QTO4" s="345"/>
      <c r="QTP4" s="345"/>
      <c r="QTQ4" s="345"/>
      <c r="QTR4" s="345"/>
      <c r="QTS4" s="345"/>
      <c r="QTT4" s="345"/>
      <c r="QTU4" s="345"/>
      <c r="QTV4" s="345"/>
      <c r="QTW4" s="345"/>
      <c r="QTX4" s="345"/>
      <c r="QTY4" s="345"/>
      <c r="QTZ4" s="345"/>
      <c r="QUA4" s="345"/>
      <c r="QUB4" s="345"/>
      <c r="QUC4" s="345"/>
      <c r="QUD4" s="345"/>
      <c r="QUE4" s="345"/>
      <c r="QUF4" s="345"/>
      <c r="QUG4" s="345"/>
      <c r="QUH4" s="345"/>
      <c r="QUI4" s="345"/>
      <c r="QUJ4" s="345"/>
      <c r="QUK4" s="345"/>
      <c r="QUL4" s="345"/>
      <c r="QUM4" s="345"/>
      <c r="QUN4" s="345"/>
      <c r="QUO4" s="345"/>
      <c r="QUP4" s="345"/>
      <c r="QUQ4" s="345"/>
      <c r="QUR4" s="345"/>
      <c r="QUS4" s="345"/>
      <c r="QUT4" s="345"/>
      <c r="QUU4" s="345"/>
      <c r="QUV4" s="345"/>
      <c r="QUW4" s="345"/>
      <c r="QUX4" s="345"/>
      <c r="QUY4" s="345"/>
      <c r="QUZ4" s="345"/>
      <c r="QVA4" s="345"/>
      <c r="QVB4" s="345"/>
      <c r="QVC4" s="345"/>
      <c r="QVD4" s="345"/>
      <c r="QVE4" s="345"/>
      <c r="QVF4" s="345"/>
      <c r="QVG4" s="345"/>
      <c r="QVH4" s="345"/>
      <c r="QVI4" s="345"/>
      <c r="QVJ4" s="345"/>
      <c r="QVK4" s="345"/>
      <c r="QVL4" s="345"/>
      <c r="QVM4" s="345"/>
      <c r="QVN4" s="345"/>
      <c r="QVO4" s="345"/>
      <c r="QVP4" s="345"/>
      <c r="QVQ4" s="345"/>
      <c r="QVR4" s="345"/>
      <c r="QVS4" s="345"/>
      <c r="QVT4" s="345"/>
      <c r="QVU4" s="345"/>
      <c r="QVV4" s="345"/>
      <c r="QVW4" s="345"/>
      <c r="QVX4" s="345"/>
      <c r="QVY4" s="345"/>
      <c r="QVZ4" s="345"/>
      <c r="QWA4" s="345"/>
      <c r="QWB4" s="345"/>
      <c r="QWC4" s="345"/>
      <c r="QWD4" s="345"/>
      <c r="QWE4" s="345"/>
      <c r="QWF4" s="345"/>
      <c r="QWG4" s="345"/>
      <c r="QWH4" s="345"/>
      <c r="QWI4" s="345"/>
      <c r="QWJ4" s="345"/>
      <c r="QWK4" s="345"/>
      <c r="QWL4" s="345"/>
      <c r="QWM4" s="345"/>
      <c r="QWN4" s="345"/>
      <c r="QWO4" s="345"/>
      <c r="QWP4" s="345"/>
      <c r="QWQ4" s="345"/>
      <c r="QWR4" s="345"/>
      <c r="QWS4" s="345"/>
      <c r="QWT4" s="345"/>
      <c r="QWU4" s="345"/>
      <c r="QWV4" s="345"/>
      <c r="QWW4" s="345"/>
      <c r="QWX4" s="345"/>
      <c r="QWY4" s="345"/>
      <c r="QWZ4" s="345"/>
      <c r="QXA4" s="345"/>
      <c r="QXB4" s="345"/>
      <c r="QXC4" s="345"/>
      <c r="QXD4" s="345"/>
      <c r="QXE4" s="345"/>
      <c r="QXF4" s="345"/>
      <c r="QXG4" s="345"/>
      <c r="QXH4" s="345"/>
      <c r="QXI4" s="345"/>
      <c r="QXJ4" s="345"/>
      <c r="QXK4" s="345"/>
      <c r="QXL4" s="345"/>
      <c r="QXM4" s="345"/>
      <c r="QXN4" s="345"/>
      <c r="QXO4" s="345"/>
      <c r="QXP4" s="345"/>
      <c r="QXQ4" s="345"/>
      <c r="QXR4" s="345"/>
      <c r="QXS4" s="345"/>
      <c r="QXT4" s="345"/>
      <c r="QXU4" s="345"/>
      <c r="QXV4" s="345"/>
      <c r="QXW4" s="345"/>
      <c r="QXX4" s="345"/>
      <c r="QXY4" s="345"/>
      <c r="QXZ4" s="345"/>
      <c r="QYA4" s="345"/>
      <c r="QYB4" s="345"/>
      <c r="QYC4" s="345"/>
      <c r="QYD4" s="345"/>
      <c r="QYE4" s="345"/>
      <c r="QYF4" s="345"/>
      <c r="QYG4" s="345"/>
      <c r="QYH4" s="345"/>
      <c r="QYI4" s="345"/>
      <c r="QYJ4" s="345"/>
      <c r="QYK4" s="345"/>
      <c r="QYL4" s="345"/>
      <c r="QYM4" s="345"/>
      <c r="QYN4" s="345"/>
      <c r="QYO4" s="345"/>
      <c r="QYP4" s="345"/>
      <c r="QYQ4" s="345"/>
      <c r="QYR4" s="345"/>
      <c r="QYS4" s="345"/>
      <c r="QYT4" s="345"/>
      <c r="QYU4" s="345"/>
      <c r="QYV4" s="345"/>
      <c r="QYW4" s="345"/>
      <c r="QYX4" s="345"/>
      <c r="QYY4" s="345"/>
      <c r="QYZ4" s="345"/>
      <c r="QZA4" s="345"/>
      <c r="QZB4" s="345"/>
      <c r="QZC4" s="345"/>
      <c r="QZD4" s="345"/>
      <c r="QZE4" s="345"/>
      <c r="QZF4" s="345"/>
      <c r="QZG4" s="345"/>
      <c r="QZH4" s="345"/>
      <c r="QZI4" s="345"/>
      <c r="QZJ4" s="345"/>
      <c r="QZK4" s="345"/>
      <c r="QZL4" s="345"/>
      <c r="QZM4" s="345"/>
      <c r="QZN4" s="345"/>
      <c r="QZO4" s="345"/>
      <c r="QZP4" s="345"/>
      <c r="QZQ4" s="345"/>
      <c r="QZR4" s="345"/>
      <c r="QZS4" s="345"/>
      <c r="QZT4" s="345"/>
      <c r="QZU4" s="345"/>
      <c r="QZV4" s="345"/>
      <c r="QZW4" s="345"/>
      <c r="QZX4" s="345"/>
      <c r="QZY4" s="345"/>
      <c r="QZZ4" s="345"/>
      <c r="RAA4" s="345"/>
      <c r="RAB4" s="345"/>
      <c r="RAC4" s="345"/>
      <c r="RAD4" s="345"/>
      <c r="RAE4" s="345"/>
      <c r="RAF4" s="345"/>
      <c r="RAG4" s="345"/>
      <c r="RAH4" s="345"/>
      <c r="RAI4" s="345"/>
      <c r="RAJ4" s="345"/>
      <c r="RAK4" s="345"/>
      <c r="RAL4" s="345"/>
      <c r="RAM4" s="345"/>
      <c r="RAN4" s="345"/>
      <c r="RAO4" s="345"/>
      <c r="RAP4" s="345"/>
      <c r="RAQ4" s="345"/>
      <c r="RAR4" s="345"/>
      <c r="RAS4" s="345"/>
      <c r="RAT4" s="345"/>
      <c r="RAU4" s="345"/>
      <c r="RAV4" s="345"/>
      <c r="RAW4" s="345"/>
      <c r="RAX4" s="345"/>
      <c r="RAY4" s="345"/>
      <c r="RAZ4" s="345"/>
      <c r="RBA4" s="345"/>
      <c r="RBB4" s="345"/>
      <c r="RBC4" s="345"/>
      <c r="RBD4" s="345"/>
      <c r="RBE4" s="345"/>
      <c r="RBF4" s="345"/>
      <c r="RBG4" s="345"/>
      <c r="RBH4" s="345"/>
      <c r="RBI4" s="345"/>
      <c r="RBJ4" s="345"/>
      <c r="RBK4" s="345"/>
      <c r="RBL4" s="345"/>
      <c r="RBM4" s="345"/>
      <c r="RBN4" s="345"/>
      <c r="RBO4" s="345"/>
      <c r="RBP4" s="345"/>
      <c r="RBQ4" s="345"/>
      <c r="RBR4" s="345"/>
      <c r="RBS4" s="345"/>
      <c r="RBT4" s="345"/>
      <c r="RBU4" s="345"/>
      <c r="RBV4" s="345"/>
      <c r="RBW4" s="345"/>
      <c r="RBX4" s="345"/>
      <c r="RBY4" s="345"/>
      <c r="RBZ4" s="345"/>
      <c r="RCA4" s="345"/>
      <c r="RCB4" s="345"/>
      <c r="RCC4" s="345"/>
      <c r="RCD4" s="345"/>
      <c r="RCE4" s="345"/>
      <c r="RCF4" s="345"/>
      <c r="RCG4" s="345"/>
      <c r="RCH4" s="345"/>
      <c r="RCI4" s="345"/>
      <c r="RCJ4" s="345"/>
      <c r="RCK4" s="345"/>
      <c r="RCL4" s="345"/>
      <c r="RCM4" s="345"/>
      <c r="RCN4" s="345"/>
      <c r="RCO4" s="345"/>
      <c r="RCP4" s="345"/>
      <c r="RCQ4" s="345"/>
      <c r="RCR4" s="345"/>
      <c r="RCS4" s="345"/>
      <c r="RCT4" s="345"/>
      <c r="RCU4" s="345"/>
      <c r="RCV4" s="345"/>
      <c r="RCW4" s="345"/>
      <c r="RCX4" s="345"/>
      <c r="RCY4" s="345"/>
      <c r="RCZ4" s="345"/>
      <c r="RDA4" s="345"/>
      <c r="RDB4" s="345"/>
      <c r="RDC4" s="345"/>
      <c r="RDD4" s="345"/>
      <c r="RDE4" s="345"/>
      <c r="RDF4" s="345"/>
      <c r="RDG4" s="345"/>
      <c r="RDH4" s="345"/>
      <c r="RDI4" s="345"/>
      <c r="RDJ4" s="345"/>
      <c r="RDK4" s="345"/>
      <c r="RDL4" s="345"/>
      <c r="RDM4" s="345"/>
      <c r="RDN4" s="345"/>
      <c r="RDO4" s="345"/>
      <c r="RDP4" s="345"/>
      <c r="RDQ4" s="345"/>
      <c r="RDR4" s="345"/>
      <c r="RDS4" s="345"/>
      <c r="RDT4" s="345"/>
      <c r="RDU4" s="345"/>
      <c r="RDV4" s="345"/>
      <c r="RDW4" s="345"/>
      <c r="RDX4" s="345"/>
      <c r="RDY4" s="345"/>
      <c r="RDZ4" s="345"/>
      <c r="REA4" s="345"/>
      <c r="REB4" s="345"/>
      <c r="REC4" s="345"/>
      <c r="RED4" s="345"/>
      <c r="REE4" s="345"/>
      <c r="REF4" s="345"/>
      <c r="REG4" s="345"/>
      <c r="REH4" s="345"/>
      <c r="REI4" s="345"/>
      <c r="REJ4" s="345"/>
      <c r="REK4" s="345"/>
      <c r="REL4" s="345"/>
      <c r="REM4" s="345"/>
      <c r="REN4" s="345"/>
      <c r="REO4" s="345"/>
      <c r="REP4" s="345"/>
      <c r="REQ4" s="345"/>
      <c r="RER4" s="345"/>
      <c r="RES4" s="345"/>
      <c r="RET4" s="345"/>
      <c r="REU4" s="345"/>
      <c r="REV4" s="345"/>
      <c r="REW4" s="345"/>
      <c r="REX4" s="345"/>
      <c r="REY4" s="345"/>
      <c r="REZ4" s="345"/>
      <c r="RFA4" s="345"/>
      <c r="RFB4" s="345"/>
      <c r="RFC4" s="345"/>
      <c r="RFD4" s="345"/>
      <c r="RFE4" s="345"/>
      <c r="RFF4" s="345"/>
      <c r="RFG4" s="345"/>
      <c r="RFH4" s="345"/>
      <c r="RFI4" s="345"/>
      <c r="RFJ4" s="345"/>
      <c r="RFK4" s="345"/>
      <c r="RFL4" s="345"/>
      <c r="RFM4" s="345"/>
      <c r="RFN4" s="345"/>
      <c r="RFO4" s="345"/>
      <c r="RFP4" s="345"/>
      <c r="RFQ4" s="345"/>
      <c r="RFR4" s="345"/>
      <c r="RFS4" s="345"/>
      <c r="RFT4" s="345"/>
      <c r="RFU4" s="345"/>
      <c r="RFV4" s="345"/>
      <c r="RFW4" s="345"/>
      <c r="RFX4" s="345"/>
      <c r="RFY4" s="345"/>
      <c r="RFZ4" s="345"/>
      <c r="RGA4" s="345"/>
      <c r="RGB4" s="345"/>
      <c r="RGC4" s="345"/>
      <c r="RGD4" s="345"/>
      <c r="RGE4" s="345"/>
      <c r="RGF4" s="345"/>
      <c r="RGG4" s="345"/>
      <c r="RGH4" s="345"/>
      <c r="RGI4" s="345"/>
      <c r="RGJ4" s="345"/>
      <c r="RGK4" s="345"/>
      <c r="RGL4" s="345"/>
      <c r="RGM4" s="345"/>
      <c r="RGN4" s="345"/>
      <c r="RGO4" s="345"/>
      <c r="RGP4" s="345"/>
      <c r="RGQ4" s="345"/>
      <c r="RGR4" s="345"/>
      <c r="RGS4" s="345"/>
      <c r="RGT4" s="345"/>
      <c r="RGU4" s="345"/>
      <c r="RGV4" s="345"/>
      <c r="RGW4" s="345"/>
      <c r="RGX4" s="345"/>
      <c r="RGY4" s="345"/>
      <c r="RGZ4" s="345"/>
      <c r="RHA4" s="345"/>
      <c r="RHB4" s="345"/>
      <c r="RHC4" s="345"/>
      <c r="RHD4" s="345"/>
      <c r="RHE4" s="345"/>
      <c r="RHF4" s="345"/>
      <c r="RHG4" s="345"/>
      <c r="RHH4" s="345"/>
      <c r="RHI4" s="345"/>
      <c r="RHJ4" s="345"/>
      <c r="RHK4" s="345"/>
      <c r="RHL4" s="345"/>
      <c r="RHM4" s="345"/>
      <c r="RHN4" s="345"/>
      <c r="RHO4" s="345"/>
      <c r="RHP4" s="345"/>
      <c r="RHQ4" s="345"/>
      <c r="RHR4" s="345"/>
      <c r="RHS4" s="345"/>
      <c r="RHT4" s="345"/>
      <c r="RHU4" s="345"/>
      <c r="RHV4" s="345"/>
      <c r="RHW4" s="345"/>
      <c r="RHX4" s="345"/>
      <c r="RHY4" s="345"/>
      <c r="RHZ4" s="345"/>
      <c r="RIA4" s="345"/>
      <c r="RIB4" s="345"/>
      <c r="RIC4" s="345"/>
      <c r="RID4" s="345"/>
      <c r="RIE4" s="345"/>
      <c r="RIF4" s="345"/>
      <c r="RIG4" s="345"/>
      <c r="RIH4" s="345"/>
      <c r="RII4" s="345"/>
      <c r="RIJ4" s="345"/>
      <c r="RIK4" s="345"/>
      <c r="RIL4" s="345"/>
      <c r="RIM4" s="345"/>
      <c r="RIN4" s="345"/>
      <c r="RIO4" s="345"/>
      <c r="RIP4" s="345"/>
      <c r="RIQ4" s="345"/>
      <c r="RIR4" s="345"/>
      <c r="RIS4" s="345"/>
      <c r="RIT4" s="345"/>
      <c r="RIU4" s="345"/>
      <c r="RIV4" s="345"/>
      <c r="RIW4" s="345"/>
      <c r="RIX4" s="345"/>
      <c r="RIY4" s="345"/>
      <c r="RIZ4" s="345"/>
      <c r="RJA4" s="345"/>
      <c r="RJB4" s="345"/>
      <c r="RJC4" s="345"/>
      <c r="RJD4" s="345"/>
      <c r="RJE4" s="345"/>
      <c r="RJF4" s="345"/>
      <c r="RJG4" s="345"/>
      <c r="RJH4" s="345"/>
      <c r="RJI4" s="345"/>
      <c r="RJJ4" s="345"/>
      <c r="RJK4" s="345"/>
      <c r="RJL4" s="345"/>
      <c r="RJM4" s="345"/>
      <c r="RJN4" s="345"/>
      <c r="RJO4" s="345"/>
      <c r="RJP4" s="345"/>
      <c r="RJQ4" s="345"/>
      <c r="RJR4" s="345"/>
      <c r="RJS4" s="345"/>
      <c r="RJT4" s="345"/>
      <c r="RJU4" s="345"/>
      <c r="RJV4" s="345"/>
      <c r="RJW4" s="345"/>
      <c r="RJX4" s="345"/>
      <c r="RJY4" s="345"/>
      <c r="RJZ4" s="345"/>
      <c r="RKA4" s="345"/>
      <c r="RKB4" s="345"/>
      <c r="RKC4" s="345"/>
      <c r="RKD4" s="345"/>
      <c r="RKE4" s="345"/>
      <c r="RKF4" s="345"/>
      <c r="RKG4" s="345"/>
      <c r="RKH4" s="345"/>
      <c r="RKI4" s="345"/>
      <c r="RKJ4" s="345"/>
      <c r="RKK4" s="345"/>
      <c r="RKL4" s="345"/>
      <c r="RKM4" s="345"/>
      <c r="RKN4" s="345"/>
      <c r="RKO4" s="345"/>
      <c r="RKP4" s="345"/>
      <c r="RKQ4" s="345"/>
      <c r="RKR4" s="345"/>
      <c r="RKS4" s="345"/>
      <c r="RKT4" s="345"/>
      <c r="RKU4" s="345"/>
      <c r="RKV4" s="345"/>
      <c r="RKW4" s="345"/>
      <c r="RKX4" s="345"/>
      <c r="RKY4" s="345"/>
      <c r="RKZ4" s="345"/>
      <c r="RLA4" s="345"/>
      <c r="RLB4" s="345"/>
      <c r="RLC4" s="345"/>
      <c r="RLD4" s="345"/>
      <c r="RLE4" s="345"/>
      <c r="RLF4" s="345"/>
      <c r="RLG4" s="345"/>
      <c r="RLH4" s="345"/>
      <c r="RLI4" s="345"/>
      <c r="RLJ4" s="345"/>
      <c r="RLK4" s="345"/>
      <c r="RLL4" s="345"/>
      <c r="RLM4" s="345"/>
      <c r="RLN4" s="345"/>
      <c r="RLO4" s="345"/>
      <c r="RLP4" s="345"/>
      <c r="RLQ4" s="345"/>
      <c r="RLR4" s="345"/>
      <c r="RLS4" s="345"/>
      <c r="RLT4" s="345"/>
      <c r="RLU4" s="345"/>
      <c r="RLV4" s="345"/>
      <c r="RLW4" s="345"/>
      <c r="RLX4" s="345"/>
      <c r="RLY4" s="345"/>
      <c r="RLZ4" s="345"/>
      <c r="RMA4" s="345"/>
      <c r="RMB4" s="345"/>
      <c r="RMC4" s="345"/>
      <c r="RMD4" s="345"/>
      <c r="RME4" s="345"/>
      <c r="RMF4" s="345"/>
      <c r="RMG4" s="345"/>
      <c r="RMH4" s="345"/>
      <c r="RMI4" s="345"/>
      <c r="RMJ4" s="345"/>
      <c r="RMK4" s="345"/>
      <c r="RML4" s="345"/>
      <c r="RMM4" s="345"/>
      <c r="RMN4" s="345"/>
      <c r="RMO4" s="345"/>
      <c r="RMP4" s="345"/>
      <c r="RMQ4" s="345"/>
      <c r="RMR4" s="345"/>
      <c r="RMS4" s="345"/>
      <c r="RMT4" s="345"/>
      <c r="RMU4" s="345"/>
      <c r="RMV4" s="345"/>
      <c r="RMW4" s="345"/>
      <c r="RMX4" s="345"/>
      <c r="RMY4" s="345"/>
      <c r="RMZ4" s="345"/>
      <c r="RNA4" s="345"/>
      <c r="RNB4" s="345"/>
      <c r="RNC4" s="345"/>
      <c r="RND4" s="345"/>
      <c r="RNE4" s="345"/>
      <c r="RNF4" s="345"/>
      <c r="RNG4" s="345"/>
      <c r="RNH4" s="345"/>
      <c r="RNI4" s="345"/>
      <c r="RNJ4" s="345"/>
      <c r="RNK4" s="345"/>
      <c r="RNL4" s="345"/>
      <c r="RNM4" s="345"/>
      <c r="RNN4" s="345"/>
      <c r="RNO4" s="345"/>
      <c r="RNP4" s="345"/>
      <c r="RNQ4" s="345"/>
      <c r="RNR4" s="345"/>
      <c r="RNS4" s="345"/>
      <c r="RNT4" s="345"/>
      <c r="RNU4" s="345"/>
      <c r="RNV4" s="345"/>
      <c r="RNW4" s="345"/>
      <c r="RNX4" s="345"/>
      <c r="RNY4" s="345"/>
      <c r="RNZ4" s="345"/>
      <c r="ROA4" s="345"/>
      <c r="ROB4" s="345"/>
      <c r="ROC4" s="345"/>
      <c r="ROD4" s="345"/>
      <c r="ROE4" s="345"/>
      <c r="ROF4" s="345"/>
      <c r="ROG4" s="345"/>
      <c r="ROH4" s="345"/>
      <c r="ROI4" s="345"/>
      <c r="ROJ4" s="345"/>
      <c r="ROK4" s="345"/>
      <c r="ROL4" s="345"/>
      <c r="ROM4" s="345"/>
      <c r="RON4" s="345"/>
      <c r="ROO4" s="345"/>
      <c r="ROP4" s="345"/>
      <c r="ROQ4" s="345"/>
      <c r="ROR4" s="345"/>
      <c r="ROS4" s="345"/>
      <c r="ROT4" s="345"/>
      <c r="ROU4" s="345"/>
      <c r="ROV4" s="345"/>
      <c r="ROW4" s="345"/>
      <c r="ROX4" s="345"/>
      <c r="ROY4" s="345"/>
      <c r="ROZ4" s="345"/>
      <c r="RPA4" s="345"/>
      <c r="RPB4" s="345"/>
      <c r="RPC4" s="345"/>
      <c r="RPD4" s="345"/>
      <c r="RPE4" s="345"/>
      <c r="RPF4" s="345"/>
      <c r="RPG4" s="345"/>
      <c r="RPH4" s="345"/>
      <c r="RPI4" s="345"/>
      <c r="RPJ4" s="345"/>
      <c r="RPK4" s="345"/>
      <c r="RPL4" s="345"/>
      <c r="RPM4" s="345"/>
      <c r="RPN4" s="345"/>
      <c r="RPO4" s="345"/>
      <c r="RPP4" s="345"/>
      <c r="RPQ4" s="345"/>
      <c r="RPR4" s="345"/>
      <c r="RPS4" s="345"/>
      <c r="RPT4" s="345"/>
      <c r="RPU4" s="345"/>
      <c r="RPV4" s="345"/>
      <c r="RPW4" s="345"/>
      <c r="RPX4" s="345"/>
      <c r="RPY4" s="345"/>
      <c r="RPZ4" s="345"/>
      <c r="RQA4" s="345"/>
      <c r="RQB4" s="345"/>
      <c r="RQC4" s="345"/>
      <c r="RQD4" s="345"/>
      <c r="RQE4" s="345"/>
      <c r="RQF4" s="345"/>
      <c r="RQG4" s="345"/>
      <c r="RQH4" s="345"/>
      <c r="RQI4" s="345"/>
      <c r="RQJ4" s="345"/>
      <c r="RQK4" s="345"/>
      <c r="RQL4" s="345"/>
      <c r="RQM4" s="345"/>
      <c r="RQN4" s="345"/>
      <c r="RQO4" s="345"/>
      <c r="RQP4" s="345"/>
      <c r="RQQ4" s="345"/>
      <c r="RQR4" s="345"/>
      <c r="RQS4" s="345"/>
      <c r="RQT4" s="345"/>
      <c r="RQU4" s="345"/>
      <c r="RQV4" s="345"/>
      <c r="RQW4" s="345"/>
      <c r="RQX4" s="345"/>
      <c r="RQY4" s="345"/>
      <c r="RQZ4" s="345"/>
      <c r="RRA4" s="345"/>
      <c r="RRB4" s="345"/>
      <c r="RRC4" s="345"/>
      <c r="RRD4" s="345"/>
      <c r="RRE4" s="345"/>
      <c r="RRF4" s="345"/>
      <c r="RRG4" s="345"/>
      <c r="RRH4" s="345"/>
      <c r="RRI4" s="345"/>
      <c r="RRJ4" s="345"/>
      <c r="RRK4" s="345"/>
      <c r="RRL4" s="345"/>
      <c r="RRM4" s="345"/>
      <c r="RRN4" s="345"/>
      <c r="RRO4" s="345"/>
      <c r="RRP4" s="345"/>
      <c r="RRQ4" s="345"/>
      <c r="RRR4" s="345"/>
      <c r="RRS4" s="345"/>
      <c r="RRT4" s="345"/>
      <c r="RRU4" s="345"/>
      <c r="RRV4" s="345"/>
      <c r="RRW4" s="345"/>
      <c r="RRX4" s="345"/>
      <c r="RRY4" s="345"/>
      <c r="RRZ4" s="345"/>
      <c r="RSA4" s="345"/>
      <c r="RSB4" s="345"/>
      <c r="RSC4" s="345"/>
      <c r="RSD4" s="345"/>
      <c r="RSE4" s="345"/>
      <c r="RSF4" s="345"/>
      <c r="RSG4" s="345"/>
      <c r="RSH4" s="345"/>
      <c r="RSI4" s="345"/>
      <c r="RSJ4" s="345"/>
      <c r="RSK4" s="345"/>
      <c r="RSL4" s="345"/>
      <c r="RSM4" s="345"/>
      <c r="RSN4" s="345"/>
      <c r="RSO4" s="345"/>
      <c r="RSP4" s="345"/>
      <c r="RSQ4" s="345"/>
      <c r="RSR4" s="345"/>
      <c r="RSS4" s="345"/>
      <c r="RST4" s="345"/>
      <c r="RSU4" s="345"/>
      <c r="RSV4" s="345"/>
      <c r="RSW4" s="345"/>
      <c r="RSX4" s="345"/>
      <c r="RSY4" s="345"/>
      <c r="RSZ4" s="345"/>
      <c r="RTA4" s="345"/>
      <c r="RTB4" s="345"/>
      <c r="RTC4" s="345"/>
      <c r="RTD4" s="345"/>
      <c r="RTE4" s="345"/>
      <c r="RTF4" s="345"/>
      <c r="RTG4" s="345"/>
      <c r="RTH4" s="345"/>
      <c r="RTI4" s="345"/>
      <c r="RTJ4" s="345"/>
      <c r="RTK4" s="345"/>
      <c r="RTL4" s="345"/>
      <c r="RTM4" s="345"/>
      <c r="RTN4" s="345"/>
      <c r="RTO4" s="345"/>
      <c r="RTP4" s="345"/>
      <c r="RTQ4" s="345"/>
      <c r="RTR4" s="345"/>
      <c r="RTS4" s="345"/>
      <c r="RTT4" s="345"/>
      <c r="RTU4" s="345"/>
      <c r="RTV4" s="345"/>
      <c r="RTW4" s="345"/>
      <c r="RTX4" s="345"/>
      <c r="RTY4" s="345"/>
      <c r="RTZ4" s="345"/>
      <c r="RUA4" s="345"/>
      <c r="RUB4" s="345"/>
      <c r="RUC4" s="345"/>
      <c r="RUD4" s="345"/>
      <c r="RUE4" s="345"/>
      <c r="RUF4" s="345"/>
      <c r="RUG4" s="345"/>
      <c r="RUH4" s="345"/>
      <c r="RUI4" s="345"/>
      <c r="RUJ4" s="345"/>
      <c r="RUK4" s="345"/>
      <c r="RUL4" s="345"/>
      <c r="RUM4" s="345"/>
      <c r="RUN4" s="345"/>
      <c r="RUO4" s="345"/>
      <c r="RUP4" s="345"/>
      <c r="RUQ4" s="345"/>
      <c r="RUR4" s="345"/>
      <c r="RUS4" s="345"/>
      <c r="RUT4" s="345"/>
      <c r="RUU4" s="345"/>
      <c r="RUV4" s="345"/>
      <c r="RUW4" s="345"/>
      <c r="RUX4" s="345"/>
      <c r="RUY4" s="345"/>
      <c r="RUZ4" s="345"/>
      <c r="RVA4" s="345"/>
      <c r="RVB4" s="345"/>
      <c r="RVC4" s="345"/>
      <c r="RVD4" s="345"/>
      <c r="RVE4" s="345"/>
      <c r="RVF4" s="345"/>
      <c r="RVG4" s="345"/>
      <c r="RVH4" s="345"/>
      <c r="RVI4" s="345"/>
      <c r="RVJ4" s="345"/>
      <c r="RVK4" s="345"/>
      <c r="RVL4" s="345"/>
      <c r="RVM4" s="345"/>
      <c r="RVN4" s="345"/>
      <c r="RVO4" s="345"/>
      <c r="RVP4" s="345"/>
      <c r="RVQ4" s="345"/>
      <c r="RVR4" s="345"/>
      <c r="RVS4" s="345"/>
      <c r="RVT4" s="345"/>
      <c r="RVU4" s="345"/>
      <c r="RVV4" s="345"/>
      <c r="RVW4" s="345"/>
      <c r="RVX4" s="345"/>
      <c r="RVY4" s="345"/>
      <c r="RVZ4" s="345"/>
      <c r="RWA4" s="345"/>
      <c r="RWB4" s="345"/>
      <c r="RWC4" s="345"/>
      <c r="RWD4" s="345"/>
      <c r="RWE4" s="345"/>
      <c r="RWF4" s="345"/>
      <c r="RWG4" s="345"/>
      <c r="RWH4" s="345"/>
      <c r="RWI4" s="345"/>
      <c r="RWJ4" s="345"/>
      <c r="RWK4" s="345"/>
      <c r="RWL4" s="345"/>
      <c r="RWM4" s="345"/>
      <c r="RWN4" s="345"/>
      <c r="RWO4" s="345"/>
      <c r="RWP4" s="345"/>
      <c r="RWQ4" s="345"/>
      <c r="RWR4" s="345"/>
      <c r="RWS4" s="345"/>
      <c r="RWT4" s="345"/>
      <c r="RWU4" s="345"/>
      <c r="RWV4" s="345"/>
      <c r="RWW4" s="345"/>
      <c r="RWX4" s="345"/>
      <c r="RWY4" s="345"/>
      <c r="RWZ4" s="345"/>
      <c r="RXA4" s="345"/>
      <c r="RXB4" s="345"/>
      <c r="RXC4" s="345"/>
      <c r="RXD4" s="345"/>
      <c r="RXE4" s="345"/>
      <c r="RXF4" s="345"/>
      <c r="RXG4" s="345"/>
      <c r="RXH4" s="345"/>
      <c r="RXI4" s="345"/>
      <c r="RXJ4" s="345"/>
      <c r="RXK4" s="345"/>
      <c r="RXL4" s="345"/>
      <c r="RXM4" s="345"/>
      <c r="RXN4" s="345"/>
      <c r="RXO4" s="345"/>
      <c r="RXP4" s="345"/>
      <c r="RXQ4" s="345"/>
      <c r="RXR4" s="345"/>
      <c r="RXS4" s="345"/>
      <c r="RXT4" s="345"/>
      <c r="RXU4" s="345"/>
      <c r="RXV4" s="345"/>
      <c r="RXW4" s="345"/>
      <c r="RXX4" s="345"/>
      <c r="RXY4" s="345"/>
      <c r="RXZ4" s="345"/>
      <c r="RYA4" s="345"/>
      <c r="RYB4" s="345"/>
      <c r="RYC4" s="345"/>
      <c r="RYD4" s="345"/>
      <c r="RYE4" s="345"/>
      <c r="RYF4" s="345"/>
      <c r="RYG4" s="345"/>
      <c r="RYH4" s="345"/>
      <c r="RYI4" s="345"/>
      <c r="RYJ4" s="345"/>
      <c r="RYK4" s="345"/>
      <c r="RYL4" s="345"/>
      <c r="RYM4" s="345"/>
      <c r="RYN4" s="345"/>
      <c r="RYO4" s="345"/>
      <c r="RYP4" s="345"/>
      <c r="RYQ4" s="345"/>
      <c r="RYR4" s="345"/>
      <c r="RYS4" s="345"/>
      <c r="RYT4" s="345"/>
      <c r="RYU4" s="345"/>
      <c r="RYV4" s="345"/>
      <c r="RYW4" s="345"/>
      <c r="RYX4" s="345"/>
      <c r="RYY4" s="345"/>
      <c r="RYZ4" s="345"/>
      <c r="RZA4" s="345"/>
      <c r="RZB4" s="345"/>
      <c r="RZC4" s="345"/>
      <c r="RZD4" s="345"/>
      <c r="RZE4" s="345"/>
      <c r="RZF4" s="345"/>
      <c r="RZG4" s="345"/>
      <c r="RZH4" s="345"/>
      <c r="RZI4" s="345"/>
      <c r="RZJ4" s="345"/>
      <c r="RZK4" s="345"/>
      <c r="RZL4" s="345"/>
      <c r="RZM4" s="345"/>
      <c r="RZN4" s="345"/>
      <c r="RZO4" s="345"/>
      <c r="RZP4" s="345"/>
      <c r="RZQ4" s="345"/>
      <c r="RZR4" s="345"/>
      <c r="RZS4" s="345"/>
      <c r="RZT4" s="345"/>
      <c r="RZU4" s="345"/>
      <c r="RZV4" s="345"/>
      <c r="RZW4" s="345"/>
      <c r="RZX4" s="345"/>
      <c r="RZY4" s="345"/>
      <c r="RZZ4" s="345"/>
      <c r="SAA4" s="345"/>
      <c r="SAB4" s="345"/>
      <c r="SAC4" s="345"/>
      <c r="SAD4" s="345"/>
      <c r="SAE4" s="345"/>
      <c r="SAF4" s="345"/>
      <c r="SAG4" s="345"/>
      <c r="SAH4" s="345"/>
      <c r="SAI4" s="345"/>
      <c r="SAJ4" s="345"/>
      <c r="SAK4" s="345"/>
      <c r="SAL4" s="345"/>
      <c r="SAM4" s="345"/>
      <c r="SAN4" s="345"/>
      <c r="SAO4" s="345"/>
      <c r="SAP4" s="345"/>
      <c r="SAQ4" s="345"/>
      <c r="SAR4" s="345"/>
      <c r="SAS4" s="345"/>
      <c r="SAT4" s="345"/>
      <c r="SAU4" s="345"/>
      <c r="SAV4" s="345"/>
      <c r="SAW4" s="345"/>
      <c r="SAX4" s="345"/>
      <c r="SAY4" s="345"/>
      <c r="SAZ4" s="345"/>
      <c r="SBA4" s="345"/>
      <c r="SBB4" s="345"/>
      <c r="SBC4" s="345"/>
      <c r="SBD4" s="345"/>
      <c r="SBE4" s="345"/>
      <c r="SBF4" s="345"/>
      <c r="SBG4" s="345"/>
      <c r="SBH4" s="345"/>
      <c r="SBI4" s="345"/>
      <c r="SBJ4" s="345"/>
      <c r="SBK4" s="345"/>
      <c r="SBL4" s="345"/>
      <c r="SBM4" s="345"/>
      <c r="SBN4" s="345"/>
      <c r="SBO4" s="345"/>
      <c r="SBP4" s="345"/>
      <c r="SBQ4" s="345"/>
      <c r="SBR4" s="345"/>
      <c r="SBS4" s="345"/>
      <c r="SBT4" s="345"/>
      <c r="SBU4" s="345"/>
      <c r="SBV4" s="345"/>
      <c r="SBW4" s="345"/>
      <c r="SBX4" s="345"/>
      <c r="SBY4" s="345"/>
      <c r="SBZ4" s="345"/>
      <c r="SCA4" s="345"/>
      <c r="SCB4" s="345"/>
      <c r="SCC4" s="345"/>
      <c r="SCD4" s="345"/>
      <c r="SCE4" s="345"/>
      <c r="SCF4" s="345"/>
      <c r="SCG4" s="345"/>
      <c r="SCH4" s="345"/>
      <c r="SCI4" s="345"/>
      <c r="SCJ4" s="345"/>
      <c r="SCK4" s="345"/>
      <c r="SCL4" s="345"/>
      <c r="SCM4" s="345"/>
      <c r="SCN4" s="345"/>
      <c r="SCO4" s="345"/>
      <c r="SCP4" s="345"/>
      <c r="SCQ4" s="345"/>
      <c r="SCR4" s="345"/>
      <c r="SCS4" s="345"/>
      <c r="SCT4" s="345"/>
      <c r="SCU4" s="345"/>
      <c r="SCV4" s="345"/>
      <c r="SCW4" s="345"/>
      <c r="SCX4" s="345"/>
      <c r="SCY4" s="345"/>
      <c r="SCZ4" s="345"/>
      <c r="SDA4" s="345"/>
      <c r="SDB4" s="345"/>
      <c r="SDC4" s="345"/>
      <c r="SDD4" s="345"/>
      <c r="SDE4" s="345"/>
      <c r="SDF4" s="345"/>
      <c r="SDG4" s="345"/>
      <c r="SDH4" s="345"/>
      <c r="SDI4" s="345"/>
      <c r="SDJ4" s="345"/>
      <c r="SDK4" s="345"/>
      <c r="SDL4" s="345"/>
      <c r="SDM4" s="345"/>
      <c r="SDN4" s="345"/>
      <c r="SDO4" s="345"/>
      <c r="SDP4" s="345"/>
      <c r="SDQ4" s="345"/>
      <c r="SDR4" s="345"/>
      <c r="SDS4" s="345"/>
      <c r="SDT4" s="345"/>
      <c r="SDU4" s="345"/>
      <c r="SDV4" s="345"/>
      <c r="SDW4" s="345"/>
      <c r="SDX4" s="345"/>
      <c r="SDY4" s="345"/>
      <c r="SDZ4" s="345"/>
      <c r="SEA4" s="345"/>
      <c r="SEB4" s="345"/>
      <c r="SEC4" s="345"/>
      <c r="SED4" s="345"/>
      <c r="SEE4" s="345"/>
      <c r="SEF4" s="345"/>
      <c r="SEG4" s="345"/>
      <c r="SEH4" s="345"/>
      <c r="SEI4" s="345"/>
      <c r="SEJ4" s="345"/>
      <c r="SEK4" s="345"/>
      <c r="SEL4" s="345"/>
      <c r="SEM4" s="345"/>
      <c r="SEN4" s="345"/>
      <c r="SEO4" s="345"/>
      <c r="SEP4" s="345"/>
      <c r="SEQ4" s="345"/>
      <c r="SER4" s="345"/>
      <c r="SES4" s="345"/>
      <c r="SET4" s="345"/>
      <c r="SEU4" s="345"/>
      <c r="SEV4" s="345"/>
      <c r="SEW4" s="345"/>
      <c r="SEX4" s="345"/>
      <c r="SEY4" s="345"/>
      <c r="SEZ4" s="345"/>
      <c r="SFA4" s="345"/>
      <c r="SFB4" s="345"/>
      <c r="SFC4" s="345"/>
      <c r="SFD4" s="345"/>
      <c r="SFE4" s="345"/>
      <c r="SFF4" s="345"/>
      <c r="SFG4" s="345"/>
      <c r="SFH4" s="345"/>
      <c r="SFI4" s="345"/>
      <c r="SFJ4" s="345"/>
      <c r="SFK4" s="345"/>
      <c r="SFL4" s="345"/>
      <c r="SFM4" s="345"/>
      <c r="SFN4" s="345"/>
      <c r="SFO4" s="345"/>
      <c r="SFP4" s="345"/>
      <c r="SFQ4" s="345"/>
      <c r="SFR4" s="345"/>
      <c r="SFS4" s="345"/>
      <c r="SFT4" s="345"/>
      <c r="SFU4" s="345"/>
      <c r="SFV4" s="345"/>
      <c r="SFW4" s="345"/>
      <c r="SFX4" s="345"/>
      <c r="SFY4" s="345"/>
      <c r="SFZ4" s="345"/>
      <c r="SGA4" s="345"/>
      <c r="SGB4" s="345"/>
      <c r="SGC4" s="345"/>
      <c r="SGD4" s="345"/>
      <c r="SGE4" s="345"/>
      <c r="SGF4" s="345"/>
      <c r="SGG4" s="345"/>
      <c r="SGH4" s="345"/>
      <c r="SGI4" s="345"/>
      <c r="SGJ4" s="345"/>
      <c r="SGK4" s="345"/>
      <c r="SGL4" s="345"/>
      <c r="SGM4" s="345"/>
      <c r="SGN4" s="345"/>
      <c r="SGO4" s="345"/>
      <c r="SGP4" s="345"/>
      <c r="SGQ4" s="345"/>
      <c r="SGR4" s="345"/>
      <c r="SGS4" s="345"/>
      <c r="SGT4" s="345"/>
      <c r="SGU4" s="345"/>
      <c r="SGV4" s="345"/>
      <c r="SGW4" s="345"/>
      <c r="SGX4" s="345"/>
      <c r="SGY4" s="345"/>
      <c r="SGZ4" s="345"/>
      <c r="SHA4" s="345"/>
      <c r="SHB4" s="345"/>
      <c r="SHC4" s="345"/>
      <c r="SHD4" s="345"/>
      <c r="SHE4" s="345"/>
      <c r="SHF4" s="345"/>
      <c r="SHG4" s="345"/>
      <c r="SHH4" s="345"/>
      <c r="SHI4" s="345"/>
      <c r="SHJ4" s="345"/>
      <c r="SHK4" s="345"/>
      <c r="SHL4" s="345"/>
      <c r="SHM4" s="345"/>
      <c r="SHN4" s="345"/>
      <c r="SHO4" s="345"/>
      <c r="SHP4" s="345"/>
      <c r="SHQ4" s="345"/>
      <c r="SHR4" s="345"/>
      <c r="SHS4" s="345"/>
      <c r="SHT4" s="345"/>
      <c r="SHU4" s="345"/>
      <c r="SHV4" s="345"/>
      <c r="SHW4" s="345"/>
      <c r="SHX4" s="345"/>
      <c r="SHY4" s="345"/>
      <c r="SHZ4" s="345"/>
      <c r="SIA4" s="345"/>
      <c r="SIB4" s="345"/>
      <c r="SIC4" s="345"/>
      <c r="SID4" s="345"/>
      <c r="SIE4" s="345"/>
      <c r="SIF4" s="345"/>
      <c r="SIG4" s="345"/>
      <c r="SIH4" s="345"/>
      <c r="SII4" s="345"/>
      <c r="SIJ4" s="345"/>
      <c r="SIK4" s="345"/>
      <c r="SIL4" s="345"/>
      <c r="SIM4" s="345"/>
      <c r="SIN4" s="345"/>
      <c r="SIO4" s="345"/>
      <c r="SIP4" s="345"/>
      <c r="SIQ4" s="345"/>
      <c r="SIR4" s="345"/>
      <c r="SIS4" s="345"/>
      <c r="SIT4" s="345"/>
      <c r="SIU4" s="345"/>
      <c r="SIV4" s="345"/>
      <c r="SIW4" s="345"/>
      <c r="SIX4" s="345"/>
      <c r="SIY4" s="345"/>
      <c r="SIZ4" s="345"/>
      <c r="SJA4" s="345"/>
      <c r="SJB4" s="345"/>
      <c r="SJC4" s="345"/>
      <c r="SJD4" s="345"/>
      <c r="SJE4" s="345"/>
      <c r="SJF4" s="345"/>
      <c r="SJG4" s="345"/>
      <c r="SJH4" s="345"/>
      <c r="SJI4" s="345"/>
      <c r="SJJ4" s="345"/>
      <c r="SJK4" s="345"/>
      <c r="SJL4" s="345"/>
      <c r="SJM4" s="345"/>
      <c r="SJN4" s="345"/>
      <c r="SJO4" s="345"/>
      <c r="SJP4" s="345"/>
      <c r="SJQ4" s="345"/>
      <c r="SJR4" s="345"/>
      <c r="SJS4" s="345"/>
      <c r="SJT4" s="345"/>
      <c r="SJU4" s="345"/>
      <c r="SJV4" s="345"/>
      <c r="SJW4" s="345"/>
      <c r="SJX4" s="345"/>
      <c r="SJY4" s="345"/>
      <c r="SJZ4" s="345"/>
      <c r="SKA4" s="345"/>
      <c r="SKB4" s="345"/>
      <c r="SKC4" s="345"/>
      <c r="SKD4" s="345"/>
      <c r="SKE4" s="345"/>
      <c r="SKF4" s="345"/>
      <c r="SKG4" s="345"/>
      <c r="SKH4" s="345"/>
      <c r="SKI4" s="345"/>
      <c r="SKJ4" s="345"/>
      <c r="SKK4" s="345"/>
      <c r="SKL4" s="345"/>
      <c r="SKM4" s="345"/>
      <c r="SKN4" s="345"/>
      <c r="SKO4" s="345"/>
      <c r="SKP4" s="345"/>
      <c r="SKQ4" s="345"/>
      <c r="SKR4" s="345"/>
      <c r="SKS4" s="345"/>
      <c r="SKT4" s="345"/>
      <c r="SKU4" s="345"/>
      <c r="SKV4" s="345"/>
      <c r="SKW4" s="345"/>
      <c r="SKX4" s="345"/>
      <c r="SKY4" s="345"/>
      <c r="SKZ4" s="345"/>
      <c r="SLA4" s="345"/>
      <c r="SLB4" s="345"/>
      <c r="SLC4" s="345"/>
      <c r="SLD4" s="345"/>
      <c r="SLE4" s="345"/>
      <c r="SLF4" s="345"/>
      <c r="SLG4" s="345"/>
      <c r="SLH4" s="345"/>
      <c r="SLI4" s="345"/>
      <c r="SLJ4" s="345"/>
      <c r="SLK4" s="345"/>
      <c r="SLL4" s="345"/>
      <c r="SLM4" s="345"/>
      <c r="SLN4" s="345"/>
      <c r="SLO4" s="345"/>
      <c r="SLP4" s="345"/>
      <c r="SLQ4" s="345"/>
      <c r="SLR4" s="345"/>
      <c r="SLS4" s="345"/>
      <c r="SLT4" s="345"/>
      <c r="SLU4" s="345"/>
      <c r="SLV4" s="345"/>
      <c r="SLW4" s="345"/>
      <c r="SLX4" s="345"/>
      <c r="SLY4" s="345"/>
      <c r="SLZ4" s="345"/>
      <c r="SMA4" s="345"/>
      <c r="SMB4" s="345"/>
      <c r="SMC4" s="345"/>
      <c r="SMD4" s="345"/>
      <c r="SME4" s="345"/>
      <c r="SMF4" s="345"/>
      <c r="SMG4" s="345"/>
      <c r="SMH4" s="345"/>
      <c r="SMI4" s="345"/>
      <c r="SMJ4" s="345"/>
      <c r="SMK4" s="345"/>
      <c r="SML4" s="345"/>
      <c r="SMM4" s="345"/>
      <c r="SMN4" s="345"/>
      <c r="SMO4" s="345"/>
      <c r="SMP4" s="345"/>
      <c r="SMQ4" s="345"/>
      <c r="SMR4" s="345"/>
      <c r="SMS4" s="345"/>
      <c r="SMT4" s="345"/>
      <c r="SMU4" s="345"/>
      <c r="SMV4" s="345"/>
      <c r="SMW4" s="345"/>
      <c r="SMX4" s="345"/>
      <c r="SMY4" s="345"/>
      <c r="SMZ4" s="345"/>
      <c r="SNA4" s="345"/>
      <c r="SNB4" s="345"/>
      <c r="SNC4" s="345"/>
      <c r="SND4" s="345"/>
      <c r="SNE4" s="345"/>
      <c r="SNF4" s="345"/>
      <c r="SNG4" s="345"/>
      <c r="SNH4" s="345"/>
      <c r="SNI4" s="345"/>
      <c r="SNJ4" s="345"/>
      <c r="SNK4" s="345"/>
      <c r="SNL4" s="345"/>
      <c r="SNM4" s="345"/>
      <c r="SNN4" s="345"/>
      <c r="SNO4" s="345"/>
      <c r="SNP4" s="345"/>
      <c r="SNQ4" s="345"/>
      <c r="SNR4" s="345"/>
      <c r="SNS4" s="345"/>
      <c r="SNT4" s="345"/>
      <c r="SNU4" s="345"/>
      <c r="SNV4" s="345"/>
      <c r="SNW4" s="345"/>
      <c r="SNX4" s="345"/>
      <c r="SNY4" s="345"/>
      <c r="SNZ4" s="345"/>
      <c r="SOA4" s="345"/>
      <c r="SOB4" s="345"/>
      <c r="SOC4" s="345"/>
      <c r="SOD4" s="345"/>
      <c r="SOE4" s="345"/>
      <c r="SOF4" s="345"/>
      <c r="SOG4" s="345"/>
      <c r="SOH4" s="345"/>
      <c r="SOI4" s="345"/>
      <c r="SOJ4" s="345"/>
      <c r="SOK4" s="345"/>
      <c r="SOL4" s="345"/>
      <c r="SOM4" s="345"/>
      <c r="SON4" s="345"/>
      <c r="SOO4" s="345"/>
      <c r="SOP4" s="345"/>
      <c r="SOQ4" s="345"/>
      <c r="SOR4" s="345"/>
      <c r="SOS4" s="345"/>
      <c r="SOT4" s="345"/>
      <c r="SOU4" s="345"/>
      <c r="SOV4" s="345"/>
      <c r="SOW4" s="345"/>
      <c r="SOX4" s="345"/>
      <c r="SOY4" s="345"/>
      <c r="SOZ4" s="345"/>
      <c r="SPA4" s="345"/>
      <c r="SPB4" s="345"/>
      <c r="SPC4" s="345"/>
      <c r="SPD4" s="345"/>
      <c r="SPE4" s="345"/>
      <c r="SPF4" s="345"/>
      <c r="SPG4" s="345"/>
      <c r="SPH4" s="345"/>
      <c r="SPI4" s="345"/>
      <c r="SPJ4" s="345"/>
      <c r="SPK4" s="345"/>
      <c r="SPL4" s="345"/>
      <c r="SPM4" s="345"/>
      <c r="SPN4" s="345"/>
      <c r="SPO4" s="345"/>
      <c r="SPP4" s="345"/>
      <c r="SPQ4" s="345"/>
      <c r="SPR4" s="345"/>
      <c r="SPS4" s="345"/>
      <c r="SPT4" s="345"/>
      <c r="SPU4" s="345"/>
      <c r="SPV4" s="345"/>
      <c r="SPW4" s="345"/>
      <c r="SPX4" s="345"/>
      <c r="SPY4" s="345"/>
      <c r="SPZ4" s="345"/>
      <c r="SQA4" s="345"/>
      <c r="SQB4" s="345"/>
      <c r="SQC4" s="345"/>
      <c r="SQD4" s="345"/>
      <c r="SQE4" s="345"/>
      <c r="SQF4" s="345"/>
      <c r="SQG4" s="345"/>
      <c r="SQH4" s="345"/>
      <c r="SQI4" s="345"/>
      <c r="SQJ4" s="345"/>
      <c r="SQK4" s="345"/>
      <c r="SQL4" s="345"/>
      <c r="SQM4" s="345"/>
      <c r="SQN4" s="345"/>
      <c r="SQO4" s="345"/>
      <c r="SQP4" s="345"/>
      <c r="SQQ4" s="345"/>
      <c r="SQR4" s="345"/>
      <c r="SQS4" s="345"/>
      <c r="SQT4" s="345"/>
      <c r="SQU4" s="345"/>
      <c r="SQV4" s="345"/>
      <c r="SQW4" s="345"/>
      <c r="SQX4" s="345"/>
      <c r="SQY4" s="345"/>
      <c r="SQZ4" s="345"/>
      <c r="SRA4" s="345"/>
      <c r="SRB4" s="345"/>
      <c r="SRC4" s="345"/>
      <c r="SRD4" s="345"/>
      <c r="SRE4" s="345"/>
      <c r="SRF4" s="345"/>
      <c r="SRG4" s="345"/>
      <c r="SRH4" s="345"/>
      <c r="SRI4" s="345"/>
      <c r="SRJ4" s="345"/>
      <c r="SRK4" s="345"/>
      <c r="SRL4" s="345"/>
      <c r="SRM4" s="345"/>
      <c r="SRN4" s="345"/>
      <c r="SRO4" s="345"/>
      <c r="SRP4" s="345"/>
      <c r="SRQ4" s="345"/>
      <c r="SRR4" s="345"/>
      <c r="SRS4" s="345"/>
      <c r="SRT4" s="345"/>
      <c r="SRU4" s="345"/>
      <c r="SRV4" s="345"/>
      <c r="SRW4" s="345"/>
      <c r="SRX4" s="345"/>
      <c r="SRY4" s="345"/>
      <c r="SRZ4" s="345"/>
      <c r="SSA4" s="345"/>
      <c r="SSB4" s="345"/>
      <c r="SSC4" s="345"/>
      <c r="SSD4" s="345"/>
      <c r="SSE4" s="345"/>
      <c r="SSF4" s="345"/>
      <c r="SSG4" s="345"/>
      <c r="SSH4" s="345"/>
      <c r="SSI4" s="345"/>
      <c r="SSJ4" s="345"/>
      <c r="SSK4" s="345"/>
      <c r="SSL4" s="345"/>
      <c r="SSM4" s="345"/>
      <c r="SSN4" s="345"/>
      <c r="SSO4" s="345"/>
      <c r="SSP4" s="345"/>
      <c r="SSQ4" s="345"/>
      <c r="SSR4" s="345"/>
      <c r="SSS4" s="345"/>
      <c r="SST4" s="345"/>
      <c r="SSU4" s="345"/>
      <c r="SSV4" s="345"/>
      <c r="SSW4" s="345"/>
      <c r="SSX4" s="345"/>
      <c r="SSY4" s="345"/>
      <c r="SSZ4" s="345"/>
      <c r="STA4" s="345"/>
      <c r="STB4" s="345"/>
      <c r="STC4" s="345"/>
      <c r="STD4" s="345"/>
      <c r="STE4" s="345"/>
      <c r="STF4" s="345"/>
      <c r="STG4" s="345"/>
      <c r="STH4" s="345"/>
      <c r="STI4" s="345"/>
      <c r="STJ4" s="345"/>
      <c r="STK4" s="345"/>
      <c r="STL4" s="345"/>
      <c r="STM4" s="345"/>
      <c r="STN4" s="345"/>
      <c r="STO4" s="345"/>
      <c r="STP4" s="345"/>
      <c r="STQ4" s="345"/>
      <c r="STR4" s="345"/>
      <c r="STS4" s="345"/>
      <c r="STT4" s="345"/>
      <c r="STU4" s="345"/>
      <c r="STV4" s="345"/>
      <c r="STW4" s="345"/>
      <c r="STX4" s="345"/>
      <c r="STY4" s="345"/>
      <c r="STZ4" s="345"/>
      <c r="SUA4" s="345"/>
      <c r="SUB4" s="345"/>
      <c r="SUC4" s="345"/>
      <c r="SUD4" s="345"/>
      <c r="SUE4" s="345"/>
      <c r="SUF4" s="345"/>
      <c r="SUG4" s="345"/>
      <c r="SUH4" s="345"/>
      <c r="SUI4" s="345"/>
      <c r="SUJ4" s="345"/>
      <c r="SUK4" s="345"/>
      <c r="SUL4" s="345"/>
      <c r="SUM4" s="345"/>
      <c r="SUN4" s="345"/>
      <c r="SUO4" s="345"/>
      <c r="SUP4" s="345"/>
      <c r="SUQ4" s="345"/>
      <c r="SUR4" s="345"/>
      <c r="SUS4" s="345"/>
      <c r="SUT4" s="345"/>
      <c r="SUU4" s="345"/>
      <c r="SUV4" s="345"/>
      <c r="SUW4" s="345"/>
      <c r="SUX4" s="345"/>
      <c r="SUY4" s="345"/>
      <c r="SUZ4" s="345"/>
      <c r="SVA4" s="345"/>
      <c r="SVB4" s="345"/>
      <c r="SVC4" s="345"/>
      <c r="SVD4" s="345"/>
      <c r="SVE4" s="345"/>
      <c r="SVF4" s="345"/>
      <c r="SVG4" s="345"/>
      <c r="SVH4" s="345"/>
      <c r="SVI4" s="345"/>
      <c r="SVJ4" s="345"/>
      <c r="SVK4" s="345"/>
      <c r="SVL4" s="345"/>
      <c r="SVM4" s="345"/>
      <c r="SVN4" s="345"/>
      <c r="SVO4" s="345"/>
      <c r="SVP4" s="345"/>
      <c r="SVQ4" s="345"/>
      <c r="SVR4" s="345"/>
      <c r="SVS4" s="345"/>
      <c r="SVT4" s="345"/>
      <c r="SVU4" s="345"/>
      <c r="SVV4" s="345"/>
      <c r="SVW4" s="345"/>
      <c r="SVX4" s="345"/>
      <c r="SVY4" s="345"/>
      <c r="SVZ4" s="345"/>
      <c r="SWA4" s="345"/>
      <c r="SWB4" s="345"/>
      <c r="SWC4" s="345"/>
      <c r="SWD4" s="345"/>
      <c r="SWE4" s="345"/>
      <c r="SWF4" s="345"/>
      <c r="SWG4" s="345"/>
      <c r="SWH4" s="345"/>
      <c r="SWI4" s="345"/>
      <c r="SWJ4" s="345"/>
      <c r="SWK4" s="345"/>
      <c r="SWL4" s="345"/>
      <c r="SWM4" s="345"/>
      <c r="SWN4" s="345"/>
      <c r="SWO4" s="345"/>
      <c r="SWP4" s="345"/>
      <c r="SWQ4" s="345"/>
      <c r="SWR4" s="345"/>
      <c r="SWS4" s="345"/>
      <c r="SWT4" s="345"/>
      <c r="SWU4" s="345"/>
      <c r="SWV4" s="345"/>
      <c r="SWW4" s="345"/>
      <c r="SWX4" s="345"/>
      <c r="SWY4" s="345"/>
      <c r="SWZ4" s="345"/>
      <c r="SXA4" s="345"/>
      <c r="SXB4" s="345"/>
      <c r="SXC4" s="345"/>
      <c r="SXD4" s="345"/>
      <c r="SXE4" s="345"/>
      <c r="SXF4" s="345"/>
      <c r="SXG4" s="345"/>
      <c r="SXH4" s="345"/>
      <c r="SXI4" s="345"/>
      <c r="SXJ4" s="345"/>
      <c r="SXK4" s="345"/>
      <c r="SXL4" s="345"/>
      <c r="SXM4" s="345"/>
      <c r="SXN4" s="345"/>
      <c r="SXO4" s="345"/>
      <c r="SXP4" s="345"/>
      <c r="SXQ4" s="345"/>
      <c r="SXR4" s="345"/>
      <c r="SXS4" s="345"/>
      <c r="SXT4" s="345"/>
      <c r="SXU4" s="345"/>
      <c r="SXV4" s="345"/>
      <c r="SXW4" s="345"/>
      <c r="SXX4" s="345"/>
      <c r="SXY4" s="345"/>
      <c r="SXZ4" s="345"/>
      <c r="SYA4" s="345"/>
      <c r="SYB4" s="345"/>
      <c r="SYC4" s="345"/>
      <c r="SYD4" s="345"/>
      <c r="SYE4" s="345"/>
      <c r="SYF4" s="345"/>
      <c r="SYG4" s="345"/>
      <c r="SYH4" s="345"/>
      <c r="SYI4" s="345"/>
      <c r="SYJ4" s="345"/>
      <c r="SYK4" s="345"/>
      <c r="SYL4" s="345"/>
      <c r="SYM4" s="345"/>
      <c r="SYN4" s="345"/>
      <c r="SYO4" s="345"/>
      <c r="SYP4" s="345"/>
      <c r="SYQ4" s="345"/>
      <c r="SYR4" s="345"/>
      <c r="SYS4" s="345"/>
      <c r="SYT4" s="345"/>
      <c r="SYU4" s="345"/>
      <c r="SYV4" s="345"/>
      <c r="SYW4" s="345"/>
      <c r="SYX4" s="345"/>
      <c r="SYY4" s="345"/>
      <c r="SYZ4" s="345"/>
      <c r="SZA4" s="345"/>
      <c r="SZB4" s="345"/>
      <c r="SZC4" s="345"/>
      <c r="SZD4" s="345"/>
      <c r="SZE4" s="345"/>
      <c r="SZF4" s="345"/>
      <c r="SZG4" s="345"/>
      <c r="SZH4" s="345"/>
      <c r="SZI4" s="345"/>
      <c r="SZJ4" s="345"/>
      <c r="SZK4" s="345"/>
      <c r="SZL4" s="345"/>
      <c r="SZM4" s="345"/>
      <c r="SZN4" s="345"/>
      <c r="SZO4" s="345"/>
      <c r="SZP4" s="345"/>
      <c r="SZQ4" s="345"/>
      <c r="SZR4" s="345"/>
      <c r="SZS4" s="345"/>
      <c r="SZT4" s="345"/>
      <c r="SZU4" s="345"/>
      <c r="SZV4" s="345"/>
      <c r="SZW4" s="345"/>
      <c r="SZX4" s="345"/>
      <c r="SZY4" s="345"/>
      <c r="SZZ4" s="345"/>
      <c r="TAA4" s="345"/>
      <c r="TAB4" s="345"/>
      <c r="TAC4" s="345"/>
      <c r="TAD4" s="345"/>
      <c r="TAE4" s="345"/>
      <c r="TAF4" s="345"/>
      <c r="TAG4" s="345"/>
      <c r="TAH4" s="345"/>
      <c r="TAI4" s="345"/>
      <c r="TAJ4" s="345"/>
      <c r="TAK4" s="345"/>
      <c r="TAL4" s="345"/>
      <c r="TAM4" s="345"/>
      <c r="TAN4" s="345"/>
      <c r="TAO4" s="345"/>
      <c r="TAP4" s="345"/>
      <c r="TAQ4" s="345"/>
      <c r="TAR4" s="345"/>
      <c r="TAS4" s="345"/>
      <c r="TAT4" s="345"/>
      <c r="TAU4" s="345"/>
      <c r="TAV4" s="345"/>
      <c r="TAW4" s="345"/>
      <c r="TAX4" s="345"/>
      <c r="TAY4" s="345"/>
      <c r="TAZ4" s="345"/>
      <c r="TBA4" s="345"/>
      <c r="TBB4" s="345"/>
      <c r="TBC4" s="345"/>
      <c r="TBD4" s="345"/>
      <c r="TBE4" s="345"/>
      <c r="TBF4" s="345"/>
      <c r="TBG4" s="345"/>
      <c r="TBH4" s="345"/>
      <c r="TBI4" s="345"/>
      <c r="TBJ4" s="345"/>
      <c r="TBK4" s="345"/>
      <c r="TBL4" s="345"/>
      <c r="TBM4" s="345"/>
      <c r="TBN4" s="345"/>
      <c r="TBO4" s="345"/>
      <c r="TBP4" s="345"/>
      <c r="TBQ4" s="345"/>
      <c r="TBR4" s="345"/>
      <c r="TBS4" s="345"/>
      <c r="TBT4" s="345"/>
      <c r="TBU4" s="345"/>
      <c r="TBV4" s="345"/>
      <c r="TBW4" s="345"/>
      <c r="TBX4" s="345"/>
      <c r="TBY4" s="345"/>
      <c r="TBZ4" s="345"/>
      <c r="TCA4" s="345"/>
      <c r="TCB4" s="345"/>
      <c r="TCC4" s="345"/>
      <c r="TCD4" s="345"/>
      <c r="TCE4" s="345"/>
      <c r="TCF4" s="345"/>
      <c r="TCG4" s="345"/>
      <c r="TCH4" s="345"/>
      <c r="TCI4" s="345"/>
      <c r="TCJ4" s="345"/>
      <c r="TCK4" s="345"/>
      <c r="TCL4" s="345"/>
      <c r="TCM4" s="345"/>
      <c r="TCN4" s="345"/>
      <c r="TCO4" s="345"/>
      <c r="TCP4" s="345"/>
      <c r="TCQ4" s="345"/>
      <c r="TCR4" s="345"/>
      <c r="TCS4" s="345"/>
      <c r="TCT4" s="345"/>
      <c r="TCU4" s="345"/>
      <c r="TCV4" s="345"/>
      <c r="TCW4" s="345"/>
      <c r="TCX4" s="345"/>
      <c r="TCY4" s="345"/>
      <c r="TCZ4" s="345"/>
      <c r="TDA4" s="345"/>
      <c r="TDB4" s="345"/>
      <c r="TDC4" s="345"/>
      <c r="TDD4" s="345"/>
      <c r="TDE4" s="345"/>
      <c r="TDF4" s="345"/>
      <c r="TDG4" s="345"/>
      <c r="TDH4" s="345"/>
      <c r="TDI4" s="345"/>
      <c r="TDJ4" s="345"/>
      <c r="TDK4" s="345"/>
      <c r="TDL4" s="345"/>
      <c r="TDM4" s="345"/>
      <c r="TDN4" s="345"/>
      <c r="TDO4" s="345"/>
      <c r="TDP4" s="345"/>
      <c r="TDQ4" s="345"/>
      <c r="TDR4" s="345"/>
      <c r="TDS4" s="345"/>
      <c r="TDT4" s="345"/>
      <c r="TDU4" s="345"/>
      <c r="TDV4" s="345"/>
      <c r="TDW4" s="345"/>
      <c r="TDX4" s="345"/>
      <c r="TDY4" s="345"/>
      <c r="TDZ4" s="345"/>
      <c r="TEA4" s="345"/>
      <c r="TEB4" s="345"/>
      <c r="TEC4" s="345"/>
      <c r="TED4" s="345"/>
      <c r="TEE4" s="345"/>
      <c r="TEF4" s="345"/>
      <c r="TEG4" s="345"/>
      <c r="TEH4" s="345"/>
      <c r="TEI4" s="345"/>
      <c r="TEJ4" s="345"/>
      <c r="TEK4" s="345"/>
      <c r="TEL4" s="345"/>
      <c r="TEM4" s="345"/>
      <c r="TEN4" s="345"/>
      <c r="TEO4" s="345"/>
      <c r="TEP4" s="345"/>
      <c r="TEQ4" s="345"/>
      <c r="TER4" s="345"/>
      <c r="TES4" s="345"/>
      <c r="TET4" s="345"/>
      <c r="TEU4" s="345"/>
      <c r="TEV4" s="345"/>
      <c r="TEW4" s="345"/>
      <c r="TEX4" s="345"/>
      <c r="TEY4" s="345"/>
      <c r="TEZ4" s="345"/>
      <c r="TFA4" s="345"/>
      <c r="TFB4" s="345"/>
      <c r="TFC4" s="345"/>
      <c r="TFD4" s="345"/>
      <c r="TFE4" s="345"/>
      <c r="TFF4" s="345"/>
      <c r="TFG4" s="345"/>
      <c r="TFH4" s="345"/>
      <c r="TFI4" s="345"/>
      <c r="TFJ4" s="345"/>
      <c r="TFK4" s="345"/>
      <c r="TFL4" s="345"/>
      <c r="TFM4" s="345"/>
      <c r="TFN4" s="345"/>
      <c r="TFO4" s="345"/>
      <c r="TFP4" s="345"/>
      <c r="TFQ4" s="345"/>
      <c r="TFR4" s="345"/>
      <c r="TFS4" s="345"/>
      <c r="TFT4" s="345"/>
      <c r="TFU4" s="345"/>
      <c r="TFV4" s="345"/>
      <c r="TFW4" s="345"/>
      <c r="TFX4" s="345"/>
      <c r="TFY4" s="345"/>
      <c r="TFZ4" s="345"/>
      <c r="TGA4" s="345"/>
      <c r="TGB4" s="345"/>
      <c r="TGC4" s="345"/>
      <c r="TGD4" s="345"/>
      <c r="TGE4" s="345"/>
      <c r="TGF4" s="345"/>
      <c r="TGG4" s="345"/>
      <c r="TGH4" s="345"/>
      <c r="TGI4" s="345"/>
      <c r="TGJ4" s="345"/>
      <c r="TGK4" s="345"/>
      <c r="TGL4" s="345"/>
      <c r="TGM4" s="345"/>
      <c r="TGN4" s="345"/>
      <c r="TGO4" s="345"/>
      <c r="TGP4" s="345"/>
      <c r="TGQ4" s="345"/>
      <c r="TGR4" s="345"/>
      <c r="TGS4" s="345"/>
      <c r="TGT4" s="345"/>
      <c r="TGU4" s="345"/>
      <c r="TGV4" s="345"/>
      <c r="TGW4" s="345"/>
      <c r="TGX4" s="345"/>
      <c r="TGY4" s="345"/>
      <c r="TGZ4" s="345"/>
      <c r="THA4" s="345"/>
      <c r="THB4" s="345"/>
      <c r="THC4" s="345"/>
      <c r="THD4" s="345"/>
      <c r="THE4" s="345"/>
      <c r="THF4" s="345"/>
      <c r="THG4" s="345"/>
      <c r="THH4" s="345"/>
      <c r="THI4" s="345"/>
      <c r="THJ4" s="345"/>
      <c r="THK4" s="345"/>
      <c r="THL4" s="345"/>
      <c r="THM4" s="345"/>
      <c r="THN4" s="345"/>
      <c r="THO4" s="345"/>
      <c r="THP4" s="345"/>
      <c r="THQ4" s="345"/>
      <c r="THR4" s="345"/>
      <c r="THS4" s="345"/>
      <c r="THT4" s="345"/>
      <c r="THU4" s="345"/>
      <c r="THV4" s="345"/>
      <c r="THW4" s="345"/>
      <c r="THX4" s="345"/>
      <c r="THY4" s="345"/>
      <c r="THZ4" s="345"/>
      <c r="TIA4" s="345"/>
      <c r="TIB4" s="345"/>
      <c r="TIC4" s="345"/>
      <c r="TID4" s="345"/>
      <c r="TIE4" s="345"/>
      <c r="TIF4" s="345"/>
      <c r="TIG4" s="345"/>
      <c r="TIH4" s="345"/>
      <c r="TII4" s="345"/>
      <c r="TIJ4" s="345"/>
      <c r="TIK4" s="345"/>
      <c r="TIL4" s="345"/>
      <c r="TIM4" s="345"/>
      <c r="TIN4" s="345"/>
      <c r="TIO4" s="345"/>
      <c r="TIP4" s="345"/>
      <c r="TIQ4" s="345"/>
      <c r="TIR4" s="345"/>
      <c r="TIS4" s="345"/>
      <c r="TIT4" s="345"/>
      <c r="TIU4" s="345"/>
      <c r="TIV4" s="345"/>
      <c r="TIW4" s="345"/>
      <c r="TIX4" s="345"/>
      <c r="TIY4" s="345"/>
      <c r="TIZ4" s="345"/>
      <c r="TJA4" s="345"/>
      <c r="TJB4" s="345"/>
      <c r="TJC4" s="345"/>
      <c r="TJD4" s="345"/>
      <c r="TJE4" s="345"/>
      <c r="TJF4" s="345"/>
      <c r="TJG4" s="345"/>
      <c r="TJH4" s="345"/>
      <c r="TJI4" s="345"/>
      <c r="TJJ4" s="345"/>
      <c r="TJK4" s="345"/>
      <c r="TJL4" s="345"/>
      <c r="TJM4" s="345"/>
      <c r="TJN4" s="345"/>
      <c r="TJO4" s="345"/>
      <c r="TJP4" s="345"/>
      <c r="TJQ4" s="345"/>
      <c r="TJR4" s="345"/>
      <c r="TJS4" s="345"/>
      <c r="TJT4" s="345"/>
      <c r="TJU4" s="345"/>
      <c r="TJV4" s="345"/>
      <c r="TJW4" s="345"/>
      <c r="TJX4" s="345"/>
      <c r="TJY4" s="345"/>
      <c r="TJZ4" s="345"/>
      <c r="TKA4" s="345"/>
      <c r="TKB4" s="345"/>
      <c r="TKC4" s="345"/>
      <c r="TKD4" s="345"/>
      <c r="TKE4" s="345"/>
      <c r="TKF4" s="345"/>
      <c r="TKG4" s="345"/>
      <c r="TKH4" s="345"/>
      <c r="TKI4" s="345"/>
      <c r="TKJ4" s="345"/>
      <c r="TKK4" s="345"/>
      <c r="TKL4" s="345"/>
      <c r="TKM4" s="345"/>
      <c r="TKN4" s="345"/>
      <c r="TKO4" s="345"/>
      <c r="TKP4" s="345"/>
      <c r="TKQ4" s="345"/>
      <c r="TKR4" s="345"/>
      <c r="TKS4" s="345"/>
      <c r="TKT4" s="345"/>
      <c r="TKU4" s="345"/>
      <c r="TKV4" s="345"/>
      <c r="TKW4" s="345"/>
      <c r="TKX4" s="345"/>
      <c r="TKY4" s="345"/>
      <c r="TKZ4" s="345"/>
      <c r="TLA4" s="345"/>
      <c r="TLB4" s="345"/>
      <c r="TLC4" s="345"/>
      <c r="TLD4" s="345"/>
      <c r="TLE4" s="345"/>
      <c r="TLF4" s="345"/>
      <c r="TLG4" s="345"/>
      <c r="TLH4" s="345"/>
      <c r="TLI4" s="345"/>
      <c r="TLJ4" s="345"/>
      <c r="TLK4" s="345"/>
      <c r="TLL4" s="345"/>
      <c r="TLM4" s="345"/>
      <c r="TLN4" s="345"/>
      <c r="TLO4" s="345"/>
      <c r="TLP4" s="345"/>
      <c r="TLQ4" s="345"/>
      <c r="TLR4" s="345"/>
      <c r="TLS4" s="345"/>
      <c r="TLT4" s="345"/>
      <c r="TLU4" s="345"/>
      <c r="TLV4" s="345"/>
      <c r="TLW4" s="345"/>
      <c r="TLX4" s="345"/>
      <c r="TLY4" s="345"/>
      <c r="TLZ4" s="345"/>
      <c r="TMA4" s="345"/>
      <c r="TMB4" s="345"/>
      <c r="TMC4" s="345"/>
      <c r="TMD4" s="345"/>
      <c r="TME4" s="345"/>
      <c r="TMF4" s="345"/>
      <c r="TMG4" s="345"/>
      <c r="TMH4" s="345"/>
      <c r="TMI4" s="345"/>
      <c r="TMJ4" s="345"/>
      <c r="TMK4" s="345"/>
      <c r="TML4" s="345"/>
      <c r="TMM4" s="345"/>
      <c r="TMN4" s="345"/>
      <c r="TMO4" s="345"/>
      <c r="TMP4" s="345"/>
      <c r="TMQ4" s="345"/>
      <c r="TMR4" s="345"/>
      <c r="TMS4" s="345"/>
      <c r="TMT4" s="345"/>
      <c r="TMU4" s="345"/>
      <c r="TMV4" s="345"/>
      <c r="TMW4" s="345"/>
      <c r="TMX4" s="345"/>
      <c r="TMY4" s="345"/>
      <c r="TMZ4" s="345"/>
      <c r="TNA4" s="345"/>
      <c r="TNB4" s="345"/>
      <c r="TNC4" s="345"/>
      <c r="TND4" s="345"/>
      <c r="TNE4" s="345"/>
      <c r="TNF4" s="345"/>
      <c r="TNG4" s="345"/>
      <c r="TNH4" s="345"/>
      <c r="TNI4" s="345"/>
      <c r="TNJ4" s="345"/>
      <c r="TNK4" s="345"/>
      <c r="TNL4" s="345"/>
      <c r="TNM4" s="345"/>
      <c r="TNN4" s="345"/>
      <c r="TNO4" s="345"/>
      <c r="TNP4" s="345"/>
      <c r="TNQ4" s="345"/>
      <c r="TNR4" s="345"/>
      <c r="TNS4" s="345"/>
      <c r="TNT4" s="345"/>
      <c r="TNU4" s="345"/>
      <c r="TNV4" s="345"/>
      <c r="TNW4" s="345"/>
      <c r="TNX4" s="345"/>
      <c r="TNY4" s="345"/>
      <c r="TNZ4" s="345"/>
      <c r="TOA4" s="345"/>
      <c r="TOB4" s="345"/>
      <c r="TOC4" s="345"/>
      <c r="TOD4" s="345"/>
      <c r="TOE4" s="345"/>
      <c r="TOF4" s="345"/>
      <c r="TOG4" s="345"/>
      <c r="TOH4" s="345"/>
      <c r="TOI4" s="345"/>
      <c r="TOJ4" s="345"/>
      <c r="TOK4" s="345"/>
      <c r="TOL4" s="345"/>
      <c r="TOM4" s="345"/>
      <c r="TON4" s="345"/>
      <c r="TOO4" s="345"/>
      <c r="TOP4" s="345"/>
      <c r="TOQ4" s="345"/>
      <c r="TOR4" s="345"/>
      <c r="TOS4" s="345"/>
      <c r="TOT4" s="345"/>
      <c r="TOU4" s="345"/>
      <c r="TOV4" s="345"/>
      <c r="TOW4" s="345"/>
      <c r="TOX4" s="345"/>
      <c r="TOY4" s="345"/>
      <c r="TOZ4" s="345"/>
      <c r="TPA4" s="345"/>
      <c r="TPB4" s="345"/>
      <c r="TPC4" s="345"/>
      <c r="TPD4" s="345"/>
      <c r="TPE4" s="345"/>
      <c r="TPF4" s="345"/>
      <c r="TPG4" s="345"/>
      <c r="TPH4" s="345"/>
      <c r="TPI4" s="345"/>
      <c r="TPJ4" s="345"/>
      <c r="TPK4" s="345"/>
      <c r="TPL4" s="345"/>
      <c r="TPM4" s="345"/>
      <c r="TPN4" s="345"/>
      <c r="TPO4" s="345"/>
      <c r="TPP4" s="345"/>
      <c r="TPQ4" s="345"/>
      <c r="TPR4" s="345"/>
      <c r="TPS4" s="345"/>
      <c r="TPT4" s="345"/>
      <c r="TPU4" s="345"/>
      <c r="TPV4" s="345"/>
      <c r="TPW4" s="345"/>
      <c r="TPX4" s="345"/>
      <c r="TPY4" s="345"/>
      <c r="TPZ4" s="345"/>
      <c r="TQA4" s="345"/>
      <c r="TQB4" s="345"/>
      <c r="TQC4" s="345"/>
      <c r="TQD4" s="345"/>
      <c r="TQE4" s="345"/>
      <c r="TQF4" s="345"/>
      <c r="TQG4" s="345"/>
      <c r="TQH4" s="345"/>
      <c r="TQI4" s="345"/>
      <c r="TQJ4" s="345"/>
      <c r="TQK4" s="345"/>
      <c r="TQL4" s="345"/>
      <c r="TQM4" s="345"/>
      <c r="TQN4" s="345"/>
      <c r="TQO4" s="345"/>
      <c r="TQP4" s="345"/>
      <c r="TQQ4" s="345"/>
      <c r="TQR4" s="345"/>
      <c r="TQS4" s="345"/>
      <c r="TQT4" s="345"/>
      <c r="TQU4" s="345"/>
      <c r="TQV4" s="345"/>
      <c r="TQW4" s="345"/>
      <c r="TQX4" s="345"/>
      <c r="TQY4" s="345"/>
      <c r="TQZ4" s="345"/>
      <c r="TRA4" s="345"/>
      <c r="TRB4" s="345"/>
      <c r="TRC4" s="345"/>
      <c r="TRD4" s="345"/>
      <c r="TRE4" s="345"/>
      <c r="TRF4" s="345"/>
      <c r="TRG4" s="345"/>
      <c r="TRH4" s="345"/>
      <c r="TRI4" s="345"/>
      <c r="TRJ4" s="345"/>
      <c r="TRK4" s="345"/>
      <c r="TRL4" s="345"/>
      <c r="TRM4" s="345"/>
      <c r="TRN4" s="345"/>
      <c r="TRO4" s="345"/>
      <c r="TRP4" s="345"/>
      <c r="TRQ4" s="345"/>
      <c r="TRR4" s="345"/>
      <c r="TRS4" s="345"/>
      <c r="TRT4" s="345"/>
      <c r="TRU4" s="345"/>
      <c r="TRV4" s="345"/>
      <c r="TRW4" s="345"/>
      <c r="TRX4" s="345"/>
      <c r="TRY4" s="345"/>
      <c r="TRZ4" s="345"/>
      <c r="TSA4" s="345"/>
      <c r="TSB4" s="345"/>
      <c r="TSC4" s="345"/>
      <c r="TSD4" s="345"/>
      <c r="TSE4" s="345"/>
      <c r="TSF4" s="345"/>
      <c r="TSG4" s="345"/>
      <c r="TSH4" s="345"/>
      <c r="TSI4" s="345"/>
      <c r="TSJ4" s="345"/>
      <c r="TSK4" s="345"/>
      <c r="TSL4" s="345"/>
      <c r="TSM4" s="345"/>
      <c r="TSN4" s="345"/>
      <c r="TSO4" s="345"/>
      <c r="TSP4" s="345"/>
      <c r="TSQ4" s="345"/>
      <c r="TSR4" s="345"/>
      <c r="TSS4" s="345"/>
      <c r="TST4" s="345"/>
      <c r="TSU4" s="345"/>
      <c r="TSV4" s="345"/>
      <c r="TSW4" s="345"/>
      <c r="TSX4" s="345"/>
      <c r="TSY4" s="345"/>
      <c r="TSZ4" s="345"/>
      <c r="TTA4" s="345"/>
      <c r="TTB4" s="345"/>
      <c r="TTC4" s="345"/>
      <c r="TTD4" s="345"/>
      <c r="TTE4" s="345"/>
      <c r="TTF4" s="345"/>
      <c r="TTG4" s="345"/>
      <c r="TTH4" s="345"/>
      <c r="TTI4" s="345"/>
      <c r="TTJ4" s="345"/>
      <c r="TTK4" s="345"/>
      <c r="TTL4" s="345"/>
      <c r="TTM4" s="345"/>
      <c r="TTN4" s="345"/>
      <c r="TTO4" s="345"/>
      <c r="TTP4" s="345"/>
      <c r="TTQ4" s="345"/>
      <c r="TTR4" s="345"/>
      <c r="TTS4" s="345"/>
      <c r="TTT4" s="345"/>
      <c r="TTU4" s="345"/>
      <c r="TTV4" s="345"/>
      <c r="TTW4" s="345"/>
      <c r="TTX4" s="345"/>
      <c r="TTY4" s="345"/>
      <c r="TTZ4" s="345"/>
      <c r="TUA4" s="345"/>
      <c r="TUB4" s="345"/>
      <c r="TUC4" s="345"/>
      <c r="TUD4" s="345"/>
      <c r="TUE4" s="345"/>
      <c r="TUF4" s="345"/>
      <c r="TUG4" s="345"/>
      <c r="TUH4" s="345"/>
      <c r="TUI4" s="345"/>
      <c r="TUJ4" s="345"/>
      <c r="TUK4" s="345"/>
      <c r="TUL4" s="345"/>
      <c r="TUM4" s="345"/>
      <c r="TUN4" s="345"/>
      <c r="TUO4" s="345"/>
      <c r="TUP4" s="345"/>
      <c r="TUQ4" s="345"/>
      <c r="TUR4" s="345"/>
      <c r="TUS4" s="345"/>
      <c r="TUT4" s="345"/>
      <c r="TUU4" s="345"/>
      <c r="TUV4" s="345"/>
      <c r="TUW4" s="345"/>
      <c r="TUX4" s="345"/>
      <c r="TUY4" s="345"/>
      <c r="TUZ4" s="345"/>
      <c r="TVA4" s="345"/>
      <c r="TVB4" s="345"/>
      <c r="TVC4" s="345"/>
      <c r="TVD4" s="345"/>
      <c r="TVE4" s="345"/>
      <c r="TVF4" s="345"/>
      <c r="TVG4" s="345"/>
      <c r="TVH4" s="345"/>
      <c r="TVI4" s="345"/>
      <c r="TVJ4" s="345"/>
      <c r="TVK4" s="345"/>
      <c r="TVL4" s="345"/>
      <c r="TVM4" s="345"/>
      <c r="TVN4" s="345"/>
      <c r="TVO4" s="345"/>
      <c r="TVP4" s="345"/>
      <c r="TVQ4" s="345"/>
      <c r="TVR4" s="345"/>
      <c r="TVS4" s="345"/>
      <c r="TVT4" s="345"/>
      <c r="TVU4" s="345"/>
      <c r="TVV4" s="345"/>
      <c r="TVW4" s="345"/>
      <c r="TVX4" s="345"/>
      <c r="TVY4" s="345"/>
      <c r="TVZ4" s="345"/>
      <c r="TWA4" s="345"/>
      <c r="TWB4" s="345"/>
      <c r="TWC4" s="345"/>
      <c r="TWD4" s="345"/>
      <c r="TWE4" s="345"/>
      <c r="TWF4" s="345"/>
      <c r="TWG4" s="345"/>
      <c r="TWH4" s="345"/>
      <c r="TWI4" s="345"/>
      <c r="TWJ4" s="345"/>
      <c r="TWK4" s="345"/>
      <c r="TWL4" s="345"/>
      <c r="TWM4" s="345"/>
      <c r="TWN4" s="345"/>
      <c r="TWO4" s="345"/>
      <c r="TWP4" s="345"/>
      <c r="TWQ4" s="345"/>
      <c r="TWR4" s="345"/>
      <c r="TWS4" s="345"/>
      <c r="TWT4" s="345"/>
      <c r="TWU4" s="345"/>
      <c r="TWV4" s="345"/>
      <c r="TWW4" s="345"/>
      <c r="TWX4" s="345"/>
      <c r="TWY4" s="345"/>
      <c r="TWZ4" s="345"/>
      <c r="TXA4" s="345"/>
      <c r="TXB4" s="345"/>
      <c r="TXC4" s="345"/>
      <c r="TXD4" s="345"/>
      <c r="TXE4" s="345"/>
      <c r="TXF4" s="345"/>
      <c r="TXG4" s="345"/>
      <c r="TXH4" s="345"/>
      <c r="TXI4" s="345"/>
      <c r="TXJ4" s="345"/>
      <c r="TXK4" s="345"/>
      <c r="TXL4" s="345"/>
      <c r="TXM4" s="345"/>
      <c r="TXN4" s="345"/>
      <c r="TXO4" s="345"/>
      <c r="TXP4" s="345"/>
      <c r="TXQ4" s="345"/>
      <c r="TXR4" s="345"/>
      <c r="TXS4" s="345"/>
      <c r="TXT4" s="345"/>
      <c r="TXU4" s="345"/>
      <c r="TXV4" s="345"/>
      <c r="TXW4" s="345"/>
      <c r="TXX4" s="345"/>
      <c r="TXY4" s="345"/>
      <c r="TXZ4" s="345"/>
      <c r="TYA4" s="345"/>
      <c r="TYB4" s="345"/>
      <c r="TYC4" s="345"/>
      <c r="TYD4" s="345"/>
      <c r="TYE4" s="345"/>
      <c r="TYF4" s="345"/>
      <c r="TYG4" s="345"/>
      <c r="TYH4" s="345"/>
      <c r="TYI4" s="345"/>
      <c r="TYJ4" s="345"/>
      <c r="TYK4" s="345"/>
      <c r="TYL4" s="345"/>
      <c r="TYM4" s="345"/>
      <c r="TYN4" s="345"/>
      <c r="TYO4" s="345"/>
      <c r="TYP4" s="345"/>
      <c r="TYQ4" s="345"/>
      <c r="TYR4" s="345"/>
      <c r="TYS4" s="345"/>
      <c r="TYT4" s="345"/>
      <c r="TYU4" s="345"/>
      <c r="TYV4" s="345"/>
      <c r="TYW4" s="345"/>
      <c r="TYX4" s="345"/>
      <c r="TYY4" s="345"/>
      <c r="TYZ4" s="345"/>
      <c r="TZA4" s="345"/>
      <c r="TZB4" s="345"/>
      <c r="TZC4" s="345"/>
      <c r="TZD4" s="345"/>
      <c r="TZE4" s="345"/>
      <c r="TZF4" s="345"/>
      <c r="TZG4" s="345"/>
      <c r="TZH4" s="345"/>
      <c r="TZI4" s="345"/>
      <c r="TZJ4" s="345"/>
      <c r="TZK4" s="345"/>
      <c r="TZL4" s="345"/>
      <c r="TZM4" s="345"/>
      <c r="TZN4" s="345"/>
      <c r="TZO4" s="345"/>
      <c r="TZP4" s="345"/>
      <c r="TZQ4" s="345"/>
      <c r="TZR4" s="345"/>
      <c r="TZS4" s="345"/>
      <c r="TZT4" s="345"/>
      <c r="TZU4" s="345"/>
      <c r="TZV4" s="345"/>
      <c r="TZW4" s="345"/>
      <c r="TZX4" s="345"/>
      <c r="TZY4" s="345"/>
      <c r="TZZ4" s="345"/>
      <c r="UAA4" s="345"/>
      <c r="UAB4" s="345"/>
      <c r="UAC4" s="345"/>
      <c r="UAD4" s="345"/>
      <c r="UAE4" s="345"/>
      <c r="UAF4" s="345"/>
      <c r="UAG4" s="345"/>
      <c r="UAH4" s="345"/>
      <c r="UAI4" s="345"/>
      <c r="UAJ4" s="345"/>
      <c r="UAK4" s="345"/>
      <c r="UAL4" s="345"/>
      <c r="UAM4" s="345"/>
      <c r="UAN4" s="345"/>
      <c r="UAO4" s="345"/>
      <c r="UAP4" s="345"/>
      <c r="UAQ4" s="345"/>
      <c r="UAR4" s="345"/>
      <c r="UAS4" s="345"/>
      <c r="UAT4" s="345"/>
      <c r="UAU4" s="345"/>
      <c r="UAV4" s="345"/>
      <c r="UAW4" s="345"/>
      <c r="UAX4" s="345"/>
      <c r="UAY4" s="345"/>
      <c r="UAZ4" s="345"/>
      <c r="UBA4" s="345"/>
      <c r="UBB4" s="345"/>
      <c r="UBC4" s="345"/>
      <c r="UBD4" s="345"/>
      <c r="UBE4" s="345"/>
      <c r="UBF4" s="345"/>
      <c r="UBG4" s="345"/>
      <c r="UBH4" s="345"/>
      <c r="UBI4" s="345"/>
      <c r="UBJ4" s="345"/>
      <c r="UBK4" s="345"/>
      <c r="UBL4" s="345"/>
      <c r="UBM4" s="345"/>
      <c r="UBN4" s="345"/>
      <c r="UBO4" s="345"/>
      <c r="UBP4" s="345"/>
      <c r="UBQ4" s="345"/>
      <c r="UBR4" s="345"/>
      <c r="UBS4" s="345"/>
      <c r="UBT4" s="345"/>
      <c r="UBU4" s="345"/>
      <c r="UBV4" s="345"/>
      <c r="UBW4" s="345"/>
      <c r="UBX4" s="345"/>
      <c r="UBY4" s="345"/>
      <c r="UBZ4" s="345"/>
      <c r="UCA4" s="345"/>
      <c r="UCB4" s="345"/>
      <c r="UCC4" s="345"/>
      <c r="UCD4" s="345"/>
      <c r="UCE4" s="345"/>
      <c r="UCF4" s="345"/>
      <c r="UCG4" s="345"/>
      <c r="UCH4" s="345"/>
      <c r="UCI4" s="345"/>
      <c r="UCJ4" s="345"/>
      <c r="UCK4" s="345"/>
      <c r="UCL4" s="345"/>
      <c r="UCM4" s="345"/>
      <c r="UCN4" s="345"/>
      <c r="UCO4" s="345"/>
      <c r="UCP4" s="345"/>
      <c r="UCQ4" s="345"/>
      <c r="UCR4" s="345"/>
      <c r="UCS4" s="345"/>
      <c r="UCT4" s="345"/>
      <c r="UCU4" s="345"/>
      <c r="UCV4" s="345"/>
      <c r="UCW4" s="345"/>
      <c r="UCX4" s="345"/>
      <c r="UCY4" s="345"/>
      <c r="UCZ4" s="345"/>
      <c r="UDA4" s="345"/>
      <c r="UDB4" s="345"/>
      <c r="UDC4" s="345"/>
      <c r="UDD4" s="345"/>
      <c r="UDE4" s="345"/>
      <c r="UDF4" s="345"/>
      <c r="UDG4" s="345"/>
      <c r="UDH4" s="345"/>
      <c r="UDI4" s="345"/>
      <c r="UDJ4" s="345"/>
      <c r="UDK4" s="345"/>
      <c r="UDL4" s="345"/>
      <c r="UDM4" s="345"/>
      <c r="UDN4" s="345"/>
      <c r="UDO4" s="345"/>
      <c r="UDP4" s="345"/>
      <c r="UDQ4" s="345"/>
      <c r="UDR4" s="345"/>
      <c r="UDS4" s="345"/>
      <c r="UDT4" s="345"/>
      <c r="UDU4" s="345"/>
      <c r="UDV4" s="345"/>
      <c r="UDW4" s="345"/>
      <c r="UDX4" s="345"/>
      <c r="UDY4" s="345"/>
      <c r="UDZ4" s="345"/>
      <c r="UEA4" s="345"/>
      <c r="UEB4" s="345"/>
      <c r="UEC4" s="345"/>
      <c r="UED4" s="345"/>
      <c r="UEE4" s="345"/>
      <c r="UEF4" s="345"/>
      <c r="UEG4" s="345"/>
      <c r="UEH4" s="345"/>
      <c r="UEI4" s="345"/>
      <c r="UEJ4" s="345"/>
      <c r="UEK4" s="345"/>
      <c r="UEL4" s="345"/>
      <c r="UEM4" s="345"/>
      <c r="UEN4" s="345"/>
      <c r="UEO4" s="345"/>
      <c r="UEP4" s="345"/>
      <c r="UEQ4" s="345"/>
      <c r="UER4" s="345"/>
      <c r="UES4" s="345"/>
      <c r="UET4" s="345"/>
      <c r="UEU4" s="345"/>
      <c r="UEV4" s="345"/>
      <c r="UEW4" s="345"/>
      <c r="UEX4" s="345"/>
      <c r="UEY4" s="345"/>
      <c r="UEZ4" s="345"/>
      <c r="UFA4" s="345"/>
      <c r="UFB4" s="345"/>
      <c r="UFC4" s="345"/>
      <c r="UFD4" s="345"/>
      <c r="UFE4" s="345"/>
      <c r="UFF4" s="345"/>
      <c r="UFG4" s="345"/>
      <c r="UFH4" s="345"/>
      <c r="UFI4" s="345"/>
      <c r="UFJ4" s="345"/>
      <c r="UFK4" s="345"/>
      <c r="UFL4" s="345"/>
      <c r="UFM4" s="345"/>
      <c r="UFN4" s="345"/>
      <c r="UFO4" s="345"/>
      <c r="UFP4" s="345"/>
      <c r="UFQ4" s="345"/>
      <c r="UFR4" s="345"/>
      <c r="UFS4" s="345"/>
      <c r="UFT4" s="345"/>
      <c r="UFU4" s="345"/>
      <c r="UFV4" s="345"/>
      <c r="UFW4" s="345"/>
      <c r="UFX4" s="345"/>
      <c r="UFY4" s="345"/>
      <c r="UFZ4" s="345"/>
      <c r="UGA4" s="345"/>
      <c r="UGB4" s="345"/>
      <c r="UGC4" s="345"/>
      <c r="UGD4" s="345"/>
      <c r="UGE4" s="345"/>
      <c r="UGF4" s="345"/>
      <c r="UGG4" s="345"/>
      <c r="UGH4" s="345"/>
      <c r="UGI4" s="345"/>
      <c r="UGJ4" s="345"/>
      <c r="UGK4" s="345"/>
      <c r="UGL4" s="345"/>
      <c r="UGM4" s="345"/>
      <c r="UGN4" s="345"/>
      <c r="UGO4" s="345"/>
      <c r="UGP4" s="345"/>
      <c r="UGQ4" s="345"/>
      <c r="UGR4" s="345"/>
      <c r="UGS4" s="345"/>
      <c r="UGT4" s="345"/>
      <c r="UGU4" s="345"/>
      <c r="UGV4" s="345"/>
      <c r="UGW4" s="345"/>
      <c r="UGX4" s="345"/>
      <c r="UGY4" s="345"/>
      <c r="UGZ4" s="345"/>
      <c r="UHA4" s="345"/>
      <c r="UHB4" s="345"/>
      <c r="UHC4" s="345"/>
      <c r="UHD4" s="345"/>
      <c r="UHE4" s="345"/>
      <c r="UHF4" s="345"/>
      <c r="UHG4" s="345"/>
      <c r="UHH4" s="345"/>
      <c r="UHI4" s="345"/>
      <c r="UHJ4" s="345"/>
      <c r="UHK4" s="345"/>
      <c r="UHL4" s="345"/>
      <c r="UHM4" s="345"/>
      <c r="UHN4" s="345"/>
      <c r="UHO4" s="345"/>
      <c r="UHP4" s="345"/>
      <c r="UHQ4" s="345"/>
      <c r="UHR4" s="345"/>
      <c r="UHS4" s="345"/>
      <c r="UHT4" s="345"/>
      <c r="UHU4" s="345"/>
      <c r="UHV4" s="345"/>
      <c r="UHW4" s="345"/>
      <c r="UHX4" s="345"/>
      <c r="UHY4" s="345"/>
      <c r="UHZ4" s="345"/>
      <c r="UIA4" s="345"/>
      <c r="UIB4" s="345"/>
      <c r="UIC4" s="345"/>
      <c r="UID4" s="345"/>
      <c r="UIE4" s="345"/>
      <c r="UIF4" s="345"/>
      <c r="UIG4" s="345"/>
      <c r="UIH4" s="345"/>
      <c r="UII4" s="345"/>
      <c r="UIJ4" s="345"/>
      <c r="UIK4" s="345"/>
      <c r="UIL4" s="345"/>
      <c r="UIM4" s="345"/>
      <c r="UIN4" s="345"/>
      <c r="UIO4" s="345"/>
      <c r="UIP4" s="345"/>
      <c r="UIQ4" s="345"/>
      <c r="UIR4" s="345"/>
      <c r="UIS4" s="345"/>
      <c r="UIT4" s="345"/>
      <c r="UIU4" s="345"/>
      <c r="UIV4" s="345"/>
      <c r="UIW4" s="345"/>
      <c r="UIX4" s="345"/>
      <c r="UIY4" s="345"/>
      <c r="UIZ4" s="345"/>
      <c r="UJA4" s="345"/>
      <c r="UJB4" s="345"/>
      <c r="UJC4" s="345"/>
      <c r="UJD4" s="345"/>
      <c r="UJE4" s="345"/>
      <c r="UJF4" s="345"/>
      <c r="UJG4" s="345"/>
      <c r="UJH4" s="345"/>
      <c r="UJI4" s="345"/>
      <c r="UJJ4" s="345"/>
      <c r="UJK4" s="345"/>
      <c r="UJL4" s="345"/>
      <c r="UJM4" s="345"/>
      <c r="UJN4" s="345"/>
      <c r="UJO4" s="345"/>
      <c r="UJP4" s="345"/>
      <c r="UJQ4" s="345"/>
      <c r="UJR4" s="345"/>
      <c r="UJS4" s="345"/>
      <c r="UJT4" s="345"/>
      <c r="UJU4" s="345"/>
      <c r="UJV4" s="345"/>
      <c r="UJW4" s="345"/>
      <c r="UJX4" s="345"/>
      <c r="UJY4" s="345"/>
      <c r="UJZ4" s="345"/>
      <c r="UKA4" s="345"/>
      <c r="UKB4" s="345"/>
      <c r="UKC4" s="345"/>
      <c r="UKD4" s="345"/>
      <c r="UKE4" s="345"/>
      <c r="UKF4" s="345"/>
      <c r="UKG4" s="345"/>
      <c r="UKH4" s="345"/>
      <c r="UKI4" s="345"/>
      <c r="UKJ4" s="345"/>
      <c r="UKK4" s="345"/>
      <c r="UKL4" s="345"/>
      <c r="UKM4" s="345"/>
      <c r="UKN4" s="345"/>
      <c r="UKO4" s="345"/>
      <c r="UKP4" s="345"/>
      <c r="UKQ4" s="345"/>
      <c r="UKR4" s="345"/>
      <c r="UKS4" s="345"/>
      <c r="UKT4" s="345"/>
      <c r="UKU4" s="345"/>
      <c r="UKV4" s="345"/>
      <c r="UKW4" s="345"/>
      <c r="UKX4" s="345"/>
      <c r="UKY4" s="345"/>
      <c r="UKZ4" s="345"/>
      <c r="ULA4" s="345"/>
      <c r="ULB4" s="345"/>
      <c r="ULC4" s="345"/>
      <c r="ULD4" s="345"/>
      <c r="ULE4" s="345"/>
      <c r="ULF4" s="345"/>
      <c r="ULG4" s="345"/>
      <c r="ULH4" s="345"/>
      <c r="ULI4" s="345"/>
      <c r="ULJ4" s="345"/>
      <c r="ULK4" s="345"/>
      <c r="ULL4" s="345"/>
      <c r="ULM4" s="345"/>
      <c r="ULN4" s="345"/>
      <c r="ULO4" s="345"/>
      <c r="ULP4" s="345"/>
      <c r="ULQ4" s="345"/>
      <c r="ULR4" s="345"/>
      <c r="ULS4" s="345"/>
      <c r="ULT4" s="345"/>
      <c r="ULU4" s="345"/>
      <c r="ULV4" s="345"/>
      <c r="ULW4" s="345"/>
      <c r="ULX4" s="345"/>
      <c r="ULY4" s="345"/>
      <c r="ULZ4" s="345"/>
      <c r="UMA4" s="345"/>
      <c r="UMB4" s="345"/>
      <c r="UMC4" s="345"/>
      <c r="UMD4" s="345"/>
      <c r="UME4" s="345"/>
      <c r="UMF4" s="345"/>
      <c r="UMG4" s="345"/>
      <c r="UMH4" s="345"/>
      <c r="UMI4" s="345"/>
      <c r="UMJ4" s="345"/>
      <c r="UMK4" s="345"/>
      <c r="UML4" s="345"/>
      <c r="UMM4" s="345"/>
      <c r="UMN4" s="345"/>
      <c r="UMO4" s="345"/>
      <c r="UMP4" s="345"/>
      <c r="UMQ4" s="345"/>
      <c r="UMR4" s="345"/>
      <c r="UMS4" s="345"/>
      <c r="UMT4" s="345"/>
      <c r="UMU4" s="345"/>
      <c r="UMV4" s="345"/>
      <c r="UMW4" s="345"/>
      <c r="UMX4" s="345"/>
      <c r="UMY4" s="345"/>
      <c r="UMZ4" s="345"/>
      <c r="UNA4" s="345"/>
      <c r="UNB4" s="345"/>
      <c r="UNC4" s="345"/>
      <c r="UND4" s="345"/>
      <c r="UNE4" s="345"/>
      <c r="UNF4" s="345"/>
      <c r="UNG4" s="345"/>
      <c r="UNH4" s="345"/>
      <c r="UNI4" s="345"/>
      <c r="UNJ4" s="345"/>
      <c r="UNK4" s="345"/>
      <c r="UNL4" s="345"/>
      <c r="UNM4" s="345"/>
      <c r="UNN4" s="345"/>
      <c r="UNO4" s="345"/>
      <c r="UNP4" s="345"/>
      <c r="UNQ4" s="345"/>
      <c r="UNR4" s="345"/>
      <c r="UNS4" s="345"/>
      <c r="UNT4" s="345"/>
      <c r="UNU4" s="345"/>
      <c r="UNV4" s="345"/>
      <c r="UNW4" s="345"/>
      <c r="UNX4" s="345"/>
      <c r="UNY4" s="345"/>
      <c r="UNZ4" s="345"/>
      <c r="UOA4" s="345"/>
      <c r="UOB4" s="345"/>
      <c r="UOC4" s="345"/>
      <c r="UOD4" s="345"/>
      <c r="UOE4" s="345"/>
      <c r="UOF4" s="345"/>
      <c r="UOG4" s="345"/>
      <c r="UOH4" s="345"/>
      <c r="UOI4" s="345"/>
      <c r="UOJ4" s="345"/>
      <c r="UOK4" s="345"/>
      <c r="UOL4" s="345"/>
      <c r="UOM4" s="345"/>
      <c r="UON4" s="345"/>
      <c r="UOO4" s="345"/>
      <c r="UOP4" s="345"/>
      <c r="UOQ4" s="345"/>
      <c r="UOR4" s="345"/>
      <c r="UOS4" s="345"/>
      <c r="UOT4" s="345"/>
      <c r="UOU4" s="345"/>
      <c r="UOV4" s="345"/>
      <c r="UOW4" s="345"/>
      <c r="UOX4" s="345"/>
      <c r="UOY4" s="345"/>
      <c r="UOZ4" s="345"/>
      <c r="UPA4" s="345"/>
      <c r="UPB4" s="345"/>
      <c r="UPC4" s="345"/>
      <c r="UPD4" s="345"/>
      <c r="UPE4" s="345"/>
      <c r="UPF4" s="345"/>
      <c r="UPG4" s="345"/>
      <c r="UPH4" s="345"/>
      <c r="UPI4" s="345"/>
      <c r="UPJ4" s="345"/>
      <c r="UPK4" s="345"/>
      <c r="UPL4" s="345"/>
      <c r="UPM4" s="345"/>
      <c r="UPN4" s="345"/>
      <c r="UPO4" s="345"/>
      <c r="UPP4" s="345"/>
      <c r="UPQ4" s="345"/>
      <c r="UPR4" s="345"/>
      <c r="UPS4" s="345"/>
      <c r="UPT4" s="345"/>
      <c r="UPU4" s="345"/>
      <c r="UPV4" s="345"/>
      <c r="UPW4" s="345"/>
      <c r="UPX4" s="345"/>
      <c r="UPY4" s="345"/>
      <c r="UPZ4" s="345"/>
      <c r="UQA4" s="345"/>
      <c r="UQB4" s="345"/>
      <c r="UQC4" s="345"/>
      <c r="UQD4" s="345"/>
      <c r="UQE4" s="345"/>
      <c r="UQF4" s="345"/>
      <c r="UQG4" s="345"/>
      <c r="UQH4" s="345"/>
      <c r="UQI4" s="345"/>
      <c r="UQJ4" s="345"/>
      <c r="UQK4" s="345"/>
      <c r="UQL4" s="345"/>
      <c r="UQM4" s="345"/>
      <c r="UQN4" s="345"/>
      <c r="UQO4" s="345"/>
      <c r="UQP4" s="345"/>
      <c r="UQQ4" s="345"/>
      <c r="UQR4" s="345"/>
      <c r="UQS4" s="345"/>
      <c r="UQT4" s="345"/>
      <c r="UQU4" s="345"/>
      <c r="UQV4" s="345"/>
      <c r="UQW4" s="345"/>
      <c r="UQX4" s="345"/>
      <c r="UQY4" s="345"/>
      <c r="UQZ4" s="345"/>
      <c r="URA4" s="345"/>
      <c r="URB4" s="345"/>
      <c r="URC4" s="345"/>
      <c r="URD4" s="345"/>
      <c r="URE4" s="345"/>
      <c r="URF4" s="345"/>
      <c r="URG4" s="345"/>
      <c r="URH4" s="345"/>
      <c r="URI4" s="345"/>
      <c r="URJ4" s="345"/>
      <c r="URK4" s="345"/>
      <c r="URL4" s="345"/>
      <c r="URM4" s="345"/>
      <c r="URN4" s="345"/>
      <c r="URO4" s="345"/>
      <c r="URP4" s="345"/>
      <c r="URQ4" s="345"/>
      <c r="URR4" s="345"/>
      <c r="URS4" s="345"/>
      <c r="URT4" s="345"/>
      <c r="URU4" s="345"/>
      <c r="URV4" s="345"/>
      <c r="URW4" s="345"/>
      <c r="URX4" s="345"/>
      <c r="URY4" s="345"/>
      <c r="URZ4" s="345"/>
      <c r="USA4" s="345"/>
      <c r="USB4" s="345"/>
      <c r="USC4" s="345"/>
      <c r="USD4" s="345"/>
      <c r="USE4" s="345"/>
      <c r="USF4" s="345"/>
      <c r="USG4" s="345"/>
      <c r="USH4" s="345"/>
      <c r="USI4" s="345"/>
      <c r="USJ4" s="345"/>
      <c r="USK4" s="345"/>
      <c r="USL4" s="345"/>
      <c r="USM4" s="345"/>
      <c r="USN4" s="345"/>
      <c r="USO4" s="345"/>
      <c r="USP4" s="345"/>
      <c r="USQ4" s="345"/>
      <c r="USR4" s="345"/>
      <c r="USS4" s="345"/>
      <c r="UST4" s="345"/>
      <c r="USU4" s="345"/>
      <c r="USV4" s="345"/>
      <c r="USW4" s="345"/>
      <c r="USX4" s="345"/>
      <c r="USY4" s="345"/>
      <c r="USZ4" s="345"/>
      <c r="UTA4" s="345"/>
      <c r="UTB4" s="345"/>
      <c r="UTC4" s="345"/>
      <c r="UTD4" s="345"/>
      <c r="UTE4" s="345"/>
      <c r="UTF4" s="345"/>
      <c r="UTG4" s="345"/>
      <c r="UTH4" s="345"/>
      <c r="UTI4" s="345"/>
      <c r="UTJ4" s="345"/>
      <c r="UTK4" s="345"/>
      <c r="UTL4" s="345"/>
      <c r="UTM4" s="345"/>
      <c r="UTN4" s="345"/>
      <c r="UTO4" s="345"/>
      <c r="UTP4" s="345"/>
      <c r="UTQ4" s="345"/>
      <c r="UTR4" s="345"/>
      <c r="UTS4" s="345"/>
      <c r="UTT4" s="345"/>
      <c r="UTU4" s="345"/>
      <c r="UTV4" s="345"/>
      <c r="UTW4" s="345"/>
      <c r="UTX4" s="345"/>
      <c r="UTY4" s="345"/>
      <c r="UTZ4" s="345"/>
      <c r="UUA4" s="345"/>
      <c r="UUB4" s="345"/>
      <c r="UUC4" s="345"/>
      <c r="UUD4" s="345"/>
      <c r="UUE4" s="345"/>
      <c r="UUF4" s="345"/>
      <c r="UUG4" s="345"/>
      <c r="UUH4" s="345"/>
      <c r="UUI4" s="345"/>
      <c r="UUJ4" s="345"/>
      <c r="UUK4" s="345"/>
      <c r="UUL4" s="345"/>
      <c r="UUM4" s="345"/>
      <c r="UUN4" s="345"/>
      <c r="UUO4" s="345"/>
      <c r="UUP4" s="345"/>
      <c r="UUQ4" s="345"/>
      <c r="UUR4" s="345"/>
      <c r="UUS4" s="345"/>
      <c r="UUT4" s="345"/>
      <c r="UUU4" s="345"/>
      <c r="UUV4" s="345"/>
      <c r="UUW4" s="345"/>
      <c r="UUX4" s="345"/>
      <c r="UUY4" s="345"/>
      <c r="UUZ4" s="345"/>
      <c r="UVA4" s="345"/>
      <c r="UVB4" s="345"/>
      <c r="UVC4" s="345"/>
      <c r="UVD4" s="345"/>
      <c r="UVE4" s="345"/>
      <c r="UVF4" s="345"/>
      <c r="UVG4" s="345"/>
      <c r="UVH4" s="345"/>
      <c r="UVI4" s="345"/>
      <c r="UVJ4" s="345"/>
      <c r="UVK4" s="345"/>
      <c r="UVL4" s="345"/>
      <c r="UVM4" s="345"/>
      <c r="UVN4" s="345"/>
      <c r="UVO4" s="345"/>
      <c r="UVP4" s="345"/>
      <c r="UVQ4" s="345"/>
      <c r="UVR4" s="345"/>
      <c r="UVS4" s="345"/>
      <c r="UVT4" s="345"/>
      <c r="UVU4" s="345"/>
      <c r="UVV4" s="345"/>
      <c r="UVW4" s="345"/>
      <c r="UVX4" s="345"/>
      <c r="UVY4" s="345"/>
      <c r="UVZ4" s="345"/>
      <c r="UWA4" s="345"/>
      <c r="UWB4" s="345"/>
      <c r="UWC4" s="345"/>
      <c r="UWD4" s="345"/>
      <c r="UWE4" s="345"/>
      <c r="UWF4" s="345"/>
      <c r="UWG4" s="345"/>
      <c r="UWH4" s="345"/>
      <c r="UWI4" s="345"/>
      <c r="UWJ4" s="345"/>
      <c r="UWK4" s="345"/>
      <c r="UWL4" s="345"/>
      <c r="UWM4" s="345"/>
      <c r="UWN4" s="345"/>
      <c r="UWO4" s="345"/>
      <c r="UWP4" s="345"/>
      <c r="UWQ4" s="345"/>
      <c r="UWR4" s="345"/>
      <c r="UWS4" s="345"/>
      <c r="UWT4" s="345"/>
      <c r="UWU4" s="345"/>
      <c r="UWV4" s="345"/>
      <c r="UWW4" s="345"/>
      <c r="UWX4" s="345"/>
      <c r="UWY4" s="345"/>
      <c r="UWZ4" s="345"/>
      <c r="UXA4" s="345"/>
      <c r="UXB4" s="345"/>
      <c r="UXC4" s="345"/>
      <c r="UXD4" s="345"/>
      <c r="UXE4" s="345"/>
      <c r="UXF4" s="345"/>
      <c r="UXG4" s="345"/>
      <c r="UXH4" s="345"/>
      <c r="UXI4" s="345"/>
      <c r="UXJ4" s="345"/>
      <c r="UXK4" s="345"/>
      <c r="UXL4" s="345"/>
      <c r="UXM4" s="345"/>
      <c r="UXN4" s="345"/>
      <c r="UXO4" s="345"/>
      <c r="UXP4" s="345"/>
      <c r="UXQ4" s="345"/>
      <c r="UXR4" s="345"/>
      <c r="UXS4" s="345"/>
      <c r="UXT4" s="345"/>
      <c r="UXU4" s="345"/>
      <c r="UXV4" s="345"/>
      <c r="UXW4" s="345"/>
      <c r="UXX4" s="345"/>
      <c r="UXY4" s="345"/>
      <c r="UXZ4" s="345"/>
      <c r="UYA4" s="345"/>
      <c r="UYB4" s="345"/>
      <c r="UYC4" s="345"/>
      <c r="UYD4" s="345"/>
      <c r="UYE4" s="345"/>
      <c r="UYF4" s="345"/>
      <c r="UYG4" s="345"/>
      <c r="UYH4" s="345"/>
      <c r="UYI4" s="345"/>
      <c r="UYJ4" s="345"/>
      <c r="UYK4" s="345"/>
      <c r="UYL4" s="345"/>
      <c r="UYM4" s="345"/>
      <c r="UYN4" s="345"/>
      <c r="UYO4" s="345"/>
      <c r="UYP4" s="345"/>
      <c r="UYQ4" s="345"/>
      <c r="UYR4" s="345"/>
      <c r="UYS4" s="345"/>
      <c r="UYT4" s="345"/>
      <c r="UYU4" s="345"/>
      <c r="UYV4" s="345"/>
      <c r="UYW4" s="345"/>
      <c r="UYX4" s="345"/>
      <c r="UYY4" s="345"/>
      <c r="UYZ4" s="345"/>
      <c r="UZA4" s="345"/>
      <c r="UZB4" s="345"/>
      <c r="UZC4" s="345"/>
      <c r="UZD4" s="345"/>
      <c r="UZE4" s="345"/>
      <c r="UZF4" s="345"/>
      <c r="UZG4" s="345"/>
      <c r="UZH4" s="345"/>
      <c r="UZI4" s="345"/>
      <c r="UZJ4" s="345"/>
      <c r="UZK4" s="345"/>
      <c r="UZL4" s="345"/>
      <c r="UZM4" s="345"/>
      <c r="UZN4" s="345"/>
      <c r="UZO4" s="345"/>
      <c r="UZP4" s="345"/>
      <c r="UZQ4" s="345"/>
      <c r="UZR4" s="345"/>
      <c r="UZS4" s="345"/>
      <c r="UZT4" s="345"/>
      <c r="UZU4" s="345"/>
      <c r="UZV4" s="345"/>
      <c r="UZW4" s="345"/>
      <c r="UZX4" s="345"/>
      <c r="UZY4" s="345"/>
      <c r="UZZ4" s="345"/>
      <c r="VAA4" s="345"/>
      <c r="VAB4" s="345"/>
      <c r="VAC4" s="345"/>
      <c r="VAD4" s="345"/>
      <c r="VAE4" s="345"/>
      <c r="VAF4" s="345"/>
      <c r="VAG4" s="345"/>
      <c r="VAH4" s="345"/>
      <c r="VAI4" s="345"/>
      <c r="VAJ4" s="345"/>
      <c r="VAK4" s="345"/>
      <c r="VAL4" s="345"/>
      <c r="VAM4" s="345"/>
      <c r="VAN4" s="345"/>
      <c r="VAO4" s="345"/>
      <c r="VAP4" s="345"/>
      <c r="VAQ4" s="345"/>
      <c r="VAR4" s="345"/>
      <c r="VAS4" s="345"/>
      <c r="VAT4" s="345"/>
      <c r="VAU4" s="345"/>
      <c r="VAV4" s="345"/>
      <c r="VAW4" s="345"/>
      <c r="VAX4" s="345"/>
      <c r="VAY4" s="345"/>
      <c r="VAZ4" s="345"/>
      <c r="VBA4" s="345"/>
      <c r="VBB4" s="345"/>
      <c r="VBC4" s="345"/>
      <c r="VBD4" s="345"/>
      <c r="VBE4" s="345"/>
      <c r="VBF4" s="345"/>
      <c r="VBG4" s="345"/>
      <c r="VBH4" s="345"/>
      <c r="VBI4" s="345"/>
      <c r="VBJ4" s="345"/>
      <c r="VBK4" s="345"/>
      <c r="VBL4" s="345"/>
      <c r="VBM4" s="345"/>
      <c r="VBN4" s="345"/>
      <c r="VBO4" s="345"/>
      <c r="VBP4" s="345"/>
      <c r="VBQ4" s="345"/>
      <c r="VBR4" s="345"/>
      <c r="VBS4" s="345"/>
      <c r="VBT4" s="345"/>
      <c r="VBU4" s="345"/>
      <c r="VBV4" s="345"/>
      <c r="VBW4" s="345"/>
      <c r="VBX4" s="345"/>
      <c r="VBY4" s="345"/>
      <c r="VBZ4" s="345"/>
      <c r="VCA4" s="345"/>
      <c r="VCB4" s="345"/>
      <c r="VCC4" s="345"/>
      <c r="VCD4" s="345"/>
      <c r="VCE4" s="345"/>
      <c r="VCF4" s="345"/>
      <c r="VCG4" s="345"/>
      <c r="VCH4" s="345"/>
      <c r="VCI4" s="345"/>
      <c r="VCJ4" s="345"/>
      <c r="VCK4" s="345"/>
      <c r="VCL4" s="345"/>
      <c r="VCM4" s="345"/>
      <c r="VCN4" s="345"/>
      <c r="VCO4" s="345"/>
      <c r="VCP4" s="345"/>
      <c r="VCQ4" s="345"/>
      <c r="VCR4" s="345"/>
      <c r="VCS4" s="345"/>
      <c r="VCT4" s="345"/>
      <c r="VCU4" s="345"/>
      <c r="VCV4" s="345"/>
      <c r="VCW4" s="345"/>
      <c r="VCX4" s="345"/>
      <c r="VCY4" s="345"/>
      <c r="VCZ4" s="345"/>
      <c r="VDA4" s="345"/>
      <c r="VDB4" s="345"/>
      <c r="VDC4" s="345"/>
      <c r="VDD4" s="345"/>
      <c r="VDE4" s="345"/>
      <c r="VDF4" s="345"/>
      <c r="VDG4" s="345"/>
      <c r="VDH4" s="345"/>
      <c r="VDI4" s="345"/>
      <c r="VDJ4" s="345"/>
      <c r="VDK4" s="345"/>
      <c r="VDL4" s="345"/>
      <c r="VDM4" s="345"/>
      <c r="VDN4" s="345"/>
      <c r="VDO4" s="345"/>
      <c r="VDP4" s="345"/>
      <c r="VDQ4" s="345"/>
      <c r="VDR4" s="345"/>
      <c r="VDS4" s="345"/>
      <c r="VDT4" s="345"/>
      <c r="VDU4" s="345"/>
      <c r="VDV4" s="345"/>
      <c r="VDW4" s="345"/>
      <c r="VDX4" s="345"/>
      <c r="VDY4" s="345"/>
      <c r="VDZ4" s="345"/>
      <c r="VEA4" s="345"/>
      <c r="VEB4" s="345"/>
      <c r="VEC4" s="345"/>
      <c r="VED4" s="345"/>
      <c r="VEE4" s="345"/>
      <c r="VEF4" s="345"/>
      <c r="VEG4" s="345"/>
      <c r="VEH4" s="345"/>
      <c r="VEI4" s="345"/>
      <c r="VEJ4" s="345"/>
      <c r="VEK4" s="345"/>
      <c r="VEL4" s="345"/>
      <c r="VEM4" s="345"/>
      <c r="VEN4" s="345"/>
      <c r="VEO4" s="345"/>
      <c r="VEP4" s="345"/>
      <c r="VEQ4" s="345"/>
      <c r="VER4" s="345"/>
      <c r="VES4" s="345"/>
      <c r="VET4" s="345"/>
      <c r="VEU4" s="345"/>
      <c r="VEV4" s="345"/>
      <c r="VEW4" s="345"/>
      <c r="VEX4" s="345"/>
      <c r="VEY4" s="345"/>
      <c r="VEZ4" s="345"/>
      <c r="VFA4" s="345"/>
      <c r="VFB4" s="345"/>
      <c r="VFC4" s="345"/>
      <c r="VFD4" s="345"/>
      <c r="VFE4" s="345"/>
      <c r="VFF4" s="345"/>
      <c r="VFG4" s="345"/>
      <c r="VFH4" s="345"/>
      <c r="VFI4" s="345"/>
      <c r="VFJ4" s="345"/>
      <c r="VFK4" s="345"/>
      <c r="VFL4" s="345"/>
      <c r="VFM4" s="345"/>
      <c r="VFN4" s="345"/>
      <c r="VFO4" s="345"/>
      <c r="VFP4" s="345"/>
      <c r="VFQ4" s="345"/>
      <c r="VFR4" s="345"/>
      <c r="VFS4" s="345"/>
      <c r="VFT4" s="345"/>
      <c r="VFU4" s="345"/>
      <c r="VFV4" s="345"/>
      <c r="VFW4" s="345"/>
      <c r="VFX4" s="345"/>
      <c r="VFY4" s="345"/>
      <c r="VFZ4" s="345"/>
      <c r="VGA4" s="345"/>
      <c r="VGB4" s="345"/>
      <c r="VGC4" s="345"/>
      <c r="VGD4" s="345"/>
      <c r="VGE4" s="345"/>
      <c r="VGF4" s="345"/>
      <c r="VGG4" s="345"/>
      <c r="VGH4" s="345"/>
      <c r="VGI4" s="345"/>
      <c r="VGJ4" s="345"/>
      <c r="VGK4" s="345"/>
      <c r="VGL4" s="345"/>
      <c r="VGM4" s="345"/>
      <c r="VGN4" s="345"/>
      <c r="VGO4" s="345"/>
      <c r="VGP4" s="345"/>
      <c r="VGQ4" s="345"/>
      <c r="VGR4" s="345"/>
      <c r="VGS4" s="345"/>
      <c r="VGT4" s="345"/>
      <c r="VGU4" s="345"/>
      <c r="VGV4" s="345"/>
      <c r="VGW4" s="345"/>
      <c r="VGX4" s="345"/>
      <c r="VGY4" s="345"/>
      <c r="VGZ4" s="345"/>
      <c r="VHA4" s="345"/>
      <c r="VHB4" s="345"/>
      <c r="VHC4" s="345"/>
      <c r="VHD4" s="345"/>
      <c r="VHE4" s="345"/>
      <c r="VHF4" s="345"/>
      <c r="VHG4" s="345"/>
      <c r="VHH4" s="345"/>
      <c r="VHI4" s="345"/>
      <c r="VHJ4" s="345"/>
      <c r="VHK4" s="345"/>
      <c r="VHL4" s="345"/>
      <c r="VHM4" s="345"/>
      <c r="VHN4" s="345"/>
      <c r="VHO4" s="345"/>
      <c r="VHP4" s="345"/>
      <c r="VHQ4" s="345"/>
      <c r="VHR4" s="345"/>
      <c r="VHS4" s="345"/>
      <c r="VHT4" s="345"/>
      <c r="VHU4" s="345"/>
      <c r="VHV4" s="345"/>
      <c r="VHW4" s="345"/>
      <c r="VHX4" s="345"/>
      <c r="VHY4" s="345"/>
      <c r="VHZ4" s="345"/>
      <c r="VIA4" s="345"/>
      <c r="VIB4" s="345"/>
      <c r="VIC4" s="345"/>
      <c r="VID4" s="345"/>
      <c r="VIE4" s="345"/>
      <c r="VIF4" s="345"/>
      <c r="VIG4" s="345"/>
      <c r="VIH4" s="345"/>
      <c r="VII4" s="345"/>
      <c r="VIJ4" s="345"/>
      <c r="VIK4" s="345"/>
      <c r="VIL4" s="345"/>
      <c r="VIM4" s="345"/>
      <c r="VIN4" s="345"/>
      <c r="VIO4" s="345"/>
      <c r="VIP4" s="345"/>
      <c r="VIQ4" s="345"/>
      <c r="VIR4" s="345"/>
      <c r="VIS4" s="345"/>
      <c r="VIT4" s="345"/>
      <c r="VIU4" s="345"/>
      <c r="VIV4" s="345"/>
      <c r="VIW4" s="345"/>
      <c r="VIX4" s="345"/>
      <c r="VIY4" s="345"/>
      <c r="VIZ4" s="345"/>
      <c r="VJA4" s="345"/>
      <c r="VJB4" s="345"/>
      <c r="VJC4" s="345"/>
      <c r="VJD4" s="345"/>
      <c r="VJE4" s="345"/>
      <c r="VJF4" s="345"/>
      <c r="VJG4" s="345"/>
      <c r="VJH4" s="345"/>
      <c r="VJI4" s="345"/>
      <c r="VJJ4" s="345"/>
      <c r="VJK4" s="345"/>
      <c r="VJL4" s="345"/>
      <c r="VJM4" s="345"/>
      <c r="VJN4" s="345"/>
      <c r="VJO4" s="345"/>
      <c r="VJP4" s="345"/>
      <c r="VJQ4" s="345"/>
      <c r="VJR4" s="345"/>
      <c r="VJS4" s="345"/>
      <c r="VJT4" s="345"/>
      <c r="VJU4" s="345"/>
      <c r="VJV4" s="345"/>
      <c r="VJW4" s="345"/>
      <c r="VJX4" s="345"/>
      <c r="VJY4" s="345"/>
      <c r="VJZ4" s="345"/>
      <c r="VKA4" s="345"/>
      <c r="VKB4" s="345"/>
      <c r="VKC4" s="345"/>
      <c r="VKD4" s="345"/>
      <c r="VKE4" s="345"/>
      <c r="VKF4" s="345"/>
      <c r="VKG4" s="345"/>
      <c r="VKH4" s="345"/>
      <c r="VKI4" s="345"/>
      <c r="VKJ4" s="345"/>
      <c r="VKK4" s="345"/>
      <c r="VKL4" s="345"/>
      <c r="VKM4" s="345"/>
      <c r="VKN4" s="345"/>
      <c r="VKO4" s="345"/>
      <c r="VKP4" s="345"/>
      <c r="VKQ4" s="345"/>
      <c r="VKR4" s="345"/>
      <c r="VKS4" s="345"/>
      <c r="VKT4" s="345"/>
      <c r="VKU4" s="345"/>
      <c r="VKV4" s="345"/>
      <c r="VKW4" s="345"/>
      <c r="VKX4" s="345"/>
      <c r="VKY4" s="345"/>
      <c r="VKZ4" s="345"/>
      <c r="VLA4" s="345"/>
      <c r="VLB4" s="345"/>
      <c r="VLC4" s="345"/>
      <c r="VLD4" s="345"/>
      <c r="VLE4" s="345"/>
      <c r="VLF4" s="345"/>
      <c r="VLG4" s="345"/>
      <c r="VLH4" s="345"/>
      <c r="VLI4" s="345"/>
      <c r="VLJ4" s="345"/>
      <c r="VLK4" s="345"/>
      <c r="VLL4" s="345"/>
      <c r="VLM4" s="345"/>
      <c r="VLN4" s="345"/>
      <c r="VLO4" s="345"/>
      <c r="VLP4" s="345"/>
      <c r="VLQ4" s="345"/>
      <c r="VLR4" s="345"/>
      <c r="VLS4" s="345"/>
      <c r="VLT4" s="345"/>
      <c r="VLU4" s="345"/>
      <c r="VLV4" s="345"/>
      <c r="VLW4" s="345"/>
      <c r="VLX4" s="345"/>
      <c r="VLY4" s="345"/>
      <c r="VLZ4" s="345"/>
      <c r="VMA4" s="345"/>
      <c r="VMB4" s="345"/>
      <c r="VMC4" s="345"/>
      <c r="VMD4" s="345"/>
      <c r="VME4" s="345"/>
      <c r="VMF4" s="345"/>
      <c r="VMG4" s="345"/>
      <c r="VMH4" s="345"/>
      <c r="VMI4" s="345"/>
      <c r="VMJ4" s="345"/>
      <c r="VMK4" s="345"/>
      <c r="VML4" s="345"/>
      <c r="VMM4" s="345"/>
      <c r="VMN4" s="345"/>
      <c r="VMO4" s="345"/>
      <c r="VMP4" s="345"/>
      <c r="VMQ4" s="345"/>
      <c r="VMR4" s="345"/>
      <c r="VMS4" s="345"/>
      <c r="VMT4" s="345"/>
      <c r="VMU4" s="345"/>
      <c r="VMV4" s="345"/>
      <c r="VMW4" s="345"/>
      <c r="VMX4" s="345"/>
      <c r="VMY4" s="345"/>
      <c r="VMZ4" s="345"/>
      <c r="VNA4" s="345"/>
      <c r="VNB4" s="345"/>
      <c r="VNC4" s="345"/>
      <c r="VND4" s="345"/>
      <c r="VNE4" s="345"/>
      <c r="VNF4" s="345"/>
      <c r="VNG4" s="345"/>
      <c r="VNH4" s="345"/>
      <c r="VNI4" s="345"/>
      <c r="VNJ4" s="345"/>
      <c r="VNK4" s="345"/>
      <c r="VNL4" s="345"/>
      <c r="VNM4" s="345"/>
      <c r="VNN4" s="345"/>
      <c r="VNO4" s="345"/>
      <c r="VNP4" s="345"/>
      <c r="VNQ4" s="345"/>
      <c r="VNR4" s="345"/>
      <c r="VNS4" s="345"/>
      <c r="VNT4" s="345"/>
      <c r="VNU4" s="345"/>
      <c r="VNV4" s="345"/>
      <c r="VNW4" s="345"/>
      <c r="VNX4" s="345"/>
      <c r="VNY4" s="345"/>
      <c r="VNZ4" s="345"/>
      <c r="VOA4" s="345"/>
      <c r="VOB4" s="345"/>
      <c r="VOC4" s="345"/>
      <c r="VOD4" s="345"/>
      <c r="VOE4" s="345"/>
      <c r="VOF4" s="345"/>
      <c r="VOG4" s="345"/>
      <c r="VOH4" s="345"/>
      <c r="VOI4" s="345"/>
      <c r="VOJ4" s="345"/>
      <c r="VOK4" s="345"/>
      <c r="VOL4" s="345"/>
      <c r="VOM4" s="345"/>
      <c r="VON4" s="345"/>
      <c r="VOO4" s="345"/>
      <c r="VOP4" s="345"/>
      <c r="VOQ4" s="345"/>
      <c r="VOR4" s="345"/>
      <c r="VOS4" s="345"/>
      <c r="VOT4" s="345"/>
      <c r="VOU4" s="345"/>
      <c r="VOV4" s="345"/>
      <c r="VOW4" s="345"/>
      <c r="VOX4" s="345"/>
      <c r="VOY4" s="345"/>
      <c r="VOZ4" s="345"/>
      <c r="VPA4" s="345"/>
      <c r="VPB4" s="345"/>
      <c r="VPC4" s="345"/>
      <c r="VPD4" s="345"/>
      <c r="VPE4" s="345"/>
      <c r="VPF4" s="345"/>
      <c r="VPG4" s="345"/>
      <c r="VPH4" s="345"/>
      <c r="VPI4" s="345"/>
      <c r="VPJ4" s="345"/>
      <c r="VPK4" s="345"/>
      <c r="VPL4" s="345"/>
      <c r="VPM4" s="345"/>
      <c r="VPN4" s="345"/>
      <c r="VPO4" s="345"/>
      <c r="VPP4" s="345"/>
      <c r="VPQ4" s="345"/>
      <c r="VPR4" s="345"/>
      <c r="VPS4" s="345"/>
      <c r="VPT4" s="345"/>
      <c r="VPU4" s="345"/>
      <c r="VPV4" s="345"/>
      <c r="VPW4" s="345"/>
      <c r="VPX4" s="345"/>
      <c r="VPY4" s="345"/>
      <c r="VPZ4" s="345"/>
      <c r="VQA4" s="345"/>
      <c r="VQB4" s="345"/>
      <c r="VQC4" s="345"/>
      <c r="VQD4" s="345"/>
      <c r="VQE4" s="345"/>
      <c r="VQF4" s="345"/>
      <c r="VQG4" s="345"/>
      <c r="VQH4" s="345"/>
      <c r="VQI4" s="345"/>
      <c r="VQJ4" s="345"/>
      <c r="VQK4" s="345"/>
      <c r="VQL4" s="345"/>
      <c r="VQM4" s="345"/>
      <c r="VQN4" s="345"/>
      <c r="VQO4" s="345"/>
      <c r="VQP4" s="345"/>
      <c r="VQQ4" s="345"/>
      <c r="VQR4" s="345"/>
      <c r="VQS4" s="345"/>
      <c r="VQT4" s="345"/>
      <c r="VQU4" s="345"/>
      <c r="VQV4" s="345"/>
      <c r="VQW4" s="345"/>
      <c r="VQX4" s="345"/>
      <c r="VQY4" s="345"/>
      <c r="VQZ4" s="345"/>
      <c r="VRA4" s="345"/>
      <c r="VRB4" s="345"/>
      <c r="VRC4" s="345"/>
      <c r="VRD4" s="345"/>
      <c r="VRE4" s="345"/>
      <c r="VRF4" s="345"/>
      <c r="VRG4" s="345"/>
      <c r="VRH4" s="345"/>
      <c r="VRI4" s="345"/>
      <c r="VRJ4" s="345"/>
      <c r="VRK4" s="345"/>
      <c r="VRL4" s="345"/>
      <c r="VRM4" s="345"/>
      <c r="VRN4" s="345"/>
      <c r="VRO4" s="345"/>
      <c r="VRP4" s="345"/>
      <c r="VRQ4" s="345"/>
      <c r="VRR4" s="345"/>
      <c r="VRS4" s="345"/>
      <c r="VRT4" s="345"/>
      <c r="VRU4" s="345"/>
      <c r="VRV4" s="345"/>
      <c r="VRW4" s="345"/>
      <c r="VRX4" s="345"/>
      <c r="VRY4" s="345"/>
      <c r="VRZ4" s="345"/>
      <c r="VSA4" s="345"/>
      <c r="VSB4" s="345"/>
      <c r="VSC4" s="345"/>
      <c r="VSD4" s="345"/>
      <c r="VSE4" s="345"/>
      <c r="VSF4" s="345"/>
      <c r="VSG4" s="345"/>
      <c r="VSH4" s="345"/>
      <c r="VSI4" s="345"/>
      <c r="VSJ4" s="345"/>
      <c r="VSK4" s="345"/>
      <c r="VSL4" s="345"/>
      <c r="VSM4" s="345"/>
      <c r="VSN4" s="345"/>
      <c r="VSO4" s="345"/>
      <c r="VSP4" s="345"/>
      <c r="VSQ4" s="345"/>
      <c r="VSR4" s="345"/>
      <c r="VSS4" s="345"/>
      <c r="VST4" s="345"/>
      <c r="VSU4" s="345"/>
      <c r="VSV4" s="345"/>
      <c r="VSW4" s="345"/>
      <c r="VSX4" s="345"/>
      <c r="VSY4" s="345"/>
      <c r="VSZ4" s="345"/>
      <c r="VTA4" s="345"/>
      <c r="VTB4" s="345"/>
      <c r="VTC4" s="345"/>
      <c r="VTD4" s="345"/>
      <c r="VTE4" s="345"/>
      <c r="VTF4" s="345"/>
      <c r="VTG4" s="345"/>
      <c r="VTH4" s="345"/>
      <c r="VTI4" s="345"/>
      <c r="VTJ4" s="345"/>
      <c r="VTK4" s="345"/>
      <c r="VTL4" s="345"/>
      <c r="VTM4" s="345"/>
      <c r="VTN4" s="345"/>
      <c r="VTO4" s="345"/>
      <c r="VTP4" s="345"/>
      <c r="VTQ4" s="345"/>
      <c r="VTR4" s="345"/>
      <c r="VTS4" s="345"/>
      <c r="VTT4" s="345"/>
      <c r="VTU4" s="345"/>
      <c r="VTV4" s="345"/>
      <c r="VTW4" s="345"/>
      <c r="VTX4" s="345"/>
      <c r="VTY4" s="345"/>
      <c r="VTZ4" s="345"/>
      <c r="VUA4" s="345"/>
      <c r="VUB4" s="345"/>
      <c r="VUC4" s="345"/>
      <c r="VUD4" s="345"/>
      <c r="VUE4" s="345"/>
      <c r="VUF4" s="345"/>
      <c r="VUG4" s="345"/>
      <c r="VUH4" s="345"/>
      <c r="VUI4" s="345"/>
      <c r="VUJ4" s="345"/>
      <c r="VUK4" s="345"/>
      <c r="VUL4" s="345"/>
      <c r="VUM4" s="345"/>
      <c r="VUN4" s="345"/>
      <c r="VUO4" s="345"/>
      <c r="VUP4" s="345"/>
      <c r="VUQ4" s="345"/>
      <c r="VUR4" s="345"/>
      <c r="VUS4" s="345"/>
      <c r="VUT4" s="345"/>
      <c r="VUU4" s="345"/>
      <c r="VUV4" s="345"/>
      <c r="VUW4" s="345"/>
      <c r="VUX4" s="345"/>
      <c r="VUY4" s="345"/>
      <c r="VUZ4" s="345"/>
      <c r="VVA4" s="345"/>
      <c r="VVB4" s="345"/>
      <c r="VVC4" s="345"/>
      <c r="VVD4" s="345"/>
      <c r="VVE4" s="345"/>
      <c r="VVF4" s="345"/>
      <c r="VVG4" s="345"/>
      <c r="VVH4" s="345"/>
      <c r="VVI4" s="345"/>
      <c r="VVJ4" s="345"/>
      <c r="VVK4" s="345"/>
      <c r="VVL4" s="345"/>
      <c r="VVM4" s="345"/>
      <c r="VVN4" s="345"/>
      <c r="VVO4" s="345"/>
      <c r="VVP4" s="345"/>
      <c r="VVQ4" s="345"/>
      <c r="VVR4" s="345"/>
      <c r="VVS4" s="345"/>
      <c r="VVT4" s="345"/>
      <c r="VVU4" s="345"/>
      <c r="VVV4" s="345"/>
      <c r="VVW4" s="345"/>
      <c r="VVX4" s="345"/>
      <c r="VVY4" s="345"/>
      <c r="VVZ4" s="345"/>
      <c r="VWA4" s="345"/>
      <c r="VWB4" s="345"/>
      <c r="VWC4" s="345"/>
      <c r="VWD4" s="345"/>
      <c r="VWE4" s="345"/>
      <c r="VWF4" s="345"/>
      <c r="VWG4" s="345"/>
      <c r="VWH4" s="345"/>
      <c r="VWI4" s="345"/>
      <c r="VWJ4" s="345"/>
      <c r="VWK4" s="345"/>
      <c r="VWL4" s="345"/>
      <c r="VWM4" s="345"/>
      <c r="VWN4" s="345"/>
      <c r="VWO4" s="345"/>
      <c r="VWP4" s="345"/>
      <c r="VWQ4" s="345"/>
      <c r="VWR4" s="345"/>
      <c r="VWS4" s="345"/>
      <c r="VWT4" s="345"/>
      <c r="VWU4" s="345"/>
      <c r="VWV4" s="345"/>
      <c r="VWW4" s="345"/>
      <c r="VWX4" s="345"/>
      <c r="VWY4" s="345"/>
      <c r="VWZ4" s="345"/>
      <c r="VXA4" s="345"/>
      <c r="VXB4" s="345"/>
      <c r="VXC4" s="345"/>
      <c r="VXD4" s="345"/>
      <c r="VXE4" s="345"/>
      <c r="VXF4" s="345"/>
      <c r="VXG4" s="345"/>
      <c r="VXH4" s="345"/>
      <c r="VXI4" s="345"/>
      <c r="VXJ4" s="345"/>
      <c r="VXK4" s="345"/>
      <c r="VXL4" s="345"/>
      <c r="VXM4" s="345"/>
      <c r="VXN4" s="345"/>
      <c r="VXO4" s="345"/>
      <c r="VXP4" s="345"/>
      <c r="VXQ4" s="345"/>
      <c r="VXR4" s="345"/>
      <c r="VXS4" s="345"/>
      <c r="VXT4" s="345"/>
      <c r="VXU4" s="345"/>
      <c r="VXV4" s="345"/>
      <c r="VXW4" s="345"/>
      <c r="VXX4" s="345"/>
      <c r="VXY4" s="345"/>
      <c r="VXZ4" s="345"/>
      <c r="VYA4" s="345"/>
      <c r="VYB4" s="345"/>
      <c r="VYC4" s="345"/>
      <c r="VYD4" s="345"/>
      <c r="VYE4" s="345"/>
      <c r="VYF4" s="345"/>
      <c r="VYG4" s="345"/>
      <c r="VYH4" s="345"/>
      <c r="VYI4" s="345"/>
      <c r="VYJ4" s="345"/>
      <c r="VYK4" s="345"/>
      <c r="VYL4" s="345"/>
      <c r="VYM4" s="345"/>
      <c r="VYN4" s="345"/>
      <c r="VYO4" s="345"/>
      <c r="VYP4" s="345"/>
      <c r="VYQ4" s="345"/>
      <c r="VYR4" s="345"/>
      <c r="VYS4" s="345"/>
      <c r="VYT4" s="345"/>
      <c r="VYU4" s="345"/>
      <c r="VYV4" s="345"/>
      <c r="VYW4" s="345"/>
      <c r="VYX4" s="345"/>
      <c r="VYY4" s="345"/>
      <c r="VYZ4" s="345"/>
      <c r="VZA4" s="345"/>
      <c r="VZB4" s="345"/>
      <c r="VZC4" s="345"/>
      <c r="VZD4" s="345"/>
      <c r="VZE4" s="345"/>
      <c r="VZF4" s="345"/>
      <c r="VZG4" s="345"/>
      <c r="VZH4" s="345"/>
      <c r="VZI4" s="345"/>
      <c r="VZJ4" s="345"/>
      <c r="VZK4" s="345"/>
      <c r="VZL4" s="345"/>
      <c r="VZM4" s="345"/>
      <c r="VZN4" s="345"/>
      <c r="VZO4" s="345"/>
      <c r="VZP4" s="345"/>
      <c r="VZQ4" s="345"/>
      <c r="VZR4" s="345"/>
      <c r="VZS4" s="345"/>
      <c r="VZT4" s="345"/>
      <c r="VZU4" s="345"/>
      <c r="VZV4" s="345"/>
      <c r="VZW4" s="345"/>
      <c r="VZX4" s="345"/>
      <c r="VZY4" s="345"/>
      <c r="VZZ4" s="345"/>
      <c r="WAA4" s="345"/>
      <c r="WAB4" s="345"/>
      <c r="WAC4" s="345"/>
      <c r="WAD4" s="345"/>
      <c r="WAE4" s="345"/>
      <c r="WAF4" s="345"/>
      <c r="WAG4" s="345"/>
      <c r="WAH4" s="345"/>
      <c r="WAI4" s="345"/>
      <c r="WAJ4" s="345"/>
      <c r="WAK4" s="345"/>
      <c r="WAL4" s="345"/>
      <c r="WAM4" s="345"/>
      <c r="WAN4" s="345"/>
      <c r="WAO4" s="345"/>
      <c r="WAP4" s="345"/>
      <c r="WAQ4" s="345"/>
      <c r="WAR4" s="345"/>
      <c r="WAS4" s="345"/>
      <c r="WAT4" s="345"/>
      <c r="WAU4" s="345"/>
      <c r="WAV4" s="345"/>
      <c r="WAW4" s="345"/>
      <c r="WAX4" s="345"/>
      <c r="WAY4" s="345"/>
      <c r="WAZ4" s="345"/>
      <c r="WBA4" s="345"/>
      <c r="WBB4" s="345"/>
      <c r="WBC4" s="345"/>
      <c r="WBD4" s="345"/>
      <c r="WBE4" s="345"/>
      <c r="WBF4" s="345"/>
      <c r="WBG4" s="345"/>
      <c r="WBH4" s="345"/>
      <c r="WBI4" s="345"/>
      <c r="WBJ4" s="345"/>
      <c r="WBK4" s="345"/>
      <c r="WBL4" s="345"/>
      <c r="WBM4" s="345"/>
      <c r="WBN4" s="345"/>
      <c r="WBO4" s="345"/>
      <c r="WBP4" s="345"/>
      <c r="WBQ4" s="345"/>
      <c r="WBR4" s="345"/>
      <c r="WBS4" s="345"/>
      <c r="WBT4" s="345"/>
      <c r="WBU4" s="345"/>
      <c r="WBV4" s="345"/>
      <c r="WBW4" s="345"/>
      <c r="WBX4" s="345"/>
      <c r="WBY4" s="345"/>
      <c r="WBZ4" s="345"/>
      <c r="WCA4" s="345"/>
      <c r="WCB4" s="345"/>
      <c r="WCC4" s="345"/>
      <c r="WCD4" s="345"/>
      <c r="WCE4" s="345"/>
      <c r="WCF4" s="345"/>
      <c r="WCG4" s="345"/>
      <c r="WCH4" s="345"/>
      <c r="WCI4" s="345"/>
      <c r="WCJ4" s="345"/>
      <c r="WCK4" s="345"/>
      <c r="WCL4" s="345"/>
      <c r="WCM4" s="345"/>
      <c r="WCN4" s="345"/>
      <c r="WCO4" s="345"/>
      <c r="WCP4" s="345"/>
      <c r="WCQ4" s="345"/>
      <c r="WCR4" s="345"/>
      <c r="WCS4" s="345"/>
      <c r="WCT4" s="345"/>
      <c r="WCU4" s="345"/>
      <c r="WCV4" s="345"/>
      <c r="WCW4" s="345"/>
      <c r="WCX4" s="345"/>
      <c r="WCY4" s="345"/>
      <c r="WCZ4" s="345"/>
      <c r="WDA4" s="345"/>
      <c r="WDB4" s="345"/>
      <c r="WDC4" s="345"/>
      <c r="WDD4" s="345"/>
      <c r="WDE4" s="345"/>
      <c r="WDF4" s="345"/>
      <c r="WDG4" s="345"/>
      <c r="WDH4" s="345"/>
      <c r="WDI4" s="345"/>
      <c r="WDJ4" s="345"/>
      <c r="WDK4" s="345"/>
      <c r="WDL4" s="345"/>
      <c r="WDM4" s="345"/>
      <c r="WDN4" s="345"/>
      <c r="WDO4" s="345"/>
      <c r="WDP4" s="345"/>
      <c r="WDQ4" s="345"/>
      <c r="WDR4" s="345"/>
      <c r="WDS4" s="345"/>
      <c r="WDT4" s="345"/>
      <c r="WDU4" s="345"/>
      <c r="WDV4" s="345"/>
      <c r="WDW4" s="345"/>
      <c r="WDX4" s="345"/>
      <c r="WDY4" s="345"/>
      <c r="WDZ4" s="345"/>
      <c r="WEA4" s="345"/>
      <c r="WEB4" s="345"/>
      <c r="WEC4" s="345"/>
      <c r="WED4" s="345"/>
      <c r="WEE4" s="345"/>
      <c r="WEF4" s="345"/>
      <c r="WEG4" s="345"/>
      <c r="WEH4" s="345"/>
      <c r="WEI4" s="345"/>
      <c r="WEJ4" s="345"/>
      <c r="WEK4" s="345"/>
      <c r="WEL4" s="345"/>
      <c r="WEM4" s="345"/>
      <c r="WEN4" s="345"/>
      <c r="WEO4" s="345"/>
      <c r="WEP4" s="345"/>
      <c r="WEQ4" s="345"/>
      <c r="WER4" s="345"/>
      <c r="WES4" s="345"/>
      <c r="WET4" s="345"/>
      <c r="WEU4" s="345"/>
      <c r="WEV4" s="345"/>
      <c r="WEW4" s="345"/>
      <c r="WEX4" s="345"/>
      <c r="WEY4" s="345"/>
      <c r="WEZ4" s="345"/>
      <c r="WFA4" s="345"/>
      <c r="WFB4" s="345"/>
      <c r="WFC4" s="345"/>
      <c r="WFD4" s="345"/>
      <c r="WFE4" s="345"/>
      <c r="WFF4" s="345"/>
      <c r="WFG4" s="345"/>
      <c r="WFH4" s="345"/>
      <c r="WFI4" s="345"/>
      <c r="WFJ4" s="345"/>
      <c r="WFK4" s="345"/>
      <c r="WFL4" s="345"/>
      <c r="WFM4" s="345"/>
      <c r="WFN4" s="345"/>
      <c r="WFO4" s="345"/>
      <c r="WFP4" s="345"/>
      <c r="WFQ4" s="345"/>
      <c r="WFR4" s="345"/>
      <c r="WFS4" s="345"/>
      <c r="WFT4" s="345"/>
      <c r="WFU4" s="345"/>
      <c r="WFV4" s="345"/>
      <c r="WFW4" s="345"/>
      <c r="WFX4" s="345"/>
      <c r="WFY4" s="345"/>
      <c r="WFZ4" s="345"/>
      <c r="WGA4" s="345"/>
      <c r="WGB4" s="345"/>
      <c r="WGC4" s="345"/>
      <c r="WGD4" s="345"/>
      <c r="WGE4" s="345"/>
      <c r="WGF4" s="345"/>
      <c r="WGG4" s="345"/>
      <c r="WGH4" s="345"/>
      <c r="WGI4" s="345"/>
      <c r="WGJ4" s="345"/>
      <c r="WGK4" s="345"/>
      <c r="WGL4" s="345"/>
      <c r="WGM4" s="345"/>
      <c r="WGN4" s="345"/>
      <c r="WGO4" s="345"/>
      <c r="WGP4" s="345"/>
      <c r="WGQ4" s="345"/>
      <c r="WGR4" s="345"/>
      <c r="WGS4" s="345"/>
      <c r="WGT4" s="345"/>
      <c r="WGU4" s="345"/>
      <c r="WGV4" s="345"/>
      <c r="WGW4" s="345"/>
      <c r="WGX4" s="345"/>
      <c r="WGY4" s="345"/>
      <c r="WGZ4" s="345"/>
      <c r="WHA4" s="345"/>
      <c r="WHB4" s="345"/>
      <c r="WHC4" s="345"/>
      <c r="WHD4" s="345"/>
      <c r="WHE4" s="345"/>
      <c r="WHF4" s="345"/>
      <c r="WHG4" s="345"/>
      <c r="WHH4" s="345"/>
      <c r="WHI4" s="345"/>
      <c r="WHJ4" s="345"/>
      <c r="WHK4" s="345"/>
      <c r="WHL4" s="345"/>
      <c r="WHM4" s="345"/>
      <c r="WHN4" s="345"/>
      <c r="WHO4" s="345"/>
      <c r="WHP4" s="345"/>
      <c r="WHQ4" s="345"/>
      <c r="WHR4" s="345"/>
      <c r="WHS4" s="345"/>
      <c r="WHT4" s="345"/>
      <c r="WHU4" s="345"/>
      <c r="WHV4" s="345"/>
      <c r="WHW4" s="345"/>
      <c r="WHX4" s="345"/>
      <c r="WHY4" s="345"/>
      <c r="WHZ4" s="345"/>
      <c r="WIA4" s="345"/>
      <c r="WIB4" s="345"/>
      <c r="WIC4" s="345"/>
      <c r="WID4" s="345"/>
      <c r="WIE4" s="345"/>
      <c r="WIF4" s="345"/>
      <c r="WIG4" s="345"/>
      <c r="WIH4" s="345"/>
      <c r="WII4" s="345"/>
      <c r="WIJ4" s="345"/>
      <c r="WIK4" s="345"/>
      <c r="WIL4" s="345"/>
      <c r="WIM4" s="345"/>
      <c r="WIN4" s="345"/>
      <c r="WIO4" s="345"/>
      <c r="WIP4" s="345"/>
      <c r="WIQ4" s="345"/>
      <c r="WIR4" s="345"/>
      <c r="WIS4" s="345"/>
      <c r="WIT4" s="345"/>
      <c r="WIU4" s="345"/>
      <c r="WIV4" s="345"/>
      <c r="WIW4" s="345"/>
      <c r="WIX4" s="345"/>
      <c r="WIY4" s="345"/>
      <c r="WIZ4" s="345"/>
      <c r="WJA4" s="345"/>
      <c r="WJB4" s="345"/>
      <c r="WJC4" s="345"/>
      <c r="WJD4" s="345"/>
      <c r="WJE4" s="345"/>
      <c r="WJF4" s="345"/>
      <c r="WJG4" s="345"/>
      <c r="WJH4" s="345"/>
      <c r="WJI4" s="345"/>
      <c r="WJJ4" s="345"/>
      <c r="WJK4" s="345"/>
      <c r="WJL4" s="345"/>
      <c r="WJM4" s="345"/>
      <c r="WJN4" s="345"/>
      <c r="WJO4" s="345"/>
      <c r="WJP4" s="345"/>
      <c r="WJQ4" s="345"/>
      <c r="WJR4" s="345"/>
      <c r="WJS4" s="345"/>
      <c r="WJT4" s="345"/>
      <c r="WJU4" s="345"/>
      <c r="WJV4" s="345"/>
      <c r="WJW4" s="345"/>
      <c r="WJX4" s="345"/>
      <c r="WJY4" s="345"/>
      <c r="WJZ4" s="345"/>
      <c r="WKA4" s="345"/>
      <c r="WKB4" s="345"/>
      <c r="WKC4" s="345"/>
      <c r="WKD4" s="345"/>
      <c r="WKE4" s="345"/>
      <c r="WKF4" s="345"/>
      <c r="WKG4" s="345"/>
      <c r="WKH4" s="345"/>
      <c r="WKI4" s="345"/>
      <c r="WKJ4" s="345"/>
      <c r="WKK4" s="345"/>
      <c r="WKL4" s="345"/>
      <c r="WKM4" s="345"/>
      <c r="WKN4" s="345"/>
      <c r="WKO4" s="345"/>
      <c r="WKP4" s="345"/>
      <c r="WKQ4" s="345"/>
      <c r="WKR4" s="345"/>
      <c r="WKS4" s="345"/>
      <c r="WKT4" s="345"/>
      <c r="WKU4" s="345"/>
      <c r="WKV4" s="345"/>
      <c r="WKW4" s="345"/>
      <c r="WKX4" s="345"/>
      <c r="WKY4" s="345"/>
      <c r="WKZ4" s="345"/>
      <c r="WLA4" s="345"/>
      <c r="WLB4" s="345"/>
      <c r="WLC4" s="345"/>
      <c r="WLD4" s="345"/>
      <c r="WLE4" s="345"/>
      <c r="WLF4" s="345"/>
      <c r="WLG4" s="345"/>
      <c r="WLH4" s="345"/>
      <c r="WLI4" s="345"/>
      <c r="WLJ4" s="345"/>
      <c r="WLK4" s="345"/>
      <c r="WLL4" s="345"/>
      <c r="WLM4" s="345"/>
      <c r="WLN4" s="345"/>
      <c r="WLO4" s="345"/>
      <c r="WLP4" s="345"/>
      <c r="WLQ4" s="345"/>
      <c r="WLR4" s="345"/>
      <c r="WLS4" s="345"/>
      <c r="WLT4" s="345"/>
      <c r="WLU4" s="345"/>
      <c r="WLV4" s="345"/>
      <c r="WLW4" s="345"/>
      <c r="WLX4" s="345"/>
      <c r="WLY4" s="345"/>
      <c r="WLZ4" s="345"/>
      <c r="WMA4" s="345"/>
      <c r="WMB4" s="345"/>
      <c r="WMC4" s="345"/>
      <c r="WMD4" s="345"/>
      <c r="WME4" s="345"/>
      <c r="WMF4" s="345"/>
      <c r="WMG4" s="345"/>
      <c r="WMH4" s="345"/>
      <c r="WMI4" s="345"/>
      <c r="WMJ4" s="345"/>
      <c r="WMK4" s="345"/>
      <c r="WML4" s="345"/>
      <c r="WMM4" s="345"/>
      <c r="WMN4" s="345"/>
      <c r="WMO4" s="345"/>
      <c r="WMP4" s="345"/>
      <c r="WMQ4" s="345"/>
      <c r="WMR4" s="345"/>
      <c r="WMS4" s="345"/>
      <c r="WMT4" s="345"/>
      <c r="WMU4" s="345"/>
      <c r="WMV4" s="345"/>
      <c r="WMW4" s="345"/>
      <c r="WMX4" s="345"/>
      <c r="WMY4" s="345"/>
      <c r="WMZ4" s="345"/>
      <c r="WNA4" s="345"/>
      <c r="WNB4" s="345"/>
      <c r="WNC4" s="345"/>
      <c r="WND4" s="345"/>
      <c r="WNE4" s="345"/>
      <c r="WNF4" s="345"/>
      <c r="WNG4" s="345"/>
      <c r="WNH4" s="345"/>
      <c r="WNI4" s="345"/>
      <c r="WNJ4" s="345"/>
      <c r="WNK4" s="345"/>
      <c r="WNL4" s="345"/>
      <c r="WNM4" s="345"/>
      <c r="WNN4" s="345"/>
      <c r="WNO4" s="345"/>
      <c r="WNP4" s="345"/>
      <c r="WNQ4" s="345"/>
      <c r="WNR4" s="345"/>
      <c r="WNS4" s="345"/>
      <c r="WNT4" s="345"/>
      <c r="WNU4" s="345"/>
      <c r="WNV4" s="345"/>
      <c r="WNW4" s="345"/>
      <c r="WNX4" s="345"/>
      <c r="WNY4" s="345"/>
      <c r="WNZ4" s="345"/>
      <c r="WOA4" s="345"/>
      <c r="WOB4" s="345"/>
      <c r="WOC4" s="345"/>
      <c r="WOD4" s="345"/>
      <c r="WOE4" s="345"/>
      <c r="WOF4" s="345"/>
      <c r="WOG4" s="345"/>
      <c r="WOH4" s="345"/>
      <c r="WOI4" s="345"/>
      <c r="WOJ4" s="345"/>
      <c r="WOK4" s="345"/>
      <c r="WOL4" s="345"/>
      <c r="WOM4" s="345"/>
      <c r="WON4" s="345"/>
      <c r="WOO4" s="345"/>
      <c r="WOP4" s="345"/>
      <c r="WOQ4" s="345"/>
      <c r="WOR4" s="345"/>
      <c r="WOS4" s="345"/>
      <c r="WOT4" s="345"/>
      <c r="WOU4" s="345"/>
      <c r="WOV4" s="345"/>
      <c r="WOW4" s="345"/>
      <c r="WOX4" s="345"/>
      <c r="WOY4" s="345"/>
      <c r="WOZ4" s="345"/>
      <c r="WPA4" s="345"/>
      <c r="WPB4" s="345"/>
      <c r="WPC4" s="345"/>
      <c r="WPD4" s="345"/>
      <c r="WPE4" s="345"/>
      <c r="WPF4" s="345"/>
      <c r="WPG4" s="345"/>
      <c r="WPH4" s="345"/>
      <c r="WPI4" s="345"/>
      <c r="WPJ4" s="345"/>
      <c r="WPK4" s="345"/>
      <c r="WPL4" s="345"/>
      <c r="WPM4" s="345"/>
      <c r="WPN4" s="345"/>
      <c r="WPO4" s="345"/>
      <c r="WPP4" s="345"/>
      <c r="WPQ4" s="345"/>
      <c r="WPR4" s="345"/>
      <c r="WPS4" s="345"/>
      <c r="WPT4" s="345"/>
      <c r="WPU4" s="345"/>
      <c r="WPV4" s="345"/>
    </row>
    <row r="5" spans="1:15986" ht="27" hidden="1" customHeight="1">
      <c r="A5" s="332">
        <v>1</v>
      </c>
      <c r="B5" s="333" t="s">
        <v>1701</v>
      </c>
      <c r="C5" s="332" t="s">
        <v>1052</v>
      </c>
      <c r="D5" s="334">
        <v>1</v>
      </c>
      <c r="E5" s="332">
        <f>SUM(K5:RH5)</f>
        <v>1</v>
      </c>
      <c r="F5" s="333">
        <f>D5-E5</f>
        <v>0</v>
      </c>
      <c r="G5" s="335">
        <v>6</v>
      </c>
      <c r="H5" s="333" t="s">
        <v>525</v>
      </c>
      <c r="I5" s="336">
        <v>44489</v>
      </c>
      <c r="J5" s="336">
        <f>I5+5</f>
        <v>44494</v>
      </c>
      <c r="K5" s="328">
        <v>1</v>
      </c>
      <c r="L5" s="328"/>
      <c r="M5" s="328"/>
      <c r="N5" s="328"/>
      <c r="O5" s="328"/>
      <c r="P5" s="328"/>
      <c r="Q5" s="328"/>
      <c r="R5" s="328"/>
      <c r="S5" s="328"/>
      <c r="T5" s="328"/>
      <c r="CI5" s="343">
        <f>SUM(BV5:CH5)</f>
        <v>0</v>
      </c>
    </row>
    <row r="6" spans="1:15986" ht="27" hidden="1" customHeight="1">
      <c r="A6" s="337">
        <v>2</v>
      </c>
      <c r="B6" s="338" t="s">
        <v>1701</v>
      </c>
      <c r="C6" s="337" t="s">
        <v>1189</v>
      </c>
      <c r="D6" s="339">
        <v>1</v>
      </c>
      <c r="E6" s="337">
        <f t="shared" ref="E6:E30" si="0">SUM(K6:RH6)</f>
        <v>1</v>
      </c>
      <c r="F6" s="338">
        <f t="shared" ref="F6:F30" si="1">D6-E6</f>
        <v>0</v>
      </c>
      <c r="G6" s="340">
        <v>6</v>
      </c>
      <c r="H6" s="338" t="s">
        <v>525</v>
      </c>
      <c r="I6" s="341">
        <v>44489</v>
      </c>
      <c r="J6" s="341">
        <f t="shared" ref="J6:J31" si="2">I6+5</f>
        <v>44494</v>
      </c>
      <c r="K6" s="328">
        <v>1</v>
      </c>
      <c r="L6" s="328"/>
      <c r="M6" s="328"/>
      <c r="N6" s="328"/>
      <c r="O6" s="328"/>
      <c r="P6" s="328"/>
      <c r="Q6" s="328"/>
      <c r="R6" s="328"/>
      <c r="S6" s="328"/>
      <c r="T6" s="328"/>
      <c r="CI6" s="343">
        <f t="shared" ref="CI6:CI69" si="3">SUM(BV6:CH6)</f>
        <v>0</v>
      </c>
    </row>
    <row r="7" spans="1:15986" ht="27" hidden="1" customHeight="1">
      <c r="A7" s="332">
        <v>3</v>
      </c>
      <c r="B7" s="338" t="s">
        <v>1701</v>
      </c>
      <c r="C7" s="337" t="s">
        <v>1051</v>
      </c>
      <c r="D7" s="339">
        <v>1</v>
      </c>
      <c r="E7" s="337">
        <f t="shared" si="0"/>
        <v>1</v>
      </c>
      <c r="F7" s="338">
        <f t="shared" si="1"/>
        <v>0</v>
      </c>
      <c r="G7" s="340">
        <v>6</v>
      </c>
      <c r="H7" s="338" t="s">
        <v>525</v>
      </c>
      <c r="I7" s="341">
        <v>44489</v>
      </c>
      <c r="J7" s="341">
        <f t="shared" si="2"/>
        <v>44494</v>
      </c>
      <c r="K7" s="328">
        <v>1</v>
      </c>
      <c r="L7" s="328"/>
      <c r="M7" s="328"/>
      <c r="N7" s="328"/>
      <c r="O7" s="328"/>
      <c r="P7" s="328"/>
      <c r="Q7" s="328"/>
      <c r="R7" s="328"/>
      <c r="S7" s="328"/>
      <c r="T7" s="328"/>
      <c r="CI7" s="343">
        <f t="shared" si="3"/>
        <v>0</v>
      </c>
    </row>
    <row r="8" spans="1:15986" ht="27" hidden="1" customHeight="1">
      <c r="A8" s="337">
        <v>4</v>
      </c>
      <c r="B8" s="338" t="s">
        <v>2055</v>
      </c>
      <c r="C8" s="337" t="s">
        <v>1092</v>
      </c>
      <c r="D8" s="339">
        <v>1</v>
      </c>
      <c r="E8" s="337">
        <f t="shared" si="0"/>
        <v>1</v>
      </c>
      <c r="F8" s="338">
        <f t="shared" si="1"/>
        <v>0</v>
      </c>
      <c r="G8" s="340">
        <v>3</v>
      </c>
      <c r="H8" s="338" t="s">
        <v>525</v>
      </c>
      <c r="I8" s="341">
        <v>44489</v>
      </c>
      <c r="J8" s="341">
        <f t="shared" si="2"/>
        <v>44494</v>
      </c>
      <c r="K8" s="328"/>
      <c r="L8" s="328"/>
      <c r="M8" s="328"/>
      <c r="N8" s="328"/>
      <c r="O8" s="328"/>
      <c r="P8" s="328"/>
      <c r="Q8" s="328"/>
      <c r="R8" s="328"/>
      <c r="S8" s="328">
        <v>1</v>
      </c>
      <c r="T8" s="328"/>
      <c r="CI8" s="343">
        <f t="shared" si="3"/>
        <v>0</v>
      </c>
    </row>
    <row r="9" spans="1:15986" ht="27" hidden="1" customHeight="1">
      <c r="A9" s="332">
        <v>5</v>
      </c>
      <c r="B9" s="338" t="s">
        <v>2106</v>
      </c>
      <c r="C9" s="337" t="s">
        <v>1821</v>
      </c>
      <c r="D9" s="339">
        <v>1</v>
      </c>
      <c r="E9" s="337">
        <f t="shared" si="0"/>
        <v>1</v>
      </c>
      <c r="F9" s="338">
        <f t="shared" si="1"/>
        <v>0</v>
      </c>
      <c r="G9" s="340">
        <v>4</v>
      </c>
      <c r="H9" s="338" t="s">
        <v>525</v>
      </c>
      <c r="I9" s="341">
        <v>44499</v>
      </c>
      <c r="J9" s="341">
        <f t="shared" si="2"/>
        <v>44504</v>
      </c>
      <c r="K9" s="328"/>
      <c r="L9" s="328">
        <v>1</v>
      </c>
      <c r="M9" s="328"/>
      <c r="N9" s="328"/>
      <c r="O9" s="328"/>
      <c r="P9" s="328"/>
      <c r="Q9" s="328"/>
      <c r="R9" s="328"/>
      <c r="S9" s="328"/>
      <c r="T9" s="328"/>
      <c r="CI9" s="343">
        <f t="shared" si="3"/>
        <v>0</v>
      </c>
    </row>
    <row r="10" spans="1:15986" ht="27" hidden="1" customHeight="1">
      <c r="A10" s="337">
        <v>6</v>
      </c>
      <c r="B10" s="338" t="s">
        <v>2106</v>
      </c>
      <c r="C10" s="337" t="s">
        <v>2107</v>
      </c>
      <c r="D10" s="339">
        <v>1</v>
      </c>
      <c r="E10" s="337">
        <f t="shared" si="0"/>
        <v>1</v>
      </c>
      <c r="F10" s="338">
        <f t="shared" si="1"/>
        <v>0</v>
      </c>
      <c r="G10" s="340">
        <v>4</v>
      </c>
      <c r="H10" s="338" t="s">
        <v>525</v>
      </c>
      <c r="I10" s="341">
        <v>44499</v>
      </c>
      <c r="J10" s="341">
        <f t="shared" si="2"/>
        <v>44504</v>
      </c>
      <c r="K10" s="328"/>
      <c r="L10" s="328">
        <v>1</v>
      </c>
      <c r="M10" s="328"/>
      <c r="N10" s="328"/>
      <c r="O10" s="328"/>
      <c r="P10" s="328"/>
      <c r="Q10" s="328"/>
      <c r="R10" s="328"/>
      <c r="S10" s="328"/>
      <c r="T10" s="328"/>
      <c r="CI10" s="343">
        <f t="shared" si="3"/>
        <v>0</v>
      </c>
    </row>
    <row r="11" spans="1:15986" ht="27" hidden="1" customHeight="1">
      <c r="A11" s="332">
        <v>7</v>
      </c>
      <c r="B11" s="338" t="s">
        <v>2106</v>
      </c>
      <c r="C11" s="337" t="s">
        <v>625</v>
      </c>
      <c r="D11" s="339">
        <v>3</v>
      </c>
      <c r="E11" s="337">
        <f t="shared" si="0"/>
        <v>3</v>
      </c>
      <c r="F11" s="338">
        <f t="shared" si="1"/>
        <v>0</v>
      </c>
      <c r="G11" s="340">
        <v>4</v>
      </c>
      <c r="H11" s="338" t="s">
        <v>525</v>
      </c>
      <c r="I11" s="341">
        <v>44499</v>
      </c>
      <c r="J11" s="341">
        <f t="shared" si="2"/>
        <v>44504</v>
      </c>
      <c r="K11" s="328"/>
      <c r="L11" s="328"/>
      <c r="M11" s="328"/>
      <c r="N11" s="328"/>
      <c r="O11" s="328"/>
      <c r="P11" s="328"/>
      <c r="Q11" s="328"/>
      <c r="R11" s="328"/>
      <c r="S11" s="328"/>
      <c r="T11" s="328"/>
      <c r="U11" s="343">
        <v>3</v>
      </c>
      <c r="CI11" s="343">
        <f t="shared" si="3"/>
        <v>0</v>
      </c>
    </row>
    <row r="12" spans="1:15986" ht="27" hidden="1" customHeight="1">
      <c r="A12" s="337">
        <v>8</v>
      </c>
      <c r="B12" s="338" t="s">
        <v>1287</v>
      </c>
      <c r="C12" s="337" t="s">
        <v>2108</v>
      </c>
      <c r="D12" s="339">
        <v>1</v>
      </c>
      <c r="E12" s="337">
        <f t="shared" si="0"/>
        <v>1</v>
      </c>
      <c r="F12" s="338">
        <f t="shared" si="1"/>
        <v>0</v>
      </c>
      <c r="G12" s="340">
        <v>4</v>
      </c>
      <c r="H12" s="338" t="s">
        <v>525</v>
      </c>
      <c r="I12" s="341">
        <v>44499</v>
      </c>
      <c r="J12" s="341">
        <f t="shared" si="2"/>
        <v>44504</v>
      </c>
      <c r="K12" s="328"/>
      <c r="L12" s="328">
        <v>1</v>
      </c>
      <c r="M12" s="328"/>
      <c r="N12" s="328"/>
      <c r="O12" s="328"/>
      <c r="P12" s="328"/>
      <c r="Q12" s="328"/>
      <c r="R12" s="328"/>
      <c r="S12" s="328"/>
      <c r="T12" s="328"/>
      <c r="CI12" s="343">
        <f t="shared" si="3"/>
        <v>0</v>
      </c>
    </row>
    <row r="13" spans="1:15986" ht="27" hidden="1" customHeight="1">
      <c r="A13" s="332">
        <v>9</v>
      </c>
      <c r="B13" s="338" t="s">
        <v>1248</v>
      </c>
      <c r="C13" s="337" t="s">
        <v>1192</v>
      </c>
      <c r="D13" s="339">
        <v>1</v>
      </c>
      <c r="E13" s="337">
        <f t="shared" si="0"/>
        <v>1</v>
      </c>
      <c r="F13" s="338">
        <f t="shared" si="1"/>
        <v>0</v>
      </c>
      <c r="G13" s="340">
        <v>6</v>
      </c>
      <c r="H13" s="338" t="s">
        <v>525</v>
      </c>
      <c r="I13" s="341">
        <v>44509</v>
      </c>
      <c r="J13" s="341">
        <f t="shared" si="2"/>
        <v>44514</v>
      </c>
      <c r="K13" s="328">
        <v>1</v>
      </c>
      <c r="L13" s="328"/>
      <c r="M13" s="328"/>
      <c r="N13" s="328"/>
      <c r="O13" s="328"/>
      <c r="P13" s="328"/>
      <c r="Q13" s="328"/>
      <c r="R13" s="328"/>
      <c r="S13" s="328"/>
      <c r="T13" s="328"/>
      <c r="CI13" s="343">
        <f t="shared" si="3"/>
        <v>0</v>
      </c>
    </row>
    <row r="14" spans="1:15986" ht="27" hidden="1" customHeight="1">
      <c r="A14" s="337">
        <v>10</v>
      </c>
      <c r="B14" s="338" t="s">
        <v>1806</v>
      </c>
      <c r="C14" s="337" t="s">
        <v>47</v>
      </c>
      <c r="D14" s="339">
        <v>1</v>
      </c>
      <c r="E14" s="337">
        <f t="shared" si="0"/>
        <v>1</v>
      </c>
      <c r="F14" s="338">
        <f t="shared" si="1"/>
        <v>0</v>
      </c>
      <c r="G14" s="340">
        <v>3</v>
      </c>
      <c r="H14" s="338" t="s">
        <v>525</v>
      </c>
      <c r="I14" s="341">
        <v>44509</v>
      </c>
      <c r="J14" s="341">
        <f t="shared" si="2"/>
        <v>44514</v>
      </c>
      <c r="K14" s="328"/>
      <c r="L14" s="328"/>
      <c r="M14" s="328"/>
      <c r="N14" s="328"/>
      <c r="O14" s="328"/>
      <c r="P14" s="328"/>
      <c r="Q14" s="328"/>
      <c r="R14" s="328"/>
      <c r="S14" s="328">
        <v>1</v>
      </c>
      <c r="T14" s="328"/>
      <c r="CI14" s="343">
        <f t="shared" si="3"/>
        <v>0</v>
      </c>
    </row>
    <row r="15" spans="1:15986" ht="27" hidden="1" customHeight="1">
      <c r="A15" s="332">
        <v>11</v>
      </c>
      <c r="B15" s="338" t="s">
        <v>1712</v>
      </c>
      <c r="C15" s="337" t="s">
        <v>1547</v>
      </c>
      <c r="D15" s="339">
        <v>2</v>
      </c>
      <c r="E15" s="337">
        <f t="shared" si="0"/>
        <v>2</v>
      </c>
      <c r="F15" s="338">
        <f t="shared" si="1"/>
        <v>0</v>
      </c>
      <c r="G15" s="340">
        <v>3</v>
      </c>
      <c r="H15" s="338" t="s">
        <v>525</v>
      </c>
      <c r="I15" s="341">
        <v>44509</v>
      </c>
      <c r="J15" s="341">
        <f t="shared" si="2"/>
        <v>44514</v>
      </c>
      <c r="K15" s="328">
        <v>2</v>
      </c>
      <c r="L15" s="328"/>
      <c r="M15" s="328"/>
      <c r="N15" s="328"/>
      <c r="O15" s="328"/>
      <c r="P15" s="328"/>
      <c r="Q15" s="328"/>
      <c r="R15" s="328"/>
      <c r="S15" s="328"/>
      <c r="T15" s="328"/>
      <c r="CI15" s="343">
        <f t="shared" si="3"/>
        <v>0</v>
      </c>
    </row>
    <row r="16" spans="1:15986" ht="27" hidden="1" customHeight="1">
      <c r="A16" s="337">
        <v>12</v>
      </c>
      <c r="B16" s="338" t="s">
        <v>1955</v>
      </c>
      <c r="C16" s="337" t="s">
        <v>1412</v>
      </c>
      <c r="D16" s="339">
        <v>1</v>
      </c>
      <c r="E16" s="337">
        <f t="shared" si="0"/>
        <v>1</v>
      </c>
      <c r="F16" s="338">
        <f t="shared" si="1"/>
        <v>0</v>
      </c>
      <c r="G16" s="340">
        <v>3</v>
      </c>
      <c r="H16" s="338" t="s">
        <v>525</v>
      </c>
      <c r="I16" s="341">
        <v>44509</v>
      </c>
      <c r="J16" s="341">
        <f t="shared" si="2"/>
        <v>44514</v>
      </c>
      <c r="K16" s="328"/>
      <c r="L16" s="328"/>
      <c r="M16" s="328">
        <v>1</v>
      </c>
      <c r="N16" s="328"/>
      <c r="O16" s="328"/>
      <c r="P16" s="328"/>
      <c r="Q16" s="328"/>
      <c r="R16" s="328"/>
      <c r="S16" s="328"/>
      <c r="T16" s="328"/>
      <c r="CI16" s="343">
        <f t="shared" si="3"/>
        <v>0</v>
      </c>
    </row>
    <row r="17" spans="1:87" ht="27" hidden="1" customHeight="1">
      <c r="A17" s="332">
        <v>13</v>
      </c>
      <c r="B17" s="338" t="s">
        <v>1432</v>
      </c>
      <c r="C17" s="337" t="s">
        <v>319</v>
      </c>
      <c r="D17" s="339">
        <v>2</v>
      </c>
      <c r="E17" s="337">
        <f t="shared" si="0"/>
        <v>2</v>
      </c>
      <c r="F17" s="338">
        <f t="shared" si="1"/>
        <v>0</v>
      </c>
      <c r="G17" s="340">
        <v>3</v>
      </c>
      <c r="H17" s="338" t="s">
        <v>525</v>
      </c>
      <c r="I17" s="341">
        <v>44509</v>
      </c>
      <c r="J17" s="341">
        <f t="shared" si="2"/>
        <v>44514</v>
      </c>
      <c r="K17" s="328">
        <v>2</v>
      </c>
      <c r="L17" s="328"/>
      <c r="M17" s="328"/>
      <c r="N17" s="328"/>
      <c r="O17" s="328"/>
      <c r="P17" s="328"/>
      <c r="Q17" s="328"/>
      <c r="R17" s="328"/>
      <c r="S17" s="328"/>
      <c r="T17" s="328"/>
      <c r="CI17" s="343">
        <f t="shared" si="3"/>
        <v>0</v>
      </c>
    </row>
    <row r="18" spans="1:87" ht="27" hidden="1" customHeight="1">
      <c r="A18" s="337">
        <v>14</v>
      </c>
      <c r="B18" s="338" t="s">
        <v>2146</v>
      </c>
      <c r="C18" s="337" t="s">
        <v>322</v>
      </c>
      <c r="D18" s="339">
        <v>1</v>
      </c>
      <c r="E18" s="337">
        <f t="shared" si="0"/>
        <v>1</v>
      </c>
      <c r="F18" s="338">
        <f t="shared" si="1"/>
        <v>0</v>
      </c>
      <c r="G18" s="340">
        <v>3</v>
      </c>
      <c r="H18" s="338" t="s">
        <v>525</v>
      </c>
      <c r="I18" s="341">
        <v>44509</v>
      </c>
      <c r="J18" s="341">
        <f t="shared" si="2"/>
        <v>44514</v>
      </c>
      <c r="K18" s="328">
        <v>1</v>
      </c>
      <c r="L18" s="328"/>
      <c r="M18" s="328"/>
      <c r="N18" s="328"/>
      <c r="O18" s="328"/>
      <c r="P18" s="328"/>
      <c r="Q18" s="328"/>
      <c r="R18" s="328"/>
      <c r="S18" s="328"/>
      <c r="T18" s="328"/>
      <c r="CI18" s="343">
        <f t="shared" si="3"/>
        <v>0</v>
      </c>
    </row>
    <row r="19" spans="1:87" ht="27" hidden="1" customHeight="1">
      <c r="A19" s="332">
        <v>15</v>
      </c>
      <c r="B19" s="338" t="s">
        <v>1875</v>
      </c>
      <c r="C19" s="337" t="s">
        <v>25</v>
      </c>
      <c r="D19" s="339">
        <v>1</v>
      </c>
      <c r="E19" s="337">
        <f t="shared" si="0"/>
        <v>1</v>
      </c>
      <c r="F19" s="338">
        <f t="shared" si="1"/>
        <v>0</v>
      </c>
      <c r="G19" s="340">
        <v>4</v>
      </c>
      <c r="H19" s="338" t="s">
        <v>525</v>
      </c>
      <c r="I19" s="341">
        <v>44518</v>
      </c>
      <c r="J19" s="341">
        <f t="shared" si="2"/>
        <v>44523</v>
      </c>
      <c r="K19" s="328">
        <v>1</v>
      </c>
      <c r="L19" s="328"/>
      <c r="M19" s="328"/>
      <c r="N19" s="328"/>
      <c r="O19" s="328"/>
      <c r="P19" s="328"/>
      <c r="Q19" s="328"/>
      <c r="R19" s="328"/>
      <c r="S19" s="328"/>
      <c r="T19" s="328"/>
      <c r="CI19" s="343">
        <f t="shared" si="3"/>
        <v>0</v>
      </c>
    </row>
    <row r="20" spans="1:87" ht="27" hidden="1" customHeight="1">
      <c r="A20" s="337">
        <v>16</v>
      </c>
      <c r="B20" s="338" t="s">
        <v>1272</v>
      </c>
      <c r="C20" s="337" t="s">
        <v>2107</v>
      </c>
      <c r="D20" s="339">
        <v>2</v>
      </c>
      <c r="E20" s="337">
        <f t="shared" si="0"/>
        <v>2</v>
      </c>
      <c r="F20" s="338">
        <f t="shared" si="1"/>
        <v>0</v>
      </c>
      <c r="G20" s="340">
        <v>4</v>
      </c>
      <c r="H20" s="338" t="s">
        <v>525</v>
      </c>
      <c r="I20" s="341">
        <v>44518</v>
      </c>
      <c r="J20" s="341">
        <f t="shared" si="2"/>
        <v>44523</v>
      </c>
      <c r="K20" s="328"/>
      <c r="L20" s="328">
        <v>1</v>
      </c>
      <c r="M20" s="328"/>
      <c r="N20" s="328"/>
      <c r="O20" s="328"/>
      <c r="P20" s="328">
        <v>1</v>
      </c>
      <c r="Q20" s="328"/>
      <c r="R20" s="328"/>
      <c r="S20" s="328"/>
      <c r="T20" s="328"/>
      <c r="CI20" s="343">
        <f t="shared" si="3"/>
        <v>0</v>
      </c>
    </row>
    <row r="21" spans="1:87" ht="27" hidden="1" customHeight="1">
      <c r="A21" s="332">
        <v>17</v>
      </c>
      <c r="B21" s="338" t="s">
        <v>2162</v>
      </c>
      <c r="C21" s="337" t="s">
        <v>572</v>
      </c>
      <c r="D21" s="339">
        <v>1</v>
      </c>
      <c r="E21" s="337">
        <f t="shared" si="0"/>
        <v>1</v>
      </c>
      <c r="F21" s="338">
        <f t="shared" si="1"/>
        <v>0</v>
      </c>
      <c r="G21" s="340">
        <v>4</v>
      </c>
      <c r="H21" s="338" t="s">
        <v>525</v>
      </c>
      <c r="I21" s="341">
        <v>44518</v>
      </c>
      <c r="J21" s="341">
        <f t="shared" si="2"/>
        <v>44523</v>
      </c>
      <c r="K21" s="328">
        <v>1</v>
      </c>
      <c r="L21" s="328"/>
      <c r="M21" s="328"/>
      <c r="N21" s="328"/>
      <c r="O21" s="328"/>
      <c r="P21" s="328"/>
      <c r="Q21" s="328"/>
      <c r="R21" s="328"/>
      <c r="S21" s="328"/>
      <c r="T21" s="328"/>
      <c r="CI21" s="343">
        <f t="shared" si="3"/>
        <v>0</v>
      </c>
    </row>
    <row r="22" spans="1:87" ht="27" hidden="1" customHeight="1">
      <c r="A22" s="337">
        <v>18</v>
      </c>
      <c r="B22" s="338" t="s">
        <v>1228</v>
      </c>
      <c r="C22" s="337" t="s">
        <v>823</v>
      </c>
      <c r="D22" s="339">
        <v>1</v>
      </c>
      <c r="E22" s="337">
        <f t="shared" si="0"/>
        <v>1</v>
      </c>
      <c r="F22" s="338">
        <f t="shared" si="1"/>
        <v>0</v>
      </c>
      <c r="G22" s="340">
        <v>4</v>
      </c>
      <c r="H22" s="338" t="s">
        <v>525</v>
      </c>
      <c r="I22" s="341">
        <v>44518</v>
      </c>
      <c r="J22" s="341">
        <f t="shared" si="2"/>
        <v>44523</v>
      </c>
      <c r="K22" s="328">
        <v>1</v>
      </c>
      <c r="L22" s="328"/>
      <c r="M22" s="328"/>
      <c r="N22" s="328"/>
      <c r="O22" s="328"/>
      <c r="P22" s="328"/>
      <c r="Q22" s="328"/>
      <c r="R22" s="328"/>
      <c r="S22" s="328"/>
      <c r="T22" s="328"/>
      <c r="CI22" s="343">
        <f t="shared" si="3"/>
        <v>0</v>
      </c>
    </row>
    <row r="23" spans="1:87" ht="27" hidden="1" customHeight="1">
      <c r="A23" s="332">
        <v>19</v>
      </c>
      <c r="B23" s="338" t="s">
        <v>1252</v>
      </c>
      <c r="C23" s="337" t="s">
        <v>625</v>
      </c>
      <c r="D23" s="339">
        <v>3</v>
      </c>
      <c r="E23" s="337">
        <f t="shared" si="0"/>
        <v>3</v>
      </c>
      <c r="F23" s="338">
        <f t="shared" si="1"/>
        <v>0</v>
      </c>
      <c r="G23" s="340">
        <v>4</v>
      </c>
      <c r="H23" s="338" t="s">
        <v>525</v>
      </c>
      <c r="I23" s="341">
        <v>44518</v>
      </c>
      <c r="J23" s="341">
        <f t="shared" si="2"/>
        <v>44523</v>
      </c>
      <c r="K23" s="328"/>
      <c r="L23" s="328"/>
      <c r="M23" s="328"/>
      <c r="N23" s="328"/>
      <c r="O23" s="328"/>
      <c r="P23" s="328"/>
      <c r="Q23" s="328"/>
      <c r="R23" s="328"/>
      <c r="S23" s="328"/>
      <c r="T23" s="328"/>
      <c r="U23" s="343">
        <v>3</v>
      </c>
      <c r="CI23" s="343">
        <f t="shared" si="3"/>
        <v>0</v>
      </c>
    </row>
    <row r="24" spans="1:87" ht="27" hidden="1" customHeight="1">
      <c r="A24" s="337">
        <v>20</v>
      </c>
      <c r="B24" s="338" t="s">
        <v>1955</v>
      </c>
      <c r="C24" s="337" t="s">
        <v>649</v>
      </c>
      <c r="D24" s="339">
        <v>1</v>
      </c>
      <c r="E24" s="337">
        <f t="shared" si="0"/>
        <v>1</v>
      </c>
      <c r="F24" s="338">
        <f t="shared" si="1"/>
        <v>0</v>
      </c>
      <c r="G24" s="340">
        <v>2</v>
      </c>
      <c r="H24" s="338" t="s">
        <v>525</v>
      </c>
      <c r="I24" s="341">
        <v>44518</v>
      </c>
      <c r="J24" s="341">
        <f t="shared" si="2"/>
        <v>44523</v>
      </c>
      <c r="K24" s="328"/>
      <c r="L24" s="328"/>
      <c r="M24" s="328"/>
      <c r="N24" s="328"/>
      <c r="O24" s="328"/>
      <c r="P24" s="328"/>
      <c r="Q24" s="328"/>
      <c r="R24" s="328"/>
      <c r="S24" s="328">
        <v>1</v>
      </c>
      <c r="T24" s="328"/>
      <c r="CI24" s="343">
        <f t="shared" si="3"/>
        <v>0</v>
      </c>
    </row>
    <row r="25" spans="1:87" ht="27" hidden="1" customHeight="1">
      <c r="A25" s="332">
        <v>21</v>
      </c>
      <c r="B25" s="338" t="s">
        <v>1995</v>
      </c>
      <c r="C25" s="337" t="s">
        <v>1904</v>
      </c>
      <c r="D25" s="339">
        <v>1</v>
      </c>
      <c r="E25" s="337">
        <f t="shared" si="0"/>
        <v>1</v>
      </c>
      <c r="F25" s="338">
        <f t="shared" si="1"/>
        <v>0</v>
      </c>
      <c r="G25" s="340">
        <v>6</v>
      </c>
      <c r="H25" s="338" t="s">
        <v>525</v>
      </c>
      <c r="I25" s="341">
        <v>44518</v>
      </c>
      <c r="J25" s="341">
        <f t="shared" si="2"/>
        <v>44523</v>
      </c>
      <c r="K25" s="328">
        <v>1</v>
      </c>
      <c r="L25" s="328"/>
      <c r="M25" s="328"/>
      <c r="N25" s="328"/>
      <c r="O25" s="328"/>
      <c r="P25" s="328"/>
      <c r="Q25" s="328"/>
      <c r="R25" s="328"/>
      <c r="S25" s="328"/>
      <c r="T25" s="328"/>
      <c r="CI25" s="343">
        <f t="shared" si="3"/>
        <v>0</v>
      </c>
    </row>
    <row r="26" spans="1:87" ht="27" hidden="1" customHeight="1">
      <c r="A26" s="337">
        <v>22</v>
      </c>
      <c r="B26" s="338" t="s">
        <v>1246</v>
      </c>
      <c r="C26" s="337" t="s">
        <v>2002</v>
      </c>
      <c r="D26" s="339">
        <v>6</v>
      </c>
      <c r="E26" s="337">
        <f t="shared" si="0"/>
        <v>6</v>
      </c>
      <c r="F26" s="338">
        <f t="shared" si="1"/>
        <v>0</v>
      </c>
      <c r="G26" s="340">
        <v>6</v>
      </c>
      <c r="H26" s="338" t="s">
        <v>525</v>
      </c>
      <c r="I26" s="341">
        <v>44518</v>
      </c>
      <c r="J26" s="341">
        <f t="shared" si="2"/>
        <v>44523</v>
      </c>
      <c r="K26" s="328"/>
      <c r="L26" s="328"/>
      <c r="M26" s="328"/>
      <c r="N26" s="328"/>
      <c r="O26" s="328"/>
      <c r="P26" s="328"/>
      <c r="Q26" s="328"/>
      <c r="R26" s="328"/>
      <c r="S26" s="328">
        <v>6</v>
      </c>
      <c r="T26" s="328"/>
      <c r="CI26" s="343">
        <f t="shared" si="3"/>
        <v>0</v>
      </c>
    </row>
    <row r="27" spans="1:87" ht="27" hidden="1" customHeight="1">
      <c r="A27" s="332">
        <v>23</v>
      </c>
      <c r="B27" s="338" t="s">
        <v>1224</v>
      </c>
      <c r="C27" s="337" t="s">
        <v>1052</v>
      </c>
      <c r="D27" s="339">
        <v>3</v>
      </c>
      <c r="E27" s="337">
        <f t="shared" si="0"/>
        <v>3</v>
      </c>
      <c r="F27" s="338">
        <f t="shared" si="1"/>
        <v>0</v>
      </c>
      <c r="G27" s="340">
        <v>6</v>
      </c>
      <c r="H27" s="338" t="s">
        <v>525</v>
      </c>
      <c r="I27" s="341">
        <v>44518</v>
      </c>
      <c r="J27" s="341">
        <f t="shared" si="2"/>
        <v>44523</v>
      </c>
      <c r="K27" s="328"/>
      <c r="L27" s="328"/>
      <c r="M27" s="328"/>
      <c r="N27" s="328"/>
      <c r="O27" s="328"/>
      <c r="P27" s="328"/>
      <c r="Q27" s="328"/>
      <c r="R27" s="328"/>
      <c r="S27" s="328">
        <v>3</v>
      </c>
      <c r="T27" s="328"/>
      <c r="CI27" s="343">
        <f t="shared" si="3"/>
        <v>0</v>
      </c>
    </row>
    <row r="28" spans="1:87" ht="27" hidden="1" customHeight="1">
      <c r="A28" s="337">
        <v>24</v>
      </c>
      <c r="B28" s="338" t="s">
        <v>2146</v>
      </c>
      <c r="C28" s="337" t="s">
        <v>1189</v>
      </c>
      <c r="D28" s="339">
        <v>4</v>
      </c>
      <c r="E28" s="337">
        <f t="shared" si="0"/>
        <v>4</v>
      </c>
      <c r="F28" s="338">
        <f t="shared" si="1"/>
        <v>0</v>
      </c>
      <c r="G28" s="340">
        <v>6</v>
      </c>
      <c r="H28" s="338" t="s">
        <v>525</v>
      </c>
      <c r="I28" s="341">
        <v>44518</v>
      </c>
      <c r="J28" s="341">
        <f t="shared" si="2"/>
        <v>44523</v>
      </c>
      <c r="K28" s="328">
        <v>4</v>
      </c>
      <c r="L28" s="328"/>
      <c r="M28" s="328"/>
      <c r="N28" s="328"/>
      <c r="O28" s="328"/>
      <c r="P28" s="328"/>
      <c r="Q28" s="328"/>
      <c r="R28" s="328"/>
      <c r="S28" s="328"/>
      <c r="T28" s="328"/>
      <c r="CI28" s="343">
        <f t="shared" si="3"/>
        <v>0</v>
      </c>
    </row>
    <row r="29" spans="1:87" ht="27" hidden="1" customHeight="1">
      <c r="A29" s="332">
        <v>25</v>
      </c>
      <c r="B29" s="338" t="s">
        <v>2055</v>
      </c>
      <c r="C29" s="337" t="s">
        <v>1096</v>
      </c>
      <c r="D29" s="339">
        <v>1</v>
      </c>
      <c r="E29" s="337">
        <f t="shared" si="0"/>
        <v>1</v>
      </c>
      <c r="F29" s="338">
        <f t="shared" si="1"/>
        <v>0</v>
      </c>
      <c r="G29" s="340">
        <v>6</v>
      </c>
      <c r="H29" s="338" t="s">
        <v>525</v>
      </c>
      <c r="I29" s="341">
        <v>44518</v>
      </c>
      <c r="J29" s="341">
        <f t="shared" si="2"/>
        <v>44523</v>
      </c>
      <c r="K29" s="328"/>
      <c r="L29" s="328"/>
      <c r="M29" s="328"/>
      <c r="N29" s="328"/>
      <c r="O29" s="328"/>
      <c r="P29" s="328"/>
      <c r="Q29" s="328"/>
      <c r="R29" s="328"/>
      <c r="S29" s="328">
        <v>1</v>
      </c>
      <c r="T29" s="328"/>
      <c r="CI29" s="343">
        <f t="shared" si="3"/>
        <v>0</v>
      </c>
    </row>
    <row r="30" spans="1:87" ht="27" hidden="1" customHeight="1">
      <c r="A30" s="337">
        <v>26</v>
      </c>
      <c r="B30" s="338" t="s">
        <v>1220</v>
      </c>
      <c r="C30" s="337" t="s">
        <v>1522</v>
      </c>
      <c r="D30" s="339">
        <v>2</v>
      </c>
      <c r="E30" s="337">
        <f t="shared" si="0"/>
        <v>2</v>
      </c>
      <c r="F30" s="338">
        <f t="shared" si="1"/>
        <v>0</v>
      </c>
      <c r="G30" s="340">
        <v>6</v>
      </c>
      <c r="H30" s="338" t="s">
        <v>525</v>
      </c>
      <c r="I30" s="341">
        <v>44518</v>
      </c>
      <c r="J30" s="341">
        <f t="shared" si="2"/>
        <v>44523</v>
      </c>
      <c r="K30" s="328"/>
      <c r="L30" s="328"/>
      <c r="M30" s="328"/>
      <c r="N30" s="328"/>
      <c r="O30" s="328"/>
      <c r="P30" s="328"/>
      <c r="Q30" s="328"/>
      <c r="R30" s="328"/>
      <c r="S30" s="328">
        <v>2</v>
      </c>
      <c r="T30" s="328"/>
      <c r="CI30" s="343">
        <f t="shared" si="3"/>
        <v>0</v>
      </c>
    </row>
    <row r="31" spans="1:87" ht="27" hidden="1" customHeight="1">
      <c r="A31" s="332">
        <v>27</v>
      </c>
      <c r="B31" s="338" t="s">
        <v>1713</v>
      </c>
      <c r="C31" s="337" t="s">
        <v>1548</v>
      </c>
      <c r="D31" s="339">
        <v>2</v>
      </c>
      <c r="E31" s="337">
        <f t="shared" ref="E31:E32" si="4">SUM(K31:RH31)</f>
        <v>2</v>
      </c>
      <c r="F31" s="338">
        <f t="shared" ref="F31" si="5">D31-E31</f>
        <v>0</v>
      </c>
      <c r="G31" s="342" t="s">
        <v>1776</v>
      </c>
      <c r="H31" s="338" t="s">
        <v>526</v>
      </c>
      <c r="I31" s="341">
        <v>44529</v>
      </c>
      <c r="J31" s="341">
        <f t="shared" si="2"/>
        <v>44534</v>
      </c>
      <c r="K31" s="328"/>
      <c r="L31" s="328"/>
      <c r="M31" s="328">
        <v>2</v>
      </c>
      <c r="N31" s="328"/>
      <c r="O31" s="328"/>
      <c r="P31" s="328"/>
      <c r="Q31" s="328"/>
      <c r="R31" s="328"/>
      <c r="S31" s="328"/>
      <c r="T31" s="328"/>
      <c r="CI31" s="343">
        <f t="shared" si="3"/>
        <v>0</v>
      </c>
    </row>
    <row r="32" spans="1:87" ht="27" hidden="1" customHeight="1">
      <c r="A32" s="337">
        <v>28</v>
      </c>
      <c r="B32" s="338" t="s">
        <v>1100</v>
      </c>
      <c r="C32" s="337" t="s">
        <v>2242</v>
      </c>
      <c r="D32" s="339">
        <v>1</v>
      </c>
      <c r="E32" s="337">
        <f t="shared" si="4"/>
        <v>1</v>
      </c>
      <c r="F32" s="338">
        <f>D32-E32</f>
        <v>0</v>
      </c>
      <c r="G32" s="342" t="s">
        <v>1776</v>
      </c>
      <c r="H32" s="338" t="s">
        <v>526</v>
      </c>
      <c r="I32" s="341">
        <v>44529</v>
      </c>
      <c r="J32" s="341">
        <f t="shared" ref="J32" si="6">I32+5</f>
        <v>44534</v>
      </c>
      <c r="K32" s="328"/>
      <c r="L32" s="328"/>
      <c r="M32" s="328">
        <v>1</v>
      </c>
      <c r="N32" s="328"/>
      <c r="O32" s="328"/>
      <c r="P32" s="328"/>
      <c r="Q32" s="328"/>
      <c r="R32" s="328"/>
      <c r="S32" s="328"/>
      <c r="T32" s="328"/>
      <c r="CI32" s="343">
        <f t="shared" si="3"/>
        <v>0</v>
      </c>
    </row>
    <row r="33" spans="1:87" ht="27" hidden="1" customHeight="1">
      <c r="A33" s="332">
        <v>29</v>
      </c>
      <c r="B33" s="338" t="s">
        <v>1224</v>
      </c>
      <c r="C33" s="338" t="s">
        <v>1051</v>
      </c>
      <c r="D33" s="339">
        <v>1</v>
      </c>
      <c r="E33" s="337">
        <f t="shared" ref="E33:E41" si="7">SUM(K33:RH33)</f>
        <v>1</v>
      </c>
      <c r="F33" s="338">
        <f t="shared" ref="F33:F41" si="8">D33-E33</f>
        <v>0</v>
      </c>
      <c r="G33" s="342">
        <v>6</v>
      </c>
      <c r="H33" s="338" t="s">
        <v>525</v>
      </c>
      <c r="I33" s="341">
        <v>44529</v>
      </c>
      <c r="J33" s="341">
        <f t="shared" ref="J33:J41" si="9">I33+5</f>
        <v>44534</v>
      </c>
      <c r="K33" s="328"/>
      <c r="L33" s="328"/>
      <c r="M33" s="328"/>
      <c r="N33" s="328"/>
      <c r="O33" s="328"/>
      <c r="P33" s="328"/>
      <c r="Q33" s="328"/>
      <c r="R33" s="328"/>
      <c r="S33" s="328">
        <v>1</v>
      </c>
      <c r="T33" s="328"/>
      <c r="CI33" s="343">
        <f t="shared" si="3"/>
        <v>0</v>
      </c>
    </row>
    <row r="34" spans="1:87" ht="27" hidden="1" customHeight="1">
      <c r="A34" s="337">
        <v>30</v>
      </c>
      <c r="B34" s="338" t="s">
        <v>1224</v>
      </c>
      <c r="C34" s="338" t="s">
        <v>1052</v>
      </c>
      <c r="D34" s="339">
        <v>1</v>
      </c>
      <c r="E34" s="337">
        <f t="shared" si="7"/>
        <v>1</v>
      </c>
      <c r="F34" s="338">
        <f t="shared" si="8"/>
        <v>0</v>
      </c>
      <c r="G34" s="342">
        <v>6</v>
      </c>
      <c r="H34" s="338" t="s">
        <v>525</v>
      </c>
      <c r="I34" s="341">
        <v>44529</v>
      </c>
      <c r="J34" s="341">
        <f t="shared" si="9"/>
        <v>44534</v>
      </c>
      <c r="K34" s="328"/>
      <c r="L34" s="328"/>
      <c r="M34" s="328"/>
      <c r="N34" s="328"/>
      <c r="O34" s="328"/>
      <c r="P34" s="328"/>
      <c r="Q34" s="328"/>
      <c r="R34" s="328"/>
      <c r="S34" s="328">
        <v>1</v>
      </c>
      <c r="T34" s="328"/>
      <c r="CI34" s="343">
        <f t="shared" si="3"/>
        <v>0</v>
      </c>
    </row>
    <row r="35" spans="1:87" ht="27" hidden="1" customHeight="1">
      <c r="A35" s="332">
        <v>31</v>
      </c>
      <c r="B35" s="338" t="s">
        <v>2146</v>
      </c>
      <c r="C35" s="338" t="s">
        <v>1189</v>
      </c>
      <c r="D35" s="339">
        <v>5</v>
      </c>
      <c r="E35" s="337">
        <f t="shared" si="7"/>
        <v>5</v>
      </c>
      <c r="F35" s="338">
        <f t="shared" si="8"/>
        <v>0</v>
      </c>
      <c r="G35" s="342">
        <v>6</v>
      </c>
      <c r="H35" s="338" t="s">
        <v>525</v>
      </c>
      <c r="I35" s="341">
        <v>44529</v>
      </c>
      <c r="J35" s="341">
        <f t="shared" si="9"/>
        <v>44534</v>
      </c>
      <c r="K35" s="328"/>
      <c r="L35" s="328"/>
      <c r="M35" s="328"/>
      <c r="N35" s="328"/>
      <c r="O35" s="328"/>
      <c r="P35" s="328"/>
      <c r="Q35" s="328"/>
      <c r="R35" s="328"/>
      <c r="S35" s="328"/>
      <c r="T35" s="328">
        <v>2</v>
      </c>
      <c r="AN35" s="343">
        <v>3</v>
      </c>
      <c r="CI35" s="343">
        <f t="shared" si="3"/>
        <v>0</v>
      </c>
    </row>
    <row r="36" spans="1:87" ht="27" hidden="1" customHeight="1">
      <c r="A36" s="337">
        <v>32</v>
      </c>
      <c r="B36" s="338" t="s">
        <v>1246</v>
      </c>
      <c r="C36" s="338" t="s">
        <v>2105</v>
      </c>
      <c r="D36" s="339">
        <v>3</v>
      </c>
      <c r="E36" s="337">
        <f t="shared" si="7"/>
        <v>3</v>
      </c>
      <c r="F36" s="338">
        <f t="shared" si="8"/>
        <v>0</v>
      </c>
      <c r="G36" s="342">
        <v>6</v>
      </c>
      <c r="H36" s="338" t="s">
        <v>525</v>
      </c>
      <c r="I36" s="341">
        <v>44529</v>
      </c>
      <c r="J36" s="341">
        <f t="shared" si="9"/>
        <v>44534</v>
      </c>
      <c r="K36" s="328"/>
      <c r="L36" s="328"/>
      <c r="M36" s="328"/>
      <c r="N36" s="328"/>
      <c r="O36" s="328"/>
      <c r="P36" s="328"/>
      <c r="Q36" s="328"/>
      <c r="R36" s="328"/>
      <c r="S36" s="328">
        <v>3</v>
      </c>
      <c r="T36" s="328"/>
      <c r="CI36" s="343">
        <f t="shared" si="3"/>
        <v>0</v>
      </c>
    </row>
    <row r="37" spans="1:87" ht="27" hidden="1" customHeight="1">
      <c r="A37" s="332">
        <v>33</v>
      </c>
      <c r="B37" s="338" t="s">
        <v>1246</v>
      </c>
      <c r="C37" s="338" t="s">
        <v>2002</v>
      </c>
      <c r="D37" s="339">
        <v>2</v>
      </c>
      <c r="E37" s="337">
        <f t="shared" si="7"/>
        <v>2</v>
      </c>
      <c r="F37" s="338">
        <f t="shared" si="8"/>
        <v>0</v>
      </c>
      <c r="G37" s="342">
        <v>6</v>
      </c>
      <c r="H37" s="338" t="s">
        <v>525</v>
      </c>
      <c r="I37" s="341">
        <v>44529</v>
      </c>
      <c r="J37" s="341">
        <f t="shared" si="9"/>
        <v>44534</v>
      </c>
      <c r="K37" s="328"/>
      <c r="L37" s="328"/>
      <c r="M37" s="328"/>
      <c r="N37" s="328"/>
      <c r="O37" s="328"/>
      <c r="P37" s="328"/>
      <c r="Q37" s="328"/>
      <c r="R37" s="328"/>
      <c r="S37" s="328">
        <v>2</v>
      </c>
      <c r="T37" s="328"/>
      <c r="CI37" s="343">
        <f t="shared" si="3"/>
        <v>0</v>
      </c>
    </row>
    <row r="38" spans="1:87" ht="27" hidden="1" customHeight="1">
      <c r="A38" s="337">
        <v>34</v>
      </c>
      <c r="B38" s="338" t="s">
        <v>2065</v>
      </c>
      <c r="C38" s="338" t="s">
        <v>1190</v>
      </c>
      <c r="D38" s="339">
        <v>1</v>
      </c>
      <c r="E38" s="337">
        <f t="shared" si="7"/>
        <v>1</v>
      </c>
      <c r="F38" s="338">
        <f t="shared" si="8"/>
        <v>0</v>
      </c>
      <c r="G38" s="342">
        <v>6</v>
      </c>
      <c r="H38" s="338" t="s">
        <v>525</v>
      </c>
      <c r="I38" s="341">
        <v>44529</v>
      </c>
      <c r="J38" s="341">
        <f t="shared" si="9"/>
        <v>44534</v>
      </c>
      <c r="K38" s="328"/>
      <c r="L38" s="328"/>
      <c r="M38" s="328"/>
      <c r="N38" s="328"/>
      <c r="O38" s="328"/>
      <c r="P38" s="328"/>
      <c r="Q38" s="328"/>
      <c r="R38" s="328"/>
      <c r="S38" s="328">
        <v>1</v>
      </c>
      <c r="T38" s="328"/>
      <c r="CI38" s="343">
        <f t="shared" si="3"/>
        <v>0</v>
      </c>
    </row>
    <row r="39" spans="1:87" ht="27" hidden="1" customHeight="1">
      <c r="A39" s="332">
        <v>35</v>
      </c>
      <c r="B39" s="338" t="s">
        <v>2065</v>
      </c>
      <c r="C39" s="338" t="s">
        <v>1191</v>
      </c>
      <c r="D39" s="339">
        <v>1</v>
      </c>
      <c r="E39" s="337">
        <f t="shared" si="7"/>
        <v>1</v>
      </c>
      <c r="F39" s="338">
        <f t="shared" si="8"/>
        <v>0</v>
      </c>
      <c r="G39" s="342">
        <v>6</v>
      </c>
      <c r="H39" s="338" t="s">
        <v>525</v>
      </c>
      <c r="I39" s="341">
        <v>44529</v>
      </c>
      <c r="J39" s="341">
        <f t="shared" si="9"/>
        <v>44534</v>
      </c>
      <c r="K39" s="328"/>
      <c r="L39" s="328"/>
      <c r="M39" s="328"/>
      <c r="N39" s="328"/>
      <c r="O39" s="328"/>
      <c r="P39" s="328"/>
      <c r="Q39" s="328"/>
      <c r="R39" s="328"/>
      <c r="S39" s="328">
        <v>1</v>
      </c>
      <c r="T39" s="328"/>
      <c r="CI39" s="343">
        <f t="shared" si="3"/>
        <v>0</v>
      </c>
    </row>
    <row r="40" spans="1:87" ht="27" hidden="1" customHeight="1">
      <c r="A40" s="337">
        <v>36</v>
      </c>
      <c r="B40" s="338" t="s">
        <v>2146</v>
      </c>
      <c r="C40" s="338" t="s">
        <v>1189</v>
      </c>
      <c r="D40" s="339">
        <v>1</v>
      </c>
      <c r="E40" s="337">
        <f t="shared" si="7"/>
        <v>1</v>
      </c>
      <c r="F40" s="338">
        <f t="shared" si="8"/>
        <v>0</v>
      </c>
      <c r="G40" s="342">
        <v>6</v>
      </c>
      <c r="H40" s="338" t="s">
        <v>525</v>
      </c>
      <c r="I40" s="341">
        <v>44529</v>
      </c>
      <c r="J40" s="341">
        <f t="shared" si="9"/>
        <v>44534</v>
      </c>
      <c r="K40" s="328"/>
      <c r="L40" s="328"/>
      <c r="M40" s="328"/>
      <c r="N40" s="328"/>
      <c r="O40" s="328"/>
      <c r="P40" s="328"/>
      <c r="Q40" s="328"/>
      <c r="R40" s="328"/>
      <c r="S40" s="328"/>
      <c r="T40" s="328">
        <v>1</v>
      </c>
      <c r="CI40" s="343">
        <f t="shared" si="3"/>
        <v>0</v>
      </c>
    </row>
    <row r="41" spans="1:87" ht="27" hidden="1" customHeight="1">
      <c r="A41" s="332">
        <v>37</v>
      </c>
      <c r="B41" s="338" t="s">
        <v>1995</v>
      </c>
      <c r="C41" s="338" t="s">
        <v>1924</v>
      </c>
      <c r="D41" s="339">
        <v>1</v>
      </c>
      <c r="E41" s="337">
        <f t="shared" si="7"/>
        <v>1</v>
      </c>
      <c r="F41" s="338">
        <f t="shared" si="8"/>
        <v>0</v>
      </c>
      <c r="G41" s="342">
        <v>6</v>
      </c>
      <c r="H41" s="338" t="s">
        <v>525</v>
      </c>
      <c r="I41" s="341">
        <v>44529</v>
      </c>
      <c r="J41" s="341">
        <f t="shared" si="9"/>
        <v>44534</v>
      </c>
      <c r="K41" s="328"/>
      <c r="L41" s="328"/>
      <c r="M41" s="328"/>
      <c r="N41" s="328"/>
      <c r="O41" s="328"/>
      <c r="P41" s="328"/>
      <c r="Q41" s="328"/>
      <c r="R41" s="328"/>
      <c r="S41" s="328">
        <v>1</v>
      </c>
      <c r="T41" s="328"/>
      <c r="CI41" s="343">
        <f t="shared" si="3"/>
        <v>0</v>
      </c>
    </row>
    <row r="42" spans="1:87" ht="27" hidden="1" customHeight="1">
      <c r="A42" s="337">
        <v>38</v>
      </c>
      <c r="B42" s="338" t="s">
        <v>1279</v>
      </c>
      <c r="C42" s="338" t="s">
        <v>1536</v>
      </c>
      <c r="D42" s="339">
        <v>1</v>
      </c>
      <c r="E42" s="337">
        <f t="shared" ref="E42:E46" si="10">SUM(K42:RH42)</f>
        <v>1</v>
      </c>
      <c r="F42" s="338">
        <f t="shared" ref="F42:F46" si="11">D42-E42</f>
        <v>0</v>
      </c>
      <c r="G42" s="342">
        <v>2</v>
      </c>
      <c r="H42" s="338" t="s">
        <v>525</v>
      </c>
      <c r="I42" s="341">
        <v>44529</v>
      </c>
      <c r="J42" s="341">
        <f t="shared" ref="J42:J45" si="12">I42+5</f>
        <v>44534</v>
      </c>
      <c r="K42" s="328"/>
      <c r="L42" s="328"/>
      <c r="M42" s="328"/>
      <c r="N42" s="328"/>
      <c r="O42" s="328"/>
      <c r="P42" s="328"/>
      <c r="Q42" s="328"/>
      <c r="R42" s="328"/>
      <c r="S42" s="328">
        <v>1</v>
      </c>
      <c r="T42" s="328"/>
      <c r="CI42" s="343">
        <f t="shared" si="3"/>
        <v>0</v>
      </c>
    </row>
    <row r="43" spans="1:87" ht="27" hidden="1" customHeight="1">
      <c r="A43" s="332">
        <v>39</v>
      </c>
      <c r="B43" s="338" t="s">
        <v>1279</v>
      </c>
      <c r="C43" s="338" t="s">
        <v>1185</v>
      </c>
      <c r="D43" s="339">
        <v>1</v>
      </c>
      <c r="E43" s="337">
        <f t="shared" si="10"/>
        <v>1</v>
      </c>
      <c r="F43" s="338">
        <f t="shared" si="11"/>
        <v>0</v>
      </c>
      <c r="G43" s="342">
        <v>2</v>
      </c>
      <c r="H43" s="338" t="s">
        <v>525</v>
      </c>
      <c r="I43" s="341">
        <v>44529</v>
      </c>
      <c r="J43" s="341">
        <f t="shared" si="12"/>
        <v>44534</v>
      </c>
      <c r="K43" s="328"/>
      <c r="L43" s="328"/>
      <c r="M43" s="328"/>
      <c r="N43" s="328"/>
      <c r="O43" s="328"/>
      <c r="P43" s="328"/>
      <c r="Q43" s="328"/>
      <c r="R43" s="328"/>
      <c r="S43" s="328">
        <v>1</v>
      </c>
      <c r="T43" s="328"/>
      <c r="CI43" s="343">
        <f t="shared" si="3"/>
        <v>0</v>
      </c>
    </row>
    <row r="44" spans="1:87" ht="27" hidden="1" customHeight="1">
      <c r="A44" s="337">
        <v>40</v>
      </c>
      <c r="B44" s="338" t="s">
        <v>1333</v>
      </c>
      <c r="C44" s="338" t="s">
        <v>1176</v>
      </c>
      <c r="D44" s="339">
        <v>1</v>
      </c>
      <c r="E44" s="337">
        <f t="shared" si="10"/>
        <v>1</v>
      </c>
      <c r="F44" s="338">
        <f t="shared" si="11"/>
        <v>0</v>
      </c>
      <c r="G44" s="342">
        <v>2</v>
      </c>
      <c r="H44" s="338" t="s">
        <v>525</v>
      </c>
      <c r="I44" s="341">
        <v>44529</v>
      </c>
      <c r="J44" s="341">
        <f t="shared" si="12"/>
        <v>44534</v>
      </c>
      <c r="K44" s="328"/>
      <c r="L44" s="328"/>
      <c r="M44" s="328"/>
      <c r="N44" s="328"/>
      <c r="O44" s="328"/>
      <c r="P44" s="328"/>
      <c r="Q44" s="328"/>
      <c r="R44" s="328"/>
      <c r="S44" s="328">
        <v>1</v>
      </c>
      <c r="T44" s="328"/>
      <c r="CI44" s="343">
        <f t="shared" si="3"/>
        <v>0</v>
      </c>
    </row>
    <row r="45" spans="1:87" ht="27" hidden="1" customHeight="1">
      <c r="A45" s="332">
        <v>41</v>
      </c>
      <c r="B45" s="338" t="s">
        <v>1333</v>
      </c>
      <c r="C45" s="338" t="s">
        <v>2248</v>
      </c>
      <c r="D45" s="339">
        <v>5</v>
      </c>
      <c r="E45" s="337">
        <f t="shared" si="10"/>
        <v>5</v>
      </c>
      <c r="F45" s="338">
        <f t="shared" si="11"/>
        <v>0</v>
      </c>
      <c r="G45" s="342">
        <v>2</v>
      </c>
      <c r="H45" s="338" t="s">
        <v>525</v>
      </c>
      <c r="I45" s="341">
        <v>44529</v>
      </c>
      <c r="J45" s="341">
        <f t="shared" si="12"/>
        <v>44534</v>
      </c>
      <c r="K45" s="328"/>
      <c r="L45" s="328"/>
      <c r="M45" s="328"/>
      <c r="N45" s="328"/>
      <c r="O45" s="328"/>
      <c r="P45" s="328"/>
      <c r="Q45" s="328"/>
      <c r="R45" s="328"/>
      <c r="S45" s="328">
        <v>5</v>
      </c>
      <c r="T45" s="328"/>
      <c r="CI45" s="343">
        <f t="shared" si="3"/>
        <v>0</v>
      </c>
    </row>
    <row r="46" spans="1:87" ht="27" hidden="1" customHeight="1">
      <c r="A46" s="337">
        <v>42</v>
      </c>
      <c r="B46" s="338" t="s">
        <v>1279</v>
      </c>
      <c r="C46" s="338" t="s">
        <v>2249</v>
      </c>
      <c r="D46" s="339">
        <v>1</v>
      </c>
      <c r="E46" s="337">
        <f t="shared" si="10"/>
        <v>1</v>
      </c>
      <c r="F46" s="338">
        <f t="shared" si="11"/>
        <v>0</v>
      </c>
      <c r="G46" s="342">
        <v>1</v>
      </c>
      <c r="H46" s="338" t="s">
        <v>525</v>
      </c>
      <c r="I46" s="341">
        <v>44529</v>
      </c>
      <c r="J46" s="341">
        <f t="shared" ref="J46:J53" si="13">I46+5</f>
        <v>44534</v>
      </c>
      <c r="K46" s="328"/>
      <c r="L46" s="328"/>
      <c r="M46" s="328"/>
      <c r="N46" s="328"/>
      <c r="O46" s="328"/>
      <c r="P46" s="328"/>
      <c r="Q46" s="328">
        <v>1</v>
      </c>
      <c r="R46" s="328"/>
      <c r="S46" s="328"/>
      <c r="T46" s="328"/>
      <c r="CI46" s="343">
        <f t="shared" si="3"/>
        <v>0</v>
      </c>
    </row>
    <row r="47" spans="1:87" ht="27" hidden="1" customHeight="1">
      <c r="A47" s="332">
        <v>43</v>
      </c>
      <c r="B47" s="338" t="s">
        <v>1833</v>
      </c>
      <c r="C47" s="338" t="s">
        <v>628</v>
      </c>
      <c r="D47" s="339">
        <v>2</v>
      </c>
      <c r="E47" s="337">
        <f t="shared" ref="E47:E49" si="14">SUM(K47:RH47)</f>
        <v>2</v>
      </c>
      <c r="F47" s="338">
        <f t="shared" ref="F47:F49" si="15">D47-E47</f>
        <v>0</v>
      </c>
      <c r="G47" s="342">
        <v>1</v>
      </c>
      <c r="H47" s="338" t="s">
        <v>525</v>
      </c>
      <c r="I47" s="341">
        <v>44529</v>
      </c>
      <c r="J47" s="341">
        <f t="shared" si="13"/>
        <v>44534</v>
      </c>
      <c r="K47" s="328"/>
      <c r="L47" s="328"/>
      <c r="M47" s="328"/>
      <c r="N47" s="328"/>
      <c r="O47" s="328"/>
      <c r="P47" s="328"/>
      <c r="Q47" s="328"/>
      <c r="R47" s="328">
        <v>2</v>
      </c>
      <c r="S47" s="328"/>
      <c r="T47" s="328"/>
      <c r="CI47" s="343">
        <f t="shared" si="3"/>
        <v>0</v>
      </c>
    </row>
    <row r="48" spans="1:87" ht="27" hidden="1" customHeight="1">
      <c r="A48" s="337">
        <v>44</v>
      </c>
      <c r="B48" s="338" t="s">
        <v>1231</v>
      </c>
      <c r="C48" s="338" t="s">
        <v>2250</v>
      </c>
      <c r="D48" s="339">
        <v>1</v>
      </c>
      <c r="E48" s="337">
        <f t="shared" si="14"/>
        <v>1</v>
      </c>
      <c r="F48" s="338">
        <f t="shared" si="15"/>
        <v>0</v>
      </c>
      <c r="G48" s="342">
        <v>1</v>
      </c>
      <c r="H48" s="338" t="s">
        <v>525</v>
      </c>
      <c r="I48" s="341">
        <v>44529</v>
      </c>
      <c r="J48" s="341">
        <f t="shared" si="13"/>
        <v>44534</v>
      </c>
      <c r="K48" s="328"/>
      <c r="L48" s="328"/>
      <c r="M48" s="328"/>
      <c r="N48" s="328"/>
      <c r="O48" s="328"/>
      <c r="P48" s="328"/>
      <c r="Q48" s="328">
        <v>1</v>
      </c>
      <c r="R48" s="328"/>
      <c r="S48" s="328"/>
      <c r="T48" s="328"/>
      <c r="CI48" s="343">
        <f t="shared" si="3"/>
        <v>0</v>
      </c>
    </row>
    <row r="49" spans="1:87" ht="27" hidden="1" customHeight="1">
      <c r="A49" s="332">
        <v>45</v>
      </c>
      <c r="B49" s="338" t="s">
        <v>1126</v>
      </c>
      <c r="C49" s="338" t="s">
        <v>2251</v>
      </c>
      <c r="D49" s="339">
        <v>1</v>
      </c>
      <c r="E49" s="337">
        <f t="shared" si="14"/>
        <v>1</v>
      </c>
      <c r="F49" s="338">
        <f t="shared" si="15"/>
        <v>0</v>
      </c>
      <c r="G49" s="342">
        <v>1</v>
      </c>
      <c r="H49" s="338" t="s">
        <v>525</v>
      </c>
      <c r="I49" s="341">
        <v>44529</v>
      </c>
      <c r="J49" s="341">
        <f t="shared" si="13"/>
        <v>44534</v>
      </c>
      <c r="K49" s="328"/>
      <c r="L49" s="328"/>
      <c r="M49" s="328"/>
      <c r="N49" s="328"/>
      <c r="O49" s="328"/>
      <c r="P49" s="328"/>
      <c r="Q49" s="328"/>
      <c r="R49" s="328"/>
      <c r="S49" s="328">
        <v>1</v>
      </c>
      <c r="T49" s="328"/>
      <c r="CI49" s="343">
        <f t="shared" si="3"/>
        <v>0</v>
      </c>
    </row>
    <row r="50" spans="1:87" ht="27" hidden="1" customHeight="1">
      <c r="A50" s="337">
        <v>46</v>
      </c>
      <c r="B50" s="338" t="s">
        <v>1449</v>
      </c>
      <c r="C50" s="338" t="s">
        <v>1383</v>
      </c>
      <c r="D50" s="339">
        <v>1</v>
      </c>
      <c r="E50" s="337">
        <f t="shared" ref="E50:E55" si="16">SUM(K50:RH50)</f>
        <v>1</v>
      </c>
      <c r="F50" s="338">
        <f t="shared" ref="F50:F55" si="17">D50-E50</f>
        <v>0</v>
      </c>
      <c r="G50" s="342">
        <v>3</v>
      </c>
      <c r="H50" s="338" t="s">
        <v>525</v>
      </c>
      <c r="I50" s="341">
        <v>44529</v>
      </c>
      <c r="J50" s="341">
        <f t="shared" si="13"/>
        <v>44534</v>
      </c>
      <c r="K50" s="328"/>
      <c r="L50" s="328"/>
      <c r="M50" s="328"/>
      <c r="N50" s="328"/>
      <c r="O50" s="328"/>
      <c r="P50" s="328"/>
      <c r="Q50" s="328"/>
      <c r="R50" s="328"/>
      <c r="S50" s="328">
        <v>1</v>
      </c>
      <c r="T50" s="328"/>
      <c r="CI50" s="343">
        <f t="shared" si="3"/>
        <v>0</v>
      </c>
    </row>
    <row r="51" spans="1:87" ht="27" hidden="1" customHeight="1">
      <c r="A51" s="332">
        <v>47</v>
      </c>
      <c r="B51" s="338" t="s">
        <v>1995</v>
      </c>
      <c r="C51" s="338" t="s">
        <v>1927</v>
      </c>
      <c r="D51" s="339">
        <v>1</v>
      </c>
      <c r="E51" s="337">
        <f t="shared" si="16"/>
        <v>1</v>
      </c>
      <c r="F51" s="338">
        <f t="shared" si="17"/>
        <v>0</v>
      </c>
      <c r="G51" s="342">
        <v>3</v>
      </c>
      <c r="H51" s="338" t="s">
        <v>525</v>
      </c>
      <c r="I51" s="341">
        <v>44529</v>
      </c>
      <c r="J51" s="341">
        <f t="shared" si="13"/>
        <v>44534</v>
      </c>
      <c r="K51" s="328"/>
      <c r="L51" s="328"/>
      <c r="M51" s="328"/>
      <c r="N51" s="328"/>
      <c r="O51" s="328"/>
      <c r="P51" s="328"/>
      <c r="Q51" s="328"/>
      <c r="R51" s="328"/>
      <c r="S51" s="328">
        <v>1</v>
      </c>
      <c r="T51" s="328"/>
      <c r="CI51" s="343">
        <f t="shared" si="3"/>
        <v>0</v>
      </c>
    </row>
    <row r="52" spans="1:87" ht="27" hidden="1" customHeight="1">
      <c r="A52" s="337">
        <v>48</v>
      </c>
      <c r="B52" s="338" t="s">
        <v>1995</v>
      </c>
      <c r="C52" s="338" t="s">
        <v>1923</v>
      </c>
      <c r="D52" s="339">
        <v>1</v>
      </c>
      <c r="E52" s="337">
        <f t="shared" si="16"/>
        <v>1</v>
      </c>
      <c r="F52" s="338">
        <f t="shared" si="17"/>
        <v>0</v>
      </c>
      <c r="G52" s="342">
        <v>3</v>
      </c>
      <c r="H52" s="338" t="s">
        <v>525</v>
      </c>
      <c r="I52" s="341">
        <v>44529</v>
      </c>
      <c r="J52" s="341">
        <f t="shared" si="13"/>
        <v>44534</v>
      </c>
      <c r="K52" s="328"/>
      <c r="L52" s="328"/>
      <c r="M52" s="328"/>
      <c r="N52" s="328"/>
      <c r="O52" s="328"/>
      <c r="P52" s="328"/>
      <c r="Q52" s="328"/>
      <c r="R52" s="328"/>
      <c r="S52" s="328">
        <v>1</v>
      </c>
      <c r="T52" s="328"/>
      <c r="CI52" s="343">
        <f t="shared" si="3"/>
        <v>0</v>
      </c>
    </row>
    <row r="53" spans="1:87" ht="27" hidden="1" customHeight="1">
      <c r="A53" s="332">
        <v>49</v>
      </c>
      <c r="B53" s="338" t="s">
        <v>1220</v>
      </c>
      <c r="C53" s="338" t="s">
        <v>2252</v>
      </c>
      <c r="D53" s="339">
        <v>1</v>
      </c>
      <c r="E53" s="337">
        <f t="shared" si="16"/>
        <v>1</v>
      </c>
      <c r="F53" s="338">
        <f t="shared" si="17"/>
        <v>0</v>
      </c>
      <c r="G53" s="342">
        <v>3</v>
      </c>
      <c r="H53" s="338" t="s">
        <v>525</v>
      </c>
      <c r="I53" s="341">
        <v>44529</v>
      </c>
      <c r="J53" s="341">
        <f t="shared" si="13"/>
        <v>44534</v>
      </c>
      <c r="K53" s="328"/>
      <c r="L53" s="328"/>
      <c r="M53" s="328"/>
      <c r="N53" s="328"/>
      <c r="O53" s="328"/>
      <c r="P53" s="328"/>
      <c r="Q53" s="328"/>
      <c r="R53" s="328"/>
      <c r="S53" s="328"/>
      <c r="T53" s="328"/>
      <c r="X53" s="343">
        <v>1</v>
      </c>
      <c r="CI53" s="343">
        <f t="shared" si="3"/>
        <v>0</v>
      </c>
    </row>
    <row r="54" spans="1:87" ht="27" hidden="1" customHeight="1">
      <c r="A54" s="337">
        <v>50</v>
      </c>
      <c r="B54" s="338" t="s">
        <v>1433</v>
      </c>
      <c r="C54" s="338" t="s">
        <v>1091</v>
      </c>
      <c r="D54" s="339">
        <v>1</v>
      </c>
      <c r="E54" s="337">
        <f t="shared" si="16"/>
        <v>1</v>
      </c>
      <c r="F54" s="338">
        <f t="shared" si="17"/>
        <v>0</v>
      </c>
      <c r="G54" s="342">
        <v>3</v>
      </c>
      <c r="H54" s="338" t="s">
        <v>525</v>
      </c>
      <c r="I54" s="341">
        <v>44529</v>
      </c>
      <c r="J54" s="341">
        <f t="shared" ref="J54:J55" si="18">I54+5</f>
        <v>44534</v>
      </c>
      <c r="K54" s="328"/>
      <c r="L54" s="328"/>
      <c r="M54" s="328"/>
      <c r="N54" s="328"/>
      <c r="O54" s="328"/>
      <c r="P54" s="328"/>
      <c r="Q54" s="328"/>
      <c r="R54" s="328"/>
      <c r="S54" s="328"/>
      <c r="T54" s="328"/>
      <c r="X54" s="343">
        <v>1</v>
      </c>
      <c r="CI54" s="343">
        <f t="shared" si="3"/>
        <v>0</v>
      </c>
    </row>
    <row r="55" spans="1:87" ht="27" hidden="1" customHeight="1">
      <c r="A55" s="332">
        <v>51</v>
      </c>
      <c r="B55" s="338" t="s">
        <v>1433</v>
      </c>
      <c r="C55" s="338" t="s">
        <v>1093</v>
      </c>
      <c r="D55" s="339">
        <v>1</v>
      </c>
      <c r="E55" s="337">
        <f t="shared" si="16"/>
        <v>1</v>
      </c>
      <c r="F55" s="338">
        <f t="shared" si="17"/>
        <v>0</v>
      </c>
      <c r="G55" s="342">
        <v>3</v>
      </c>
      <c r="H55" s="338" t="s">
        <v>525</v>
      </c>
      <c r="I55" s="341">
        <v>44529</v>
      </c>
      <c r="J55" s="341">
        <f t="shared" si="18"/>
        <v>44534</v>
      </c>
      <c r="K55" s="328"/>
      <c r="L55" s="328"/>
      <c r="M55" s="328"/>
      <c r="N55" s="328"/>
      <c r="O55" s="328"/>
      <c r="P55" s="328"/>
      <c r="Q55" s="328"/>
      <c r="R55" s="328"/>
      <c r="S55" s="328"/>
      <c r="T55" s="328"/>
      <c r="X55" s="343">
        <v>1</v>
      </c>
      <c r="CI55" s="343">
        <f t="shared" si="3"/>
        <v>0</v>
      </c>
    </row>
    <row r="56" spans="1:87" ht="27" hidden="1" customHeight="1">
      <c r="A56" s="337">
        <v>52</v>
      </c>
      <c r="B56" s="338" t="s">
        <v>1228</v>
      </c>
      <c r="C56" s="338" t="s">
        <v>625</v>
      </c>
      <c r="D56" s="339">
        <v>2</v>
      </c>
      <c r="E56" s="337">
        <f t="shared" ref="E56:E65" si="19">SUM(K56:RH56)</f>
        <v>2</v>
      </c>
      <c r="F56" s="338">
        <f t="shared" ref="F56:F65" si="20">D56-E56</f>
        <v>0</v>
      </c>
      <c r="G56" s="342">
        <v>4</v>
      </c>
      <c r="H56" s="338" t="s">
        <v>525</v>
      </c>
      <c r="I56" s="341">
        <v>44529</v>
      </c>
      <c r="J56" s="341">
        <f t="shared" ref="J56" si="21">I56+5</f>
        <v>44534</v>
      </c>
      <c r="K56" s="328"/>
      <c r="L56" s="328"/>
      <c r="M56" s="328"/>
      <c r="N56" s="328"/>
      <c r="O56" s="328"/>
      <c r="P56" s="328">
        <v>2</v>
      </c>
      <c r="Q56" s="328"/>
      <c r="R56" s="328"/>
      <c r="S56" s="328"/>
      <c r="T56" s="328"/>
      <c r="CI56" s="343">
        <f t="shared" si="3"/>
        <v>0</v>
      </c>
    </row>
    <row r="57" spans="1:87" ht="27" hidden="1" customHeight="1">
      <c r="A57" s="332">
        <v>53</v>
      </c>
      <c r="B57" s="338" t="s">
        <v>1228</v>
      </c>
      <c r="C57" s="338" t="s">
        <v>605</v>
      </c>
      <c r="D57" s="339">
        <v>1</v>
      </c>
      <c r="E57" s="337">
        <f t="shared" si="19"/>
        <v>1</v>
      </c>
      <c r="F57" s="338">
        <f t="shared" si="20"/>
        <v>0</v>
      </c>
      <c r="G57" s="342">
        <v>4</v>
      </c>
      <c r="H57" s="338" t="s">
        <v>525</v>
      </c>
      <c r="I57" s="341">
        <v>44529</v>
      </c>
      <c r="J57" s="341">
        <f t="shared" ref="J57:J68" si="22">I57+5</f>
        <v>44534</v>
      </c>
      <c r="K57" s="328"/>
      <c r="L57" s="328"/>
      <c r="M57" s="328"/>
      <c r="N57" s="328"/>
      <c r="O57" s="328"/>
      <c r="P57" s="328"/>
      <c r="Q57" s="328"/>
      <c r="R57" s="328">
        <v>1</v>
      </c>
      <c r="S57" s="328"/>
      <c r="T57" s="328"/>
      <c r="CI57" s="343">
        <f t="shared" si="3"/>
        <v>0</v>
      </c>
    </row>
    <row r="58" spans="1:87" ht="27" hidden="1" customHeight="1">
      <c r="A58" s="337">
        <v>54</v>
      </c>
      <c r="B58" s="338" t="s">
        <v>1875</v>
      </c>
      <c r="C58" s="338" t="s">
        <v>25</v>
      </c>
      <c r="D58" s="339">
        <v>3</v>
      </c>
      <c r="E58" s="337">
        <f t="shared" si="19"/>
        <v>3</v>
      </c>
      <c r="F58" s="338">
        <f t="shared" si="20"/>
        <v>0</v>
      </c>
      <c r="G58" s="342">
        <v>4</v>
      </c>
      <c r="H58" s="338" t="s">
        <v>525</v>
      </c>
      <c r="I58" s="341">
        <v>44529</v>
      </c>
      <c r="J58" s="341">
        <f t="shared" si="22"/>
        <v>44534</v>
      </c>
      <c r="K58" s="328"/>
      <c r="L58" s="328"/>
      <c r="M58" s="328"/>
      <c r="N58" s="328"/>
      <c r="O58" s="328"/>
      <c r="P58" s="328">
        <v>3</v>
      </c>
      <c r="Q58" s="328"/>
      <c r="R58" s="328"/>
      <c r="S58" s="328"/>
      <c r="T58" s="328"/>
      <c r="CI58" s="343">
        <f t="shared" si="3"/>
        <v>0</v>
      </c>
    </row>
    <row r="59" spans="1:87" ht="27" hidden="1" customHeight="1">
      <c r="A59" s="332">
        <v>55</v>
      </c>
      <c r="B59" s="338" t="s">
        <v>1875</v>
      </c>
      <c r="C59" s="338" t="s">
        <v>25</v>
      </c>
      <c r="D59" s="339">
        <v>1</v>
      </c>
      <c r="E59" s="337">
        <f t="shared" si="19"/>
        <v>1</v>
      </c>
      <c r="F59" s="338">
        <f t="shared" si="20"/>
        <v>0</v>
      </c>
      <c r="G59" s="342">
        <v>4</v>
      </c>
      <c r="H59" s="338" t="s">
        <v>525</v>
      </c>
      <c r="I59" s="341">
        <v>44529</v>
      </c>
      <c r="J59" s="341">
        <f t="shared" si="22"/>
        <v>44534</v>
      </c>
      <c r="K59" s="328"/>
      <c r="L59" s="328"/>
      <c r="M59" s="328"/>
      <c r="N59" s="328"/>
      <c r="O59" s="328"/>
      <c r="P59" s="328">
        <v>1</v>
      </c>
      <c r="Q59" s="328"/>
      <c r="R59" s="328"/>
      <c r="S59" s="328"/>
      <c r="T59" s="328"/>
      <c r="CI59" s="343">
        <f t="shared" si="3"/>
        <v>0</v>
      </c>
    </row>
    <row r="60" spans="1:87" ht="27" hidden="1" customHeight="1">
      <c r="A60" s="337">
        <v>56</v>
      </c>
      <c r="B60" s="338" t="s">
        <v>1228</v>
      </c>
      <c r="C60" s="338" t="s">
        <v>796</v>
      </c>
      <c r="D60" s="339">
        <v>1</v>
      </c>
      <c r="E60" s="337">
        <f t="shared" si="19"/>
        <v>1</v>
      </c>
      <c r="F60" s="338">
        <f t="shared" si="20"/>
        <v>0</v>
      </c>
      <c r="G60" s="342">
        <v>4</v>
      </c>
      <c r="H60" s="338" t="s">
        <v>525</v>
      </c>
      <c r="I60" s="341">
        <v>44529</v>
      </c>
      <c r="J60" s="341">
        <f t="shared" si="22"/>
        <v>44534</v>
      </c>
      <c r="K60" s="328"/>
      <c r="L60" s="328"/>
      <c r="M60" s="328"/>
      <c r="N60" s="328"/>
      <c r="O60" s="328"/>
      <c r="P60" s="328">
        <v>1</v>
      </c>
      <c r="Q60" s="328"/>
      <c r="R60" s="328"/>
      <c r="S60" s="328"/>
      <c r="T60" s="328"/>
      <c r="CI60" s="343">
        <f t="shared" si="3"/>
        <v>0</v>
      </c>
    </row>
    <row r="61" spans="1:87" ht="27" hidden="1" customHeight="1">
      <c r="A61" s="332">
        <v>57</v>
      </c>
      <c r="B61" s="338" t="s">
        <v>1283</v>
      </c>
      <c r="C61" s="338" t="s">
        <v>2253</v>
      </c>
      <c r="D61" s="339">
        <v>1</v>
      </c>
      <c r="E61" s="337">
        <f t="shared" si="19"/>
        <v>1</v>
      </c>
      <c r="F61" s="338">
        <f t="shared" si="20"/>
        <v>0</v>
      </c>
      <c r="G61" s="342">
        <v>4</v>
      </c>
      <c r="H61" s="338" t="s">
        <v>525</v>
      </c>
      <c r="I61" s="341">
        <v>44529</v>
      </c>
      <c r="J61" s="341">
        <f t="shared" si="22"/>
        <v>44534</v>
      </c>
      <c r="K61" s="328"/>
      <c r="L61" s="328"/>
      <c r="M61" s="328"/>
      <c r="N61" s="328"/>
      <c r="O61" s="328"/>
      <c r="P61" s="328"/>
      <c r="Q61" s="328"/>
      <c r="R61" s="328"/>
      <c r="S61" s="328"/>
      <c r="T61" s="328"/>
      <c r="BA61" s="343">
        <v>1</v>
      </c>
      <c r="CI61" s="343">
        <f t="shared" si="3"/>
        <v>0</v>
      </c>
    </row>
    <row r="62" spans="1:87" ht="27" hidden="1" customHeight="1">
      <c r="A62" s="337">
        <v>58</v>
      </c>
      <c r="B62" s="338" t="s">
        <v>1283</v>
      </c>
      <c r="C62" s="338" t="s">
        <v>2254</v>
      </c>
      <c r="D62" s="339">
        <v>1</v>
      </c>
      <c r="E62" s="337">
        <f t="shared" si="19"/>
        <v>1</v>
      </c>
      <c r="F62" s="338">
        <f t="shared" si="20"/>
        <v>0</v>
      </c>
      <c r="G62" s="342">
        <v>4</v>
      </c>
      <c r="H62" s="338" t="s">
        <v>525</v>
      </c>
      <c r="I62" s="341">
        <v>44529</v>
      </c>
      <c r="J62" s="341">
        <f t="shared" si="22"/>
        <v>44534</v>
      </c>
      <c r="K62" s="328"/>
      <c r="L62" s="328"/>
      <c r="M62" s="328"/>
      <c r="N62" s="328"/>
      <c r="O62" s="328"/>
      <c r="P62" s="328"/>
      <c r="Q62" s="328"/>
      <c r="R62" s="328"/>
      <c r="S62" s="328"/>
      <c r="T62" s="328"/>
      <c r="BA62" s="343">
        <v>1</v>
      </c>
      <c r="CI62" s="343">
        <f t="shared" si="3"/>
        <v>0</v>
      </c>
    </row>
    <row r="63" spans="1:87" ht="27" hidden="1" customHeight="1">
      <c r="A63" s="332">
        <v>59</v>
      </c>
      <c r="B63" s="338" t="s">
        <v>1272</v>
      </c>
      <c r="C63" s="338" t="s">
        <v>2107</v>
      </c>
      <c r="D63" s="339">
        <v>1</v>
      </c>
      <c r="E63" s="337">
        <f t="shared" si="19"/>
        <v>1</v>
      </c>
      <c r="F63" s="338">
        <f t="shared" si="20"/>
        <v>0</v>
      </c>
      <c r="G63" s="342">
        <v>4</v>
      </c>
      <c r="H63" s="338" t="s">
        <v>525</v>
      </c>
      <c r="I63" s="341">
        <v>44529</v>
      </c>
      <c r="J63" s="341">
        <f t="shared" si="22"/>
        <v>44534</v>
      </c>
      <c r="K63" s="328"/>
      <c r="L63" s="328"/>
      <c r="M63" s="328"/>
      <c r="N63" s="328"/>
      <c r="O63" s="328"/>
      <c r="P63" s="328">
        <v>1</v>
      </c>
      <c r="Q63" s="328"/>
      <c r="R63" s="328"/>
      <c r="S63" s="328"/>
      <c r="T63" s="328"/>
      <c r="CI63" s="343">
        <f t="shared" si="3"/>
        <v>0</v>
      </c>
    </row>
    <row r="64" spans="1:87" ht="27" hidden="1" customHeight="1">
      <c r="A64" s="337">
        <v>60</v>
      </c>
      <c r="B64" s="338" t="s">
        <v>1272</v>
      </c>
      <c r="C64" s="338" t="s">
        <v>1207</v>
      </c>
      <c r="D64" s="339">
        <v>1</v>
      </c>
      <c r="E64" s="337">
        <f t="shared" si="19"/>
        <v>1</v>
      </c>
      <c r="F64" s="338">
        <f t="shared" si="20"/>
        <v>0</v>
      </c>
      <c r="G64" s="342">
        <v>4</v>
      </c>
      <c r="H64" s="338" t="s">
        <v>525</v>
      </c>
      <c r="I64" s="341">
        <v>44529</v>
      </c>
      <c r="J64" s="341">
        <f t="shared" si="22"/>
        <v>44534</v>
      </c>
      <c r="K64" s="328"/>
      <c r="L64" s="328"/>
      <c r="M64" s="328"/>
      <c r="N64" s="328"/>
      <c r="O64" s="328"/>
      <c r="P64" s="328">
        <v>1</v>
      </c>
      <c r="Q64" s="328"/>
      <c r="R64" s="328"/>
      <c r="S64" s="328"/>
      <c r="T64" s="328"/>
      <c r="CI64" s="343">
        <f t="shared" si="3"/>
        <v>0</v>
      </c>
    </row>
    <row r="65" spans="1:87" ht="27" hidden="1" customHeight="1">
      <c r="A65" s="332">
        <v>61</v>
      </c>
      <c r="B65" s="338" t="s">
        <v>1100</v>
      </c>
      <c r="C65" s="338" t="s">
        <v>2257</v>
      </c>
      <c r="D65" s="339">
        <v>1</v>
      </c>
      <c r="E65" s="337">
        <f t="shared" si="19"/>
        <v>1</v>
      </c>
      <c r="F65" s="338">
        <f t="shared" si="20"/>
        <v>0</v>
      </c>
      <c r="G65" s="342" t="s">
        <v>1776</v>
      </c>
      <c r="H65" s="338" t="s">
        <v>526</v>
      </c>
      <c r="I65" s="341">
        <v>44532</v>
      </c>
      <c r="J65" s="341">
        <f t="shared" si="22"/>
        <v>44537</v>
      </c>
      <c r="K65" s="328"/>
      <c r="L65" s="328"/>
      <c r="M65" s="328"/>
      <c r="N65" s="328"/>
      <c r="O65" s="328"/>
      <c r="P65" s="328"/>
      <c r="Q65" s="328"/>
      <c r="R65" s="328"/>
      <c r="S65" s="328"/>
      <c r="T65" s="328"/>
      <c r="W65" s="343">
        <v>1</v>
      </c>
      <c r="CI65" s="343">
        <f t="shared" si="3"/>
        <v>0</v>
      </c>
    </row>
    <row r="66" spans="1:87" ht="27" hidden="1" customHeight="1">
      <c r="A66" s="337">
        <v>62</v>
      </c>
      <c r="B66" s="338" t="s">
        <v>1619</v>
      </c>
      <c r="C66" s="338" t="s">
        <v>514</v>
      </c>
      <c r="D66" s="339">
        <v>2</v>
      </c>
      <c r="E66" s="337">
        <f t="shared" ref="E66:E69" si="23">SUM(K66:RH66)</f>
        <v>2</v>
      </c>
      <c r="F66" s="338">
        <f t="shared" ref="F66:F69" si="24">D66-E66</f>
        <v>0</v>
      </c>
      <c r="G66" s="342" t="s">
        <v>1776</v>
      </c>
      <c r="H66" s="338" t="s">
        <v>526</v>
      </c>
      <c r="I66" s="341">
        <v>44532</v>
      </c>
      <c r="J66" s="341">
        <f t="shared" si="22"/>
        <v>44537</v>
      </c>
      <c r="K66" s="328"/>
      <c r="L66" s="328"/>
      <c r="M66" s="328"/>
      <c r="N66" s="328"/>
      <c r="O66" s="328"/>
      <c r="P66" s="328"/>
      <c r="Q66" s="328"/>
      <c r="R66" s="328">
        <v>2</v>
      </c>
      <c r="S66" s="328"/>
      <c r="T66" s="328"/>
      <c r="CI66" s="343">
        <f t="shared" si="3"/>
        <v>0</v>
      </c>
    </row>
    <row r="67" spans="1:87" ht="27" hidden="1" customHeight="1">
      <c r="A67" s="332">
        <v>63</v>
      </c>
      <c r="B67" s="338" t="s">
        <v>1688</v>
      </c>
      <c r="C67" s="338" t="s">
        <v>1385</v>
      </c>
      <c r="D67" s="339">
        <v>1</v>
      </c>
      <c r="E67" s="337">
        <f t="shared" si="23"/>
        <v>1</v>
      </c>
      <c r="F67" s="338">
        <f t="shared" si="24"/>
        <v>0</v>
      </c>
      <c r="G67" s="342" t="s">
        <v>1776</v>
      </c>
      <c r="H67" s="338" t="s">
        <v>526</v>
      </c>
      <c r="I67" s="341">
        <v>44532</v>
      </c>
      <c r="J67" s="341">
        <f t="shared" si="22"/>
        <v>44537</v>
      </c>
      <c r="K67" s="328"/>
      <c r="L67" s="328"/>
      <c r="M67" s="328"/>
      <c r="N67" s="328"/>
      <c r="O67" s="328"/>
      <c r="P67" s="328"/>
      <c r="Q67" s="328"/>
      <c r="R67" s="328">
        <v>1</v>
      </c>
      <c r="S67" s="328"/>
      <c r="T67" s="328"/>
      <c r="CI67" s="343">
        <f t="shared" si="3"/>
        <v>0</v>
      </c>
    </row>
    <row r="68" spans="1:87" ht="27" hidden="1" customHeight="1">
      <c r="A68" s="337">
        <v>64</v>
      </c>
      <c r="B68" s="338" t="s">
        <v>2065</v>
      </c>
      <c r="C68" s="338" t="s">
        <v>1747</v>
      </c>
      <c r="D68" s="339">
        <v>1</v>
      </c>
      <c r="E68" s="337">
        <f t="shared" si="23"/>
        <v>1</v>
      </c>
      <c r="F68" s="338">
        <f t="shared" si="24"/>
        <v>0</v>
      </c>
      <c r="G68" s="342" t="s">
        <v>1776</v>
      </c>
      <c r="H68" s="338" t="s">
        <v>526</v>
      </c>
      <c r="I68" s="341">
        <v>44534</v>
      </c>
      <c r="J68" s="341">
        <f t="shared" si="22"/>
        <v>44539</v>
      </c>
      <c r="K68" s="328"/>
      <c r="L68" s="328"/>
      <c r="M68" s="328"/>
      <c r="N68" s="328"/>
      <c r="O68" s="328"/>
      <c r="P68" s="328"/>
      <c r="Q68" s="328"/>
      <c r="R68" s="328"/>
      <c r="S68" s="328"/>
      <c r="T68" s="328"/>
      <c r="W68" s="343">
        <v>1</v>
      </c>
      <c r="CI68" s="343">
        <f t="shared" si="3"/>
        <v>0</v>
      </c>
    </row>
    <row r="69" spans="1:87" ht="27" hidden="1" customHeight="1">
      <c r="A69" s="332">
        <v>65</v>
      </c>
      <c r="B69" s="338" t="s">
        <v>2065</v>
      </c>
      <c r="C69" s="338" t="s">
        <v>2259</v>
      </c>
      <c r="D69" s="339">
        <v>1</v>
      </c>
      <c r="E69" s="337">
        <f t="shared" si="23"/>
        <v>1</v>
      </c>
      <c r="F69" s="338">
        <f t="shared" si="24"/>
        <v>0</v>
      </c>
      <c r="G69" s="342">
        <v>4</v>
      </c>
      <c r="H69" s="338" t="s">
        <v>526</v>
      </c>
      <c r="I69" s="341">
        <v>44534</v>
      </c>
      <c r="J69" s="341">
        <f t="shared" ref="J69" si="25">I69+5</f>
        <v>44539</v>
      </c>
      <c r="K69" s="328"/>
      <c r="L69" s="328"/>
      <c r="M69" s="328"/>
      <c r="N69" s="328"/>
      <c r="O69" s="328"/>
      <c r="P69" s="328"/>
      <c r="Q69" s="328"/>
      <c r="R69" s="328"/>
      <c r="S69" s="328"/>
      <c r="T69" s="328"/>
      <c r="U69" s="343">
        <v>1</v>
      </c>
      <c r="CI69" s="343">
        <f t="shared" si="3"/>
        <v>0</v>
      </c>
    </row>
    <row r="70" spans="1:87" ht="27" hidden="1" customHeight="1">
      <c r="A70" s="337">
        <v>66</v>
      </c>
      <c r="B70" s="96" t="s">
        <v>1283</v>
      </c>
      <c r="C70" s="338" t="s">
        <v>1097</v>
      </c>
      <c r="D70" s="339">
        <v>1</v>
      </c>
      <c r="E70" s="337">
        <f t="shared" ref="E70:E73" si="26">SUM(K70:RH70)</f>
        <v>1</v>
      </c>
      <c r="F70" s="338">
        <f t="shared" ref="F70:F73" si="27">D70-E70</f>
        <v>0</v>
      </c>
      <c r="G70" s="342">
        <v>2</v>
      </c>
      <c r="H70" s="338" t="s">
        <v>525</v>
      </c>
      <c r="I70" s="341">
        <v>44534</v>
      </c>
      <c r="J70" s="341">
        <f t="shared" ref="J70:J78" si="28">I70+5</f>
        <v>44539</v>
      </c>
      <c r="K70" s="328"/>
      <c r="L70" s="328"/>
      <c r="M70" s="328"/>
      <c r="N70" s="328"/>
      <c r="O70" s="328"/>
      <c r="P70" s="328"/>
      <c r="Q70" s="328"/>
      <c r="R70" s="328"/>
      <c r="S70" s="328"/>
      <c r="T70" s="328">
        <v>1</v>
      </c>
      <c r="CI70" s="343">
        <f t="shared" ref="CI70:CI133" si="29">SUM(BV70:CH70)</f>
        <v>0</v>
      </c>
    </row>
    <row r="71" spans="1:87" ht="27" hidden="1" customHeight="1">
      <c r="A71" s="332">
        <v>67</v>
      </c>
      <c r="B71" s="96" t="s">
        <v>1272</v>
      </c>
      <c r="C71" s="338" t="s">
        <v>622</v>
      </c>
      <c r="D71" s="339">
        <v>1</v>
      </c>
      <c r="E71" s="337">
        <f t="shared" si="26"/>
        <v>1</v>
      </c>
      <c r="F71" s="338">
        <f t="shared" si="27"/>
        <v>0</v>
      </c>
      <c r="G71" s="342">
        <v>2</v>
      </c>
      <c r="H71" s="338" t="s">
        <v>525</v>
      </c>
      <c r="I71" s="341">
        <v>44534</v>
      </c>
      <c r="J71" s="341">
        <f t="shared" si="28"/>
        <v>44539</v>
      </c>
      <c r="K71" s="328"/>
      <c r="L71" s="328"/>
      <c r="M71" s="328"/>
      <c r="N71" s="328"/>
      <c r="O71" s="328"/>
      <c r="P71" s="328"/>
      <c r="Q71" s="328"/>
      <c r="R71" s="328"/>
      <c r="S71" s="328"/>
      <c r="T71" s="328">
        <v>1</v>
      </c>
      <c r="CI71" s="343">
        <f t="shared" si="29"/>
        <v>0</v>
      </c>
    </row>
    <row r="72" spans="1:87" ht="27" hidden="1" customHeight="1">
      <c r="A72" s="337">
        <v>68</v>
      </c>
      <c r="B72" s="96" t="s">
        <v>1272</v>
      </c>
      <c r="C72" s="338" t="s">
        <v>649</v>
      </c>
      <c r="D72" s="339">
        <v>1</v>
      </c>
      <c r="E72" s="337">
        <f t="shared" si="26"/>
        <v>1</v>
      </c>
      <c r="F72" s="338">
        <f t="shared" si="27"/>
        <v>0</v>
      </c>
      <c r="G72" s="342">
        <v>2</v>
      </c>
      <c r="H72" s="338" t="s">
        <v>525</v>
      </c>
      <c r="I72" s="341">
        <v>44534</v>
      </c>
      <c r="J72" s="341">
        <f t="shared" si="28"/>
        <v>44539</v>
      </c>
      <c r="K72" s="328"/>
      <c r="L72" s="328"/>
      <c r="M72" s="328"/>
      <c r="N72" s="328"/>
      <c r="O72" s="328"/>
      <c r="P72" s="328"/>
      <c r="Q72" s="328"/>
      <c r="R72" s="328"/>
      <c r="S72" s="328"/>
      <c r="T72" s="328">
        <v>1</v>
      </c>
      <c r="CI72" s="343">
        <f t="shared" si="29"/>
        <v>0</v>
      </c>
    </row>
    <row r="73" spans="1:87" ht="27" hidden="1" customHeight="1">
      <c r="A73" s="332">
        <v>69</v>
      </c>
      <c r="B73" s="112" t="s">
        <v>2005</v>
      </c>
      <c r="C73" s="338" t="s">
        <v>2248</v>
      </c>
      <c r="D73" s="339">
        <v>1</v>
      </c>
      <c r="E73" s="337">
        <f t="shared" si="26"/>
        <v>1</v>
      </c>
      <c r="F73" s="338">
        <f t="shared" si="27"/>
        <v>0</v>
      </c>
      <c r="G73" s="342">
        <v>2</v>
      </c>
      <c r="H73" s="338" t="s">
        <v>525</v>
      </c>
      <c r="I73" s="341">
        <v>44534</v>
      </c>
      <c r="J73" s="341">
        <f t="shared" si="28"/>
        <v>44539</v>
      </c>
      <c r="K73" s="328"/>
      <c r="L73" s="328"/>
      <c r="M73" s="328"/>
      <c r="N73" s="328"/>
      <c r="O73" s="328"/>
      <c r="P73" s="328"/>
      <c r="Q73" s="328"/>
      <c r="R73" s="328"/>
      <c r="S73" s="328"/>
      <c r="T73" s="328">
        <v>1</v>
      </c>
      <c r="CI73" s="343">
        <f t="shared" si="29"/>
        <v>0</v>
      </c>
    </row>
    <row r="74" spans="1:87" ht="27" hidden="1" customHeight="1">
      <c r="A74" s="337">
        <v>70</v>
      </c>
      <c r="B74" s="112" t="s">
        <v>1995</v>
      </c>
      <c r="C74" s="338" t="s">
        <v>1923</v>
      </c>
      <c r="D74" s="339">
        <v>1</v>
      </c>
      <c r="E74" s="337">
        <f t="shared" ref="E74:E78" si="30">SUM(K74:RH74)</f>
        <v>1</v>
      </c>
      <c r="F74" s="338">
        <f t="shared" ref="F74:F78" si="31">D74-E74</f>
        <v>0</v>
      </c>
      <c r="G74" s="342">
        <v>3</v>
      </c>
      <c r="H74" s="338" t="s">
        <v>525</v>
      </c>
      <c r="I74" s="341">
        <v>44534</v>
      </c>
      <c r="J74" s="341">
        <f t="shared" si="28"/>
        <v>44539</v>
      </c>
      <c r="K74" s="328"/>
      <c r="L74" s="328"/>
      <c r="M74" s="328"/>
      <c r="N74" s="328"/>
      <c r="O74" s="328"/>
      <c r="P74" s="328"/>
      <c r="Q74" s="328"/>
      <c r="R74" s="328"/>
      <c r="S74" s="328"/>
      <c r="T74" s="328"/>
      <c r="X74" s="343">
        <v>1</v>
      </c>
      <c r="CI74" s="343">
        <f t="shared" si="29"/>
        <v>0</v>
      </c>
    </row>
    <row r="75" spans="1:87" ht="27" hidden="1" customHeight="1">
      <c r="A75" s="332">
        <v>71</v>
      </c>
      <c r="B75" s="112" t="s">
        <v>1433</v>
      </c>
      <c r="C75" s="338" t="s">
        <v>1092</v>
      </c>
      <c r="D75" s="339">
        <v>1</v>
      </c>
      <c r="E75" s="337">
        <f t="shared" si="30"/>
        <v>1</v>
      </c>
      <c r="F75" s="338">
        <f t="shared" si="31"/>
        <v>0</v>
      </c>
      <c r="G75" s="342">
        <v>3</v>
      </c>
      <c r="H75" s="338" t="s">
        <v>525</v>
      </c>
      <c r="I75" s="341">
        <v>44534</v>
      </c>
      <c r="J75" s="341">
        <f t="shared" si="28"/>
        <v>44539</v>
      </c>
      <c r="K75" s="328"/>
      <c r="L75" s="328"/>
      <c r="M75" s="328"/>
      <c r="N75" s="328"/>
      <c r="O75" s="328"/>
      <c r="P75" s="328"/>
      <c r="Q75" s="328"/>
      <c r="R75" s="328"/>
      <c r="S75" s="328"/>
      <c r="T75" s="328"/>
      <c r="Z75" s="343">
        <v>1</v>
      </c>
      <c r="CI75" s="343">
        <f t="shared" si="29"/>
        <v>0</v>
      </c>
    </row>
    <row r="76" spans="1:87" ht="27" hidden="1" customHeight="1">
      <c r="A76" s="337">
        <v>72</v>
      </c>
      <c r="B76" s="112" t="s">
        <v>1432</v>
      </c>
      <c r="C76" s="338" t="s">
        <v>319</v>
      </c>
      <c r="D76" s="339">
        <v>1</v>
      </c>
      <c r="E76" s="337">
        <f t="shared" si="30"/>
        <v>1</v>
      </c>
      <c r="F76" s="338">
        <f t="shared" si="31"/>
        <v>0</v>
      </c>
      <c r="G76" s="342">
        <v>3</v>
      </c>
      <c r="H76" s="338" t="s">
        <v>525</v>
      </c>
      <c r="I76" s="341">
        <v>44534</v>
      </c>
      <c r="J76" s="341">
        <f t="shared" si="28"/>
        <v>44539</v>
      </c>
      <c r="K76" s="328"/>
      <c r="L76" s="328"/>
      <c r="M76" s="328"/>
      <c r="N76" s="328"/>
      <c r="O76" s="328"/>
      <c r="P76" s="328"/>
      <c r="Q76" s="328"/>
      <c r="R76" s="328"/>
      <c r="S76" s="328"/>
      <c r="T76" s="328"/>
      <c r="X76" s="343">
        <v>1</v>
      </c>
      <c r="CI76" s="343">
        <f t="shared" si="29"/>
        <v>0</v>
      </c>
    </row>
    <row r="77" spans="1:87" ht="27" hidden="1" customHeight="1">
      <c r="A77" s="332">
        <v>73</v>
      </c>
      <c r="B77" s="96" t="s">
        <v>1283</v>
      </c>
      <c r="C77" s="338" t="s">
        <v>1765</v>
      </c>
      <c r="D77" s="339">
        <v>1</v>
      </c>
      <c r="E77" s="337">
        <f t="shared" si="30"/>
        <v>1</v>
      </c>
      <c r="F77" s="338">
        <f t="shared" si="31"/>
        <v>0</v>
      </c>
      <c r="G77" s="342">
        <v>3</v>
      </c>
      <c r="H77" s="338" t="s">
        <v>525</v>
      </c>
      <c r="I77" s="341">
        <v>44534</v>
      </c>
      <c r="J77" s="341">
        <f t="shared" si="28"/>
        <v>44539</v>
      </c>
      <c r="K77" s="328"/>
      <c r="L77" s="328"/>
      <c r="M77" s="328"/>
      <c r="N77" s="328"/>
      <c r="O77" s="328"/>
      <c r="P77" s="328"/>
      <c r="Q77" s="328"/>
      <c r="R77" s="328"/>
      <c r="S77" s="328"/>
      <c r="T77" s="328"/>
      <c r="X77" s="343">
        <v>1</v>
      </c>
      <c r="CI77" s="343">
        <f t="shared" si="29"/>
        <v>0</v>
      </c>
    </row>
    <row r="78" spans="1:87" ht="27" hidden="1" customHeight="1">
      <c r="A78" s="337">
        <v>74</v>
      </c>
      <c r="B78" s="96" t="s">
        <v>1283</v>
      </c>
      <c r="C78" s="338" t="s">
        <v>1217</v>
      </c>
      <c r="D78" s="339">
        <v>1</v>
      </c>
      <c r="E78" s="337">
        <f t="shared" si="30"/>
        <v>1</v>
      </c>
      <c r="F78" s="338">
        <f t="shared" si="31"/>
        <v>0</v>
      </c>
      <c r="G78" s="342">
        <v>3</v>
      </c>
      <c r="H78" s="338" t="s">
        <v>525</v>
      </c>
      <c r="I78" s="341">
        <v>44534</v>
      </c>
      <c r="J78" s="341">
        <f t="shared" si="28"/>
        <v>44539</v>
      </c>
      <c r="K78" s="328"/>
      <c r="L78" s="328"/>
      <c r="M78" s="328"/>
      <c r="N78" s="328"/>
      <c r="O78" s="328"/>
      <c r="P78" s="328"/>
      <c r="Q78" s="328"/>
      <c r="R78" s="328"/>
      <c r="S78" s="328"/>
      <c r="T78" s="328"/>
      <c r="X78" s="343">
        <v>1</v>
      </c>
      <c r="CI78" s="343">
        <f t="shared" si="29"/>
        <v>0</v>
      </c>
    </row>
    <row r="79" spans="1:87" ht="27" hidden="1" customHeight="1">
      <c r="A79" s="332">
        <v>75</v>
      </c>
      <c r="B79" s="96" t="s">
        <v>1231</v>
      </c>
      <c r="C79" s="338" t="s">
        <v>625</v>
      </c>
      <c r="D79" s="339">
        <v>2</v>
      </c>
      <c r="E79" s="337">
        <f t="shared" ref="E79:E83" si="32">SUM(K79:RH79)</f>
        <v>2</v>
      </c>
      <c r="F79" s="338">
        <f t="shared" ref="F79:F83" si="33">D79-E79</f>
        <v>0</v>
      </c>
      <c r="G79" s="342">
        <v>1</v>
      </c>
      <c r="H79" s="338" t="s">
        <v>525</v>
      </c>
      <c r="I79" s="341">
        <v>44534</v>
      </c>
      <c r="J79" s="341">
        <f t="shared" ref="J79:J83" si="34">I79+5</f>
        <v>44539</v>
      </c>
      <c r="K79" s="328"/>
      <c r="L79" s="328"/>
      <c r="M79" s="328"/>
      <c r="N79" s="328"/>
      <c r="O79" s="328"/>
      <c r="P79" s="328"/>
      <c r="Q79" s="328"/>
      <c r="R79" s="328"/>
      <c r="S79" s="328"/>
      <c r="T79" s="328">
        <v>2</v>
      </c>
      <c r="CI79" s="343">
        <f t="shared" si="29"/>
        <v>0</v>
      </c>
    </row>
    <row r="80" spans="1:87" ht="27" hidden="1" customHeight="1">
      <c r="A80" s="337">
        <v>76</v>
      </c>
      <c r="B80" s="96" t="s">
        <v>1231</v>
      </c>
      <c r="C80" s="338" t="s">
        <v>605</v>
      </c>
      <c r="D80" s="339">
        <v>1</v>
      </c>
      <c r="E80" s="337">
        <f t="shared" si="32"/>
        <v>1</v>
      </c>
      <c r="F80" s="338">
        <f t="shared" si="33"/>
        <v>0</v>
      </c>
      <c r="G80" s="342">
        <v>1</v>
      </c>
      <c r="H80" s="338" t="s">
        <v>525</v>
      </c>
      <c r="I80" s="341">
        <v>44534</v>
      </c>
      <c r="J80" s="341">
        <f t="shared" si="34"/>
        <v>44539</v>
      </c>
      <c r="K80" s="328"/>
      <c r="L80" s="328"/>
      <c r="M80" s="328"/>
      <c r="N80" s="328"/>
      <c r="O80" s="328"/>
      <c r="P80" s="328"/>
      <c r="Q80" s="328"/>
      <c r="R80" s="328"/>
      <c r="S80" s="328"/>
      <c r="T80" s="328">
        <v>1</v>
      </c>
      <c r="CI80" s="343">
        <f t="shared" si="29"/>
        <v>0</v>
      </c>
    </row>
    <row r="81" spans="1:87" ht="27" hidden="1" customHeight="1">
      <c r="A81" s="332">
        <v>77</v>
      </c>
      <c r="B81" s="96" t="s">
        <v>1089</v>
      </c>
      <c r="C81" s="338" t="s">
        <v>2263</v>
      </c>
      <c r="D81" s="339">
        <v>1</v>
      </c>
      <c r="E81" s="337">
        <f t="shared" si="32"/>
        <v>1</v>
      </c>
      <c r="F81" s="338">
        <f t="shared" si="33"/>
        <v>0</v>
      </c>
      <c r="G81" s="342">
        <v>1</v>
      </c>
      <c r="H81" s="338" t="s">
        <v>525</v>
      </c>
      <c r="I81" s="341">
        <v>44534</v>
      </c>
      <c r="J81" s="341">
        <f t="shared" si="34"/>
        <v>44539</v>
      </c>
      <c r="K81" s="328"/>
      <c r="L81" s="328"/>
      <c r="M81" s="328"/>
      <c r="N81" s="328"/>
      <c r="O81" s="328"/>
      <c r="P81" s="328"/>
      <c r="Q81" s="328"/>
      <c r="R81" s="328"/>
      <c r="S81" s="328"/>
      <c r="T81" s="328">
        <v>1</v>
      </c>
      <c r="CI81" s="343">
        <f t="shared" si="29"/>
        <v>0</v>
      </c>
    </row>
    <row r="82" spans="1:87" ht="27" hidden="1" customHeight="1">
      <c r="A82" s="337">
        <v>78</v>
      </c>
      <c r="B82" s="112" t="s">
        <v>1433</v>
      </c>
      <c r="C82" s="338" t="s">
        <v>318</v>
      </c>
      <c r="D82" s="339">
        <v>1</v>
      </c>
      <c r="E82" s="337">
        <f t="shared" si="32"/>
        <v>1</v>
      </c>
      <c r="F82" s="338">
        <f t="shared" si="33"/>
        <v>0</v>
      </c>
      <c r="G82" s="342">
        <v>1</v>
      </c>
      <c r="H82" s="338" t="s">
        <v>525</v>
      </c>
      <c r="I82" s="341">
        <v>44534</v>
      </c>
      <c r="J82" s="341">
        <f t="shared" si="34"/>
        <v>44539</v>
      </c>
      <c r="K82" s="328"/>
      <c r="L82" s="328"/>
      <c r="M82" s="328"/>
      <c r="N82" s="328"/>
      <c r="O82" s="328"/>
      <c r="P82" s="328"/>
      <c r="Q82" s="328"/>
      <c r="R82" s="328"/>
      <c r="S82" s="328"/>
      <c r="T82" s="328">
        <v>1</v>
      </c>
      <c r="CI82" s="343">
        <f t="shared" si="29"/>
        <v>0</v>
      </c>
    </row>
    <row r="83" spans="1:87" ht="27" hidden="1" customHeight="1">
      <c r="A83" s="332">
        <v>79</v>
      </c>
      <c r="B83" s="112" t="s">
        <v>2120</v>
      </c>
      <c r="C83" s="123" t="s">
        <v>1480</v>
      </c>
      <c r="D83" s="339">
        <v>1</v>
      </c>
      <c r="E83" s="337">
        <f t="shared" si="32"/>
        <v>1</v>
      </c>
      <c r="F83" s="338">
        <f t="shared" si="33"/>
        <v>0</v>
      </c>
      <c r="G83" s="342">
        <v>1</v>
      </c>
      <c r="H83" s="338" t="s">
        <v>525</v>
      </c>
      <c r="I83" s="341">
        <v>44534</v>
      </c>
      <c r="J83" s="341">
        <f t="shared" si="34"/>
        <v>44539</v>
      </c>
      <c r="K83" s="328"/>
      <c r="L83" s="328"/>
      <c r="M83" s="328"/>
      <c r="N83" s="328"/>
      <c r="O83" s="328"/>
      <c r="P83" s="328"/>
      <c r="Q83" s="328"/>
      <c r="R83" s="328"/>
      <c r="S83" s="328"/>
      <c r="T83" s="328">
        <v>1</v>
      </c>
      <c r="CI83" s="343">
        <f t="shared" si="29"/>
        <v>0</v>
      </c>
    </row>
    <row r="84" spans="1:87" ht="27" hidden="1" customHeight="1">
      <c r="A84" s="337">
        <v>80</v>
      </c>
      <c r="B84" s="112" t="s">
        <v>1773</v>
      </c>
      <c r="C84" s="338" t="s">
        <v>25</v>
      </c>
      <c r="D84" s="339">
        <v>1</v>
      </c>
      <c r="E84" s="337">
        <f t="shared" ref="E84:E88" si="35">SUM(K84:RH84)</f>
        <v>1</v>
      </c>
      <c r="F84" s="338">
        <f t="shared" ref="F84:F88" si="36">D84-E84</f>
        <v>0</v>
      </c>
      <c r="G84" s="342">
        <v>4</v>
      </c>
      <c r="H84" s="338" t="s">
        <v>525</v>
      </c>
      <c r="I84" s="341">
        <v>44534</v>
      </c>
      <c r="J84" s="341">
        <f t="shared" ref="J84:J88" si="37">I84+5</f>
        <v>44539</v>
      </c>
      <c r="K84" s="328"/>
      <c r="L84" s="328"/>
      <c r="M84" s="328"/>
      <c r="N84" s="328"/>
      <c r="O84" s="328"/>
      <c r="P84" s="328"/>
      <c r="Q84" s="328"/>
      <c r="R84" s="328"/>
      <c r="S84" s="328"/>
      <c r="T84" s="328"/>
      <c r="V84" s="343">
        <v>1</v>
      </c>
      <c r="CI84" s="343">
        <f t="shared" si="29"/>
        <v>0</v>
      </c>
    </row>
    <row r="85" spans="1:87" ht="27" hidden="1" customHeight="1">
      <c r="A85" s="332">
        <v>81</v>
      </c>
      <c r="B85" s="96" t="s">
        <v>1231</v>
      </c>
      <c r="C85" s="338" t="s">
        <v>625</v>
      </c>
      <c r="D85" s="339">
        <v>1</v>
      </c>
      <c r="E85" s="337">
        <f t="shared" si="35"/>
        <v>1</v>
      </c>
      <c r="F85" s="338">
        <f t="shared" si="36"/>
        <v>0</v>
      </c>
      <c r="G85" s="342">
        <v>4</v>
      </c>
      <c r="H85" s="338" t="s">
        <v>525</v>
      </c>
      <c r="I85" s="341">
        <v>44534</v>
      </c>
      <c r="J85" s="341">
        <f t="shared" si="37"/>
        <v>44539</v>
      </c>
      <c r="K85" s="328"/>
      <c r="L85" s="328"/>
      <c r="M85" s="328"/>
      <c r="N85" s="328"/>
      <c r="O85" s="328"/>
      <c r="P85" s="328"/>
      <c r="Q85" s="328"/>
      <c r="R85" s="328"/>
      <c r="S85" s="328"/>
      <c r="T85" s="328"/>
      <c r="U85" s="343">
        <v>1</v>
      </c>
      <c r="CI85" s="343">
        <f t="shared" si="29"/>
        <v>0</v>
      </c>
    </row>
    <row r="86" spans="1:87" ht="27" hidden="1" customHeight="1">
      <c r="A86" s="337">
        <v>82</v>
      </c>
      <c r="B86" s="96" t="s">
        <v>1231</v>
      </c>
      <c r="C86" s="338" t="s">
        <v>625</v>
      </c>
      <c r="D86" s="339">
        <v>2</v>
      </c>
      <c r="E86" s="337">
        <f t="shared" si="35"/>
        <v>2</v>
      </c>
      <c r="F86" s="338">
        <f t="shared" si="36"/>
        <v>0</v>
      </c>
      <c r="G86" s="342">
        <v>4</v>
      </c>
      <c r="H86" s="338" t="s">
        <v>525</v>
      </c>
      <c r="I86" s="341">
        <v>44534</v>
      </c>
      <c r="J86" s="341">
        <f t="shared" si="37"/>
        <v>44539</v>
      </c>
      <c r="K86" s="328"/>
      <c r="L86" s="328"/>
      <c r="M86" s="328"/>
      <c r="N86" s="328"/>
      <c r="O86" s="328"/>
      <c r="P86" s="328"/>
      <c r="Q86" s="328"/>
      <c r="R86" s="328"/>
      <c r="S86" s="328"/>
      <c r="T86" s="328"/>
      <c r="U86" s="343">
        <v>2</v>
      </c>
      <c r="CI86" s="343">
        <f t="shared" si="29"/>
        <v>0</v>
      </c>
    </row>
    <row r="87" spans="1:87" ht="27" hidden="1" customHeight="1">
      <c r="A87" s="332">
        <v>83</v>
      </c>
      <c r="B87" s="96" t="s">
        <v>1228</v>
      </c>
      <c r="C87" s="338" t="s">
        <v>823</v>
      </c>
      <c r="D87" s="339">
        <v>1</v>
      </c>
      <c r="E87" s="337">
        <f t="shared" si="35"/>
        <v>1</v>
      </c>
      <c r="F87" s="338">
        <f t="shared" si="36"/>
        <v>0</v>
      </c>
      <c r="G87" s="342">
        <v>4</v>
      </c>
      <c r="H87" s="338" t="s">
        <v>525</v>
      </c>
      <c r="I87" s="341">
        <v>44534</v>
      </c>
      <c r="J87" s="341">
        <f t="shared" si="37"/>
        <v>44539</v>
      </c>
      <c r="K87" s="328"/>
      <c r="L87" s="328"/>
      <c r="M87" s="328"/>
      <c r="N87" s="328"/>
      <c r="O87" s="328"/>
      <c r="P87" s="328"/>
      <c r="Q87" s="328"/>
      <c r="R87" s="328"/>
      <c r="S87" s="328"/>
      <c r="T87" s="328">
        <v>1</v>
      </c>
      <c r="CI87" s="343">
        <f t="shared" si="29"/>
        <v>0</v>
      </c>
    </row>
    <row r="88" spans="1:87" ht="27" hidden="1" customHeight="1">
      <c r="A88" s="337">
        <v>84</v>
      </c>
      <c r="B88" s="96" t="s">
        <v>1272</v>
      </c>
      <c r="C88" s="338" t="s">
        <v>1207</v>
      </c>
      <c r="D88" s="339">
        <v>2</v>
      </c>
      <c r="E88" s="337">
        <f t="shared" si="35"/>
        <v>2</v>
      </c>
      <c r="F88" s="338">
        <f t="shared" si="36"/>
        <v>0</v>
      </c>
      <c r="G88" s="342">
        <v>4</v>
      </c>
      <c r="H88" s="338" t="s">
        <v>525</v>
      </c>
      <c r="I88" s="341">
        <v>44534</v>
      </c>
      <c r="J88" s="341">
        <f t="shared" si="37"/>
        <v>44539</v>
      </c>
      <c r="K88" s="328"/>
      <c r="L88" s="328"/>
      <c r="M88" s="328"/>
      <c r="N88" s="328"/>
      <c r="O88" s="328"/>
      <c r="P88" s="328"/>
      <c r="Q88" s="328"/>
      <c r="R88" s="328"/>
      <c r="S88" s="328"/>
      <c r="T88" s="328">
        <v>2</v>
      </c>
      <c r="CI88" s="343">
        <f t="shared" si="29"/>
        <v>0</v>
      </c>
    </row>
    <row r="89" spans="1:87" ht="27" hidden="1" customHeight="1">
      <c r="A89" s="332">
        <v>85</v>
      </c>
      <c r="B89" s="338" t="s">
        <v>2065</v>
      </c>
      <c r="C89" s="338" t="s">
        <v>1190</v>
      </c>
      <c r="D89" s="339">
        <v>1</v>
      </c>
      <c r="E89" s="337">
        <f t="shared" ref="E89" si="38">SUM(K89:RH89)</f>
        <v>1</v>
      </c>
      <c r="F89" s="338">
        <f>D89-E89</f>
        <v>0</v>
      </c>
      <c r="G89" s="342">
        <v>6</v>
      </c>
      <c r="H89" s="338" t="s">
        <v>525</v>
      </c>
      <c r="I89" s="341">
        <v>44534</v>
      </c>
      <c r="J89" s="341">
        <f t="shared" ref="J89:J99" si="39">I89+5</f>
        <v>44539</v>
      </c>
      <c r="K89" s="328"/>
      <c r="L89" s="328"/>
      <c r="M89" s="328"/>
      <c r="N89" s="328"/>
      <c r="O89" s="328"/>
      <c r="P89" s="328"/>
      <c r="Q89" s="328"/>
      <c r="R89" s="328"/>
      <c r="S89" s="328"/>
      <c r="T89" s="328"/>
      <c r="Z89" s="343">
        <v>1</v>
      </c>
      <c r="CI89" s="343">
        <f t="shared" si="29"/>
        <v>0</v>
      </c>
    </row>
    <row r="90" spans="1:87" ht="27" hidden="1" customHeight="1">
      <c r="A90" s="337">
        <v>86</v>
      </c>
      <c r="B90" s="338" t="s">
        <v>2065</v>
      </c>
      <c r="C90" s="338" t="s">
        <v>1191</v>
      </c>
      <c r="D90" s="339">
        <v>3</v>
      </c>
      <c r="E90" s="337">
        <f t="shared" ref="E90:E94" si="40">SUM(K90:RH90)</f>
        <v>3</v>
      </c>
      <c r="F90" s="338">
        <f t="shared" ref="F90:F94" si="41">D90-E90</f>
        <v>0</v>
      </c>
      <c r="G90" s="342">
        <v>6</v>
      </c>
      <c r="H90" s="338" t="s">
        <v>525</v>
      </c>
      <c r="I90" s="341">
        <v>44534</v>
      </c>
      <c r="J90" s="341">
        <f t="shared" si="39"/>
        <v>44539</v>
      </c>
      <c r="K90" s="328"/>
      <c r="L90" s="328"/>
      <c r="M90" s="328"/>
      <c r="N90" s="328"/>
      <c r="O90" s="328"/>
      <c r="P90" s="328"/>
      <c r="Q90" s="328"/>
      <c r="R90" s="328"/>
      <c r="S90" s="328"/>
      <c r="T90" s="328"/>
      <c r="X90" s="343">
        <v>3</v>
      </c>
      <c r="CI90" s="343">
        <f t="shared" si="29"/>
        <v>0</v>
      </c>
    </row>
    <row r="91" spans="1:87" ht="27" hidden="1" customHeight="1">
      <c r="A91" s="332">
        <v>87</v>
      </c>
      <c r="B91" s="338" t="s">
        <v>2065</v>
      </c>
      <c r="C91" s="215" t="s">
        <v>1052</v>
      </c>
      <c r="D91" s="346">
        <v>1</v>
      </c>
      <c r="E91" s="337">
        <f t="shared" si="40"/>
        <v>1</v>
      </c>
      <c r="F91" s="338">
        <f t="shared" si="41"/>
        <v>0</v>
      </c>
      <c r="G91" s="342">
        <v>6</v>
      </c>
      <c r="H91" s="338" t="s">
        <v>525</v>
      </c>
      <c r="I91" s="341">
        <v>44534</v>
      </c>
      <c r="J91" s="341">
        <f t="shared" si="39"/>
        <v>44539</v>
      </c>
      <c r="AE91" s="343">
        <v>1</v>
      </c>
      <c r="CI91" s="343">
        <f t="shared" si="29"/>
        <v>0</v>
      </c>
    </row>
    <row r="92" spans="1:87" ht="27" hidden="1" customHeight="1">
      <c r="A92" s="337">
        <v>88</v>
      </c>
      <c r="B92" s="96" t="s">
        <v>1245</v>
      </c>
      <c r="C92" s="215" t="s">
        <v>2105</v>
      </c>
      <c r="D92" s="346">
        <v>1</v>
      </c>
      <c r="E92" s="337">
        <f t="shared" si="40"/>
        <v>1</v>
      </c>
      <c r="F92" s="338">
        <f t="shared" si="41"/>
        <v>0</v>
      </c>
      <c r="G92" s="342">
        <v>6</v>
      </c>
      <c r="H92" s="338" t="s">
        <v>525</v>
      </c>
      <c r="I92" s="341">
        <v>44534</v>
      </c>
      <c r="J92" s="341">
        <f t="shared" si="39"/>
        <v>44539</v>
      </c>
      <c r="X92" s="343">
        <v>1</v>
      </c>
      <c r="CI92" s="343">
        <f t="shared" si="29"/>
        <v>0</v>
      </c>
    </row>
    <row r="93" spans="1:87" ht="27" hidden="1" customHeight="1">
      <c r="A93" s="332">
        <v>89</v>
      </c>
      <c r="B93" s="112" t="s">
        <v>1995</v>
      </c>
      <c r="C93" s="215" t="s">
        <v>1924</v>
      </c>
      <c r="D93" s="346">
        <v>1</v>
      </c>
      <c r="E93" s="337">
        <f t="shared" si="40"/>
        <v>1</v>
      </c>
      <c r="F93" s="338">
        <f t="shared" si="41"/>
        <v>0</v>
      </c>
      <c r="G93" s="342">
        <v>6</v>
      </c>
      <c r="H93" s="338" t="s">
        <v>525</v>
      </c>
      <c r="I93" s="341">
        <v>44534</v>
      </c>
      <c r="J93" s="341">
        <f t="shared" si="39"/>
        <v>44539</v>
      </c>
      <c r="AJ93" s="343">
        <v>1</v>
      </c>
      <c r="CI93" s="343">
        <f t="shared" si="29"/>
        <v>0</v>
      </c>
    </row>
    <row r="94" spans="1:87" ht="27" hidden="1" customHeight="1">
      <c r="A94" s="337">
        <v>90</v>
      </c>
      <c r="B94" s="338" t="s">
        <v>2065</v>
      </c>
      <c r="C94" s="215" t="s">
        <v>2002</v>
      </c>
      <c r="D94" s="346">
        <v>2</v>
      </c>
      <c r="E94" s="337">
        <f t="shared" si="40"/>
        <v>2</v>
      </c>
      <c r="F94" s="338">
        <f t="shared" si="41"/>
        <v>0</v>
      </c>
      <c r="G94" s="342">
        <v>6</v>
      </c>
      <c r="H94" s="338" t="s">
        <v>525</v>
      </c>
      <c r="I94" s="341">
        <v>44534</v>
      </c>
      <c r="J94" s="341">
        <f t="shared" si="39"/>
        <v>44539</v>
      </c>
      <c r="X94" s="343">
        <v>2</v>
      </c>
      <c r="CI94" s="343">
        <f t="shared" si="29"/>
        <v>0</v>
      </c>
    </row>
    <row r="95" spans="1:87" ht="27" hidden="1" customHeight="1">
      <c r="A95" s="332">
        <v>91</v>
      </c>
      <c r="B95" s="326" t="s">
        <v>1713</v>
      </c>
      <c r="C95" s="215" t="s">
        <v>1548</v>
      </c>
      <c r="D95" s="346">
        <v>1</v>
      </c>
      <c r="E95" s="337">
        <f t="shared" ref="E95:E97" si="42">SUM(K95:RH95)</f>
        <v>1</v>
      </c>
      <c r="F95" s="338">
        <f t="shared" ref="F95:F96" si="43">D95-E95</f>
        <v>0</v>
      </c>
      <c r="G95" s="347" t="s">
        <v>1776</v>
      </c>
      <c r="H95" s="326" t="s">
        <v>526</v>
      </c>
      <c r="I95" s="351">
        <v>44537</v>
      </c>
      <c r="J95" s="341">
        <f t="shared" si="39"/>
        <v>44542</v>
      </c>
      <c r="T95" s="343">
        <v>1</v>
      </c>
      <c r="CI95" s="343">
        <f t="shared" si="29"/>
        <v>0</v>
      </c>
    </row>
    <row r="96" spans="1:87" ht="27" hidden="1" customHeight="1">
      <c r="A96" s="337">
        <v>92</v>
      </c>
      <c r="B96" s="326" t="s">
        <v>1619</v>
      </c>
      <c r="C96" s="215" t="s">
        <v>514</v>
      </c>
      <c r="D96" s="346">
        <v>1</v>
      </c>
      <c r="E96" s="337">
        <f t="shared" si="42"/>
        <v>1</v>
      </c>
      <c r="F96" s="338">
        <f t="shared" si="43"/>
        <v>0</v>
      </c>
      <c r="G96" s="347" t="s">
        <v>1776</v>
      </c>
      <c r="H96" s="326" t="s">
        <v>526</v>
      </c>
      <c r="I96" s="351">
        <v>44537</v>
      </c>
      <c r="J96" s="341">
        <f t="shared" si="39"/>
        <v>44542</v>
      </c>
      <c r="T96" s="343">
        <v>1</v>
      </c>
      <c r="CI96" s="343">
        <f t="shared" si="29"/>
        <v>0</v>
      </c>
    </row>
    <row r="97" spans="1:87" ht="27" hidden="1" customHeight="1">
      <c r="A97" s="332">
        <v>93</v>
      </c>
      <c r="B97" s="215" t="s">
        <v>1713</v>
      </c>
      <c r="C97" s="215" t="s">
        <v>1548</v>
      </c>
      <c r="D97" s="346">
        <v>1</v>
      </c>
      <c r="E97" s="337">
        <f t="shared" si="42"/>
        <v>1</v>
      </c>
      <c r="F97" s="338">
        <f>D97-E97</f>
        <v>0</v>
      </c>
      <c r="G97" s="347" t="s">
        <v>1776</v>
      </c>
      <c r="H97" s="326" t="s">
        <v>526</v>
      </c>
      <c r="I97" s="351">
        <v>44538</v>
      </c>
      <c r="J97" s="341">
        <f t="shared" si="39"/>
        <v>44543</v>
      </c>
      <c r="AS97" s="343">
        <v>1</v>
      </c>
      <c r="CI97" s="343">
        <f t="shared" si="29"/>
        <v>0</v>
      </c>
    </row>
    <row r="98" spans="1:87" ht="27" hidden="1" customHeight="1">
      <c r="A98" s="337">
        <v>94</v>
      </c>
      <c r="B98" s="326" t="s">
        <v>1619</v>
      </c>
      <c r="C98" s="326" t="s">
        <v>2265</v>
      </c>
      <c r="D98" s="346">
        <v>1</v>
      </c>
      <c r="E98" s="337">
        <f t="shared" ref="E98:E105" si="44">SUM(K98:RH98)</f>
        <v>1</v>
      </c>
      <c r="F98" s="338">
        <f>D98-E98</f>
        <v>0</v>
      </c>
      <c r="G98" s="347" t="s">
        <v>1776</v>
      </c>
      <c r="H98" s="326" t="s">
        <v>526</v>
      </c>
      <c r="I98" s="351">
        <v>44538</v>
      </c>
      <c r="J98" s="341">
        <f t="shared" ref="J98" si="45">I98+5</f>
        <v>44543</v>
      </c>
      <c r="U98" s="343">
        <v>1</v>
      </c>
      <c r="CI98" s="343">
        <f t="shared" si="29"/>
        <v>0</v>
      </c>
    </row>
    <row r="99" spans="1:87" ht="27" hidden="1" customHeight="1">
      <c r="A99" s="332">
        <v>95</v>
      </c>
      <c r="B99" s="326" t="s">
        <v>1231</v>
      </c>
      <c r="C99" s="326" t="s">
        <v>625</v>
      </c>
      <c r="D99" s="346">
        <v>4</v>
      </c>
      <c r="E99" s="337">
        <f t="shared" si="44"/>
        <v>4</v>
      </c>
      <c r="F99" s="338">
        <f t="shared" ref="F99:F105" si="46">D99-E99</f>
        <v>0</v>
      </c>
      <c r="G99" s="347">
        <v>4</v>
      </c>
      <c r="H99" s="326" t="s">
        <v>525</v>
      </c>
      <c r="I99" s="351">
        <v>44540</v>
      </c>
      <c r="J99" s="341">
        <f t="shared" si="39"/>
        <v>44545</v>
      </c>
      <c r="Z99" s="343">
        <v>4</v>
      </c>
      <c r="CI99" s="343">
        <f t="shared" si="29"/>
        <v>0</v>
      </c>
    </row>
    <row r="100" spans="1:87" ht="27" hidden="1" customHeight="1">
      <c r="A100" s="337">
        <v>96</v>
      </c>
      <c r="B100" s="326" t="s">
        <v>1231</v>
      </c>
      <c r="C100" s="326" t="s">
        <v>605</v>
      </c>
      <c r="D100" s="346">
        <v>2</v>
      </c>
      <c r="E100" s="337">
        <f t="shared" si="44"/>
        <v>2</v>
      </c>
      <c r="F100" s="338">
        <f t="shared" si="46"/>
        <v>0</v>
      </c>
      <c r="G100" s="347">
        <v>4</v>
      </c>
      <c r="H100" s="326" t="s">
        <v>525</v>
      </c>
      <c r="I100" s="351">
        <v>44540</v>
      </c>
      <c r="J100" s="341">
        <f t="shared" ref="J100:J105" si="47">I100+5</f>
        <v>44545</v>
      </c>
      <c r="Z100" s="343">
        <v>2</v>
      </c>
      <c r="CI100" s="343">
        <f t="shared" si="29"/>
        <v>0</v>
      </c>
    </row>
    <row r="101" spans="1:87" ht="27" hidden="1" customHeight="1">
      <c r="A101" s="332">
        <v>97</v>
      </c>
      <c r="B101" s="326" t="s">
        <v>1231</v>
      </c>
      <c r="C101" s="326" t="s">
        <v>625</v>
      </c>
      <c r="D101" s="346">
        <v>4</v>
      </c>
      <c r="E101" s="337">
        <f t="shared" si="44"/>
        <v>4</v>
      </c>
      <c r="F101" s="338">
        <f t="shared" si="46"/>
        <v>0</v>
      </c>
      <c r="G101" s="347">
        <v>4</v>
      </c>
      <c r="H101" s="326" t="s">
        <v>525</v>
      </c>
      <c r="I101" s="351">
        <v>44540</v>
      </c>
      <c r="J101" s="341">
        <f t="shared" si="47"/>
        <v>44545</v>
      </c>
      <c r="Z101" s="343">
        <v>4</v>
      </c>
      <c r="CI101" s="343">
        <f t="shared" si="29"/>
        <v>0</v>
      </c>
    </row>
    <row r="102" spans="1:87" ht="27" hidden="1" customHeight="1">
      <c r="A102" s="337">
        <v>98</v>
      </c>
      <c r="B102" s="326" t="s">
        <v>1231</v>
      </c>
      <c r="C102" s="326" t="s">
        <v>605</v>
      </c>
      <c r="D102" s="346">
        <v>2</v>
      </c>
      <c r="E102" s="337">
        <f t="shared" si="44"/>
        <v>2</v>
      </c>
      <c r="F102" s="338">
        <f t="shared" si="46"/>
        <v>0</v>
      </c>
      <c r="G102" s="347">
        <v>4</v>
      </c>
      <c r="H102" s="326" t="s">
        <v>525</v>
      </c>
      <c r="I102" s="351">
        <v>44540</v>
      </c>
      <c r="J102" s="341">
        <f t="shared" si="47"/>
        <v>44545</v>
      </c>
      <c r="Z102" s="343">
        <v>2</v>
      </c>
      <c r="CI102" s="343">
        <f t="shared" si="29"/>
        <v>0</v>
      </c>
    </row>
    <row r="103" spans="1:87" ht="27" hidden="1" customHeight="1">
      <c r="A103" s="332">
        <v>99</v>
      </c>
      <c r="B103" s="326" t="s">
        <v>1231</v>
      </c>
      <c r="C103" s="326" t="s">
        <v>625</v>
      </c>
      <c r="D103" s="346">
        <v>3</v>
      </c>
      <c r="E103" s="337">
        <f t="shared" si="44"/>
        <v>3</v>
      </c>
      <c r="F103" s="338">
        <f t="shared" si="46"/>
        <v>0</v>
      </c>
      <c r="G103" s="347">
        <v>4</v>
      </c>
      <c r="H103" s="326" t="s">
        <v>525</v>
      </c>
      <c r="I103" s="351">
        <v>44540</v>
      </c>
      <c r="J103" s="341">
        <f t="shared" si="47"/>
        <v>44545</v>
      </c>
      <c r="Z103" s="343">
        <v>3</v>
      </c>
      <c r="CI103" s="343">
        <f t="shared" si="29"/>
        <v>0</v>
      </c>
    </row>
    <row r="104" spans="1:87" ht="27" hidden="1" customHeight="1">
      <c r="A104" s="337">
        <v>100</v>
      </c>
      <c r="B104" s="326" t="s">
        <v>1248</v>
      </c>
      <c r="C104" s="326" t="s">
        <v>2271</v>
      </c>
      <c r="D104" s="346">
        <v>1</v>
      </c>
      <c r="E104" s="337">
        <f t="shared" si="44"/>
        <v>1</v>
      </c>
      <c r="F104" s="338">
        <f t="shared" si="46"/>
        <v>0</v>
      </c>
      <c r="G104" s="347">
        <v>4</v>
      </c>
      <c r="H104" s="326" t="s">
        <v>525</v>
      </c>
      <c r="I104" s="351">
        <v>44540</v>
      </c>
      <c r="J104" s="341">
        <f t="shared" si="47"/>
        <v>44545</v>
      </c>
      <c r="AD104" s="343">
        <v>1</v>
      </c>
      <c r="CI104" s="343">
        <f t="shared" si="29"/>
        <v>0</v>
      </c>
    </row>
    <row r="105" spans="1:87" ht="27" hidden="1" customHeight="1">
      <c r="A105" s="332">
        <v>101</v>
      </c>
      <c r="B105" s="326" t="s">
        <v>2270</v>
      </c>
      <c r="C105" s="326" t="s">
        <v>572</v>
      </c>
      <c r="D105" s="346">
        <v>1</v>
      </c>
      <c r="E105" s="337">
        <f t="shared" si="44"/>
        <v>1</v>
      </c>
      <c r="F105" s="338">
        <f t="shared" si="46"/>
        <v>0</v>
      </c>
      <c r="G105" s="347">
        <v>4</v>
      </c>
      <c r="H105" s="326" t="s">
        <v>525</v>
      </c>
      <c r="I105" s="351">
        <v>44540</v>
      </c>
      <c r="J105" s="341">
        <f t="shared" si="47"/>
        <v>44545</v>
      </c>
      <c r="AN105" s="343">
        <v>1</v>
      </c>
      <c r="CI105" s="343">
        <f t="shared" si="29"/>
        <v>0</v>
      </c>
    </row>
    <row r="106" spans="1:87" ht="27" hidden="1" customHeight="1">
      <c r="A106" s="337">
        <v>102</v>
      </c>
      <c r="B106" s="326" t="s">
        <v>2272</v>
      </c>
      <c r="C106" s="326" t="s">
        <v>2273</v>
      </c>
      <c r="D106" s="346">
        <v>1</v>
      </c>
      <c r="E106" s="337">
        <f t="shared" ref="E106:E112" si="48">SUM(K106:RH106)</f>
        <v>1</v>
      </c>
      <c r="F106" s="338">
        <f t="shared" ref="F106:F112" si="49">D106-E106</f>
        <v>0</v>
      </c>
      <c r="G106" s="347">
        <v>3</v>
      </c>
      <c r="H106" s="326" t="s">
        <v>525</v>
      </c>
      <c r="I106" s="351">
        <v>44540</v>
      </c>
      <c r="J106" s="341">
        <f t="shared" ref="J106:J112" si="50">I106+5</f>
        <v>44545</v>
      </c>
      <c r="Z106" s="343">
        <v>1</v>
      </c>
      <c r="CI106" s="343">
        <f t="shared" si="29"/>
        <v>0</v>
      </c>
    </row>
    <row r="107" spans="1:87" ht="27" hidden="1" customHeight="1">
      <c r="A107" s="332">
        <v>103</v>
      </c>
      <c r="B107" s="326" t="s">
        <v>1283</v>
      </c>
      <c r="C107" s="326" t="s">
        <v>1986</v>
      </c>
      <c r="D107" s="346">
        <v>1</v>
      </c>
      <c r="E107" s="337">
        <f t="shared" si="48"/>
        <v>1</v>
      </c>
      <c r="F107" s="338">
        <f t="shared" si="49"/>
        <v>0</v>
      </c>
      <c r="G107" s="347">
        <v>3</v>
      </c>
      <c r="H107" s="326" t="s">
        <v>525</v>
      </c>
      <c r="I107" s="351">
        <v>44540</v>
      </c>
      <c r="J107" s="341">
        <f t="shared" si="50"/>
        <v>44545</v>
      </c>
      <c r="BI107" s="343">
        <v>1</v>
      </c>
      <c r="CI107" s="343">
        <f t="shared" si="29"/>
        <v>0</v>
      </c>
    </row>
    <row r="108" spans="1:87" ht="27" hidden="1" customHeight="1">
      <c r="A108" s="337">
        <v>104</v>
      </c>
      <c r="B108" s="326" t="s">
        <v>1245</v>
      </c>
      <c r="C108" s="326" t="s">
        <v>2105</v>
      </c>
      <c r="D108" s="346">
        <v>2</v>
      </c>
      <c r="E108" s="337">
        <f t="shared" si="48"/>
        <v>2</v>
      </c>
      <c r="F108" s="338">
        <f t="shared" si="49"/>
        <v>0</v>
      </c>
      <c r="G108" s="347">
        <v>6</v>
      </c>
      <c r="H108" s="326" t="s">
        <v>525</v>
      </c>
      <c r="I108" s="351">
        <v>44540</v>
      </c>
      <c r="J108" s="341">
        <f t="shared" si="50"/>
        <v>44545</v>
      </c>
      <c r="X108" s="343">
        <v>2</v>
      </c>
      <c r="CI108" s="343">
        <f t="shared" si="29"/>
        <v>0</v>
      </c>
    </row>
    <row r="109" spans="1:87" ht="27" hidden="1" customHeight="1">
      <c r="A109" s="332">
        <v>105</v>
      </c>
      <c r="B109" s="326" t="s">
        <v>1245</v>
      </c>
      <c r="C109" s="326" t="s">
        <v>2002</v>
      </c>
      <c r="D109" s="346">
        <v>3</v>
      </c>
      <c r="E109" s="337">
        <f t="shared" si="48"/>
        <v>3</v>
      </c>
      <c r="F109" s="338">
        <f t="shared" si="49"/>
        <v>0</v>
      </c>
      <c r="G109" s="347">
        <v>6</v>
      </c>
      <c r="H109" s="326" t="s">
        <v>525</v>
      </c>
      <c r="I109" s="351">
        <v>44540</v>
      </c>
      <c r="J109" s="341">
        <f t="shared" si="50"/>
        <v>44545</v>
      </c>
      <c r="X109" s="343">
        <v>3</v>
      </c>
      <c r="CI109" s="343">
        <f t="shared" si="29"/>
        <v>0</v>
      </c>
    </row>
    <row r="110" spans="1:87" ht="27" hidden="1" customHeight="1">
      <c r="A110" s="337">
        <v>106</v>
      </c>
      <c r="B110" s="326" t="s">
        <v>2065</v>
      </c>
      <c r="C110" s="326" t="s">
        <v>1051</v>
      </c>
      <c r="D110" s="346">
        <v>3</v>
      </c>
      <c r="E110" s="337">
        <f t="shared" si="48"/>
        <v>3</v>
      </c>
      <c r="F110" s="338">
        <f t="shared" si="49"/>
        <v>0</v>
      </c>
      <c r="G110" s="347">
        <v>6</v>
      </c>
      <c r="H110" s="326" t="s">
        <v>525</v>
      </c>
      <c r="I110" s="351">
        <v>44540</v>
      </c>
      <c r="J110" s="341">
        <f t="shared" si="50"/>
        <v>44545</v>
      </c>
      <c r="X110" s="343">
        <v>3</v>
      </c>
      <c r="CI110" s="343">
        <f t="shared" si="29"/>
        <v>0</v>
      </c>
    </row>
    <row r="111" spans="1:87" ht="27" hidden="1" customHeight="1">
      <c r="A111" s="332">
        <v>107</v>
      </c>
      <c r="B111" s="326" t="s">
        <v>2065</v>
      </c>
      <c r="C111" s="326" t="s">
        <v>1052</v>
      </c>
      <c r="D111" s="346">
        <v>3</v>
      </c>
      <c r="E111" s="337">
        <f t="shared" si="48"/>
        <v>3</v>
      </c>
      <c r="F111" s="338">
        <f t="shared" si="49"/>
        <v>0</v>
      </c>
      <c r="G111" s="347">
        <v>6</v>
      </c>
      <c r="H111" s="326" t="s">
        <v>525</v>
      </c>
      <c r="I111" s="351">
        <v>44540</v>
      </c>
      <c r="J111" s="341">
        <f t="shared" si="50"/>
        <v>44545</v>
      </c>
      <c r="X111" s="343">
        <v>3</v>
      </c>
      <c r="CI111" s="343">
        <f t="shared" si="29"/>
        <v>0</v>
      </c>
    </row>
    <row r="112" spans="1:87" ht="27" hidden="1" customHeight="1">
      <c r="A112" s="337">
        <v>108</v>
      </c>
      <c r="B112" s="326" t="s">
        <v>1220</v>
      </c>
      <c r="C112" s="326" t="s">
        <v>727</v>
      </c>
      <c r="D112" s="346">
        <v>1</v>
      </c>
      <c r="E112" s="337">
        <f t="shared" si="48"/>
        <v>1</v>
      </c>
      <c r="F112" s="338">
        <f t="shared" si="49"/>
        <v>0</v>
      </c>
      <c r="G112" s="347">
        <v>6</v>
      </c>
      <c r="H112" s="326" t="s">
        <v>525</v>
      </c>
      <c r="I112" s="351">
        <v>44540</v>
      </c>
      <c r="J112" s="341">
        <f t="shared" si="50"/>
        <v>44545</v>
      </c>
      <c r="X112" s="343">
        <v>1</v>
      </c>
      <c r="CI112" s="343">
        <f t="shared" si="29"/>
        <v>0</v>
      </c>
    </row>
    <row r="113" spans="1:87" ht="27" hidden="1" customHeight="1">
      <c r="A113" s="332">
        <v>109</v>
      </c>
      <c r="B113" s="326" t="s">
        <v>2065</v>
      </c>
      <c r="C113" s="326" t="s">
        <v>1191</v>
      </c>
      <c r="D113" s="346">
        <v>1</v>
      </c>
      <c r="E113" s="337">
        <f t="shared" ref="E113:E118" si="51">SUM(K113:RH113)</f>
        <v>1</v>
      </c>
      <c r="F113" s="338">
        <f t="shared" ref="F113:F118" si="52">D113-E113</f>
        <v>0</v>
      </c>
      <c r="G113" s="347">
        <v>6</v>
      </c>
      <c r="H113" s="326" t="s">
        <v>525</v>
      </c>
      <c r="I113" s="351">
        <v>44540</v>
      </c>
      <c r="J113" s="341">
        <f t="shared" ref="J113:J121" si="53">I113+5</f>
        <v>44545</v>
      </c>
      <c r="AE113" s="343">
        <v>1</v>
      </c>
      <c r="CI113" s="343">
        <f t="shared" si="29"/>
        <v>0</v>
      </c>
    </row>
    <row r="114" spans="1:87" ht="27" hidden="1" customHeight="1">
      <c r="A114" s="337">
        <v>110</v>
      </c>
      <c r="B114" s="326" t="s">
        <v>1995</v>
      </c>
      <c r="C114" s="326" t="s">
        <v>1904</v>
      </c>
      <c r="D114" s="346">
        <v>4</v>
      </c>
      <c r="E114" s="337">
        <f t="shared" si="51"/>
        <v>4</v>
      </c>
      <c r="F114" s="338">
        <f t="shared" si="52"/>
        <v>0</v>
      </c>
      <c r="G114" s="357">
        <v>6</v>
      </c>
      <c r="H114" s="358" t="s">
        <v>525</v>
      </c>
      <c r="I114" s="359">
        <v>44540</v>
      </c>
      <c r="J114" s="336">
        <f t="shared" si="53"/>
        <v>44545</v>
      </c>
      <c r="X114" s="343">
        <v>4</v>
      </c>
      <c r="CI114" s="343">
        <f t="shared" si="29"/>
        <v>0</v>
      </c>
    </row>
    <row r="115" spans="1:87" ht="27" hidden="1" customHeight="1">
      <c r="A115" s="332">
        <v>111</v>
      </c>
      <c r="B115" s="326" t="s">
        <v>2162</v>
      </c>
      <c r="C115" s="326" t="s">
        <v>572</v>
      </c>
      <c r="D115" s="346">
        <v>1</v>
      </c>
      <c r="E115" s="337">
        <f t="shared" si="51"/>
        <v>1</v>
      </c>
      <c r="F115" s="338">
        <f t="shared" si="52"/>
        <v>0</v>
      </c>
      <c r="G115" s="347" t="s">
        <v>1776</v>
      </c>
      <c r="H115" s="326" t="s">
        <v>526</v>
      </c>
      <c r="I115" s="351">
        <v>44540</v>
      </c>
      <c r="J115" s="341">
        <f t="shared" si="53"/>
        <v>44545</v>
      </c>
      <c r="X115" s="343">
        <v>1</v>
      </c>
      <c r="CI115" s="343">
        <f t="shared" si="29"/>
        <v>0</v>
      </c>
    </row>
    <row r="116" spans="1:87" ht="27" hidden="1" customHeight="1">
      <c r="A116" s="337">
        <v>112</v>
      </c>
      <c r="B116" s="326" t="s">
        <v>1619</v>
      </c>
      <c r="C116" s="326" t="s">
        <v>514</v>
      </c>
      <c r="D116" s="346">
        <v>1</v>
      </c>
      <c r="E116" s="337">
        <f t="shared" si="51"/>
        <v>1</v>
      </c>
      <c r="F116" s="338">
        <f t="shared" si="52"/>
        <v>0</v>
      </c>
      <c r="G116" s="347" t="s">
        <v>1776</v>
      </c>
      <c r="H116" s="326" t="s">
        <v>526</v>
      </c>
      <c r="I116" s="351">
        <v>44540</v>
      </c>
      <c r="J116" s="341">
        <f t="shared" si="53"/>
        <v>44545</v>
      </c>
      <c r="X116" s="343">
        <v>1</v>
      </c>
      <c r="CI116" s="343">
        <f t="shared" si="29"/>
        <v>0</v>
      </c>
    </row>
    <row r="117" spans="1:87" ht="27" hidden="1" customHeight="1">
      <c r="A117" s="332">
        <v>113</v>
      </c>
      <c r="B117" s="326" t="s">
        <v>1031</v>
      </c>
      <c r="C117" s="326" t="s">
        <v>231</v>
      </c>
      <c r="D117" s="346">
        <v>1</v>
      </c>
      <c r="E117" s="337">
        <f t="shared" si="51"/>
        <v>1</v>
      </c>
      <c r="F117" s="338">
        <f t="shared" si="52"/>
        <v>0</v>
      </c>
      <c r="G117" s="347" t="s">
        <v>1776</v>
      </c>
      <c r="H117" s="326" t="s">
        <v>526</v>
      </c>
      <c r="I117" s="351">
        <v>44540</v>
      </c>
      <c r="J117" s="341">
        <f t="shared" si="53"/>
        <v>44545</v>
      </c>
      <c r="X117" s="343">
        <v>1</v>
      </c>
      <c r="CI117" s="343">
        <f t="shared" si="29"/>
        <v>0</v>
      </c>
    </row>
    <row r="118" spans="1:87" ht="27" hidden="1" customHeight="1">
      <c r="A118" s="337">
        <v>114</v>
      </c>
      <c r="B118" s="326" t="s">
        <v>1430</v>
      </c>
      <c r="C118" s="326" t="s">
        <v>835</v>
      </c>
      <c r="D118" s="346">
        <v>1</v>
      </c>
      <c r="E118" s="337">
        <f t="shared" si="51"/>
        <v>1</v>
      </c>
      <c r="F118" s="338">
        <f t="shared" si="52"/>
        <v>0</v>
      </c>
      <c r="G118" s="347" t="s">
        <v>1776</v>
      </c>
      <c r="H118" s="326" t="s">
        <v>526</v>
      </c>
      <c r="I118" s="351">
        <v>44540</v>
      </c>
      <c r="J118" s="341">
        <f t="shared" si="53"/>
        <v>44545</v>
      </c>
      <c r="Z118" s="343">
        <v>1</v>
      </c>
      <c r="CI118" s="343">
        <f t="shared" si="29"/>
        <v>0</v>
      </c>
    </row>
    <row r="119" spans="1:87" ht="27" hidden="1" customHeight="1">
      <c r="A119" s="332">
        <v>115</v>
      </c>
      <c r="B119" s="326" t="s">
        <v>1713</v>
      </c>
      <c r="C119" s="326" t="s">
        <v>1548</v>
      </c>
      <c r="D119" s="346">
        <v>1</v>
      </c>
      <c r="E119" s="337">
        <f t="shared" ref="E119" si="54">SUM(K119:RH119)</f>
        <v>1</v>
      </c>
      <c r="F119" s="338">
        <f t="shared" ref="F119" si="55">D119-E119</f>
        <v>0</v>
      </c>
      <c r="G119" s="347" t="s">
        <v>1776</v>
      </c>
      <c r="H119" s="326" t="s">
        <v>526</v>
      </c>
      <c r="I119" s="351">
        <v>44545</v>
      </c>
      <c r="J119" s="341">
        <f t="shared" si="53"/>
        <v>44550</v>
      </c>
      <c r="AC119" s="343">
        <v>1</v>
      </c>
      <c r="CI119" s="343">
        <f t="shared" si="29"/>
        <v>0</v>
      </c>
    </row>
    <row r="120" spans="1:87" ht="27" hidden="1" customHeight="1">
      <c r="A120" s="337">
        <v>116</v>
      </c>
      <c r="B120" s="326" t="s">
        <v>2162</v>
      </c>
      <c r="C120" s="326" t="s">
        <v>572</v>
      </c>
      <c r="D120" s="346">
        <v>2</v>
      </c>
      <c r="E120" s="337">
        <f t="shared" ref="E120" si="56">SUM(K120:RH120)</f>
        <v>2</v>
      </c>
      <c r="F120" s="338">
        <f t="shared" ref="F120" si="57">D120-E120</f>
        <v>0</v>
      </c>
      <c r="G120" s="347" t="s">
        <v>1776</v>
      </c>
      <c r="H120" s="326" t="s">
        <v>526</v>
      </c>
      <c r="I120" s="351">
        <v>44543</v>
      </c>
      <c r="J120" s="341">
        <f t="shared" si="53"/>
        <v>44548</v>
      </c>
      <c r="AC120" s="343">
        <v>2</v>
      </c>
      <c r="CI120" s="343">
        <f t="shared" si="29"/>
        <v>0</v>
      </c>
    </row>
    <row r="121" spans="1:87" ht="27" hidden="1" customHeight="1">
      <c r="A121" s="332">
        <v>117</v>
      </c>
      <c r="B121" s="326" t="s">
        <v>1921</v>
      </c>
      <c r="C121" s="326" t="s">
        <v>25</v>
      </c>
      <c r="D121" s="346">
        <v>1</v>
      </c>
      <c r="E121" s="337">
        <f t="shared" ref="E121" si="58">SUM(K121:RH121)</f>
        <v>1</v>
      </c>
      <c r="F121" s="338">
        <f t="shared" ref="F121" si="59">D121-E121</f>
        <v>0</v>
      </c>
      <c r="G121" s="347">
        <v>3</v>
      </c>
      <c r="H121" s="326" t="s">
        <v>525</v>
      </c>
      <c r="I121" s="351">
        <v>44545</v>
      </c>
      <c r="J121" s="341">
        <f t="shared" si="53"/>
        <v>44550</v>
      </c>
      <c r="AT121" s="343">
        <v>1</v>
      </c>
      <c r="CI121" s="343">
        <f t="shared" si="29"/>
        <v>0</v>
      </c>
    </row>
    <row r="122" spans="1:87" ht="27" hidden="1" customHeight="1">
      <c r="A122" s="337">
        <v>118</v>
      </c>
      <c r="B122" s="326" t="s">
        <v>1433</v>
      </c>
      <c r="C122" s="326" t="s">
        <v>1160</v>
      </c>
      <c r="D122" s="346">
        <v>1</v>
      </c>
      <c r="E122" s="337">
        <f t="shared" ref="E122:E126" si="60">SUM(K122:RH122)</f>
        <v>1</v>
      </c>
      <c r="F122" s="338">
        <f t="shared" ref="F122:F126" si="61">D122-E122</f>
        <v>0</v>
      </c>
      <c r="G122" s="347">
        <v>3</v>
      </c>
      <c r="H122" s="326" t="s">
        <v>525</v>
      </c>
      <c r="I122" s="351">
        <v>44545</v>
      </c>
      <c r="J122" s="341">
        <f t="shared" ref="J122:J126" si="62">I122+5</f>
        <v>44550</v>
      </c>
      <c r="BA122" s="343">
        <v>1</v>
      </c>
      <c r="CI122" s="343">
        <f t="shared" si="29"/>
        <v>0</v>
      </c>
    </row>
    <row r="123" spans="1:87" ht="27" customHeight="1">
      <c r="A123" s="332">
        <v>119</v>
      </c>
      <c r="B123" s="326" t="s">
        <v>1433</v>
      </c>
      <c r="C123" s="326" t="s">
        <v>1092</v>
      </c>
      <c r="D123" s="346">
        <v>1</v>
      </c>
      <c r="E123" s="337">
        <f t="shared" si="60"/>
        <v>2</v>
      </c>
      <c r="F123" s="338">
        <f t="shared" si="61"/>
        <v>-1</v>
      </c>
      <c r="G123" s="347">
        <v>3</v>
      </c>
      <c r="H123" s="326" t="s">
        <v>525</v>
      </c>
      <c r="I123" s="351">
        <v>44545</v>
      </c>
      <c r="J123" s="341">
        <f t="shared" si="62"/>
        <v>44550</v>
      </c>
      <c r="CC123" s="343">
        <v>1</v>
      </c>
      <c r="CI123" s="343">
        <f t="shared" si="29"/>
        <v>1</v>
      </c>
    </row>
    <row r="124" spans="1:87" ht="27" customHeight="1">
      <c r="A124" s="337">
        <v>120</v>
      </c>
      <c r="B124" s="326" t="s">
        <v>1433</v>
      </c>
      <c r="C124" s="326" t="s">
        <v>1093</v>
      </c>
      <c r="D124" s="346">
        <v>1</v>
      </c>
      <c r="E124" s="337">
        <f t="shared" si="60"/>
        <v>2</v>
      </c>
      <c r="F124" s="338">
        <f t="shared" si="61"/>
        <v>-1</v>
      </c>
      <c r="G124" s="347">
        <v>3</v>
      </c>
      <c r="H124" s="326" t="s">
        <v>525</v>
      </c>
      <c r="I124" s="351">
        <v>44545</v>
      </c>
      <c r="J124" s="341">
        <f t="shared" si="62"/>
        <v>44550</v>
      </c>
      <c r="CC124" s="343">
        <v>1</v>
      </c>
      <c r="CI124" s="343">
        <f t="shared" si="29"/>
        <v>1</v>
      </c>
    </row>
    <row r="125" spans="1:87" ht="27" hidden="1" customHeight="1">
      <c r="A125" s="332">
        <v>121</v>
      </c>
      <c r="B125" s="326" t="s">
        <v>1995</v>
      </c>
      <c r="C125" s="326" t="s">
        <v>1905</v>
      </c>
      <c r="D125" s="346">
        <v>1</v>
      </c>
      <c r="E125" s="337">
        <f t="shared" si="60"/>
        <v>1</v>
      </c>
      <c r="F125" s="338">
        <f t="shared" si="61"/>
        <v>0</v>
      </c>
      <c r="G125" s="347">
        <v>3</v>
      </c>
      <c r="H125" s="326" t="s">
        <v>525</v>
      </c>
      <c r="I125" s="351">
        <v>44545</v>
      </c>
      <c r="J125" s="341">
        <f t="shared" si="62"/>
        <v>44550</v>
      </c>
      <c r="AN125" s="343">
        <v>1</v>
      </c>
      <c r="CI125" s="343">
        <f t="shared" si="29"/>
        <v>0</v>
      </c>
    </row>
    <row r="126" spans="1:87" ht="27" hidden="1" customHeight="1">
      <c r="A126" s="337">
        <v>122</v>
      </c>
      <c r="B126" s="326" t="s">
        <v>1220</v>
      </c>
      <c r="C126" s="326" t="s">
        <v>2252</v>
      </c>
      <c r="D126" s="346">
        <v>1</v>
      </c>
      <c r="E126" s="337">
        <f t="shared" si="60"/>
        <v>1</v>
      </c>
      <c r="F126" s="338">
        <f t="shared" si="61"/>
        <v>0</v>
      </c>
      <c r="G126" s="347">
        <v>3</v>
      </c>
      <c r="H126" s="326" t="s">
        <v>525</v>
      </c>
      <c r="I126" s="351">
        <v>44545</v>
      </c>
      <c r="J126" s="341">
        <f t="shared" si="62"/>
        <v>44550</v>
      </c>
      <c r="AI126" s="343">
        <v>1</v>
      </c>
      <c r="CI126" s="343">
        <f t="shared" si="29"/>
        <v>0</v>
      </c>
    </row>
    <row r="127" spans="1:87" ht="27" hidden="1" customHeight="1">
      <c r="A127" s="332">
        <v>123</v>
      </c>
      <c r="B127" s="326" t="s">
        <v>1713</v>
      </c>
      <c r="C127" s="326" t="s">
        <v>1549</v>
      </c>
      <c r="D127" s="346">
        <v>1</v>
      </c>
      <c r="E127" s="337">
        <f t="shared" ref="E127:E136" si="63">SUM(K127:RH127)</f>
        <v>1</v>
      </c>
      <c r="F127" s="338">
        <f t="shared" ref="F127:F136" si="64">D127-E127</f>
        <v>0</v>
      </c>
      <c r="G127" s="347">
        <v>2</v>
      </c>
      <c r="H127" s="326" t="s">
        <v>525</v>
      </c>
      <c r="I127" s="351">
        <v>44545</v>
      </c>
      <c r="J127" s="341">
        <f t="shared" ref="J127:J129" si="65">I127+5</f>
        <v>44550</v>
      </c>
      <c r="AI127" s="343">
        <v>1</v>
      </c>
      <c r="CI127" s="343">
        <f t="shared" si="29"/>
        <v>0</v>
      </c>
    </row>
    <row r="128" spans="1:87" ht="27" hidden="1" customHeight="1">
      <c r="A128" s="337">
        <v>124</v>
      </c>
      <c r="B128" s="326" t="s">
        <v>1245</v>
      </c>
      <c r="C128" s="326" t="s">
        <v>649</v>
      </c>
      <c r="D128" s="346">
        <v>1</v>
      </c>
      <c r="E128" s="337">
        <f t="shared" si="63"/>
        <v>1</v>
      </c>
      <c r="F128" s="338">
        <f t="shared" si="64"/>
        <v>0</v>
      </c>
      <c r="G128" s="347">
        <v>2</v>
      </c>
      <c r="H128" s="326" t="s">
        <v>525</v>
      </c>
      <c r="I128" s="351">
        <v>44545</v>
      </c>
      <c r="J128" s="341">
        <f t="shared" si="65"/>
        <v>44550</v>
      </c>
      <c r="AI128" s="343">
        <v>1</v>
      </c>
      <c r="CI128" s="343">
        <f t="shared" si="29"/>
        <v>0</v>
      </c>
    </row>
    <row r="129" spans="1:87" ht="27" hidden="1" customHeight="1">
      <c r="A129" s="332">
        <v>125</v>
      </c>
      <c r="B129" s="326" t="s">
        <v>1245</v>
      </c>
      <c r="C129" s="326" t="s">
        <v>2105</v>
      </c>
      <c r="D129" s="346">
        <v>1</v>
      </c>
      <c r="E129" s="337">
        <f t="shared" si="63"/>
        <v>1</v>
      </c>
      <c r="F129" s="338">
        <f t="shared" si="64"/>
        <v>0</v>
      </c>
      <c r="G129" s="347">
        <v>6</v>
      </c>
      <c r="H129" s="326" t="s">
        <v>525</v>
      </c>
      <c r="I129" s="351">
        <v>44545</v>
      </c>
      <c r="J129" s="341">
        <f t="shared" si="65"/>
        <v>44550</v>
      </c>
      <c r="AE129" s="343">
        <v>1</v>
      </c>
      <c r="CI129" s="343">
        <f t="shared" si="29"/>
        <v>0</v>
      </c>
    </row>
    <row r="130" spans="1:87" ht="27" hidden="1" customHeight="1">
      <c r="A130" s="337">
        <v>126</v>
      </c>
      <c r="B130" s="326" t="s">
        <v>1245</v>
      </c>
      <c r="C130" s="326" t="s">
        <v>2002</v>
      </c>
      <c r="D130" s="346">
        <v>1</v>
      </c>
      <c r="E130" s="337">
        <f t="shared" si="63"/>
        <v>1</v>
      </c>
      <c r="F130" s="338">
        <f t="shared" si="64"/>
        <v>0</v>
      </c>
      <c r="G130" s="347">
        <v>6</v>
      </c>
      <c r="H130" s="326" t="s">
        <v>525</v>
      </c>
      <c r="I130" s="351">
        <v>44545</v>
      </c>
      <c r="J130" s="341">
        <f t="shared" ref="J130:J140" si="66">I130+5</f>
        <v>44550</v>
      </c>
      <c r="AE130" s="343">
        <v>1</v>
      </c>
      <c r="CI130" s="343">
        <f t="shared" si="29"/>
        <v>0</v>
      </c>
    </row>
    <row r="131" spans="1:87" ht="27" hidden="1" customHeight="1">
      <c r="A131" s="332">
        <v>127</v>
      </c>
      <c r="B131" s="326" t="s">
        <v>2065</v>
      </c>
      <c r="C131" s="326" t="s">
        <v>1190</v>
      </c>
      <c r="D131" s="346">
        <v>4</v>
      </c>
      <c r="E131" s="337">
        <f t="shared" si="63"/>
        <v>4</v>
      </c>
      <c r="F131" s="338">
        <f t="shared" si="64"/>
        <v>0</v>
      </c>
      <c r="G131" s="347">
        <v>6</v>
      </c>
      <c r="H131" s="326" t="s">
        <v>525</v>
      </c>
      <c r="I131" s="351">
        <v>44545</v>
      </c>
      <c r="J131" s="341">
        <f t="shared" si="66"/>
        <v>44550</v>
      </c>
      <c r="AJ131" s="343">
        <v>4</v>
      </c>
      <c r="CI131" s="343">
        <f t="shared" si="29"/>
        <v>0</v>
      </c>
    </row>
    <row r="132" spans="1:87" ht="27" hidden="1" customHeight="1">
      <c r="A132" s="337">
        <v>128</v>
      </c>
      <c r="B132" s="326" t="s">
        <v>2065</v>
      </c>
      <c r="C132" s="326" t="s">
        <v>1191</v>
      </c>
      <c r="D132" s="346">
        <v>2</v>
      </c>
      <c r="E132" s="337">
        <f t="shared" si="63"/>
        <v>2</v>
      </c>
      <c r="F132" s="338">
        <f t="shared" si="64"/>
        <v>0</v>
      </c>
      <c r="G132" s="347">
        <v>6</v>
      </c>
      <c r="H132" s="326" t="s">
        <v>525</v>
      </c>
      <c r="I132" s="351">
        <v>44545</v>
      </c>
      <c r="J132" s="341">
        <f t="shared" si="66"/>
        <v>44550</v>
      </c>
      <c r="AE132" s="343">
        <v>2</v>
      </c>
      <c r="CI132" s="343">
        <f t="shared" si="29"/>
        <v>0</v>
      </c>
    </row>
    <row r="133" spans="1:87" ht="27" hidden="1" customHeight="1">
      <c r="A133" s="332">
        <v>129</v>
      </c>
      <c r="B133" s="326" t="s">
        <v>1224</v>
      </c>
      <c r="C133" s="326" t="s">
        <v>1051</v>
      </c>
      <c r="D133" s="346">
        <v>2</v>
      </c>
      <c r="E133" s="337">
        <f t="shared" si="63"/>
        <v>2</v>
      </c>
      <c r="F133" s="338">
        <f t="shared" si="64"/>
        <v>0</v>
      </c>
      <c r="G133" s="347">
        <v>6</v>
      </c>
      <c r="H133" s="326" t="s">
        <v>525</v>
      </c>
      <c r="I133" s="351">
        <v>44545</v>
      </c>
      <c r="J133" s="341">
        <f t="shared" si="66"/>
        <v>44550</v>
      </c>
      <c r="AG133" s="343">
        <v>2</v>
      </c>
      <c r="CI133" s="343">
        <f t="shared" si="29"/>
        <v>0</v>
      </c>
    </row>
    <row r="134" spans="1:87" ht="27" hidden="1" customHeight="1">
      <c r="A134" s="337">
        <v>130</v>
      </c>
      <c r="B134" s="326" t="s">
        <v>1224</v>
      </c>
      <c r="C134" s="326" t="s">
        <v>1052</v>
      </c>
      <c r="D134" s="346">
        <v>2</v>
      </c>
      <c r="E134" s="337">
        <f t="shared" si="63"/>
        <v>2</v>
      </c>
      <c r="F134" s="338">
        <f t="shared" si="64"/>
        <v>0</v>
      </c>
      <c r="G134" s="347">
        <v>6</v>
      </c>
      <c r="H134" s="326" t="s">
        <v>525</v>
      </c>
      <c r="I134" s="351">
        <v>44545</v>
      </c>
      <c r="J134" s="341">
        <f t="shared" si="66"/>
        <v>44550</v>
      </c>
      <c r="BI134" s="343">
        <v>2</v>
      </c>
      <c r="CI134" s="343">
        <f t="shared" ref="CI134:CI197" si="67">SUM(BV134:CH134)</f>
        <v>0</v>
      </c>
    </row>
    <row r="135" spans="1:87" ht="27" hidden="1" customHeight="1">
      <c r="A135" s="332">
        <v>131</v>
      </c>
      <c r="B135" s="326" t="s">
        <v>2146</v>
      </c>
      <c r="C135" s="326" t="s">
        <v>1189</v>
      </c>
      <c r="D135" s="346">
        <v>1</v>
      </c>
      <c r="E135" s="337">
        <f t="shared" si="63"/>
        <v>1</v>
      </c>
      <c r="F135" s="338">
        <f t="shared" si="64"/>
        <v>0</v>
      </c>
      <c r="G135" s="347">
        <v>6</v>
      </c>
      <c r="H135" s="326" t="s">
        <v>525</v>
      </c>
      <c r="I135" s="351">
        <v>44545</v>
      </c>
      <c r="J135" s="341">
        <f t="shared" si="66"/>
        <v>44550</v>
      </c>
      <c r="AJ135" s="343">
        <v>1</v>
      </c>
      <c r="CI135" s="343">
        <f t="shared" si="67"/>
        <v>0</v>
      </c>
    </row>
    <row r="136" spans="1:87" ht="27" hidden="1" customHeight="1">
      <c r="A136" s="337">
        <v>132</v>
      </c>
      <c r="B136" s="326" t="s">
        <v>1224</v>
      </c>
      <c r="C136" s="326" t="s">
        <v>1051</v>
      </c>
      <c r="D136" s="346">
        <v>4</v>
      </c>
      <c r="E136" s="337">
        <f t="shared" si="63"/>
        <v>4</v>
      </c>
      <c r="F136" s="338">
        <f t="shared" si="64"/>
        <v>0</v>
      </c>
      <c r="G136" s="347">
        <v>6</v>
      </c>
      <c r="H136" s="326" t="s">
        <v>525</v>
      </c>
      <c r="I136" s="351">
        <v>44545</v>
      </c>
      <c r="J136" s="341">
        <f t="shared" si="66"/>
        <v>44550</v>
      </c>
      <c r="AG136" s="343">
        <v>4</v>
      </c>
      <c r="CI136" s="343">
        <f t="shared" si="67"/>
        <v>0</v>
      </c>
    </row>
    <row r="137" spans="1:87" ht="27" hidden="1" customHeight="1">
      <c r="A137" s="332">
        <v>133</v>
      </c>
      <c r="B137" s="326" t="s">
        <v>1224</v>
      </c>
      <c r="C137" s="326" t="s">
        <v>1052</v>
      </c>
      <c r="D137" s="346">
        <v>6</v>
      </c>
      <c r="E137" s="337">
        <f t="shared" ref="E137:E140" si="68">SUM(K137:RH137)</f>
        <v>6</v>
      </c>
      <c r="F137" s="338">
        <f t="shared" ref="F137:F140" si="69">D137-E137</f>
        <v>0</v>
      </c>
      <c r="G137" s="347">
        <v>6</v>
      </c>
      <c r="H137" s="326" t="s">
        <v>525</v>
      </c>
      <c r="I137" s="351">
        <v>44545</v>
      </c>
      <c r="J137" s="341">
        <f t="shared" si="66"/>
        <v>44550</v>
      </c>
      <c r="AG137" s="343">
        <v>6</v>
      </c>
      <c r="CI137" s="343">
        <f t="shared" si="67"/>
        <v>0</v>
      </c>
    </row>
    <row r="138" spans="1:87" ht="27" hidden="1" customHeight="1">
      <c r="A138" s="337">
        <v>134</v>
      </c>
      <c r="B138" s="326" t="s">
        <v>2065</v>
      </c>
      <c r="C138" s="326" t="s">
        <v>1190</v>
      </c>
      <c r="D138" s="346">
        <v>6</v>
      </c>
      <c r="E138" s="337">
        <f t="shared" si="68"/>
        <v>6</v>
      </c>
      <c r="F138" s="338">
        <f t="shared" si="69"/>
        <v>0</v>
      </c>
      <c r="G138" s="347">
        <v>6</v>
      </c>
      <c r="H138" s="326" t="s">
        <v>525</v>
      </c>
      <c r="I138" s="351">
        <v>44545</v>
      </c>
      <c r="J138" s="341">
        <f t="shared" si="66"/>
        <v>44550</v>
      </c>
      <c r="AJ138" s="343">
        <v>6</v>
      </c>
      <c r="CI138" s="343">
        <f t="shared" si="67"/>
        <v>0</v>
      </c>
    </row>
    <row r="139" spans="1:87" ht="27" hidden="1" customHeight="1">
      <c r="A139" s="332">
        <v>135</v>
      </c>
      <c r="B139" s="326" t="s">
        <v>1245</v>
      </c>
      <c r="C139" s="326" t="s">
        <v>2105</v>
      </c>
      <c r="D139" s="346">
        <v>3</v>
      </c>
      <c r="E139" s="337">
        <f t="shared" si="68"/>
        <v>3</v>
      </c>
      <c r="F139" s="338">
        <f t="shared" si="69"/>
        <v>0</v>
      </c>
      <c r="G139" s="347">
        <v>6</v>
      </c>
      <c r="H139" s="326" t="s">
        <v>525</v>
      </c>
      <c r="I139" s="351">
        <v>44545</v>
      </c>
      <c r="J139" s="341">
        <f t="shared" si="66"/>
        <v>44550</v>
      </c>
      <c r="AS139" s="343">
        <v>3</v>
      </c>
      <c r="CI139" s="343">
        <f t="shared" si="67"/>
        <v>0</v>
      </c>
    </row>
    <row r="140" spans="1:87" ht="27" hidden="1" customHeight="1">
      <c r="A140" s="337">
        <v>136</v>
      </c>
      <c r="B140" s="326" t="s">
        <v>1283</v>
      </c>
      <c r="C140" s="326" t="s">
        <v>1092</v>
      </c>
      <c r="D140" s="346">
        <v>1</v>
      </c>
      <c r="E140" s="337">
        <f t="shared" si="68"/>
        <v>1</v>
      </c>
      <c r="F140" s="338">
        <f t="shared" si="69"/>
        <v>0</v>
      </c>
      <c r="G140" s="347">
        <v>6</v>
      </c>
      <c r="H140" s="326" t="s">
        <v>525</v>
      </c>
      <c r="I140" s="351">
        <v>44545</v>
      </c>
      <c r="J140" s="341">
        <f t="shared" si="66"/>
        <v>44550</v>
      </c>
      <c r="BA140" s="343">
        <v>1</v>
      </c>
      <c r="CI140" s="343">
        <f t="shared" si="67"/>
        <v>0</v>
      </c>
    </row>
    <row r="141" spans="1:87" ht="27" hidden="1" customHeight="1">
      <c r="A141" s="332">
        <v>137</v>
      </c>
      <c r="B141" s="326" t="s">
        <v>1287</v>
      </c>
      <c r="C141" s="326" t="s">
        <v>2341</v>
      </c>
      <c r="D141" s="346">
        <v>2</v>
      </c>
      <c r="E141" s="337">
        <f t="shared" ref="E141" si="70">SUM(K141:RH141)</f>
        <v>2</v>
      </c>
      <c r="F141" s="338">
        <f t="shared" ref="F141" si="71">D141-E141</f>
        <v>0</v>
      </c>
      <c r="G141" s="347">
        <v>1</v>
      </c>
      <c r="H141" s="326" t="s">
        <v>525</v>
      </c>
      <c r="I141" s="351">
        <v>44545</v>
      </c>
      <c r="J141" s="341">
        <f t="shared" ref="J141" si="72">I141+5</f>
        <v>44550</v>
      </c>
      <c r="AD141" s="343">
        <v>2</v>
      </c>
      <c r="CI141" s="343">
        <f t="shared" si="67"/>
        <v>0</v>
      </c>
    </row>
    <row r="142" spans="1:87" ht="27" hidden="1" customHeight="1">
      <c r="A142" s="337">
        <v>138</v>
      </c>
      <c r="B142" s="326" t="s">
        <v>1279</v>
      </c>
      <c r="C142" s="326" t="s">
        <v>250</v>
      </c>
      <c r="D142" s="346">
        <v>1</v>
      </c>
      <c r="E142" s="337">
        <f t="shared" ref="E142:E146" si="73">SUM(K142:RH142)</f>
        <v>1</v>
      </c>
      <c r="F142" s="338">
        <f t="shared" ref="F142:F146" si="74">D142-E142</f>
        <v>0</v>
      </c>
      <c r="G142" s="347">
        <v>1</v>
      </c>
      <c r="H142" s="326" t="s">
        <v>525</v>
      </c>
      <c r="I142" s="351">
        <v>44545</v>
      </c>
      <c r="J142" s="341">
        <f t="shared" ref="J142:J147" si="75">I142+5</f>
        <v>44550</v>
      </c>
      <c r="AI142" s="343">
        <v>1</v>
      </c>
      <c r="CI142" s="343">
        <f t="shared" si="67"/>
        <v>0</v>
      </c>
    </row>
    <row r="143" spans="1:87" ht="27" hidden="1" customHeight="1">
      <c r="A143" s="332">
        <v>139</v>
      </c>
      <c r="B143" s="326" t="s">
        <v>1089</v>
      </c>
      <c r="C143" s="326" t="s">
        <v>1012</v>
      </c>
      <c r="D143" s="346">
        <v>1</v>
      </c>
      <c r="E143" s="337">
        <f t="shared" si="73"/>
        <v>1</v>
      </c>
      <c r="F143" s="338">
        <f t="shared" si="74"/>
        <v>0</v>
      </c>
      <c r="G143" s="347">
        <v>1</v>
      </c>
      <c r="H143" s="326" t="s">
        <v>525</v>
      </c>
      <c r="I143" s="351">
        <v>44545</v>
      </c>
      <c r="J143" s="341">
        <f t="shared" si="75"/>
        <v>44550</v>
      </c>
      <c r="AI143" s="343">
        <v>1</v>
      </c>
      <c r="CI143" s="343">
        <f t="shared" si="67"/>
        <v>0</v>
      </c>
    </row>
    <row r="144" spans="1:87" ht="27" hidden="1" customHeight="1">
      <c r="A144" s="337">
        <v>140</v>
      </c>
      <c r="B144" s="326" t="s">
        <v>1345</v>
      </c>
      <c r="C144" s="326" t="s">
        <v>231</v>
      </c>
      <c r="D144" s="346">
        <v>1</v>
      </c>
      <c r="E144" s="337">
        <f t="shared" si="73"/>
        <v>1</v>
      </c>
      <c r="F144" s="338">
        <f t="shared" si="74"/>
        <v>0</v>
      </c>
      <c r="G144" s="347" t="s">
        <v>1776</v>
      </c>
      <c r="H144" s="326" t="s">
        <v>526</v>
      </c>
      <c r="I144" s="351">
        <v>44548</v>
      </c>
      <c r="J144" s="341">
        <f t="shared" si="75"/>
        <v>44553</v>
      </c>
      <c r="AG144" s="343">
        <v>1</v>
      </c>
      <c r="CI144" s="343">
        <f t="shared" si="67"/>
        <v>0</v>
      </c>
    </row>
    <row r="145" spans="1:87" ht="27" hidden="1" customHeight="1">
      <c r="A145" s="332">
        <v>141</v>
      </c>
      <c r="B145" s="326" t="s">
        <v>2342</v>
      </c>
      <c r="C145" s="326" t="s">
        <v>1478</v>
      </c>
      <c r="D145" s="346">
        <v>1</v>
      </c>
      <c r="E145" s="337">
        <f t="shared" si="73"/>
        <v>1</v>
      </c>
      <c r="F145" s="338">
        <f t="shared" si="74"/>
        <v>0</v>
      </c>
      <c r="G145" s="347">
        <v>2</v>
      </c>
      <c r="H145" s="326" t="s">
        <v>526</v>
      </c>
      <c r="I145" s="351">
        <v>44548</v>
      </c>
      <c r="J145" s="341">
        <f t="shared" si="75"/>
        <v>44553</v>
      </c>
      <c r="AI145" s="343">
        <v>1</v>
      </c>
      <c r="CI145" s="343">
        <f t="shared" si="67"/>
        <v>0</v>
      </c>
    </row>
    <row r="146" spans="1:87" ht="27" hidden="1" customHeight="1">
      <c r="A146" s="337">
        <v>142</v>
      </c>
      <c r="B146" s="326" t="s">
        <v>2342</v>
      </c>
      <c r="C146" s="326" t="s">
        <v>1479</v>
      </c>
      <c r="D146" s="346">
        <v>1</v>
      </c>
      <c r="E146" s="337">
        <f t="shared" si="73"/>
        <v>1</v>
      </c>
      <c r="F146" s="338">
        <f t="shared" si="74"/>
        <v>0</v>
      </c>
      <c r="G146" s="347">
        <v>2</v>
      </c>
      <c r="H146" s="326" t="s">
        <v>526</v>
      </c>
      <c r="I146" s="351">
        <v>44548</v>
      </c>
      <c r="J146" s="341">
        <f t="shared" si="75"/>
        <v>44553</v>
      </c>
      <c r="AI146" s="343">
        <v>1</v>
      </c>
      <c r="CI146" s="343">
        <f t="shared" si="67"/>
        <v>0</v>
      </c>
    </row>
    <row r="147" spans="1:87" ht="27" hidden="1" customHeight="1">
      <c r="A147" s="332">
        <v>143</v>
      </c>
      <c r="B147" s="365" t="s">
        <v>1345</v>
      </c>
      <c r="C147" s="365" t="s">
        <v>231</v>
      </c>
      <c r="D147" s="366">
        <v>1</v>
      </c>
      <c r="E147" s="364">
        <f t="shared" ref="E147:E154" si="76">SUM(K147:RH147)</f>
        <v>1</v>
      </c>
      <c r="F147" s="367">
        <f t="shared" ref="F147:F154" si="77">D147-E147</f>
        <v>0</v>
      </c>
      <c r="G147" s="368" t="s">
        <v>1776</v>
      </c>
      <c r="H147" s="365" t="s">
        <v>526</v>
      </c>
      <c r="I147" s="369">
        <v>44548</v>
      </c>
      <c r="J147" s="370">
        <f t="shared" si="75"/>
        <v>44553</v>
      </c>
      <c r="AG147" s="343">
        <v>1</v>
      </c>
      <c r="CI147" s="343">
        <f t="shared" si="67"/>
        <v>0</v>
      </c>
    </row>
    <row r="148" spans="1:87" ht="27" hidden="1" customHeight="1">
      <c r="A148" s="337">
        <v>144</v>
      </c>
      <c r="B148" s="326" t="s">
        <v>2065</v>
      </c>
      <c r="C148" s="326" t="s">
        <v>2343</v>
      </c>
      <c r="D148" s="346">
        <v>1</v>
      </c>
      <c r="E148" s="337">
        <f t="shared" si="76"/>
        <v>1</v>
      </c>
      <c r="F148" s="338">
        <f t="shared" si="77"/>
        <v>0</v>
      </c>
      <c r="G148" s="347" t="s">
        <v>1776</v>
      </c>
      <c r="H148" s="326" t="s">
        <v>526</v>
      </c>
      <c r="I148" s="351">
        <v>44548</v>
      </c>
      <c r="J148" s="341">
        <f t="shared" ref="J148:J154" si="78">I148+5</f>
        <v>44553</v>
      </c>
      <c r="AI148" s="343">
        <v>1</v>
      </c>
      <c r="CI148" s="343">
        <f t="shared" si="67"/>
        <v>0</v>
      </c>
    </row>
    <row r="149" spans="1:87" ht="27" hidden="1" customHeight="1">
      <c r="A149" s="332">
        <v>145</v>
      </c>
      <c r="B149" s="358" t="s">
        <v>2065</v>
      </c>
      <c r="C149" s="358" t="s">
        <v>857</v>
      </c>
      <c r="D149" s="371">
        <v>2</v>
      </c>
      <c r="E149" s="332">
        <f t="shared" si="76"/>
        <v>2</v>
      </c>
      <c r="F149" s="333">
        <f t="shared" si="77"/>
        <v>0</v>
      </c>
      <c r="G149" s="357">
        <v>1</v>
      </c>
      <c r="H149" s="358" t="s">
        <v>526</v>
      </c>
      <c r="I149" s="359">
        <v>44548</v>
      </c>
      <c r="J149" s="336">
        <f t="shared" si="78"/>
        <v>44553</v>
      </c>
      <c r="AG149" s="343">
        <v>2</v>
      </c>
      <c r="CI149" s="343">
        <f t="shared" si="67"/>
        <v>0</v>
      </c>
    </row>
    <row r="150" spans="1:87" ht="27" hidden="1" customHeight="1">
      <c r="A150" s="337">
        <v>146</v>
      </c>
      <c r="B150" s="326" t="s">
        <v>1195</v>
      </c>
      <c r="C150" s="326" t="s">
        <v>2248</v>
      </c>
      <c r="D150" s="346">
        <v>2</v>
      </c>
      <c r="E150" s="337">
        <f t="shared" si="76"/>
        <v>2</v>
      </c>
      <c r="F150" s="338">
        <f t="shared" si="77"/>
        <v>0</v>
      </c>
      <c r="G150" s="347">
        <v>2</v>
      </c>
      <c r="H150" s="326" t="s">
        <v>526</v>
      </c>
      <c r="I150" s="351">
        <v>44548</v>
      </c>
      <c r="J150" s="341">
        <f t="shared" si="78"/>
        <v>44553</v>
      </c>
      <c r="AG150" s="343">
        <v>1</v>
      </c>
      <c r="AI150" s="343">
        <v>1</v>
      </c>
      <c r="CI150" s="343">
        <f t="shared" si="67"/>
        <v>0</v>
      </c>
    </row>
    <row r="151" spans="1:87" ht="27" hidden="1" customHeight="1">
      <c r="A151" s="332">
        <v>147</v>
      </c>
      <c r="B151" s="326" t="s">
        <v>2065</v>
      </c>
      <c r="C151" s="326" t="s">
        <v>1643</v>
      </c>
      <c r="D151" s="346">
        <v>1</v>
      </c>
      <c r="E151" s="337">
        <f t="shared" si="76"/>
        <v>1</v>
      </c>
      <c r="F151" s="338">
        <f t="shared" si="77"/>
        <v>0</v>
      </c>
      <c r="G151" s="347">
        <v>4</v>
      </c>
      <c r="H151" s="326" t="s">
        <v>526</v>
      </c>
      <c r="I151" s="351">
        <v>44551</v>
      </c>
      <c r="J151" s="341">
        <f t="shared" si="78"/>
        <v>44556</v>
      </c>
      <c r="AI151" s="343">
        <v>1</v>
      </c>
      <c r="CI151" s="343">
        <f t="shared" si="67"/>
        <v>0</v>
      </c>
    </row>
    <row r="152" spans="1:87" ht="27" hidden="1" customHeight="1">
      <c r="A152" s="337">
        <v>148</v>
      </c>
      <c r="B152" s="326" t="s">
        <v>2065</v>
      </c>
      <c r="C152" s="326" t="s">
        <v>857</v>
      </c>
      <c r="D152" s="346">
        <v>1</v>
      </c>
      <c r="E152" s="337">
        <f t="shared" si="76"/>
        <v>1</v>
      </c>
      <c r="F152" s="338">
        <f t="shared" si="77"/>
        <v>0</v>
      </c>
      <c r="G152" s="347">
        <v>1</v>
      </c>
      <c r="H152" s="326" t="s">
        <v>526</v>
      </c>
      <c r="I152" s="351">
        <v>44551</v>
      </c>
      <c r="J152" s="341">
        <f t="shared" si="78"/>
        <v>44556</v>
      </c>
      <c r="AI152" s="343">
        <v>1</v>
      </c>
      <c r="CI152" s="343">
        <f t="shared" si="67"/>
        <v>0</v>
      </c>
    </row>
    <row r="153" spans="1:87" ht="27" hidden="1" customHeight="1">
      <c r="A153" s="332">
        <v>149</v>
      </c>
      <c r="B153" s="326" t="s">
        <v>2065</v>
      </c>
      <c r="C153" s="326" t="s">
        <v>681</v>
      </c>
      <c r="D153" s="346">
        <v>1</v>
      </c>
      <c r="E153" s="337">
        <f t="shared" si="76"/>
        <v>1</v>
      </c>
      <c r="F153" s="338">
        <f t="shared" si="77"/>
        <v>0</v>
      </c>
      <c r="G153" s="347">
        <v>4</v>
      </c>
      <c r="H153" s="326" t="s">
        <v>526</v>
      </c>
      <c r="I153" s="351">
        <v>44551</v>
      </c>
      <c r="J153" s="341">
        <f t="shared" si="78"/>
        <v>44556</v>
      </c>
      <c r="AN153" s="343">
        <v>1</v>
      </c>
      <c r="CI153" s="343">
        <f t="shared" si="67"/>
        <v>0</v>
      </c>
    </row>
    <row r="154" spans="1:87" ht="27" hidden="1" customHeight="1">
      <c r="A154" s="337">
        <v>150</v>
      </c>
      <c r="B154" s="326" t="s">
        <v>2065</v>
      </c>
      <c r="C154" s="326" t="s">
        <v>1626</v>
      </c>
      <c r="D154" s="346">
        <v>1</v>
      </c>
      <c r="E154" s="337">
        <f t="shared" si="76"/>
        <v>1</v>
      </c>
      <c r="F154" s="338">
        <f t="shared" si="77"/>
        <v>0</v>
      </c>
      <c r="G154" s="347">
        <v>2</v>
      </c>
      <c r="H154" s="326" t="s">
        <v>526</v>
      </c>
      <c r="I154" s="351">
        <v>44551</v>
      </c>
      <c r="J154" s="341">
        <f t="shared" si="78"/>
        <v>44556</v>
      </c>
      <c r="AN154" s="343">
        <v>1</v>
      </c>
      <c r="CI154" s="343">
        <f t="shared" si="67"/>
        <v>0</v>
      </c>
    </row>
    <row r="155" spans="1:87" ht="27" hidden="1" customHeight="1">
      <c r="A155" s="332">
        <v>151</v>
      </c>
      <c r="B155" s="326" t="s">
        <v>2065</v>
      </c>
      <c r="C155" s="326" t="s">
        <v>1642</v>
      </c>
      <c r="D155" s="346">
        <v>1</v>
      </c>
      <c r="E155" s="337">
        <f t="shared" ref="E155:E158" si="79">SUM(K155:RH155)</f>
        <v>1</v>
      </c>
      <c r="F155" s="338">
        <f t="shared" ref="F155:F158" si="80">D155-E155</f>
        <v>0</v>
      </c>
      <c r="G155" s="347">
        <v>4</v>
      </c>
      <c r="H155" s="326" t="s">
        <v>526</v>
      </c>
      <c r="I155" s="351">
        <v>44551</v>
      </c>
      <c r="J155" s="341">
        <f t="shared" ref="J155:J161" si="81">I155+5</f>
        <v>44556</v>
      </c>
      <c r="AI155" s="343">
        <v>1</v>
      </c>
      <c r="CI155" s="343">
        <f t="shared" si="67"/>
        <v>0</v>
      </c>
    </row>
    <row r="156" spans="1:87" ht="27" hidden="1" customHeight="1">
      <c r="A156" s="337">
        <v>152</v>
      </c>
      <c r="B156" s="326" t="s">
        <v>2065</v>
      </c>
      <c r="C156" s="326" t="s">
        <v>1642</v>
      </c>
      <c r="D156" s="346">
        <v>1</v>
      </c>
      <c r="E156" s="337">
        <f t="shared" si="79"/>
        <v>1</v>
      </c>
      <c r="F156" s="338">
        <f t="shared" si="80"/>
        <v>0</v>
      </c>
      <c r="G156" s="347">
        <v>4</v>
      </c>
      <c r="H156" s="326" t="s">
        <v>526</v>
      </c>
      <c r="I156" s="351">
        <v>44551</v>
      </c>
      <c r="J156" s="341">
        <f t="shared" si="81"/>
        <v>44556</v>
      </c>
      <c r="AI156" s="343">
        <v>1</v>
      </c>
      <c r="CI156" s="343">
        <f t="shared" si="67"/>
        <v>0</v>
      </c>
    </row>
    <row r="157" spans="1:87" ht="27" hidden="1" customHeight="1">
      <c r="A157" s="332">
        <v>153</v>
      </c>
      <c r="B157" s="326" t="s">
        <v>2065</v>
      </c>
      <c r="C157" s="326" t="s">
        <v>1661</v>
      </c>
      <c r="D157" s="346">
        <v>2</v>
      </c>
      <c r="E157" s="337">
        <f t="shared" si="79"/>
        <v>2</v>
      </c>
      <c r="F157" s="338">
        <f t="shared" si="80"/>
        <v>0</v>
      </c>
      <c r="G157" s="347">
        <v>4</v>
      </c>
      <c r="H157" s="326" t="s">
        <v>526</v>
      </c>
      <c r="I157" s="351">
        <v>44551</v>
      </c>
      <c r="J157" s="341">
        <f t="shared" si="81"/>
        <v>44556</v>
      </c>
      <c r="AI157" s="343">
        <v>1</v>
      </c>
      <c r="AN157" s="343">
        <v>1</v>
      </c>
      <c r="CI157" s="343">
        <f t="shared" si="67"/>
        <v>0</v>
      </c>
    </row>
    <row r="158" spans="1:87" ht="27" hidden="1" customHeight="1">
      <c r="A158" s="337">
        <v>154</v>
      </c>
      <c r="B158" s="326" t="s">
        <v>2065</v>
      </c>
      <c r="C158" s="326" t="s">
        <v>2346</v>
      </c>
      <c r="D158" s="346">
        <v>1</v>
      </c>
      <c r="E158" s="337">
        <f t="shared" si="79"/>
        <v>1</v>
      </c>
      <c r="F158" s="338">
        <f t="shared" si="80"/>
        <v>0</v>
      </c>
      <c r="G158" s="347">
        <v>4</v>
      </c>
      <c r="H158" s="326" t="s">
        <v>526</v>
      </c>
      <c r="I158" s="351">
        <v>44551</v>
      </c>
      <c r="J158" s="341">
        <f t="shared" si="81"/>
        <v>44556</v>
      </c>
      <c r="AN158" s="343">
        <v>1</v>
      </c>
      <c r="CI158" s="343">
        <f t="shared" si="67"/>
        <v>0</v>
      </c>
    </row>
    <row r="159" spans="1:87" ht="27" hidden="1" customHeight="1">
      <c r="A159" s="332">
        <v>155</v>
      </c>
      <c r="B159" s="326" t="s">
        <v>2065</v>
      </c>
      <c r="C159" s="326" t="s">
        <v>1633</v>
      </c>
      <c r="D159" s="346">
        <v>2</v>
      </c>
      <c r="E159" s="337">
        <f t="shared" ref="E159:E163" si="82">SUM(K159:RH159)</f>
        <v>2</v>
      </c>
      <c r="F159" s="338">
        <f t="shared" ref="F159:F163" si="83">D159-E159</f>
        <v>0</v>
      </c>
      <c r="G159" s="347">
        <v>4</v>
      </c>
      <c r="H159" s="326" t="s">
        <v>526</v>
      </c>
      <c r="I159" s="351">
        <v>44551</v>
      </c>
      <c r="J159" s="341">
        <f t="shared" si="81"/>
        <v>44556</v>
      </c>
      <c r="AN159" s="343">
        <v>2</v>
      </c>
      <c r="CI159" s="343">
        <f t="shared" si="67"/>
        <v>0</v>
      </c>
    </row>
    <row r="160" spans="1:87" ht="27" hidden="1" customHeight="1">
      <c r="A160" s="337">
        <v>156</v>
      </c>
      <c r="B160" s="365" t="s">
        <v>1433</v>
      </c>
      <c r="C160" s="365" t="s">
        <v>1101</v>
      </c>
      <c r="D160" s="366">
        <v>2</v>
      </c>
      <c r="E160" s="364">
        <f t="shared" si="82"/>
        <v>2</v>
      </c>
      <c r="F160" s="367">
        <f t="shared" si="83"/>
        <v>0</v>
      </c>
      <c r="G160" s="368" t="s">
        <v>1776</v>
      </c>
      <c r="H160" s="365" t="s">
        <v>526</v>
      </c>
      <c r="I160" s="369">
        <v>44551</v>
      </c>
      <c r="J160" s="370">
        <f t="shared" si="81"/>
        <v>44556</v>
      </c>
      <c r="AI160" s="343">
        <v>2</v>
      </c>
      <c r="CI160" s="343">
        <f t="shared" si="67"/>
        <v>0</v>
      </c>
    </row>
    <row r="161" spans="1:87" ht="27" hidden="1" customHeight="1">
      <c r="A161" s="332">
        <v>157</v>
      </c>
      <c r="B161" s="326" t="s">
        <v>2065</v>
      </c>
      <c r="C161" s="326" t="s">
        <v>1642</v>
      </c>
      <c r="D161" s="346">
        <v>2</v>
      </c>
      <c r="E161" s="337">
        <f t="shared" si="82"/>
        <v>2</v>
      </c>
      <c r="F161" s="338">
        <f t="shared" si="83"/>
        <v>0</v>
      </c>
      <c r="G161" s="347">
        <v>4</v>
      </c>
      <c r="H161" s="326" t="s">
        <v>526</v>
      </c>
      <c r="I161" s="351">
        <v>44554</v>
      </c>
      <c r="J161" s="341">
        <f t="shared" si="81"/>
        <v>44559</v>
      </c>
      <c r="AU161" s="343">
        <v>2</v>
      </c>
      <c r="CI161" s="343">
        <f t="shared" si="67"/>
        <v>0</v>
      </c>
    </row>
    <row r="162" spans="1:87" ht="27" hidden="1" customHeight="1">
      <c r="A162" s="337">
        <v>158</v>
      </c>
      <c r="B162" s="326" t="s">
        <v>2359</v>
      </c>
      <c r="C162" s="326" t="s">
        <v>2360</v>
      </c>
      <c r="D162" s="346">
        <v>3</v>
      </c>
      <c r="E162" s="337">
        <f t="shared" si="82"/>
        <v>3</v>
      </c>
      <c r="F162" s="338">
        <f t="shared" si="83"/>
        <v>0</v>
      </c>
      <c r="G162" s="347">
        <v>1</v>
      </c>
      <c r="H162" s="326" t="s">
        <v>526</v>
      </c>
      <c r="I162" s="351">
        <v>44554</v>
      </c>
      <c r="J162" s="341">
        <f t="shared" ref="J162:J166" si="84">I162+5</f>
        <v>44559</v>
      </c>
      <c r="AN162" s="343">
        <v>3</v>
      </c>
      <c r="CI162" s="343">
        <f t="shared" si="67"/>
        <v>0</v>
      </c>
    </row>
    <row r="163" spans="1:87" ht="27" hidden="1" customHeight="1">
      <c r="A163" s="332">
        <v>159</v>
      </c>
      <c r="B163" s="326" t="s">
        <v>2065</v>
      </c>
      <c r="C163" s="326" t="s">
        <v>857</v>
      </c>
      <c r="D163" s="346">
        <v>2</v>
      </c>
      <c r="E163" s="337">
        <f t="shared" si="82"/>
        <v>2</v>
      </c>
      <c r="F163" s="338">
        <f t="shared" si="83"/>
        <v>0</v>
      </c>
      <c r="G163" s="347">
        <v>1</v>
      </c>
      <c r="H163" s="326" t="s">
        <v>526</v>
      </c>
      <c r="I163" s="351">
        <v>44554</v>
      </c>
      <c r="J163" s="341">
        <f t="shared" si="84"/>
        <v>44559</v>
      </c>
      <c r="AN163" s="343">
        <v>2</v>
      </c>
      <c r="CI163" s="343">
        <f t="shared" si="67"/>
        <v>0</v>
      </c>
    </row>
    <row r="164" spans="1:87" ht="27" hidden="1" customHeight="1">
      <c r="A164" s="337">
        <v>160</v>
      </c>
      <c r="B164" s="326" t="s">
        <v>2065</v>
      </c>
      <c r="C164" s="326" t="s">
        <v>2360</v>
      </c>
      <c r="D164" s="346">
        <v>2</v>
      </c>
      <c r="E164" s="337">
        <f t="shared" ref="E164:E165" si="85">SUM(K164:RH164)</f>
        <v>2</v>
      </c>
      <c r="F164" s="338">
        <f t="shared" ref="F164:F165" si="86">D164-E164</f>
        <v>0</v>
      </c>
      <c r="G164" s="347">
        <v>1</v>
      </c>
      <c r="H164" s="326" t="s">
        <v>526</v>
      </c>
      <c r="I164" s="351">
        <v>44554</v>
      </c>
      <c r="J164" s="341">
        <f t="shared" si="84"/>
        <v>44559</v>
      </c>
      <c r="AN164" s="343">
        <v>2</v>
      </c>
      <c r="CI164" s="343">
        <f t="shared" si="67"/>
        <v>0</v>
      </c>
    </row>
    <row r="165" spans="1:87" ht="27" hidden="1" customHeight="1">
      <c r="A165" s="332">
        <v>161</v>
      </c>
      <c r="B165" s="326" t="s">
        <v>2065</v>
      </c>
      <c r="C165" s="326" t="s">
        <v>857</v>
      </c>
      <c r="D165" s="346">
        <v>2</v>
      </c>
      <c r="E165" s="337">
        <f t="shared" si="85"/>
        <v>2</v>
      </c>
      <c r="F165" s="338">
        <f t="shared" si="86"/>
        <v>0</v>
      </c>
      <c r="G165" s="347">
        <v>1</v>
      </c>
      <c r="H165" s="326" t="s">
        <v>526</v>
      </c>
      <c r="I165" s="351">
        <v>44554</v>
      </c>
      <c r="J165" s="341">
        <f t="shared" si="84"/>
        <v>44559</v>
      </c>
      <c r="AN165" s="343">
        <v>2</v>
      </c>
      <c r="CI165" s="343">
        <f t="shared" si="67"/>
        <v>0</v>
      </c>
    </row>
    <row r="166" spans="1:87" ht="27" hidden="1" customHeight="1">
      <c r="A166" s="337">
        <v>162</v>
      </c>
      <c r="B166" s="326" t="s">
        <v>2065</v>
      </c>
      <c r="C166" s="326" t="s">
        <v>2360</v>
      </c>
      <c r="D166" s="346">
        <v>3</v>
      </c>
      <c r="E166" s="337">
        <f t="shared" ref="E166:E170" si="87">SUM(K166:RH166)</f>
        <v>3</v>
      </c>
      <c r="F166" s="338">
        <f t="shared" ref="F166:F170" si="88">D166-E166</f>
        <v>0</v>
      </c>
      <c r="G166" s="347">
        <v>1</v>
      </c>
      <c r="H166" s="326" t="s">
        <v>526</v>
      </c>
      <c r="I166" s="351">
        <v>44554</v>
      </c>
      <c r="J166" s="341">
        <f t="shared" si="84"/>
        <v>44559</v>
      </c>
      <c r="AN166" s="343">
        <v>3</v>
      </c>
      <c r="CI166" s="343">
        <f t="shared" si="67"/>
        <v>0</v>
      </c>
    </row>
    <row r="167" spans="1:87" ht="27" hidden="1" customHeight="1">
      <c r="A167" s="332">
        <v>163</v>
      </c>
      <c r="B167" s="326" t="s">
        <v>2361</v>
      </c>
      <c r="C167" s="326" t="s">
        <v>1548</v>
      </c>
      <c r="D167" s="346">
        <v>5</v>
      </c>
      <c r="E167" s="337">
        <f t="shared" si="87"/>
        <v>5</v>
      </c>
      <c r="F167" s="338">
        <f t="shared" si="88"/>
        <v>0</v>
      </c>
      <c r="G167" s="347" t="s">
        <v>1776</v>
      </c>
      <c r="H167" s="326" t="s">
        <v>526</v>
      </c>
      <c r="I167" s="351">
        <v>44554</v>
      </c>
      <c r="J167" s="341">
        <f t="shared" ref="J167:J169" si="89">I167+5</f>
        <v>44559</v>
      </c>
      <c r="AN167" s="343">
        <v>5</v>
      </c>
      <c r="CI167" s="343">
        <f t="shared" si="67"/>
        <v>0</v>
      </c>
    </row>
    <row r="168" spans="1:87" ht="27" hidden="1" customHeight="1">
      <c r="A168" s="337">
        <v>164</v>
      </c>
      <c r="B168" s="326" t="s">
        <v>1433</v>
      </c>
      <c r="C168" s="326" t="s">
        <v>1101</v>
      </c>
      <c r="D168" s="346">
        <v>2</v>
      </c>
      <c r="E168" s="337">
        <f t="shared" si="87"/>
        <v>2</v>
      </c>
      <c r="F168" s="338">
        <f t="shared" si="88"/>
        <v>0</v>
      </c>
      <c r="G168" s="347" t="s">
        <v>1776</v>
      </c>
      <c r="H168" s="326" t="s">
        <v>526</v>
      </c>
      <c r="I168" s="351">
        <v>44554</v>
      </c>
      <c r="J168" s="341">
        <f t="shared" si="89"/>
        <v>44559</v>
      </c>
      <c r="AN168" s="343">
        <v>2</v>
      </c>
      <c r="CI168" s="343">
        <f t="shared" si="67"/>
        <v>0</v>
      </c>
    </row>
    <row r="169" spans="1:87" ht="27" hidden="1" customHeight="1">
      <c r="A169" s="332">
        <v>165</v>
      </c>
      <c r="B169" s="326" t="s">
        <v>1619</v>
      </c>
      <c r="C169" s="326" t="s">
        <v>514</v>
      </c>
      <c r="D169" s="346">
        <v>1</v>
      </c>
      <c r="E169" s="337">
        <f t="shared" si="87"/>
        <v>1</v>
      </c>
      <c r="F169" s="338">
        <f t="shared" si="88"/>
        <v>0</v>
      </c>
      <c r="G169" s="347" t="s">
        <v>1776</v>
      </c>
      <c r="H169" s="326" t="s">
        <v>526</v>
      </c>
      <c r="I169" s="351">
        <v>44554</v>
      </c>
      <c r="J169" s="341">
        <f t="shared" si="89"/>
        <v>44559</v>
      </c>
      <c r="AN169" s="343">
        <v>1</v>
      </c>
      <c r="CI169" s="343">
        <f t="shared" si="67"/>
        <v>0</v>
      </c>
    </row>
    <row r="170" spans="1:87" ht="27" hidden="1" customHeight="1">
      <c r="A170" s="337">
        <v>166</v>
      </c>
      <c r="B170" s="326" t="s">
        <v>2065</v>
      </c>
      <c r="C170" s="326" t="s">
        <v>2360</v>
      </c>
      <c r="D170" s="346">
        <v>2</v>
      </c>
      <c r="E170" s="326">
        <f t="shared" si="87"/>
        <v>2</v>
      </c>
      <c r="F170" s="326">
        <f t="shared" si="88"/>
        <v>0</v>
      </c>
      <c r="G170" s="347">
        <v>1</v>
      </c>
      <c r="H170" s="326" t="s">
        <v>526</v>
      </c>
      <c r="I170" s="351">
        <v>44554</v>
      </c>
      <c r="J170" s="341">
        <f t="shared" ref="J170:J172" si="90">I170+5</f>
        <v>44559</v>
      </c>
      <c r="AN170" s="343">
        <v>2</v>
      </c>
      <c r="CI170" s="343">
        <f t="shared" si="67"/>
        <v>0</v>
      </c>
    </row>
    <row r="171" spans="1:87" ht="27" hidden="1" customHeight="1">
      <c r="A171" s="332">
        <v>167</v>
      </c>
      <c r="B171" s="326" t="s">
        <v>2065</v>
      </c>
      <c r="C171" s="326" t="s">
        <v>2360</v>
      </c>
      <c r="D171" s="346">
        <v>1</v>
      </c>
      <c r="E171" s="326">
        <f t="shared" ref="E171:E173" si="91">SUM(K171:RH171)</f>
        <v>1</v>
      </c>
      <c r="F171" s="326">
        <f t="shared" ref="F171:F173" si="92">D171-E171</f>
        <v>0</v>
      </c>
      <c r="G171" s="347">
        <v>1</v>
      </c>
      <c r="H171" s="326" t="s">
        <v>526</v>
      </c>
      <c r="I171" s="351">
        <v>44554</v>
      </c>
      <c r="J171" s="341">
        <f t="shared" si="90"/>
        <v>44559</v>
      </c>
      <c r="AN171" s="343">
        <v>1</v>
      </c>
      <c r="CI171" s="343">
        <f t="shared" si="67"/>
        <v>0</v>
      </c>
    </row>
    <row r="172" spans="1:87" ht="27" hidden="1" customHeight="1">
      <c r="A172" s="337">
        <v>168</v>
      </c>
      <c r="B172" s="326" t="s">
        <v>2065</v>
      </c>
      <c r="C172" s="326" t="s">
        <v>1624</v>
      </c>
      <c r="D172" s="346">
        <v>1</v>
      </c>
      <c r="E172" s="326">
        <f t="shared" si="91"/>
        <v>1</v>
      </c>
      <c r="F172" s="326">
        <f t="shared" si="92"/>
        <v>0</v>
      </c>
      <c r="G172" s="347">
        <v>4</v>
      </c>
      <c r="H172" s="326" t="s">
        <v>526</v>
      </c>
      <c r="I172" s="351">
        <v>44554</v>
      </c>
      <c r="J172" s="341">
        <f t="shared" si="90"/>
        <v>44559</v>
      </c>
      <c r="AS172" s="343">
        <v>1</v>
      </c>
      <c r="CI172" s="343">
        <f t="shared" si="67"/>
        <v>0</v>
      </c>
    </row>
    <row r="173" spans="1:87" ht="27" hidden="1" customHeight="1">
      <c r="A173" s="332">
        <v>169</v>
      </c>
      <c r="B173" s="326" t="s">
        <v>2065</v>
      </c>
      <c r="C173" s="326" t="s">
        <v>2362</v>
      </c>
      <c r="D173" s="346">
        <v>1</v>
      </c>
      <c r="E173" s="326">
        <f t="shared" si="91"/>
        <v>1</v>
      </c>
      <c r="F173" s="326">
        <f t="shared" si="92"/>
        <v>0</v>
      </c>
      <c r="G173" s="347">
        <v>4</v>
      </c>
      <c r="H173" s="326" t="s">
        <v>526</v>
      </c>
      <c r="I173" s="351">
        <v>44554</v>
      </c>
      <c r="J173" s="341">
        <f t="shared" ref="J173" si="93">I173+5</f>
        <v>44559</v>
      </c>
      <c r="AW173" s="343">
        <v>1</v>
      </c>
      <c r="CI173" s="343">
        <f t="shared" si="67"/>
        <v>0</v>
      </c>
    </row>
    <row r="174" spans="1:87" ht="27" hidden="1" customHeight="1">
      <c r="A174" s="337">
        <v>170</v>
      </c>
      <c r="B174" s="326" t="s">
        <v>2065</v>
      </c>
      <c r="C174" s="326" t="s">
        <v>2363</v>
      </c>
      <c r="D174" s="346">
        <v>1</v>
      </c>
      <c r="E174" s="326">
        <f t="shared" ref="E174:E176" si="94">SUM(K174:RH174)</f>
        <v>1</v>
      </c>
      <c r="F174" s="326">
        <f t="shared" ref="F174:F176" si="95">D174-E174</f>
        <v>0</v>
      </c>
      <c r="G174" s="347" t="s">
        <v>1776</v>
      </c>
      <c r="H174" s="326" t="s">
        <v>526</v>
      </c>
      <c r="I174" s="351">
        <v>44554</v>
      </c>
      <c r="J174" s="341">
        <f t="shared" ref="J174:J179" si="96">I174+5</f>
        <v>44559</v>
      </c>
      <c r="AN174" s="343">
        <v>1</v>
      </c>
      <c r="CI174" s="343">
        <f t="shared" si="67"/>
        <v>0</v>
      </c>
    </row>
    <row r="175" spans="1:87" ht="27" hidden="1" customHeight="1">
      <c r="A175" s="332">
        <v>171</v>
      </c>
      <c r="B175" s="326" t="s">
        <v>2055</v>
      </c>
      <c r="C175" s="326" t="s">
        <v>318</v>
      </c>
      <c r="D175" s="346">
        <v>2</v>
      </c>
      <c r="E175" s="326">
        <f t="shared" si="94"/>
        <v>2</v>
      </c>
      <c r="F175" s="326">
        <f t="shared" si="95"/>
        <v>0</v>
      </c>
      <c r="G175" s="347">
        <v>1</v>
      </c>
      <c r="H175" s="326" t="s">
        <v>525</v>
      </c>
      <c r="I175" s="351">
        <v>44917</v>
      </c>
      <c r="J175" s="341">
        <f t="shared" si="96"/>
        <v>44922</v>
      </c>
      <c r="AS175" s="343">
        <v>1</v>
      </c>
      <c r="BU175" s="343">
        <v>1</v>
      </c>
      <c r="CI175" s="343">
        <f t="shared" si="67"/>
        <v>0</v>
      </c>
    </row>
    <row r="176" spans="1:87" ht="27" hidden="1" customHeight="1">
      <c r="A176" s="337">
        <v>172</v>
      </c>
      <c r="B176" s="326" t="s">
        <v>1619</v>
      </c>
      <c r="C176" s="326" t="s">
        <v>514</v>
      </c>
      <c r="D176" s="346">
        <v>1</v>
      </c>
      <c r="E176" s="326">
        <f t="shared" si="94"/>
        <v>1</v>
      </c>
      <c r="F176" s="326">
        <f t="shared" si="95"/>
        <v>0</v>
      </c>
      <c r="G176" s="347">
        <v>1</v>
      </c>
      <c r="H176" s="326" t="s">
        <v>525</v>
      </c>
      <c r="I176" s="351">
        <v>44917</v>
      </c>
      <c r="J176" s="341">
        <f t="shared" si="96"/>
        <v>44922</v>
      </c>
      <c r="AS176" s="343">
        <v>1</v>
      </c>
      <c r="CI176" s="343">
        <f t="shared" si="67"/>
        <v>0</v>
      </c>
    </row>
    <row r="177" spans="1:87" ht="27" hidden="1" customHeight="1">
      <c r="A177" s="332">
        <v>173</v>
      </c>
      <c r="B177" s="326" t="s">
        <v>1995</v>
      </c>
      <c r="C177" s="326" t="s">
        <v>1926</v>
      </c>
      <c r="D177" s="346">
        <v>1</v>
      </c>
      <c r="E177" s="326">
        <f t="shared" ref="E177" si="97">SUM(K177:RH177)</f>
        <v>1</v>
      </c>
      <c r="F177" s="326">
        <f>D177-E177</f>
        <v>0</v>
      </c>
      <c r="G177" s="347">
        <v>6</v>
      </c>
      <c r="H177" s="326" t="s">
        <v>525</v>
      </c>
      <c r="I177" s="351">
        <v>44917</v>
      </c>
      <c r="J177" s="341">
        <f t="shared" si="96"/>
        <v>44922</v>
      </c>
      <c r="AN177" s="343">
        <v>1</v>
      </c>
      <c r="CI177" s="343">
        <f t="shared" si="67"/>
        <v>0</v>
      </c>
    </row>
    <row r="178" spans="1:87" ht="27" hidden="1" customHeight="1">
      <c r="A178" s="337">
        <v>174</v>
      </c>
      <c r="B178" s="326" t="s">
        <v>1995</v>
      </c>
      <c r="C178" s="326" t="s">
        <v>1924</v>
      </c>
      <c r="D178" s="346">
        <v>1</v>
      </c>
      <c r="E178" s="326">
        <f t="shared" ref="E178:E190" si="98">SUM(K178:RH178)</f>
        <v>1</v>
      </c>
      <c r="F178" s="326">
        <f t="shared" ref="F178:F190" si="99">D178-E178</f>
        <v>0</v>
      </c>
      <c r="G178" s="347">
        <v>6</v>
      </c>
      <c r="H178" s="326" t="s">
        <v>525</v>
      </c>
      <c r="I178" s="351">
        <v>44917</v>
      </c>
      <c r="J178" s="341">
        <f t="shared" si="96"/>
        <v>44922</v>
      </c>
      <c r="AN178" s="343">
        <v>1</v>
      </c>
      <c r="CI178" s="343">
        <f t="shared" si="67"/>
        <v>0</v>
      </c>
    </row>
    <row r="179" spans="1:87" ht="27" hidden="1" customHeight="1">
      <c r="A179" s="332">
        <v>175</v>
      </c>
      <c r="B179" s="326" t="s">
        <v>1995</v>
      </c>
      <c r="C179" s="326" t="s">
        <v>1904</v>
      </c>
      <c r="D179" s="346">
        <v>3</v>
      </c>
      <c r="E179" s="326">
        <f t="shared" si="98"/>
        <v>3</v>
      </c>
      <c r="F179" s="326">
        <f t="shared" si="99"/>
        <v>0</v>
      </c>
      <c r="G179" s="347">
        <v>6</v>
      </c>
      <c r="H179" s="326" t="s">
        <v>525</v>
      </c>
      <c r="I179" s="351">
        <v>44917</v>
      </c>
      <c r="J179" s="341">
        <f t="shared" si="96"/>
        <v>44922</v>
      </c>
      <c r="AN179" s="343">
        <v>1</v>
      </c>
      <c r="BA179" s="343">
        <v>2</v>
      </c>
      <c r="CI179" s="343">
        <f t="shared" si="67"/>
        <v>0</v>
      </c>
    </row>
    <row r="180" spans="1:87" ht="27" hidden="1" customHeight="1">
      <c r="A180" s="337">
        <v>176</v>
      </c>
      <c r="B180" s="326" t="s">
        <v>1293</v>
      </c>
      <c r="C180" s="326" t="s">
        <v>1091</v>
      </c>
      <c r="D180" s="346">
        <v>1</v>
      </c>
      <c r="E180" s="326">
        <f t="shared" si="98"/>
        <v>1</v>
      </c>
      <c r="F180" s="326">
        <f t="shared" si="99"/>
        <v>0</v>
      </c>
      <c r="G180" s="347">
        <v>6</v>
      </c>
      <c r="H180" s="326" t="s">
        <v>525</v>
      </c>
      <c r="I180" s="351">
        <v>44917</v>
      </c>
      <c r="J180" s="341">
        <f t="shared" ref="J180:J186" si="100">I180+5</f>
        <v>44922</v>
      </c>
      <c r="AN180" s="343">
        <v>1</v>
      </c>
      <c r="CI180" s="343">
        <f t="shared" si="67"/>
        <v>0</v>
      </c>
    </row>
    <row r="181" spans="1:87" ht="27" hidden="1" customHeight="1">
      <c r="A181" s="332">
        <v>177</v>
      </c>
      <c r="B181" s="326" t="s">
        <v>1293</v>
      </c>
      <c r="C181" s="326" t="s">
        <v>1092</v>
      </c>
      <c r="D181" s="346">
        <v>1</v>
      </c>
      <c r="E181" s="326">
        <f t="shared" si="98"/>
        <v>1</v>
      </c>
      <c r="F181" s="326">
        <f t="shared" si="99"/>
        <v>0</v>
      </c>
      <c r="G181" s="347">
        <v>6</v>
      </c>
      <c r="H181" s="326" t="s">
        <v>525</v>
      </c>
      <c r="I181" s="351">
        <v>44917</v>
      </c>
      <c r="J181" s="341">
        <f t="shared" si="100"/>
        <v>44922</v>
      </c>
      <c r="AN181" s="343">
        <v>1</v>
      </c>
      <c r="CI181" s="343">
        <f t="shared" si="67"/>
        <v>0</v>
      </c>
    </row>
    <row r="182" spans="1:87" ht="27" hidden="1" customHeight="1">
      <c r="A182" s="337">
        <v>178</v>
      </c>
      <c r="B182" s="326" t="s">
        <v>2065</v>
      </c>
      <c r="C182" s="326" t="s">
        <v>1191</v>
      </c>
      <c r="D182" s="346">
        <v>2</v>
      </c>
      <c r="E182" s="326">
        <f t="shared" si="98"/>
        <v>2</v>
      </c>
      <c r="F182" s="326">
        <f t="shared" si="99"/>
        <v>0</v>
      </c>
      <c r="G182" s="347">
        <v>6</v>
      </c>
      <c r="H182" s="326" t="s">
        <v>525</v>
      </c>
      <c r="I182" s="351">
        <v>44917</v>
      </c>
      <c r="J182" s="341">
        <f t="shared" si="100"/>
        <v>44922</v>
      </c>
      <c r="BA182" s="343">
        <v>2</v>
      </c>
      <c r="CI182" s="343">
        <f t="shared" si="67"/>
        <v>0</v>
      </c>
    </row>
    <row r="183" spans="1:87" ht="27" hidden="1" customHeight="1">
      <c r="A183" s="332">
        <v>179</v>
      </c>
      <c r="B183" s="326" t="s">
        <v>2065</v>
      </c>
      <c r="C183" s="326" t="s">
        <v>1052</v>
      </c>
      <c r="D183" s="346">
        <v>6</v>
      </c>
      <c r="E183" s="326">
        <f t="shared" si="98"/>
        <v>6</v>
      </c>
      <c r="F183" s="326">
        <f t="shared" si="99"/>
        <v>0</v>
      </c>
      <c r="G183" s="347">
        <v>6</v>
      </c>
      <c r="H183" s="326" t="s">
        <v>525</v>
      </c>
      <c r="I183" s="351">
        <v>44917</v>
      </c>
      <c r="J183" s="341">
        <f t="shared" si="100"/>
        <v>44922</v>
      </c>
      <c r="AN183" s="343">
        <v>6</v>
      </c>
      <c r="CI183" s="343">
        <f t="shared" si="67"/>
        <v>0</v>
      </c>
    </row>
    <row r="184" spans="1:87" ht="27" hidden="1" customHeight="1">
      <c r="A184" s="337">
        <v>180</v>
      </c>
      <c r="B184" s="326" t="s">
        <v>1245</v>
      </c>
      <c r="C184" s="326" t="s">
        <v>2105</v>
      </c>
      <c r="D184" s="346">
        <v>1</v>
      </c>
      <c r="E184" s="326">
        <f t="shared" si="98"/>
        <v>1</v>
      </c>
      <c r="F184" s="326">
        <f t="shared" si="99"/>
        <v>0</v>
      </c>
      <c r="G184" s="347">
        <v>6</v>
      </c>
      <c r="H184" s="326" t="s">
        <v>525</v>
      </c>
      <c r="I184" s="351">
        <v>44917</v>
      </c>
      <c r="J184" s="341">
        <f t="shared" si="100"/>
        <v>44922</v>
      </c>
      <c r="AS184" s="343">
        <v>1</v>
      </c>
      <c r="CI184" s="343">
        <f t="shared" si="67"/>
        <v>0</v>
      </c>
    </row>
    <row r="185" spans="1:87" ht="27" hidden="1" customHeight="1">
      <c r="A185" s="332">
        <v>181</v>
      </c>
      <c r="B185" s="326" t="s">
        <v>2065</v>
      </c>
      <c r="C185" s="326" t="s">
        <v>1191</v>
      </c>
      <c r="D185" s="346">
        <v>2</v>
      </c>
      <c r="E185" s="326">
        <f t="shared" si="98"/>
        <v>2</v>
      </c>
      <c r="F185" s="326">
        <f t="shared" si="99"/>
        <v>0</v>
      </c>
      <c r="G185" s="347">
        <v>6</v>
      </c>
      <c r="H185" s="326" t="s">
        <v>525</v>
      </c>
      <c r="I185" s="351">
        <v>44917</v>
      </c>
      <c r="J185" s="341">
        <f t="shared" si="100"/>
        <v>44922</v>
      </c>
      <c r="BA185" s="343">
        <v>2</v>
      </c>
      <c r="CI185" s="343">
        <f t="shared" si="67"/>
        <v>0</v>
      </c>
    </row>
    <row r="186" spans="1:87" ht="27" hidden="1" customHeight="1">
      <c r="A186" s="337">
        <v>182</v>
      </c>
      <c r="B186" s="326" t="s">
        <v>2065</v>
      </c>
      <c r="C186" s="326" t="s">
        <v>1052</v>
      </c>
      <c r="D186" s="346">
        <v>5</v>
      </c>
      <c r="E186" s="326">
        <f t="shared" si="98"/>
        <v>5</v>
      </c>
      <c r="F186" s="326">
        <f t="shared" si="99"/>
        <v>0</v>
      </c>
      <c r="G186" s="347">
        <v>6</v>
      </c>
      <c r="H186" s="326" t="s">
        <v>525</v>
      </c>
      <c r="I186" s="351">
        <v>44917</v>
      </c>
      <c r="J186" s="341">
        <f t="shared" si="100"/>
        <v>44922</v>
      </c>
      <c r="AN186" s="343">
        <v>5</v>
      </c>
      <c r="CI186" s="343">
        <f t="shared" si="67"/>
        <v>0</v>
      </c>
    </row>
    <row r="187" spans="1:87" ht="27" hidden="1" customHeight="1">
      <c r="A187" s="332">
        <v>183</v>
      </c>
      <c r="B187" s="326" t="s">
        <v>2146</v>
      </c>
      <c r="C187" s="326" t="s">
        <v>1189</v>
      </c>
      <c r="D187" s="346">
        <v>3</v>
      </c>
      <c r="E187" s="326">
        <f t="shared" si="98"/>
        <v>3</v>
      </c>
      <c r="F187" s="326">
        <f t="shared" si="99"/>
        <v>0</v>
      </c>
      <c r="G187" s="347">
        <v>6</v>
      </c>
      <c r="H187" s="326" t="s">
        <v>525</v>
      </c>
      <c r="I187" s="351">
        <v>44917</v>
      </c>
      <c r="J187" s="341">
        <f t="shared" ref="J187:J200" si="101">I187+5</f>
        <v>44922</v>
      </c>
      <c r="AN187" s="343">
        <v>3</v>
      </c>
      <c r="CI187" s="343">
        <f t="shared" si="67"/>
        <v>0</v>
      </c>
    </row>
    <row r="188" spans="1:87" ht="27" hidden="1" customHeight="1">
      <c r="A188" s="337">
        <v>184</v>
      </c>
      <c r="B188" s="326" t="s">
        <v>1293</v>
      </c>
      <c r="C188" s="326" t="s">
        <v>1092</v>
      </c>
      <c r="D188" s="346">
        <v>1</v>
      </c>
      <c r="E188" s="326">
        <f t="shared" si="98"/>
        <v>1</v>
      </c>
      <c r="F188" s="326">
        <f t="shared" si="99"/>
        <v>0</v>
      </c>
      <c r="G188" s="347">
        <v>6</v>
      </c>
      <c r="H188" s="326" t="s">
        <v>525</v>
      </c>
      <c r="I188" s="351">
        <v>44917</v>
      </c>
      <c r="J188" s="341">
        <f t="shared" si="101"/>
        <v>44922</v>
      </c>
      <c r="BA188" s="343">
        <v>1</v>
      </c>
      <c r="CI188" s="343">
        <f t="shared" si="67"/>
        <v>0</v>
      </c>
    </row>
    <row r="189" spans="1:87" ht="27" hidden="1" customHeight="1">
      <c r="A189" s="332">
        <v>185</v>
      </c>
      <c r="B189" s="326" t="s">
        <v>1293</v>
      </c>
      <c r="C189" s="326" t="s">
        <v>1093</v>
      </c>
      <c r="D189" s="346">
        <v>1</v>
      </c>
      <c r="E189" s="326">
        <f t="shared" si="98"/>
        <v>1</v>
      </c>
      <c r="F189" s="326">
        <f t="shared" si="99"/>
        <v>0</v>
      </c>
      <c r="G189" s="347">
        <v>6</v>
      </c>
      <c r="H189" s="326" t="s">
        <v>525</v>
      </c>
      <c r="I189" s="351">
        <v>44917</v>
      </c>
      <c r="J189" s="341">
        <f t="shared" si="101"/>
        <v>44922</v>
      </c>
      <c r="AN189" s="343">
        <v>1</v>
      </c>
      <c r="CI189" s="343">
        <f t="shared" si="67"/>
        <v>0</v>
      </c>
    </row>
    <row r="190" spans="1:87" ht="27" hidden="1" customHeight="1">
      <c r="A190" s="337">
        <v>186</v>
      </c>
      <c r="B190" s="326" t="s">
        <v>1245</v>
      </c>
      <c r="C190" s="326" t="s">
        <v>2105</v>
      </c>
      <c r="D190" s="346">
        <v>3</v>
      </c>
      <c r="E190" s="326">
        <f t="shared" si="98"/>
        <v>3</v>
      </c>
      <c r="F190" s="326">
        <f t="shared" si="99"/>
        <v>0</v>
      </c>
      <c r="G190" s="347">
        <v>6</v>
      </c>
      <c r="H190" s="326" t="s">
        <v>525</v>
      </c>
      <c r="I190" s="351">
        <v>44917</v>
      </c>
      <c r="J190" s="341">
        <f t="shared" si="101"/>
        <v>44922</v>
      </c>
      <c r="AS190" s="343">
        <v>3</v>
      </c>
      <c r="CI190" s="343">
        <f t="shared" si="67"/>
        <v>0</v>
      </c>
    </row>
    <row r="191" spans="1:87" ht="27" hidden="1" customHeight="1">
      <c r="A191" s="332">
        <v>187</v>
      </c>
      <c r="B191" s="326" t="s">
        <v>2065</v>
      </c>
      <c r="C191" s="326" t="s">
        <v>681</v>
      </c>
      <c r="D191" s="346">
        <v>2</v>
      </c>
      <c r="E191" s="326">
        <f t="shared" ref="E191:E195" si="102">SUM(K191:RH191)</f>
        <v>2</v>
      </c>
      <c r="F191" s="326">
        <f t="shared" ref="F191:F195" si="103">D191-E191</f>
        <v>0</v>
      </c>
      <c r="G191" s="347">
        <v>4</v>
      </c>
      <c r="H191" s="326" t="s">
        <v>526</v>
      </c>
      <c r="I191" s="351">
        <v>44557</v>
      </c>
      <c r="J191" s="341">
        <f t="shared" si="101"/>
        <v>44562</v>
      </c>
      <c r="AT191" s="343">
        <v>2</v>
      </c>
      <c r="CI191" s="343">
        <f t="shared" si="67"/>
        <v>0</v>
      </c>
    </row>
    <row r="192" spans="1:87" ht="27" hidden="1" customHeight="1">
      <c r="A192" s="337">
        <v>188</v>
      </c>
      <c r="B192" s="326" t="s">
        <v>2065</v>
      </c>
      <c r="C192" s="326" t="s">
        <v>2360</v>
      </c>
      <c r="D192" s="346">
        <v>3</v>
      </c>
      <c r="E192" s="326">
        <f t="shared" si="102"/>
        <v>3</v>
      </c>
      <c r="F192" s="326">
        <f t="shared" si="103"/>
        <v>0</v>
      </c>
      <c r="G192" s="347">
        <v>1</v>
      </c>
      <c r="H192" s="326" t="s">
        <v>526</v>
      </c>
      <c r="I192" s="351">
        <v>44557</v>
      </c>
      <c r="J192" s="341">
        <f t="shared" si="101"/>
        <v>44562</v>
      </c>
      <c r="AS192" s="343">
        <v>3</v>
      </c>
      <c r="CI192" s="343">
        <f t="shared" si="67"/>
        <v>0</v>
      </c>
    </row>
    <row r="193" spans="1:87" ht="27" hidden="1" customHeight="1">
      <c r="A193" s="332">
        <v>189</v>
      </c>
      <c r="B193" s="326" t="s">
        <v>2065</v>
      </c>
      <c r="C193" s="326" t="s">
        <v>857</v>
      </c>
      <c r="D193" s="346">
        <v>1</v>
      </c>
      <c r="E193" s="326">
        <f t="shared" si="102"/>
        <v>1</v>
      </c>
      <c r="F193" s="326">
        <f t="shared" si="103"/>
        <v>0</v>
      </c>
      <c r="G193" s="347">
        <v>1</v>
      </c>
      <c r="H193" s="326" t="s">
        <v>526</v>
      </c>
      <c r="I193" s="351">
        <v>44557</v>
      </c>
      <c r="J193" s="341">
        <f t="shared" si="101"/>
        <v>44562</v>
      </c>
      <c r="AS193" s="343">
        <v>1</v>
      </c>
      <c r="CI193" s="343">
        <f t="shared" si="67"/>
        <v>0</v>
      </c>
    </row>
    <row r="194" spans="1:87" ht="27" hidden="1" customHeight="1">
      <c r="A194" s="337">
        <v>190</v>
      </c>
      <c r="B194" s="326" t="s">
        <v>1195</v>
      </c>
      <c r="C194" s="326" t="s">
        <v>2248</v>
      </c>
      <c r="D194" s="346">
        <v>2</v>
      </c>
      <c r="E194" s="326">
        <f t="shared" si="102"/>
        <v>2</v>
      </c>
      <c r="F194" s="326">
        <f t="shared" si="103"/>
        <v>0</v>
      </c>
      <c r="G194" s="347">
        <v>2</v>
      </c>
      <c r="H194" s="326" t="s">
        <v>526</v>
      </c>
      <c r="I194" s="351">
        <v>44557</v>
      </c>
      <c r="J194" s="341">
        <f t="shared" si="101"/>
        <v>44562</v>
      </c>
      <c r="AS194" s="343">
        <v>2</v>
      </c>
      <c r="CI194" s="343">
        <f t="shared" si="67"/>
        <v>0</v>
      </c>
    </row>
    <row r="195" spans="1:87" ht="27" hidden="1" customHeight="1">
      <c r="A195" s="332">
        <v>191</v>
      </c>
      <c r="B195" s="326" t="s">
        <v>2065</v>
      </c>
      <c r="C195" s="326" t="s">
        <v>1661</v>
      </c>
      <c r="D195" s="346">
        <v>1</v>
      </c>
      <c r="E195" s="326">
        <f t="shared" si="102"/>
        <v>1</v>
      </c>
      <c r="F195" s="326">
        <f t="shared" si="103"/>
        <v>0</v>
      </c>
      <c r="G195" s="347">
        <v>4</v>
      </c>
      <c r="H195" s="326" t="s">
        <v>526</v>
      </c>
      <c r="I195" s="351">
        <v>44561</v>
      </c>
      <c r="J195" s="341">
        <f t="shared" si="101"/>
        <v>44566</v>
      </c>
      <c r="AW195" s="343">
        <v>1</v>
      </c>
      <c r="CI195" s="343">
        <f t="shared" si="67"/>
        <v>0</v>
      </c>
    </row>
    <row r="196" spans="1:87" ht="27" hidden="1" customHeight="1">
      <c r="A196" s="337">
        <v>192</v>
      </c>
      <c r="B196" s="326" t="s">
        <v>2065</v>
      </c>
      <c r="C196" s="326" t="s">
        <v>2390</v>
      </c>
      <c r="D196" s="346">
        <v>1</v>
      </c>
      <c r="E196" s="326">
        <f t="shared" ref="E196:E197" si="104">SUM(K196:RH196)</f>
        <v>1</v>
      </c>
      <c r="F196" s="326">
        <f t="shared" ref="F196:F197" si="105">D196-E196</f>
        <v>0</v>
      </c>
      <c r="G196" s="347">
        <v>2</v>
      </c>
      <c r="H196" s="326" t="s">
        <v>526</v>
      </c>
      <c r="I196" s="351">
        <v>44557</v>
      </c>
      <c r="J196" s="341">
        <f t="shared" si="101"/>
        <v>44562</v>
      </c>
      <c r="AU196" s="343">
        <v>1</v>
      </c>
      <c r="CI196" s="343">
        <f t="shared" si="67"/>
        <v>0</v>
      </c>
    </row>
    <row r="197" spans="1:87" ht="27" hidden="1" customHeight="1">
      <c r="A197" s="332">
        <v>193</v>
      </c>
      <c r="B197" s="326" t="s">
        <v>2065</v>
      </c>
      <c r="C197" s="326" t="s">
        <v>692</v>
      </c>
      <c r="D197" s="346">
        <v>1</v>
      </c>
      <c r="E197" s="326">
        <f t="shared" si="104"/>
        <v>1</v>
      </c>
      <c r="F197" s="326">
        <f t="shared" si="105"/>
        <v>0</v>
      </c>
      <c r="G197" s="347">
        <v>3</v>
      </c>
      <c r="H197" s="326" t="s">
        <v>526</v>
      </c>
      <c r="I197" s="351">
        <v>44557</v>
      </c>
      <c r="J197" s="341">
        <f t="shared" si="101"/>
        <v>44562</v>
      </c>
      <c r="AW197" s="343">
        <v>1</v>
      </c>
      <c r="CI197" s="343">
        <f t="shared" si="67"/>
        <v>0</v>
      </c>
    </row>
    <row r="198" spans="1:87" ht="27" hidden="1" customHeight="1">
      <c r="A198" s="337">
        <v>194</v>
      </c>
      <c r="B198" s="326" t="s">
        <v>2065</v>
      </c>
      <c r="C198" s="326" t="s">
        <v>1661</v>
      </c>
      <c r="D198" s="346">
        <v>1</v>
      </c>
      <c r="E198" s="326">
        <f t="shared" ref="E198" si="106">SUM(K198:RH198)</f>
        <v>1</v>
      </c>
      <c r="F198" s="326">
        <f t="shared" ref="F198" si="107">D198-E198</f>
        <v>0</v>
      </c>
      <c r="G198" s="347">
        <v>4</v>
      </c>
      <c r="H198" s="326" t="s">
        <v>526</v>
      </c>
      <c r="I198" s="351">
        <v>44557</v>
      </c>
      <c r="J198" s="341">
        <f t="shared" si="101"/>
        <v>44562</v>
      </c>
      <c r="AW198" s="343">
        <v>1</v>
      </c>
      <c r="CI198" s="343">
        <f t="shared" ref="CI198:CI261" si="108">SUM(BV198:CH198)</f>
        <v>0</v>
      </c>
    </row>
    <row r="199" spans="1:87" ht="27" hidden="1" customHeight="1">
      <c r="A199" s="332">
        <v>195</v>
      </c>
      <c r="B199" s="326" t="s">
        <v>1433</v>
      </c>
      <c r="C199" s="326" t="s">
        <v>1094</v>
      </c>
      <c r="D199" s="346">
        <v>3</v>
      </c>
      <c r="E199" s="326">
        <f t="shared" ref="E199" si="109">SUM(K199:RH199)</f>
        <v>3</v>
      </c>
      <c r="F199" s="326">
        <f t="shared" ref="F199" si="110">D199-E199</f>
        <v>0</v>
      </c>
      <c r="G199" s="347" t="s">
        <v>1776</v>
      </c>
      <c r="H199" s="326" t="s">
        <v>526</v>
      </c>
      <c r="I199" s="351">
        <v>44559</v>
      </c>
      <c r="J199" s="341">
        <f t="shared" si="101"/>
        <v>44564</v>
      </c>
      <c r="AS199" s="343">
        <v>3</v>
      </c>
      <c r="CI199" s="343">
        <f t="shared" si="108"/>
        <v>0</v>
      </c>
    </row>
    <row r="200" spans="1:87" ht="27" hidden="1" customHeight="1">
      <c r="A200" s="337">
        <v>196</v>
      </c>
      <c r="B200" s="326" t="s">
        <v>1778</v>
      </c>
      <c r="C200" s="326" t="s">
        <v>586</v>
      </c>
      <c r="D200" s="346">
        <v>1</v>
      </c>
      <c r="E200" s="326">
        <f t="shared" ref="E200:E206" si="111">SUM(K200:RH200)</f>
        <v>1</v>
      </c>
      <c r="F200" s="326">
        <f t="shared" ref="F200:F206" si="112">D200-E200</f>
        <v>0</v>
      </c>
      <c r="G200" s="347" t="s">
        <v>1776</v>
      </c>
      <c r="H200" s="326" t="s">
        <v>526</v>
      </c>
      <c r="I200" s="351">
        <v>44559</v>
      </c>
      <c r="J200" s="341">
        <f t="shared" si="101"/>
        <v>44564</v>
      </c>
      <c r="BB200" s="343">
        <v>1</v>
      </c>
      <c r="CI200" s="343">
        <f t="shared" si="108"/>
        <v>0</v>
      </c>
    </row>
    <row r="201" spans="1:87" ht="27" hidden="1" customHeight="1">
      <c r="A201" s="332">
        <v>197</v>
      </c>
      <c r="B201" s="326" t="s">
        <v>2065</v>
      </c>
      <c r="C201" s="326" t="s">
        <v>612</v>
      </c>
      <c r="D201" s="346">
        <v>1</v>
      </c>
      <c r="E201" s="326">
        <f t="shared" si="111"/>
        <v>1</v>
      </c>
      <c r="F201" s="326">
        <f t="shared" si="112"/>
        <v>0</v>
      </c>
      <c r="G201" s="347">
        <v>2</v>
      </c>
      <c r="H201" s="326" t="s">
        <v>526</v>
      </c>
      <c r="I201" s="351">
        <v>44559</v>
      </c>
      <c r="J201" s="341">
        <f t="shared" ref="J201:J202" si="113">I201+5</f>
        <v>44564</v>
      </c>
      <c r="AU201" s="343">
        <v>1</v>
      </c>
      <c r="CI201" s="343">
        <f t="shared" si="108"/>
        <v>0</v>
      </c>
    </row>
    <row r="202" spans="1:87" ht="27" hidden="1" customHeight="1">
      <c r="A202" s="337">
        <v>198</v>
      </c>
      <c r="B202" s="326" t="s">
        <v>1287</v>
      </c>
      <c r="C202" s="326" t="s">
        <v>2391</v>
      </c>
      <c r="D202" s="346">
        <v>2</v>
      </c>
      <c r="E202" s="326">
        <f t="shared" si="111"/>
        <v>2</v>
      </c>
      <c r="F202" s="326">
        <f t="shared" si="112"/>
        <v>0</v>
      </c>
      <c r="G202" s="347">
        <v>2</v>
      </c>
      <c r="H202" s="326" t="s">
        <v>525</v>
      </c>
      <c r="I202" s="351">
        <v>44560</v>
      </c>
      <c r="J202" s="341">
        <f t="shared" si="113"/>
        <v>44565</v>
      </c>
      <c r="AS202" s="343">
        <v>2</v>
      </c>
      <c r="CI202" s="343">
        <f t="shared" si="108"/>
        <v>0</v>
      </c>
    </row>
    <row r="203" spans="1:87" ht="27" hidden="1" customHeight="1">
      <c r="A203" s="332">
        <v>199</v>
      </c>
      <c r="B203" s="326" t="s">
        <v>1287</v>
      </c>
      <c r="C203" s="326" t="s">
        <v>2295</v>
      </c>
      <c r="D203" s="346">
        <v>1</v>
      </c>
      <c r="E203" s="326">
        <f t="shared" si="111"/>
        <v>1</v>
      </c>
      <c r="F203" s="326">
        <f t="shared" si="112"/>
        <v>0</v>
      </c>
      <c r="G203" s="347">
        <v>2</v>
      </c>
      <c r="H203" s="326" t="s">
        <v>525</v>
      </c>
      <c r="I203" s="351">
        <v>44560</v>
      </c>
      <c r="J203" s="341">
        <f t="shared" ref="J203:J208" si="114">I203+5</f>
        <v>44565</v>
      </c>
      <c r="AS203" s="343">
        <v>1</v>
      </c>
      <c r="CI203" s="343">
        <f t="shared" si="108"/>
        <v>0</v>
      </c>
    </row>
    <row r="204" spans="1:87" ht="27" hidden="1" customHeight="1">
      <c r="A204" s="337">
        <v>200</v>
      </c>
      <c r="B204" s="326" t="s">
        <v>1594</v>
      </c>
      <c r="C204" s="326" t="s">
        <v>1378</v>
      </c>
      <c r="D204" s="346">
        <v>2</v>
      </c>
      <c r="E204" s="326">
        <f t="shared" si="111"/>
        <v>2</v>
      </c>
      <c r="F204" s="326">
        <f t="shared" si="112"/>
        <v>0</v>
      </c>
      <c r="G204" s="347">
        <v>2</v>
      </c>
      <c r="H204" s="326" t="s">
        <v>525</v>
      </c>
      <c r="I204" s="351">
        <v>44560</v>
      </c>
      <c r="J204" s="341">
        <f t="shared" si="114"/>
        <v>44565</v>
      </c>
      <c r="AS204" s="343">
        <v>2</v>
      </c>
      <c r="CI204" s="343">
        <f t="shared" si="108"/>
        <v>0</v>
      </c>
    </row>
    <row r="205" spans="1:87" ht="27" hidden="1" customHeight="1">
      <c r="A205" s="332">
        <v>201</v>
      </c>
      <c r="B205" s="326" t="s">
        <v>1246</v>
      </c>
      <c r="C205" s="326" t="s">
        <v>625</v>
      </c>
      <c r="D205" s="346">
        <v>7</v>
      </c>
      <c r="E205" s="326">
        <f t="shared" si="111"/>
        <v>7</v>
      </c>
      <c r="F205" s="326">
        <f t="shared" si="112"/>
        <v>0</v>
      </c>
      <c r="G205" s="347">
        <v>4</v>
      </c>
      <c r="H205" s="326" t="s">
        <v>525</v>
      </c>
      <c r="I205" s="351">
        <v>44560</v>
      </c>
      <c r="J205" s="341">
        <f t="shared" si="114"/>
        <v>44565</v>
      </c>
      <c r="AZ205" s="343">
        <v>7</v>
      </c>
      <c r="CI205" s="343">
        <f t="shared" si="108"/>
        <v>0</v>
      </c>
    </row>
    <row r="206" spans="1:87" ht="27" hidden="1" customHeight="1">
      <c r="A206" s="337">
        <v>202</v>
      </c>
      <c r="B206" s="326" t="s">
        <v>1246</v>
      </c>
      <c r="C206" s="326" t="s">
        <v>605</v>
      </c>
      <c r="D206" s="346">
        <v>1</v>
      </c>
      <c r="E206" s="326">
        <f t="shared" si="111"/>
        <v>1</v>
      </c>
      <c r="F206" s="326">
        <f t="shared" si="112"/>
        <v>0</v>
      </c>
      <c r="G206" s="347">
        <v>4</v>
      </c>
      <c r="H206" s="326" t="s">
        <v>525</v>
      </c>
      <c r="I206" s="351">
        <v>44560</v>
      </c>
      <c r="J206" s="341">
        <f t="shared" si="114"/>
        <v>44565</v>
      </c>
      <c r="AZ206" s="343">
        <v>1</v>
      </c>
      <c r="CI206" s="343">
        <f t="shared" si="108"/>
        <v>0</v>
      </c>
    </row>
    <row r="207" spans="1:87" ht="27" hidden="1" customHeight="1">
      <c r="A207" s="332">
        <v>203</v>
      </c>
      <c r="B207" s="326" t="s">
        <v>2162</v>
      </c>
      <c r="C207" s="326" t="s">
        <v>572</v>
      </c>
      <c r="D207" s="346">
        <v>1</v>
      </c>
      <c r="E207" s="326">
        <f t="shared" ref="E207:E209" si="115">SUM(K207:RH207)</f>
        <v>1</v>
      </c>
      <c r="F207" s="326">
        <f t="shared" ref="F207:F209" si="116">D207-E207</f>
        <v>0</v>
      </c>
      <c r="G207" s="347">
        <v>4</v>
      </c>
      <c r="H207" s="326" t="s">
        <v>525</v>
      </c>
      <c r="I207" s="351">
        <v>44560</v>
      </c>
      <c r="J207" s="341">
        <f t="shared" si="114"/>
        <v>44565</v>
      </c>
      <c r="BA207" s="343">
        <v>1</v>
      </c>
      <c r="CI207" s="343">
        <f t="shared" si="108"/>
        <v>0</v>
      </c>
    </row>
    <row r="208" spans="1:87" ht="27" hidden="1" customHeight="1">
      <c r="A208" s="337">
        <v>204</v>
      </c>
      <c r="B208" s="326" t="s">
        <v>1619</v>
      </c>
      <c r="C208" s="326" t="s">
        <v>514</v>
      </c>
      <c r="D208" s="346">
        <v>1</v>
      </c>
      <c r="E208" s="326">
        <f t="shared" si="115"/>
        <v>1</v>
      </c>
      <c r="F208" s="326">
        <f t="shared" si="116"/>
        <v>0</v>
      </c>
      <c r="G208" s="347">
        <v>1</v>
      </c>
      <c r="H208" s="326" t="s">
        <v>525</v>
      </c>
      <c r="I208" s="351">
        <v>44560</v>
      </c>
      <c r="J208" s="341">
        <f t="shared" si="114"/>
        <v>44565</v>
      </c>
      <c r="AS208" s="343">
        <v>1</v>
      </c>
      <c r="CI208" s="343">
        <f t="shared" si="108"/>
        <v>0</v>
      </c>
    </row>
    <row r="209" spans="1:87" ht="27" hidden="1" customHeight="1">
      <c r="A209" s="332">
        <v>205</v>
      </c>
      <c r="B209" s="326" t="s">
        <v>2008</v>
      </c>
      <c r="C209" s="326" t="s">
        <v>25</v>
      </c>
      <c r="D209" s="346">
        <v>2</v>
      </c>
      <c r="E209" s="326">
        <f t="shared" si="115"/>
        <v>2</v>
      </c>
      <c r="F209" s="326">
        <f t="shared" si="116"/>
        <v>0</v>
      </c>
      <c r="G209" s="347">
        <v>1</v>
      </c>
      <c r="H209" s="326" t="s">
        <v>525</v>
      </c>
      <c r="I209" s="351">
        <v>44560</v>
      </c>
      <c r="J209" s="341">
        <f t="shared" ref="J209:J211" si="117">I209+5</f>
        <v>44565</v>
      </c>
      <c r="AS209" s="343">
        <v>2</v>
      </c>
      <c r="CI209" s="343">
        <f t="shared" si="108"/>
        <v>0</v>
      </c>
    </row>
    <row r="210" spans="1:87" ht="27" hidden="1" customHeight="1">
      <c r="A210" s="337">
        <v>206</v>
      </c>
      <c r="B210" s="326" t="s">
        <v>1245</v>
      </c>
      <c r="C210" s="326" t="s">
        <v>2105</v>
      </c>
      <c r="D210" s="346">
        <v>13</v>
      </c>
      <c r="E210" s="326">
        <f t="shared" ref="E210:E218" si="118">SUM(K210:RH210)</f>
        <v>13</v>
      </c>
      <c r="F210" s="326">
        <f t="shared" ref="F210:F233" si="119">D210-E210</f>
        <v>0</v>
      </c>
      <c r="G210" s="347">
        <v>6</v>
      </c>
      <c r="H210" s="326" t="s">
        <v>525</v>
      </c>
      <c r="I210" s="351">
        <v>44560</v>
      </c>
      <c r="J210" s="341">
        <f t="shared" si="117"/>
        <v>44565</v>
      </c>
      <c r="AS210" s="343">
        <v>13</v>
      </c>
      <c r="CI210" s="343">
        <f t="shared" si="108"/>
        <v>0</v>
      </c>
    </row>
    <row r="211" spans="1:87" ht="27" hidden="1" customHeight="1">
      <c r="A211" s="332">
        <v>207</v>
      </c>
      <c r="B211" s="326" t="s">
        <v>2146</v>
      </c>
      <c r="C211" s="326" t="s">
        <v>1052</v>
      </c>
      <c r="D211" s="346">
        <v>8</v>
      </c>
      <c r="E211" s="326">
        <f t="shared" si="118"/>
        <v>8</v>
      </c>
      <c r="F211" s="326">
        <f t="shared" si="119"/>
        <v>0</v>
      </c>
      <c r="G211" s="347">
        <v>6</v>
      </c>
      <c r="H211" s="326" t="s">
        <v>525</v>
      </c>
      <c r="I211" s="359">
        <v>44560</v>
      </c>
      <c r="J211" s="336">
        <f t="shared" si="117"/>
        <v>44565</v>
      </c>
      <c r="BI211" s="343">
        <v>8</v>
      </c>
      <c r="CI211" s="343">
        <f t="shared" si="108"/>
        <v>0</v>
      </c>
    </row>
    <row r="212" spans="1:87" ht="27" hidden="1" customHeight="1">
      <c r="A212" s="337">
        <v>208</v>
      </c>
      <c r="B212" s="326" t="s">
        <v>2065</v>
      </c>
      <c r="C212" s="326" t="s">
        <v>2393</v>
      </c>
      <c r="D212" s="346">
        <v>11</v>
      </c>
      <c r="E212" s="326">
        <f t="shared" si="118"/>
        <v>11</v>
      </c>
      <c r="F212" s="326">
        <f t="shared" si="119"/>
        <v>0</v>
      </c>
      <c r="G212" s="347">
        <v>6</v>
      </c>
      <c r="H212" s="326" t="s">
        <v>525</v>
      </c>
      <c r="I212" s="359">
        <v>44560</v>
      </c>
      <c r="J212" s="336">
        <f t="shared" ref="J212:J236" si="120">I212+5</f>
        <v>44565</v>
      </c>
      <c r="BU212" s="343">
        <v>11</v>
      </c>
      <c r="CI212" s="343">
        <f t="shared" si="108"/>
        <v>0</v>
      </c>
    </row>
    <row r="213" spans="1:87" ht="27" hidden="1" customHeight="1">
      <c r="A213" s="332">
        <v>209</v>
      </c>
      <c r="B213" s="326" t="s">
        <v>2146</v>
      </c>
      <c r="C213" s="326" t="s">
        <v>1190</v>
      </c>
      <c r="D213" s="346">
        <v>1</v>
      </c>
      <c r="E213" s="326">
        <f t="shared" si="118"/>
        <v>1</v>
      </c>
      <c r="F213" s="326">
        <f t="shared" si="119"/>
        <v>0</v>
      </c>
      <c r="G213" s="347">
        <v>1</v>
      </c>
      <c r="H213" s="326" t="s">
        <v>525</v>
      </c>
      <c r="I213" s="359">
        <v>44560</v>
      </c>
      <c r="J213" s="336">
        <f t="shared" si="120"/>
        <v>44565</v>
      </c>
      <c r="AS213" s="343">
        <v>1</v>
      </c>
      <c r="CI213" s="343">
        <f t="shared" si="108"/>
        <v>0</v>
      </c>
    </row>
    <row r="214" spans="1:87" ht="27" hidden="1" customHeight="1">
      <c r="A214" s="337">
        <v>210</v>
      </c>
      <c r="B214" s="326" t="s">
        <v>2146</v>
      </c>
      <c r="C214" s="326" t="s">
        <v>1191</v>
      </c>
      <c r="D214" s="346">
        <v>2</v>
      </c>
      <c r="E214" s="326">
        <f t="shared" si="118"/>
        <v>2</v>
      </c>
      <c r="F214" s="326">
        <f t="shared" si="119"/>
        <v>0</v>
      </c>
      <c r="G214" s="347">
        <v>6</v>
      </c>
      <c r="H214" s="326" t="s">
        <v>525</v>
      </c>
      <c r="I214" s="359">
        <v>44560</v>
      </c>
      <c r="J214" s="336">
        <f t="shared" si="120"/>
        <v>44565</v>
      </c>
      <c r="BA214" s="343">
        <v>2</v>
      </c>
      <c r="CI214" s="343">
        <f t="shared" si="108"/>
        <v>0</v>
      </c>
    </row>
    <row r="215" spans="1:87" ht="27" hidden="1" customHeight="1">
      <c r="A215" s="332">
        <v>211</v>
      </c>
      <c r="B215" s="326" t="s">
        <v>2392</v>
      </c>
      <c r="C215" s="326" t="s">
        <v>1450</v>
      </c>
      <c r="D215" s="346">
        <v>3</v>
      </c>
      <c r="E215" s="326">
        <f t="shared" si="118"/>
        <v>3</v>
      </c>
      <c r="F215" s="326">
        <f t="shared" si="119"/>
        <v>0</v>
      </c>
      <c r="G215" s="347">
        <v>6</v>
      </c>
      <c r="H215" s="326" t="s">
        <v>525</v>
      </c>
      <c r="I215" s="359">
        <v>44560</v>
      </c>
      <c r="J215" s="336">
        <f t="shared" si="120"/>
        <v>44565</v>
      </c>
      <c r="AW215" s="343">
        <v>3</v>
      </c>
      <c r="CI215" s="343">
        <f t="shared" si="108"/>
        <v>0</v>
      </c>
    </row>
    <row r="216" spans="1:87" ht="27" hidden="1" customHeight="1">
      <c r="A216" s="337">
        <v>212</v>
      </c>
      <c r="B216" s="326" t="s">
        <v>1995</v>
      </c>
      <c r="C216" s="326" t="s">
        <v>1924</v>
      </c>
      <c r="D216" s="346">
        <v>3</v>
      </c>
      <c r="E216" s="326">
        <f t="shared" si="118"/>
        <v>3</v>
      </c>
      <c r="F216" s="326">
        <f t="shared" si="119"/>
        <v>0</v>
      </c>
      <c r="G216" s="347">
        <v>6</v>
      </c>
      <c r="H216" s="326" t="s">
        <v>525</v>
      </c>
      <c r="I216" s="359">
        <v>44560</v>
      </c>
      <c r="J216" s="336">
        <f t="shared" si="120"/>
        <v>44565</v>
      </c>
      <c r="AT216" s="343">
        <v>3</v>
      </c>
      <c r="CI216" s="343">
        <f t="shared" si="108"/>
        <v>0</v>
      </c>
    </row>
    <row r="217" spans="1:87" ht="27" hidden="1" customHeight="1">
      <c r="A217" s="332">
        <v>213</v>
      </c>
      <c r="B217" s="326" t="s">
        <v>1995</v>
      </c>
      <c r="C217" s="326" t="s">
        <v>1925</v>
      </c>
      <c r="D217" s="346">
        <v>1</v>
      </c>
      <c r="E217" s="326">
        <f t="shared" si="118"/>
        <v>1</v>
      </c>
      <c r="F217" s="326">
        <f t="shared" si="119"/>
        <v>0</v>
      </c>
      <c r="G217" s="347">
        <v>6</v>
      </c>
      <c r="H217" s="326" t="s">
        <v>525</v>
      </c>
      <c r="I217" s="359">
        <v>44560</v>
      </c>
      <c r="J217" s="336">
        <f t="shared" si="120"/>
        <v>44565</v>
      </c>
      <c r="AT217" s="343">
        <v>1</v>
      </c>
      <c r="CI217" s="343">
        <f t="shared" si="108"/>
        <v>0</v>
      </c>
    </row>
    <row r="218" spans="1:87" ht="27" hidden="1" customHeight="1">
      <c r="A218" s="337">
        <v>214</v>
      </c>
      <c r="B218" s="326" t="s">
        <v>2065</v>
      </c>
      <c r="C218" s="326" t="s">
        <v>2394</v>
      </c>
      <c r="D218" s="346">
        <v>1</v>
      </c>
      <c r="E218" s="326">
        <f t="shared" si="118"/>
        <v>1</v>
      </c>
      <c r="F218" s="326">
        <f t="shared" si="119"/>
        <v>0</v>
      </c>
      <c r="G218" s="347"/>
      <c r="H218" s="326" t="s">
        <v>525</v>
      </c>
      <c r="I218" s="359">
        <v>44560</v>
      </c>
      <c r="J218" s="336">
        <f t="shared" si="120"/>
        <v>44565</v>
      </c>
      <c r="AT218" s="343">
        <v>1</v>
      </c>
      <c r="CI218" s="343">
        <f t="shared" si="108"/>
        <v>0</v>
      </c>
    </row>
    <row r="219" spans="1:87" ht="27" hidden="1" customHeight="1">
      <c r="A219" s="332">
        <v>215</v>
      </c>
      <c r="B219" s="326" t="s">
        <v>2008</v>
      </c>
      <c r="C219" s="326" t="s">
        <v>2402</v>
      </c>
      <c r="D219" s="346">
        <v>1</v>
      </c>
      <c r="E219" s="326">
        <f t="shared" ref="E219:E233" si="121">SUM(K219:RH219)</f>
        <v>1</v>
      </c>
      <c r="F219" s="326">
        <f t="shared" si="119"/>
        <v>0</v>
      </c>
      <c r="G219" s="347">
        <v>1</v>
      </c>
      <c r="H219" s="326" t="s">
        <v>525</v>
      </c>
      <c r="I219" s="351">
        <v>44566</v>
      </c>
      <c r="J219" s="341">
        <f t="shared" si="120"/>
        <v>44571</v>
      </c>
      <c r="AV219" s="343">
        <v>1</v>
      </c>
      <c r="CI219" s="343">
        <f t="shared" si="108"/>
        <v>0</v>
      </c>
    </row>
    <row r="220" spans="1:87" ht="27" hidden="1" customHeight="1">
      <c r="A220" s="337">
        <v>216</v>
      </c>
      <c r="B220" s="326" t="s">
        <v>1245</v>
      </c>
      <c r="C220" s="326" t="s">
        <v>625</v>
      </c>
      <c r="D220" s="346">
        <v>5</v>
      </c>
      <c r="E220" s="326">
        <f t="shared" si="121"/>
        <v>5</v>
      </c>
      <c r="F220" s="326">
        <f t="shared" si="119"/>
        <v>0</v>
      </c>
      <c r="G220" s="347">
        <v>4</v>
      </c>
      <c r="H220" s="326" t="s">
        <v>525</v>
      </c>
      <c r="I220" s="351">
        <v>44566</v>
      </c>
      <c r="J220" s="341">
        <f t="shared" si="120"/>
        <v>44571</v>
      </c>
      <c r="AZ220" s="343">
        <v>5</v>
      </c>
      <c r="CI220" s="343">
        <f t="shared" si="108"/>
        <v>0</v>
      </c>
    </row>
    <row r="221" spans="1:87" ht="27" hidden="1" customHeight="1">
      <c r="A221" s="332">
        <v>217</v>
      </c>
      <c r="B221" s="326" t="s">
        <v>2106</v>
      </c>
      <c r="C221" s="326" t="s">
        <v>1189</v>
      </c>
      <c r="D221" s="346">
        <v>1</v>
      </c>
      <c r="E221" s="326">
        <f t="shared" si="121"/>
        <v>1</v>
      </c>
      <c r="F221" s="326">
        <f t="shared" si="119"/>
        <v>0</v>
      </c>
      <c r="G221" s="347">
        <v>4</v>
      </c>
      <c r="H221" s="326" t="s">
        <v>525</v>
      </c>
      <c r="I221" s="351">
        <v>44566</v>
      </c>
      <c r="J221" s="341">
        <f t="shared" si="120"/>
        <v>44571</v>
      </c>
      <c r="BA221" s="343">
        <v>1</v>
      </c>
      <c r="CI221" s="343">
        <f t="shared" si="108"/>
        <v>0</v>
      </c>
    </row>
    <row r="222" spans="1:87" ht="27" hidden="1" customHeight="1">
      <c r="A222" s="337">
        <v>218</v>
      </c>
      <c r="B222" s="326" t="s">
        <v>1245</v>
      </c>
      <c r="C222" s="326" t="s">
        <v>625</v>
      </c>
      <c r="D222" s="346">
        <v>4</v>
      </c>
      <c r="E222" s="326">
        <f t="shared" si="121"/>
        <v>4</v>
      </c>
      <c r="F222" s="326">
        <f t="shared" si="119"/>
        <v>0</v>
      </c>
      <c r="G222" s="347">
        <v>4</v>
      </c>
      <c r="H222" s="326" t="s">
        <v>525</v>
      </c>
      <c r="I222" s="351">
        <v>44566</v>
      </c>
      <c r="J222" s="341">
        <f t="shared" si="120"/>
        <v>44571</v>
      </c>
      <c r="AZ222" s="343">
        <v>4</v>
      </c>
      <c r="CI222" s="343">
        <f t="shared" si="108"/>
        <v>0</v>
      </c>
    </row>
    <row r="223" spans="1:87" ht="27" hidden="1" customHeight="1">
      <c r="A223" s="332">
        <v>219</v>
      </c>
      <c r="B223" s="326" t="s">
        <v>1594</v>
      </c>
      <c r="C223" s="326" t="s">
        <v>1380</v>
      </c>
      <c r="D223" s="346">
        <v>3</v>
      </c>
      <c r="E223" s="326">
        <f t="shared" si="121"/>
        <v>3</v>
      </c>
      <c r="F223" s="326">
        <f t="shared" si="119"/>
        <v>0</v>
      </c>
      <c r="G223" s="347">
        <v>2</v>
      </c>
      <c r="H223" s="326" t="s">
        <v>525</v>
      </c>
      <c r="I223" s="351">
        <v>44566</v>
      </c>
      <c r="J223" s="341">
        <f t="shared" si="120"/>
        <v>44571</v>
      </c>
      <c r="AV223" s="343">
        <v>3</v>
      </c>
      <c r="CI223" s="343">
        <f t="shared" si="108"/>
        <v>0</v>
      </c>
    </row>
    <row r="224" spans="1:87" ht="27" hidden="1" customHeight="1">
      <c r="A224" s="337">
        <v>220</v>
      </c>
      <c r="B224" s="326" t="s">
        <v>1224</v>
      </c>
      <c r="C224" s="326" t="s">
        <v>1536</v>
      </c>
      <c r="D224" s="346">
        <v>1</v>
      </c>
      <c r="E224" s="326">
        <f t="shared" si="121"/>
        <v>1</v>
      </c>
      <c r="F224" s="326">
        <f t="shared" si="119"/>
        <v>0</v>
      </c>
      <c r="G224" s="347">
        <v>2</v>
      </c>
      <c r="H224" s="326" t="s">
        <v>525</v>
      </c>
      <c r="I224" s="351">
        <v>44566</v>
      </c>
      <c r="J224" s="341">
        <f t="shared" si="120"/>
        <v>44571</v>
      </c>
      <c r="BI224" s="343">
        <v>1</v>
      </c>
      <c r="CI224" s="343">
        <f t="shared" si="108"/>
        <v>0</v>
      </c>
    </row>
    <row r="225" spans="1:87" ht="27" customHeight="1">
      <c r="A225" s="332">
        <v>221</v>
      </c>
      <c r="B225" s="326" t="s">
        <v>2272</v>
      </c>
      <c r="C225" s="326" t="s">
        <v>1092</v>
      </c>
      <c r="D225" s="346">
        <v>1</v>
      </c>
      <c r="E225" s="326">
        <f t="shared" si="121"/>
        <v>2</v>
      </c>
      <c r="F225" s="326">
        <f t="shared" si="119"/>
        <v>-1</v>
      </c>
      <c r="G225" s="347">
        <v>3</v>
      </c>
      <c r="H225" s="326" t="s">
        <v>525</v>
      </c>
      <c r="I225" s="351">
        <v>44566</v>
      </c>
      <c r="J225" s="341">
        <f>I225+5</f>
        <v>44571</v>
      </c>
      <c r="CC225" s="343">
        <v>1</v>
      </c>
      <c r="CI225" s="343">
        <f t="shared" si="108"/>
        <v>1</v>
      </c>
    </row>
    <row r="226" spans="1:87" ht="27" hidden="1" customHeight="1">
      <c r="A226" s="337">
        <v>222</v>
      </c>
      <c r="B226" s="326" t="s">
        <v>1293</v>
      </c>
      <c r="C226" s="326" t="s">
        <v>1986</v>
      </c>
      <c r="D226" s="346">
        <v>1</v>
      </c>
      <c r="E226" s="326">
        <f t="shared" si="121"/>
        <v>1</v>
      </c>
      <c r="F226" s="326">
        <f t="shared" si="119"/>
        <v>0</v>
      </c>
      <c r="G226" s="347">
        <v>3</v>
      </c>
      <c r="H226" s="326" t="s">
        <v>525</v>
      </c>
      <c r="I226" s="351">
        <v>44566</v>
      </c>
      <c r="J226" s="341">
        <f t="shared" si="120"/>
        <v>44571</v>
      </c>
      <c r="BI226" s="343">
        <v>1</v>
      </c>
      <c r="CI226" s="343">
        <f t="shared" si="108"/>
        <v>0</v>
      </c>
    </row>
    <row r="227" spans="1:87" ht="27" hidden="1" customHeight="1">
      <c r="A227" s="332">
        <v>223</v>
      </c>
      <c r="B227" s="326" t="s">
        <v>2146</v>
      </c>
      <c r="C227" s="326" t="s">
        <v>1052</v>
      </c>
      <c r="D227" s="346">
        <v>3</v>
      </c>
      <c r="E227" s="326">
        <f t="shared" si="121"/>
        <v>3</v>
      </c>
      <c r="F227" s="326">
        <f t="shared" si="119"/>
        <v>0</v>
      </c>
      <c r="G227" s="347">
        <v>6</v>
      </c>
      <c r="H227" s="326" t="s">
        <v>525</v>
      </c>
      <c r="I227" s="351">
        <v>44566</v>
      </c>
      <c r="J227" s="341">
        <f t="shared" si="120"/>
        <v>44571</v>
      </c>
      <c r="BI227" s="343">
        <v>3</v>
      </c>
      <c r="CI227" s="343">
        <f t="shared" si="108"/>
        <v>0</v>
      </c>
    </row>
    <row r="228" spans="1:87" ht="27" customHeight="1">
      <c r="A228" s="337">
        <v>224</v>
      </c>
      <c r="B228" s="326" t="s">
        <v>2065</v>
      </c>
      <c r="C228" s="326" t="s">
        <v>1189</v>
      </c>
      <c r="D228" s="346">
        <v>6</v>
      </c>
      <c r="E228" s="326">
        <f t="shared" si="121"/>
        <v>9</v>
      </c>
      <c r="F228" s="326">
        <f t="shared" si="119"/>
        <v>-3</v>
      </c>
      <c r="G228" s="347">
        <v>6</v>
      </c>
      <c r="H228" s="326" t="s">
        <v>525</v>
      </c>
      <c r="I228" s="351">
        <v>44566</v>
      </c>
      <c r="J228" s="341">
        <f t="shared" si="120"/>
        <v>44571</v>
      </c>
      <c r="BI228" s="343">
        <v>3</v>
      </c>
      <c r="CC228" s="343">
        <v>3</v>
      </c>
      <c r="CI228" s="343">
        <f t="shared" si="108"/>
        <v>3</v>
      </c>
    </row>
    <row r="229" spans="1:87" ht="27" hidden="1" customHeight="1">
      <c r="A229" s="332">
        <v>225</v>
      </c>
      <c r="B229" s="326" t="s">
        <v>2146</v>
      </c>
      <c r="C229" s="326" t="s">
        <v>1190</v>
      </c>
      <c r="D229" s="346">
        <v>2</v>
      </c>
      <c r="E229" s="326">
        <f t="shared" si="121"/>
        <v>2</v>
      </c>
      <c r="F229" s="326">
        <f t="shared" si="119"/>
        <v>0</v>
      </c>
      <c r="G229" s="347">
        <v>6</v>
      </c>
      <c r="H229" s="326" t="s">
        <v>525</v>
      </c>
      <c r="I229" s="351">
        <v>44566</v>
      </c>
      <c r="J229" s="341">
        <f t="shared" si="120"/>
        <v>44571</v>
      </c>
      <c r="BA229" s="343">
        <v>1</v>
      </c>
      <c r="BH229" s="343">
        <v>1</v>
      </c>
      <c r="CI229" s="343">
        <f t="shared" si="108"/>
        <v>0</v>
      </c>
    </row>
    <row r="230" spans="1:87" ht="27" hidden="1" customHeight="1">
      <c r="A230" s="337">
        <v>226</v>
      </c>
      <c r="B230" s="326" t="s">
        <v>2146</v>
      </c>
      <c r="C230" s="326" t="s">
        <v>1191</v>
      </c>
      <c r="D230" s="346">
        <v>2</v>
      </c>
      <c r="E230" s="326">
        <f t="shared" si="121"/>
        <v>2</v>
      </c>
      <c r="F230" s="326">
        <f t="shared" si="119"/>
        <v>0</v>
      </c>
      <c r="G230" s="347">
        <v>6</v>
      </c>
      <c r="H230" s="326" t="s">
        <v>525</v>
      </c>
      <c r="I230" s="351">
        <v>44566</v>
      </c>
      <c r="J230" s="341">
        <f>I230+5</f>
        <v>44571</v>
      </c>
      <c r="BA230" s="343">
        <v>1</v>
      </c>
      <c r="BH230" s="343">
        <v>1</v>
      </c>
      <c r="CI230" s="343">
        <f t="shared" si="108"/>
        <v>0</v>
      </c>
    </row>
    <row r="231" spans="1:87" ht="27" hidden="1" customHeight="1">
      <c r="A231" s="332">
        <v>227</v>
      </c>
      <c r="B231" s="326" t="s">
        <v>2392</v>
      </c>
      <c r="C231" s="326" t="s">
        <v>28</v>
      </c>
      <c r="D231" s="346">
        <v>4</v>
      </c>
      <c r="E231" s="326">
        <f t="shared" si="121"/>
        <v>4</v>
      </c>
      <c r="F231" s="326">
        <f t="shared" si="119"/>
        <v>0</v>
      </c>
      <c r="G231" s="347">
        <v>6</v>
      </c>
      <c r="H231" s="326" t="s">
        <v>525</v>
      </c>
      <c r="I231" s="351">
        <v>44566</v>
      </c>
      <c r="J231" s="341">
        <f t="shared" si="120"/>
        <v>44571</v>
      </c>
      <c r="AW231" s="343">
        <v>4</v>
      </c>
      <c r="CI231" s="343">
        <f t="shared" si="108"/>
        <v>0</v>
      </c>
    </row>
    <row r="232" spans="1:87" ht="27" hidden="1" customHeight="1">
      <c r="A232" s="337">
        <v>228</v>
      </c>
      <c r="B232" s="326" t="s">
        <v>2005</v>
      </c>
      <c r="C232" s="326" t="s">
        <v>27</v>
      </c>
      <c r="D232" s="346">
        <v>1</v>
      </c>
      <c r="E232" s="326">
        <f t="shared" si="121"/>
        <v>1</v>
      </c>
      <c r="F232" s="326">
        <f t="shared" si="119"/>
        <v>0</v>
      </c>
      <c r="G232" s="347">
        <v>6</v>
      </c>
      <c r="H232" s="326" t="s">
        <v>525</v>
      </c>
      <c r="I232" s="351">
        <v>44566</v>
      </c>
      <c r="J232" s="341">
        <f t="shared" si="120"/>
        <v>44571</v>
      </c>
      <c r="AW232" s="343">
        <v>1</v>
      </c>
      <c r="CI232" s="343">
        <f t="shared" si="108"/>
        <v>0</v>
      </c>
    </row>
    <row r="233" spans="1:87" ht="27" hidden="1" customHeight="1">
      <c r="A233" s="332">
        <v>229</v>
      </c>
      <c r="B233" s="326" t="s">
        <v>1245</v>
      </c>
      <c r="C233" s="326" t="s">
        <v>2002</v>
      </c>
      <c r="D233" s="346">
        <v>2</v>
      </c>
      <c r="E233" s="326">
        <f t="shared" si="121"/>
        <v>2</v>
      </c>
      <c r="F233" s="326">
        <f t="shared" si="119"/>
        <v>0</v>
      </c>
      <c r="G233" s="347">
        <v>6</v>
      </c>
      <c r="H233" s="326" t="s">
        <v>525</v>
      </c>
      <c r="I233" s="351">
        <v>44566</v>
      </c>
      <c r="J233" s="341">
        <f t="shared" si="120"/>
        <v>44571</v>
      </c>
      <c r="BA233" s="343">
        <v>2</v>
      </c>
      <c r="CI233" s="343">
        <f t="shared" si="108"/>
        <v>0</v>
      </c>
    </row>
    <row r="234" spans="1:87" ht="27" hidden="1" customHeight="1">
      <c r="A234" s="337">
        <v>230</v>
      </c>
      <c r="B234" s="326" t="s">
        <v>1352</v>
      </c>
      <c r="C234" s="326" t="s">
        <v>231</v>
      </c>
      <c r="D234" s="346">
        <v>1</v>
      </c>
      <c r="E234" s="326">
        <f t="shared" ref="E234:E237" si="122">SUM(K234:RH234)</f>
        <v>1</v>
      </c>
      <c r="F234" s="326">
        <f t="shared" ref="F234:F237" si="123">D234-E234</f>
        <v>0</v>
      </c>
      <c r="G234" s="347" t="s">
        <v>1776</v>
      </c>
      <c r="H234" s="326" t="s">
        <v>526</v>
      </c>
      <c r="I234" s="351">
        <v>44569</v>
      </c>
      <c r="J234" s="341">
        <f t="shared" si="120"/>
        <v>44574</v>
      </c>
      <c r="AZ234" s="343">
        <v>1</v>
      </c>
      <c r="CI234" s="343">
        <f t="shared" si="108"/>
        <v>0</v>
      </c>
    </row>
    <row r="235" spans="1:87" ht="27" hidden="1" customHeight="1">
      <c r="A235" s="332">
        <v>231</v>
      </c>
      <c r="B235" s="326" t="s">
        <v>1778</v>
      </c>
      <c r="C235" s="326" t="s">
        <v>586</v>
      </c>
      <c r="D235" s="346">
        <v>1</v>
      </c>
      <c r="E235" s="326">
        <f t="shared" si="122"/>
        <v>1</v>
      </c>
      <c r="F235" s="326">
        <f t="shared" si="123"/>
        <v>0</v>
      </c>
      <c r="G235" s="347" t="s">
        <v>1776</v>
      </c>
      <c r="H235" s="326" t="s">
        <v>526</v>
      </c>
      <c r="I235" s="351">
        <v>44571</v>
      </c>
      <c r="J235" s="341">
        <f t="shared" si="120"/>
        <v>44576</v>
      </c>
      <c r="BC235" s="343">
        <v>1</v>
      </c>
      <c r="CI235" s="343">
        <f t="shared" si="108"/>
        <v>0</v>
      </c>
    </row>
    <row r="236" spans="1:87" ht="27" hidden="1" customHeight="1">
      <c r="A236" s="337">
        <v>232</v>
      </c>
      <c r="B236" s="326" t="s">
        <v>2065</v>
      </c>
      <c r="C236" s="326" t="s">
        <v>2412</v>
      </c>
      <c r="D236" s="346">
        <v>1</v>
      </c>
      <c r="E236" s="326">
        <f t="shared" si="122"/>
        <v>1</v>
      </c>
      <c r="F236" s="326">
        <f t="shared" si="123"/>
        <v>0</v>
      </c>
      <c r="G236" s="347">
        <v>2</v>
      </c>
      <c r="H236" s="326" t="s">
        <v>526</v>
      </c>
      <c r="I236" s="351">
        <v>44569</v>
      </c>
      <c r="J236" s="341">
        <f t="shared" si="120"/>
        <v>44574</v>
      </c>
      <c r="BI236" s="343">
        <v>1</v>
      </c>
      <c r="CI236" s="343">
        <f t="shared" si="108"/>
        <v>0</v>
      </c>
    </row>
    <row r="237" spans="1:87" ht="27" hidden="1" customHeight="1">
      <c r="A237" s="332">
        <v>233</v>
      </c>
      <c r="B237" s="326" t="s">
        <v>2065</v>
      </c>
      <c r="C237" s="326" t="s">
        <v>2346</v>
      </c>
      <c r="D237" s="346">
        <v>1</v>
      </c>
      <c r="E237" s="326">
        <f t="shared" si="122"/>
        <v>1</v>
      </c>
      <c r="F237" s="326">
        <f t="shared" si="123"/>
        <v>0</v>
      </c>
      <c r="G237" s="347">
        <v>4</v>
      </c>
      <c r="H237" s="326" t="s">
        <v>526</v>
      </c>
      <c r="I237" s="351">
        <v>44569</v>
      </c>
      <c r="J237" s="341">
        <f t="shared" ref="J237:J245" si="124">I237+5</f>
        <v>44574</v>
      </c>
      <c r="BB237" s="343">
        <v>1</v>
      </c>
      <c r="CI237" s="343">
        <f t="shared" si="108"/>
        <v>0</v>
      </c>
    </row>
    <row r="238" spans="1:87" ht="27" hidden="1" customHeight="1">
      <c r="A238" s="337">
        <v>234</v>
      </c>
      <c r="B238" s="326" t="s">
        <v>2065</v>
      </c>
      <c r="C238" s="326" t="s">
        <v>1657</v>
      </c>
      <c r="D238" s="346">
        <v>2</v>
      </c>
      <c r="E238" s="326">
        <f t="shared" ref="E238:E242" si="125">SUM(K238:RH238)</f>
        <v>2</v>
      </c>
      <c r="F238" s="326">
        <f t="shared" ref="F238:F242" si="126">D238-E238</f>
        <v>0</v>
      </c>
      <c r="G238" s="347">
        <v>6</v>
      </c>
      <c r="H238" s="326" t="s">
        <v>526</v>
      </c>
      <c r="I238" s="351">
        <v>44580</v>
      </c>
      <c r="J238" s="341">
        <f t="shared" si="124"/>
        <v>44585</v>
      </c>
      <c r="BU238" s="343">
        <v>2</v>
      </c>
      <c r="CI238" s="343">
        <f t="shared" si="108"/>
        <v>0</v>
      </c>
    </row>
    <row r="239" spans="1:87" ht="27" hidden="1" customHeight="1">
      <c r="A239" s="332">
        <v>235</v>
      </c>
      <c r="B239" s="326" t="s">
        <v>2065</v>
      </c>
      <c r="C239" s="326" t="s">
        <v>834</v>
      </c>
      <c r="D239" s="346">
        <v>1</v>
      </c>
      <c r="E239" s="326">
        <f t="shared" si="125"/>
        <v>1</v>
      </c>
      <c r="F239" s="326">
        <f t="shared" si="126"/>
        <v>0</v>
      </c>
      <c r="G239" s="347">
        <v>6</v>
      </c>
      <c r="H239" s="326" t="s">
        <v>526</v>
      </c>
      <c r="I239" s="351">
        <v>44580</v>
      </c>
      <c r="J239" s="341">
        <f t="shared" si="124"/>
        <v>44585</v>
      </c>
      <c r="BU239" s="343">
        <v>1</v>
      </c>
      <c r="CI239" s="343">
        <f t="shared" si="108"/>
        <v>0</v>
      </c>
    </row>
    <row r="240" spans="1:87" ht="27" hidden="1" customHeight="1">
      <c r="A240" s="337">
        <v>236</v>
      </c>
      <c r="B240" s="326" t="s">
        <v>1352</v>
      </c>
      <c r="C240" s="326" t="s">
        <v>231</v>
      </c>
      <c r="D240" s="346">
        <v>1</v>
      </c>
      <c r="E240" s="326">
        <f t="shared" si="125"/>
        <v>1</v>
      </c>
      <c r="F240" s="326">
        <f t="shared" si="126"/>
        <v>0</v>
      </c>
      <c r="G240" s="347" t="s">
        <v>1776</v>
      </c>
      <c r="H240" s="326" t="s">
        <v>526</v>
      </c>
      <c r="I240" s="351">
        <v>44574</v>
      </c>
      <c r="J240" s="341">
        <f t="shared" si="124"/>
        <v>44579</v>
      </c>
      <c r="BL240" s="343">
        <v>1</v>
      </c>
      <c r="CI240" s="343">
        <f t="shared" si="108"/>
        <v>0</v>
      </c>
    </row>
    <row r="241" spans="1:87" ht="27" hidden="1" customHeight="1">
      <c r="A241" s="332">
        <v>237</v>
      </c>
      <c r="B241" s="326" t="s">
        <v>1219</v>
      </c>
      <c r="C241" s="326" t="s">
        <v>227</v>
      </c>
      <c r="D241" s="346">
        <v>1</v>
      </c>
      <c r="E241" s="326">
        <f t="shared" si="125"/>
        <v>1</v>
      </c>
      <c r="F241" s="326">
        <f t="shared" si="126"/>
        <v>0</v>
      </c>
      <c r="G241" s="347" t="s">
        <v>1776</v>
      </c>
      <c r="H241" s="326" t="s">
        <v>526</v>
      </c>
      <c r="I241" s="351">
        <v>44574</v>
      </c>
      <c r="J241" s="341">
        <f t="shared" si="124"/>
        <v>44579</v>
      </c>
      <c r="BU241" s="343">
        <v>1</v>
      </c>
      <c r="CI241" s="343">
        <f t="shared" si="108"/>
        <v>0</v>
      </c>
    </row>
    <row r="242" spans="1:87" ht="27" hidden="1" customHeight="1">
      <c r="A242" s="337">
        <v>238</v>
      </c>
      <c r="B242" s="326" t="s">
        <v>2065</v>
      </c>
      <c r="C242" s="326" t="s">
        <v>1645</v>
      </c>
      <c r="D242" s="346">
        <v>1</v>
      </c>
      <c r="E242" s="326">
        <f t="shared" si="125"/>
        <v>1</v>
      </c>
      <c r="F242" s="326">
        <f t="shared" si="126"/>
        <v>0</v>
      </c>
      <c r="G242" s="347" t="s">
        <v>1776</v>
      </c>
      <c r="H242" s="326" t="s">
        <v>526</v>
      </c>
      <c r="I242" s="351">
        <v>44575</v>
      </c>
      <c r="J242" s="341">
        <f t="shared" si="124"/>
        <v>44580</v>
      </c>
      <c r="BL242" s="343">
        <v>1</v>
      </c>
      <c r="CI242" s="343">
        <f t="shared" si="108"/>
        <v>0</v>
      </c>
    </row>
    <row r="243" spans="1:87" ht="27" hidden="1" customHeight="1">
      <c r="A243" s="332">
        <v>239</v>
      </c>
      <c r="B243" s="326" t="s">
        <v>2065</v>
      </c>
      <c r="C243" s="326" t="s">
        <v>1665</v>
      </c>
      <c r="D243" s="346">
        <v>2</v>
      </c>
      <c r="E243" s="326">
        <f t="shared" ref="E243:E245" si="127">SUM(K243:RH243)</f>
        <v>2</v>
      </c>
      <c r="F243" s="326">
        <f t="shared" ref="F243:F245" si="128">D243-E243</f>
        <v>0</v>
      </c>
      <c r="G243" s="347">
        <v>6</v>
      </c>
      <c r="H243" s="326" t="s">
        <v>526</v>
      </c>
      <c r="I243" s="351">
        <v>44578</v>
      </c>
      <c r="J243" s="341">
        <f t="shared" si="124"/>
        <v>44583</v>
      </c>
      <c r="BU243" s="343">
        <v>2</v>
      </c>
      <c r="CI243" s="343">
        <f t="shared" si="108"/>
        <v>0</v>
      </c>
    </row>
    <row r="244" spans="1:87" ht="27" hidden="1" customHeight="1">
      <c r="A244" s="337">
        <v>240</v>
      </c>
      <c r="B244" s="326" t="s">
        <v>2065</v>
      </c>
      <c r="C244" s="326" t="s">
        <v>1661</v>
      </c>
      <c r="D244" s="346">
        <v>1</v>
      </c>
      <c r="E244" s="326">
        <f t="shared" si="127"/>
        <v>1</v>
      </c>
      <c r="F244" s="326">
        <f t="shared" si="128"/>
        <v>0</v>
      </c>
      <c r="G244" s="347">
        <v>4</v>
      </c>
      <c r="H244" s="326" t="s">
        <v>526</v>
      </c>
      <c r="I244" s="351">
        <v>44574</v>
      </c>
      <c r="J244" s="341">
        <f t="shared" si="124"/>
        <v>44579</v>
      </c>
      <c r="BL244" s="343">
        <v>1</v>
      </c>
      <c r="CI244" s="343">
        <f t="shared" si="108"/>
        <v>0</v>
      </c>
    </row>
    <row r="245" spans="1:87" ht="27" hidden="1" customHeight="1">
      <c r="A245" s="332">
        <v>241</v>
      </c>
      <c r="B245" s="326" t="s">
        <v>2065</v>
      </c>
      <c r="C245" s="326" t="s">
        <v>1642</v>
      </c>
      <c r="D245" s="346">
        <v>1</v>
      </c>
      <c r="E245" s="326">
        <f t="shared" si="127"/>
        <v>1</v>
      </c>
      <c r="F245" s="326">
        <f t="shared" si="128"/>
        <v>0</v>
      </c>
      <c r="G245" s="347">
        <v>4</v>
      </c>
      <c r="H245" s="326" t="s">
        <v>526</v>
      </c>
      <c r="I245" s="351">
        <v>44578</v>
      </c>
      <c r="J245" s="341">
        <f t="shared" si="124"/>
        <v>44583</v>
      </c>
      <c r="BL245" s="343">
        <v>1</v>
      </c>
      <c r="CI245" s="343">
        <f t="shared" si="108"/>
        <v>0</v>
      </c>
    </row>
    <row r="246" spans="1:87" ht="27" hidden="1" customHeight="1">
      <c r="A246" s="337">
        <v>242</v>
      </c>
      <c r="B246" s="326" t="s">
        <v>2065</v>
      </c>
      <c r="C246" s="326" t="s">
        <v>1665</v>
      </c>
      <c r="D246" s="346">
        <v>1</v>
      </c>
      <c r="E246" s="326">
        <f t="shared" ref="E246:E250" si="129">SUM(K246:RH246)</f>
        <v>1</v>
      </c>
      <c r="F246" s="326">
        <f t="shared" ref="F246:F250" si="130">D246-E246</f>
        <v>0</v>
      </c>
      <c r="G246" s="347">
        <v>6</v>
      </c>
      <c r="H246" s="326" t="s">
        <v>526</v>
      </c>
      <c r="I246" s="351">
        <v>44578</v>
      </c>
      <c r="J246" s="341">
        <f>I246+5</f>
        <v>44583</v>
      </c>
      <c r="BU246" s="343">
        <v>1</v>
      </c>
      <c r="CI246" s="343">
        <f t="shared" si="108"/>
        <v>0</v>
      </c>
    </row>
    <row r="247" spans="1:87" ht="27" hidden="1" customHeight="1">
      <c r="A247" s="332">
        <v>243</v>
      </c>
      <c r="B247" s="326" t="s">
        <v>2456</v>
      </c>
      <c r="C247" s="326" t="s">
        <v>249</v>
      </c>
      <c r="D247" s="346">
        <v>1</v>
      </c>
      <c r="E247" s="326">
        <f t="shared" si="129"/>
        <v>1</v>
      </c>
      <c r="F247" s="326">
        <f t="shared" si="130"/>
        <v>0</v>
      </c>
      <c r="G247" s="347">
        <v>1</v>
      </c>
      <c r="H247" s="326" t="s">
        <v>525</v>
      </c>
      <c r="I247" s="351">
        <v>44573</v>
      </c>
      <c r="J247" s="341">
        <f t="shared" ref="J247:J276" si="131">I247+5</f>
        <v>44578</v>
      </c>
      <c r="BL247" s="343">
        <v>1</v>
      </c>
      <c r="CI247" s="343">
        <f t="shared" si="108"/>
        <v>0</v>
      </c>
    </row>
    <row r="248" spans="1:87" ht="27" hidden="1" customHeight="1">
      <c r="A248" s="337">
        <v>244</v>
      </c>
      <c r="B248" s="326" t="s">
        <v>2457</v>
      </c>
      <c r="C248" s="326" t="s">
        <v>461</v>
      </c>
      <c r="D248" s="346">
        <v>1</v>
      </c>
      <c r="E248" s="326">
        <f t="shared" si="129"/>
        <v>1</v>
      </c>
      <c r="F248" s="326">
        <f t="shared" si="130"/>
        <v>0</v>
      </c>
      <c r="G248" s="347">
        <v>1</v>
      </c>
      <c r="H248" s="326" t="s">
        <v>525</v>
      </c>
      <c r="I248" s="351">
        <v>44573</v>
      </c>
      <c r="J248" s="341">
        <f t="shared" si="131"/>
        <v>44578</v>
      </c>
      <c r="BL248" s="343">
        <v>1</v>
      </c>
      <c r="CI248" s="343">
        <f t="shared" si="108"/>
        <v>0</v>
      </c>
    </row>
    <row r="249" spans="1:87" ht="27" hidden="1" customHeight="1">
      <c r="A249" s="332">
        <v>245</v>
      </c>
      <c r="B249" s="326" t="s">
        <v>2272</v>
      </c>
      <c r="C249" s="326" t="s">
        <v>622</v>
      </c>
      <c r="D249" s="346">
        <v>1</v>
      </c>
      <c r="E249" s="326">
        <f t="shared" si="129"/>
        <v>1</v>
      </c>
      <c r="F249" s="326">
        <f t="shared" si="130"/>
        <v>0</v>
      </c>
      <c r="G249" s="347">
        <v>1</v>
      </c>
      <c r="H249" s="326" t="s">
        <v>525</v>
      </c>
      <c r="I249" s="351">
        <v>44573</v>
      </c>
      <c r="J249" s="341">
        <f t="shared" si="131"/>
        <v>44578</v>
      </c>
      <c r="BU249" s="343">
        <v>1</v>
      </c>
      <c r="CI249" s="343">
        <f t="shared" si="108"/>
        <v>0</v>
      </c>
    </row>
    <row r="250" spans="1:87" ht="27" hidden="1" customHeight="1">
      <c r="A250" s="337">
        <v>246</v>
      </c>
      <c r="B250" s="326" t="s">
        <v>2272</v>
      </c>
      <c r="C250" s="326" t="s">
        <v>649</v>
      </c>
      <c r="D250" s="346">
        <v>1</v>
      </c>
      <c r="E250" s="326">
        <f t="shared" si="129"/>
        <v>1</v>
      </c>
      <c r="F250" s="326">
        <f t="shared" si="130"/>
        <v>0</v>
      </c>
      <c r="G250" s="347">
        <v>1</v>
      </c>
      <c r="H250" s="326" t="s">
        <v>525</v>
      </c>
      <c r="I250" s="351">
        <v>44573</v>
      </c>
      <c r="J250" s="341">
        <f t="shared" si="131"/>
        <v>44578</v>
      </c>
      <c r="BU250" s="343">
        <v>1</v>
      </c>
      <c r="CI250" s="343">
        <f t="shared" si="108"/>
        <v>0</v>
      </c>
    </row>
    <row r="251" spans="1:87" ht="27" hidden="1" customHeight="1">
      <c r="A251" s="332">
        <v>247</v>
      </c>
      <c r="B251" s="326" t="s">
        <v>1245</v>
      </c>
      <c r="C251" s="326" t="s">
        <v>625</v>
      </c>
      <c r="D251" s="346">
        <v>1</v>
      </c>
      <c r="E251" s="326">
        <f t="shared" ref="E251:E255" si="132">SUM(K251:RH251)</f>
        <v>1</v>
      </c>
      <c r="F251" s="326">
        <f t="shared" ref="F251:F255" si="133">D251-E251</f>
        <v>0</v>
      </c>
      <c r="G251" s="347">
        <v>4</v>
      </c>
      <c r="H251" s="326" t="s">
        <v>525</v>
      </c>
      <c r="I251" s="351">
        <v>44573</v>
      </c>
      <c r="J251" s="341">
        <f t="shared" si="131"/>
        <v>44578</v>
      </c>
      <c r="BL251" s="343">
        <v>1</v>
      </c>
      <c r="CI251" s="343">
        <f t="shared" si="108"/>
        <v>0</v>
      </c>
    </row>
    <row r="252" spans="1:87" ht="27" hidden="1" customHeight="1">
      <c r="A252" s="337">
        <v>248</v>
      </c>
      <c r="B252" s="326" t="s">
        <v>1245</v>
      </c>
      <c r="C252" s="326" t="s">
        <v>605</v>
      </c>
      <c r="D252" s="346">
        <v>5</v>
      </c>
      <c r="E252" s="326">
        <f t="shared" si="132"/>
        <v>5</v>
      </c>
      <c r="F252" s="326">
        <f t="shared" si="133"/>
        <v>0</v>
      </c>
      <c r="G252" s="347">
        <v>4</v>
      </c>
      <c r="H252" s="326" t="s">
        <v>525</v>
      </c>
      <c r="I252" s="351">
        <v>44573</v>
      </c>
      <c r="J252" s="341">
        <f t="shared" si="131"/>
        <v>44578</v>
      </c>
      <c r="BL252" s="343">
        <v>5</v>
      </c>
      <c r="CI252" s="343">
        <f t="shared" si="108"/>
        <v>0</v>
      </c>
    </row>
    <row r="253" spans="1:87" ht="27" hidden="1" customHeight="1">
      <c r="A253" s="332">
        <v>249</v>
      </c>
      <c r="B253" s="326" t="s">
        <v>1245</v>
      </c>
      <c r="C253" s="326" t="s">
        <v>625</v>
      </c>
      <c r="D253" s="346">
        <v>2</v>
      </c>
      <c r="E253" s="326">
        <f t="shared" si="132"/>
        <v>2</v>
      </c>
      <c r="F253" s="326">
        <f t="shared" si="133"/>
        <v>0</v>
      </c>
      <c r="G253" s="347">
        <v>4</v>
      </c>
      <c r="H253" s="326" t="s">
        <v>525</v>
      </c>
      <c r="I253" s="351">
        <v>44573</v>
      </c>
      <c r="J253" s="341">
        <f t="shared" si="131"/>
        <v>44578</v>
      </c>
      <c r="BU253" s="343">
        <v>2</v>
      </c>
      <c r="CI253" s="343">
        <f t="shared" si="108"/>
        <v>0</v>
      </c>
    </row>
    <row r="254" spans="1:87" ht="27" hidden="1" customHeight="1">
      <c r="A254" s="337">
        <v>250</v>
      </c>
      <c r="B254" s="326" t="s">
        <v>1245</v>
      </c>
      <c r="C254" s="326" t="s">
        <v>605</v>
      </c>
      <c r="D254" s="346">
        <v>1</v>
      </c>
      <c r="E254" s="326">
        <f t="shared" si="132"/>
        <v>1</v>
      </c>
      <c r="F254" s="326">
        <f t="shared" si="133"/>
        <v>0</v>
      </c>
      <c r="G254" s="347">
        <v>4</v>
      </c>
      <c r="H254" s="326" t="s">
        <v>525</v>
      </c>
      <c r="I254" s="351">
        <v>44573</v>
      </c>
      <c r="J254" s="341">
        <f t="shared" si="131"/>
        <v>44578</v>
      </c>
      <c r="BL254" s="343">
        <v>1</v>
      </c>
      <c r="CI254" s="343">
        <f t="shared" si="108"/>
        <v>0</v>
      </c>
    </row>
    <row r="255" spans="1:87" ht="27" hidden="1" customHeight="1">
      <c r="A255" s="332">
        <v>251</v>
      </c>
      <c r="B255" s="326" t="s">
        <v>2270</v>
      </c>
      <c r="C255" s="326" t="s">
        <v>572</v>
      </c>
      <c r="D255" s="346">
        <v>1</v>
      </c>
      <c r="E255" s="326">
        <f t="shared" si="132"/>
        <v>1</v>
      </c>
      <c r="F255" s="326">
        <f t="shared" si="133"/>
        <v>0</v>
      </c>
      <c r="G255" s="347">
        <v>4</v>
      </c>
      <c r="H255" s="326" t="s">
        <v>525</v>
      </c>
      <c r="I255" s="351">
        <v>44573</v>
      </c>
      <c r="J255" s="341">
        <f t="shared" si="131"/>
        <v>44578</v>
      </c>
      <c r="BL255" s="343">
        <v>1</v>
      </c>
      <c r="CI255" s="343">
        <f t="shared" si="108"/>
        <v>0</v>
      </c>
    </row>
    <row r="256" spans="1:87" ht="27" hidden="1" customHeight="1">
      <c r="A256" s="337">
        <v>252</v>
      </c>
      <c r="B256" s="365" t="s">
        <v>2335</v>
      </c>
      <c r="C256" s="365" t="s">
        <v>1897</v>
      </c>
      <c r="D256" s="366">
        <v>1</v>
      </c>
      <c r="E256" s="365">
        <f t="shared" ref="E256:E258" si="134">SUM(K256:RH256)</f>
        <v>1</v>
      </c>
      <c r="F256" s="365">
        <f t="shared" ref="F256:F258" si="135">D256-E256</f>
        <v>0</v>
      </c>
      <c r="G256" s="368">
        <v>3</v>
      </c>
      <c r="H256" s="326" t="s">
        <v>525</v>
      </c>
      <c r="I256" s="351">
        <v>44573</v>
      </c>
      <c r="J256" s="341">
        <f t="shared" si="131"/>
        <v>44578</v>
      </c>
      <c r="BL256" s="343">
        <v>1</v>
      </c>
      <c r="CI256" s="343">
        <f t="shared" si="108"/>
        <v>0</v>
      </c>
    </row>
    <row r="257" spans="1:87" ht="27" hidden="1" customHeight="1">
      <c r="A257" s="390">
        <v>253</v>
      </c>
      <c r="B257" s="326" t="s">
        <v>2342</v>
      </c>
      <c r="C257" s="326" t="s">
        <v>2144</v>
      </c>
      <c r="D257" s="346">
        <v>1</v>
      </c>
      <c r="E257" s="326">
        <f t="shared" si="134"/>
        <v>1</v>
      </c>
      <c r="F257" s="326">
        <f t="shared" si="135"/>
        <v>0</v>
      </c>
      <c r="G257" s="347">
        <v>3</v>
      </c>
      <c r="H257" s="326" t="s">
        <v>525</v>
      </c>
      <c r="I257" s="351">
        <v>44573</v>
      </c>
      <c r="J257" s="341">
        <f t="shared" si="131"/>
        <v>44578</v>
      </c>
      <c r="BU257" s="343">
        <v>1</v>
      </c>
      <c r="CI257" s="343">
        <f t="shared" si="108"/>
        <v>0</v>
      </c>
    </row>
    <row r="258" spans="1:87" ht="27" hidden="1" customHeight="1">
      <c r="A258" s="337">
        <v>254</v>
      </c>
      <c r="B258" s="391" t="s">
        <v>2146</v>
      </c>
      <c r="C258" s="391" t="s">
        <v>1052</v>
      </c>
      <c r="D258" s="392">
        <v>2</v>
      </c>
      <c r="E258" s="391">
        <f t="shared" si="134"/>
        <v>2</v>
      </c>
      <c r="F258" s="391">
        <f t="shared" si="135"/>
        <v>0</v>
      </c>
      <c r="G258" s="393">
        <v>6</v>
      </c>
      <c r="H258" s="326" t="s">
        <v>525</v>
      </c>
      <c r="I258" s="351">
        <v>44573</v>
      </c>
      <c r="J258" s="341">
        <f t="shared" si="131"/>
        <v>44578</v>
      </c>
      <c r="BL258" s="343">
        <v>2</v>
      </c>
      <c r="CI258" s="343">
        <f t="shared" si="108"/>
        <v>0</v>
      </c>
    </row>
    <row r="259" spans="1:87" ht="27" hidden="1" customHeight="1">
      <c r="A259" s="390">
        <v>255</v>
      </c>
      <c r="B259" s="326" t="s">
        <v>2065</v>
      </c>
      <c r="C259" s="326" t="s">
        <v>1189</v>
      </c>
      <c r="D259" s="346">
        <v>1</v>
      </c>
      <c r="E259" s="326">
        <f t="shared" ref="E259:E277" si="136">SUM(K259:RH259)</f>
        <v>1</v>
      </c>
      <c r="F259" s="326">
        <f t="shared" ref="F259:F277" si="137">D259-E259</f>
        <v>0</v>
      </c>
      <c r="G259" s="347">
        <v>6</v>
      </c>
      <c r="H259" s="326" t="s">
        <v>525</v>
      </c>
      <c r="I259" s="351">
        <v>44573</v>
      </c>
      <c r="J259" s="341">
        <f t="shared" si="131"/>
        <v>44578</v>
      </c>
      <c r="BU259" s="343">
        <v>1</v>
      </c>
      <c r="CI259" s="343">
        <f t="shared" si="108"/>
        <v>0</v>
      </c>
    </row>
    <row r="260" spans="1:87" ht="27" customHeight="1">
      <c r="A260" s="337">
        <v>256</v>
      </c>
      <c r="B260" s="326" t="s">
        <v>1295</v>
      </c>
      <c r="C260" s="326" t="s">
        <v>1094</v>
      </c>
      <c r="D260" s="346">
        <v>1</v>
      </c>
      <c r="E260" s="326">
        <f t="shared" si="136"/>
        <v>2</v>
      </c>
      <c r="F260" s="326">
        <f t="shared" si="137"/>
        <v>-1</v>
      </c>
      <c r="G260" s="347">
        <v>6</v>
      </c>
      <c r="H260" s="326" t="s">
        <v>525</v>
      </c>
      <c r="I260" s="351">
        <v>44573</v>
      </c>
      <c r="J260" s="341">
        <f t="shared" si="131"/>
        <v>44578</v>
      </c>
      <c r="CC260" s="343">
        <v>1</v>
      </c>
      <c r="CI260" s="343">
        <f t="shared" si="108"/>
        <v>1</v>
      </c>
    </row>
    <row r="261" spans="1:87" ht="27" hidden="1" customHeight="1">
      <c r="A261" s="390">
        <v>257</v>
      </c>
      <c r="B261" s="326" t="s">
        <v>2005</v>
      </c>
      <c r="C261" s="326" t="s">
        <v>27</v>
      </c>
      <c r="D261" s="346">
        <v>1</v>
      </c>
      <c r="E261" s="326">
        <f t="shared" si="136"/>
        <v>1</v>
      </c>
      <c r="F261" s="326">
        <f t="shared" si="137"/>
        <v>0</v>
      </c>
      <c r="G261" s="347">
        <v>6</v>
      </c>
      <c r="H261" s="326" t="s">
        <v>525</v>
      </c>
      <c r="I261" s="351">
        <v>44573</v>
      </c>
      <c r="J261" s="341">
        <f t="shared" si="131"/>
        <v>44578</v>
      </c>
      <c r="BU261" s="343">
        <v>1</v>
      </c>
      <c r="CI261" s="343">
        <f t="shared" si="108"/>
        <v>0</v>
      </c>
    </row>
    <row r="262" spans="1:87" ht="27" customHeight="1">
      <c r="A262" s="337">
        <v>258</v>
      </c>
      <c r="B262" s="112" t="s">
        <v>1375</v>
      </c>
      <c r="C262" s="326" t="s">
        <v>1379</v>
      </c>
      <c r="D262" s="346">
        <v>1</v>
      </c>
      <c r="E262" s="326">
        <f t="shared" si="136"/>
        <v>2</v>
      </c>
      <c r="F262" s="326">
        <f t="shared" si="137"/>
        <v>-1</v>
      </c>
      <c r="G262" s="347">
        <v>6</v>
      </c>
      <c r="H262" s="326" t="s">
        <v>525</v>
      </c>
      <c r="I262" s="351">
        <v>44573</v>
      </c>
      <c r="J262" s="341">
        <f t="shared" si="131"/>
        <v>44578</v>
      </c>
      <c r="CB262" s="343">
        <v>1</v>
      </c>
      <c r="CI262" s="343">
        <f t="shared" ref="CI262:CI325" si="138">SUM(BV262:CH262)</f>
        <v>1</v>
      </c>
    </row>
    <row r="263" spans="1:87" ht="27" customHeight="1">
      <c r="A263" s="332">
        <v>259</v>
      </c>
      <c r="B263" s="112" t="s">
        <v>1375</v>
      </c>
      <c r="C263" s="326" t="s">
        <v>1380</v>
      </c>
      <c r="D263" s="346">
        <v>3</v>
      </c>
      <c r="E263" s="326">
        <f t="shared" si="136"/>
        <v>6</v>
      </c>
      <c r="F263" s="326">
        <f t="shared" si="137"/>
        <v>-3</v>
      </c>
      <c r="G263" s="347">
        <v>6</v>
      </c>
      <c r="H263" s="326" t="s">
        <v>525</v>
      </c>
      <c r="I263" s="351">
        <v>44573</v>
      </c>
      <c r="J263" s="341">
        <f t="shared" si="131"/>
        <v>44578</v>
      </c>
      <c r="CB263" s="343">
        <v>3</v>
      </c>
      <c r="CI263" s="343">
        <f t="shared" si="138"/>
        <v>3</v>
      </c>
    </row>
    <row r="264" spans="1:87" ht="27" customHeight="1">
      <c r="A264" s="337">
        <v>260</v>
      </c>
      <c r="B264" s="365" t="s">
        <v>1363</v>
      </c>
      <c r="C264" s="365" t="s">
        <v>2458</v>
      </c>
      <c r="D264" s="366">
        <v>1</v>
      </c>
      <c r="E264" s="365">
        <f t="shared" si="136"/>
        <v>2</v>
      </c>
      <c r="F264" s="365">
        <f t="shared" si="137"/>
        <v>-1</v>
      </c>
      <c r="G264" s="368">
        <v>6</v>
      </c>
      <c r="H264" s="326" t="s">
        <v>525</v>
      </c>
      <c r="I264" s="351">
        <v>44573</v>
      </c>
      <c r="J264" s="341">
        <f t="shared" si="131"/>
        <v>44578</v>
      </c>
      <c r="CB264" s="343">
        <v>1</v>
      </c>
      <c r="CI264" s="343">
        <f t="shared" si="138"/>
        <v>1</v>
      </c>
    </row>
    <row r="265" spans="1:87" ht="27" hidden="1" customHeight="1">
      <c r="A265" s="390">
        <v>261</v>
      </c>
      <c r="B265" s="326" t="s">
        <v>1245</v>
      </c>
      <c r="C265" s="326" t="s">
        <v>2105</v>
      </c>
      <c r="D265" s="346">
        <v>1</v>
      </c>
      <c r="E265" s="326">
        <f t="shared" si="136"/>
        <v>1</v>
      </c>
      <c r="F265" s="326">
        <f t="shared" si="137"/>
        <v>0</v>
      </c>
      <c r="G265" s="347">
        <v>6</v>
      </c>
      <c r="H265" s="326" t="s">
        <v>525</v>
      </c>
      <c r="I265" s="351">
        <v>44573</v>
      </c>
      <c r="J265" s="341">
        <f t="shared" si="131"/>
        <v>44578</v>
      </c>
      <c r="BU265" s="343">
        <v>1</v>
      </c>
      <c r="CI265" s="343">
        <f t="shared" si="138"/>
        <v>0</v>
      </c>
    </row>
    <row r="266" spans="1:87" ht="27" hidden="1" customHeight="1">
      <c r="A266" s="337">
        <v>262</v>
      </c>
      <c r="B266" s="358" t="s">
        <v>2146</v>
      </c>
      <c r="C266" s="358" t="s">
        <v>1052</v>
      </c>
      <c r="D266" s="371">
        <v>1</v>
      </c>
      <c r="E266" s="358">
        <f t="shared" si="136"/>
        <v>1</v>
      </c>
      <c r="F266" s="358">
        <f t="shared" si="137"/>
        <v>0</v>
      </c>
      <c r="G266" s="357">
        <v>6</v>
      </c>
      <c r="H266" s="326" t="s">
        <v>525</v>
      </c>
      <c r="I266" s="351">
        <v>44573</v>
      </c>
      <c r="J266" s="341">
        <f t="shared" si="131"/>
        <v>44578</v>
      </c>
      <c r="BL266" s="343">
        <v>1</v>
      </c>
      <c r="CI266" s="343">
        <f t="shared" si="138"/>
        <v>0</v>
      </c>
    </row>
    <row r="267" spans="1:87" ht="27" customHeight="1">
      <c r="A267" s="332">
        <v>263</v>
      </c>
      <c r="B267" s="326" t="s">
        <v>2065</v>
      </c>
      <c r="C267" s="326" t="s">
        <v>1189</v>
      </c>
      <c r="D267" s="346">
        <v>3</v>
      </c>
      <c r="E267" s="326">
        <f t="shared" si="136"/>
        <v>6</v>
      </c>
      <c r="F267" s="326">
        <f t="shared" si="137"/>
        <v>-3</v>
      </c>
      <c r="G267" s="347">
        <v>6</v>
      </c>
      <c r="H267" s="326" t="s">
        <v>525</v>
      </c>
      <c r="I267" s="351">
        <v>44573</v>
      </c>
      <c r="J267" s="341">
        <f t="shared" si="131"/>
        <v>44578</v>
      </c>
      <c r="CC267" s="343">
        <v>3</v>
      </c>
      <c r="CI267" s="343">
        <f t="shared" si="138"/>
        <v>3</v>
      </c>
    </row>
    <row r="268" spans="1:87" ht="27" hidden="1" customHeight="1">
      <c r="A268" s="337">
        <v>264</v>
      </c>
      <c r="B268" s="365" t="s">
        <v>2065</v>
      </c>
      <c r="C268" s="365" t="s">
        <v>2459</v>
      </c>
      <c r="D268" s="366">
        <v>1</v>
      </c>
      <c r="E268" s="365">
        <f t="shared" si="136"/>
        <v>1</v>
      </c>
      <c r="F268" s="365">
        <f t="shared" si="137"/>
        <v>0</v>
      </c>
      <c r="G268" s="368">
        <v>6</v>
      </c>
      <c r="H268" s="326" t="s">
        <v>525</v>
      </c>
      <c r="I268" s="351">
        <v>44573</v>
      </c>
      <c r="J268" s="341">
        <f t="shared" si="131"/>
        <v>44578</v>
      </c>
      <c r="BL268" s="343">
        <v>1</v>
      </c>
      <c r="CI268" s="343">
        <f t="shared" si="138"/>
        <v>0</v>
      </c>
    </row>
    <row r="269" spans="1:87" ht="27" hidden="1" customHeight="1">
      <c r="A269" s="332">
        <v>265</v>
      </c>
      <c r="B269" s="326" t="s">
        <v>2065</v>
      </c>
      <c r="C269" s="326" t="s">
        <v>1673</v>
      </c>
      <c r="D269" s="346">
        <v>1</v>
      </c>
      <c r="E269" s="326">
        <f t="shared" si="136"/>
        <v>1</v>
      </c>
      <c r="F269" s="326">
        <f t="shared" si="137"/>
        <v>0</v>
      </c>
      <c r="G269" s="347">
        <v>4</v>
      </c>
      <c r="H269" s="326" t="s">
        <v>526</v>
      </c>
      <c r="I269" s="351">
        <v>44585</v>
      </c>
      <c r="J269" s="341">
        <f t="shared" si="131"/>
        <v>44590</v>
      </c>
      <c r="BU269" s="343">
        <v>1</v>
      </c>
      <c r="CI269" s="343">
        <f t="shared" si="138"/>
        <v>0</v>
      </c>
    </row>
    <row r="270" spans="1:87" ht="27" hidden="1" customHeight="1">
      <c r="A270" s="337">
        <v>266</v>
      </c>
      <c r="B270" s="326" t="s">
        <v>2336</v>
      </c>
      <c r="C270" s="326" t="s">
        <v>1548</v>
      </c>
      <c r="D270" s="346">
        <v>1</v>
      </c>
      <c r="E270" s="326">
        <f t="shared" si="136"/>
        <v>1</v>
      </c>
      <c r="F270" s="326">
        <f t="shared" si="137"/>
        <v>0</v>
      </c>
      <c r="G270" s="347" t="s">
        <v>1776</v>
      </c>
      <c r="H270" s="326" t="s">
        <v>526</v>
      </c>
      <c r="I270" s="351">
        <v>44585</v>
      </c>
      <c r="J270" s="341">
        <f t="shared" si="131"/>
        <v>44590</v>
      </c>
      <c r="BU270" s="343">
        <v>1</v>
      </c>
      <c r="CI270" s="343">
        <f t="shared" si="138"/>
        <v>0</v>
      </c>
    </row>
    <row r="271" spans="1:87" ht="27" hidden="1" customHeight="1">
      <c r="A271" s="332">
        <v>267</v>
      </c>
      <c r="B271" s="326" t="s">
        <v>2065</v>
      </c>
      <c r="C271" s="326" t="s">
        <v>2503</v>
      </c>
      <c r="D271" s="346">
        <v>1</v>
      </c>
      <c r="E271" s="326">
        <f t="shared" si="136"/>
        <v>1</v>
      </c>
      <c r="F271" s="326">
        <f t="shared" si="137"/>
        <v>0</v>
      </c>
      <c r="G271" s="347">
        <v>6</v>
      </c>
      <c r="H271" s="326" t="s">
        <v>526</v>
      </c>
      <c r="I271" s="351">
        <v>44585</v>
      </c>
      <c r="J271" s="341">
        <f>I271+5</f>
        <v>44590</v>
      </c>
      <c r="BU271" s="343">
        <v>1</v>
      </c>
      <c r="CI271" s="343">
        <f t="shared" si="138"/>
        <v>0</v>
      </c>
    </row>
    <row r="272" spans="1:87" ht="27" hidden="1" customHeight="1">
      <c r="A272" s="337">
        <v>268</v>
      </c>
      <c r="B272" s="326" t="s">
        <v>1178</v>
      </c>
      <c r="C272" s="326" t="s">
        <v>463</v>
      </c>
      <c r="D272" s="346">
        <v>1</v>
      </c>
      <c r="E272" s="326">
        <f t="shared" si="136"/>
        <v>1</v>
      </c>
      <c r="F272" s="326">
        <f t="shared" si="137"/>
        <v>0</v>
      </c>
      <c r="G272" s="347">
        <v>2</v>
      </c>
      <c r="H272" s="326" t="s">
        <v>526</v>
      </c>
      <c r="I272" s="351">
        <v>44585</v>
      </c>
      <c r="J272" s="341">
        <f t="shared" si="131"/>
        <v>44590</v>
      </c>
      <c r="BU272" s="343">
        <v>1</v>
      </c>
      <c r="CI272" s="343">
        <f t="shared" si="138"/>
        <v>0</v>
      </c>
    </row>
    <row r="273" spans="1:87" ht="27" hidden="1" customHeight="1">
      <c r="A273" s="332">
        <v>269</v>
      </c>
      <c r="B273" s="326" t="s">
        <v>2065</v>
      </c>
      <c r="C273" s="326" t="s">
        <v>1657</v>
      </c>
      <c r="D273" s="346">
        <v>1</v>
      </c>
      <c r="E273" s="326">
        <f t="shared" si="136"/>
        <v>1</v>
      </c>
      <c r="F273" s="326">
        <f t="shared" si="137"/>
        <v>0</v>
      </c>
      <c r="G273" s="347">
        <v>6</v>
      </c>
      <c r="H273" s="326" t="s">
        <v>526</v>
      </c>
      <c r="I273" s="351">
        <v>44585</v>
      </c>
      <c r="J273" s="341">
        <f t="shared" si="131"/>
        <v>44590</v>
      </c>
      <c r="BU273" s="343">
        <v>1</v>
      </c>
      <c r="CI273" s="343">
        <f t="shared" si="138"/>
        <v>0</v>
      </c>
    </row>
    <row r="274" spans="1:87" ht="27" hidden="1" customHeight="1">
      <c r="A274" s="337">
        <v>270</v>
      </c>
      <c r="B274" s="326" t="s">
        <v>2065</v>
      </c>
      <c r="C274" s="326" t="s">
        <v>1660</v>
      </c>
      <c r="D274" s="346">
        <v>1</v>
      </c>
      <c r="E274" s="326">
        <f t="shared" si="136"/>
        <v>1</v>
      </c>
      <c r="F274" s="326">
        <f t="shared" si="137"/>
        <v>0</v>
      </c>
      <c r="G274" s="347">
        <v>6</v>
      </c>
      <c r="H274" s="326" t="s">
        <v>526</v>
      </c>
      <c r="I274" s="351">
        <v>44602</v>
      </c>
      <c r="J274" s="341">
        <f t="shared" si="131"/>
        <v>44607</v>
      </c>
      <c r="BU274" s="343">
        <v>1</v>
      </c>
      <c r="CI274" s="343">
        <f t="shared" si="138"/>
        <v>0</v>
      </c>
    </row>
    <row r="275" spans="1:87" ht="27" hidden="1" customHeight="1">
      <c r="A275" s="332">
        <v>271</v>
      </c>
      <c r="B275" s="326" t="s">
        <v>2065</v>
      </c>
      <c r="C275" s="326" t="s">
        <v>2537</v>
      </c>
      <c r="D275" s="346">
        <v>3</v>
      </c>
      <c r="E275" s="326">
        <f t="shared" si="136"/>
        <v>3</v>
      </c>
      <c r="F275" s="326">
        <f t="shared" si="137"/>
        <v>0</v>
      </c>
      <c r="G275" s="347">
        <v>6</v>
      </c>
      <c r="H275" s="326" t="s">
        <v>526</v>
      </c>
      <c r="I275" s="351">
        <v>44222</v>
      </c>
      <c r="J275" s="341">
        <f t="shared" si="131"/>
        <v>44227</v>
      </c>
      <c r="BU275" s="343">
        <v>3</v>
      </c>
      <c r="CI275" s="343">
        <f t="shared" si="138"/>
        <v>0</v>
      </c>
    </row>
    <row r="276" spans="1:87" ht="27" hidden="1" customHeight="1">
      <c r="A276" s="337">
        <v>272</v>
      </c>
      <c r="B276" s="326" t="s">
        <v>2065</v>
      </c>
      <c r="C276" s="326" t="s">
        <v>2537</v>
      </c>
      <c r="D276" s="346">
        <v>4</v>
      </c>
      <c r="E276" s="326">
        <f t="shared" si="136"/>
        <v>4</v>
      </c>
      <c r="F276" s="326">
        <f t="shared" si="137"/>
        <v>0</v>
      </c>
      <c r="G276" s="347">
        <v>6</v>
      </c>
      <c r="H276" s="326" t="s">
        <v>526</v>
      </c>
      <c r="I276" s="351">
        <v>44223</v>
      </c>
      <c r="J276" s="341">
        <f t="shared" si="131"/>
        <v>44228</v>
      </c>
      <c r="BU276" s="343">
        <v>4</v>
      </c>
      <c r="CI276" s="343">
        <f t="shared" si="138"/>
        <v>0</v>
      </c>
    </row>
    <row r="277" spans="1:87" ht="27" hidden="1" customHeight="1">
      <c r="A277" s="332">
        <v>273</v>
      </c>
      <c r="B277" s="326" t="s">
        <v>2065</v>
      </c>
      <c r="C277" s="326" t="s">
        <v>2503</v>
      </c>
      <c r="D277" s="346">
        <v>4</v>
      </c>
      <c r="E277" s="326">
        <f t="shared" si="136"/>
        <v>4</v>
      </c>
      <c r="F277" s="326">
        <f t="shared" si="137"/>
        <v>0</v>
      </c>
      <c r="G277" s="347">
        <v>6</v>
      </c>
      <c r="H277" s="326" t="s">
        <v>526</v>
      </c>
      <c r="I277" s="351">
        <v>44223</v>
      </c>
      <c r="J277" s="341">
        <f t="shared" ref="J277:J289" si="139">I277+5</f>
        <v>44228</v>
      </c>
      <c r="BU277" s="343">
        <v>4</v>
      </c>
      <c r="CI277" s="343">
        <f t="shared" si="138"/>
        <v>0</v>
      </c>
    </row>
    <row r="278" spans="1:87" ht="27" hidden="1" customHeight="1">
      <c r="A278" s="337">
        <v>274</v>
      </c>
      <c r="B278" s="326" t="s">
        <v>2065</v>
      </c>
      <c r="C278" s="326" t="s">
        <v>2538</v>
      </c>
      <c r="D278" s="346">
        <v>1</v>
      </c>
      <c r="E278" s="326">
        <f t="shared" ref="E278:E279" si="140">SUM(K278:RH278)</f>
        <v>1</v>
      </c>
      <c r="F278" s="326">
        <f t="shared" ref="F278:F279" si="141">D278-E278</f>
        <v>0</v>
      </c>
      <c r="G278" s="347">
        <v>1</v>
      </c>
      <c r="H278" s="326" t="s">
        <v>526</v>
      </c>
      <c r="I278" s="351">
        <v>44223</v>
      </c>
      <c r="J278" s="341">
        <f t="shared" si="139"/>
        <v>44228</v>
      </c>
      <c r="BU278" s="343">
        <v>1</v>
      </c>
      <c r="CI278" s="343">
        <f t="shared" si="138"/>
        <v>0</v>
      </c>
    </row>
    <row r="279" spans="1:87" ht="27" hidden="1" customHeight="1">
      <c r="A279" s="332">
        <v>275</v>
      </c>
      <c r="B279" s="326" t="s">
        <v>2065</v>
      </c>
      <c r="C279" s="326" t="s">
        <v>2539</v>
      </c>
      <c r="D279" s="346">
        <v>1</v>
      </c>
      <c r="E279" s="326">
        <f t="shared" si="140"/>
        <v>1</v>
      </c>
      <c r="F279" s="326">
        <f t="shared" si="141"/>
        <v>0</v>
      </c>
      <c r="G279" s="347">
        <v>1</v>
      </c>
      <c r="H279" s="326" t="s">
        <v>526</v>
      </c>
      <c r="I279" s="351">
        <v>44223</v>
      </c>
      <c r="J279" s="341">
        <f t="shared" si="139"/>
        <v>44228</v>
      </c>
      <c r="BU279" s="343">
        <v>1</v>
      </c>
      <c r="CI279" s="343">
        <f t="shared" si="138"/>
        <v>0</v>
      </c>
    </row>
    <row r="280" spans="1:87" ht="27" hidden="1" customHeight="1">
      <c r="A280" s="337">
        <v>276</v>
      </c>
      <c r="B280" s="326" t="s">
        <v>2540</v>
      </c>
      <c r="C280" s="326" t="s">
        <v>2349</v>
      </c>
      <c r="D280" s="346">
        <v>1</v>
      </c>
      <c r="E280" s="326">
        <f t="shared" ref="E280:E282" si="142">SUM(K280:RH280)</f>
        <v>1</v>
      </c>
      <c r="F280" s="326">
        <f t="shared" ref="F280:F282" si="143">D280-E280</f>
        <v>0</v>
      </c>
      <c r="G280" s="347">
        <v>1</v>
      </c>
      <c r="H280" s="326" t="s">
        <v>525</v>
      </c>
      <c r="I280" s="351">
        <v>44583</v>
      </c>
      <c r="J280" s="341">
        <f t="shared" si="139"/>
        <v>44588</v>
      </c>
      <c r="BU280" s="343">
        <v>1</v>
      </c>
      <c r="CI280" s="343">
        <f t="shared" si="138"/>
        <v>0</v>
      </c>
    </row>
    <row r="281" spans="1:87" ht="27" hidden="1" customHeight="1">
      <c r="A281" s="332">
        <v>277</v>
      </c>
      <c r="B281" s="326" t="s">
        <v>2272</v>
      </c>
      <c r="C281" s="326" t="s">
        <v>2541</v>
      </c>
      <c r="D281" s="346">
        <v>1</v>
      </c>
      <c r="E281" s="326">
        <f t="shared" si="142"/>
        <v>1</v>
      </c>
      <c r="F281" s="326">
        <f t="shared" si="143"/>
        <v>0</v>
      </c>
      <c r="G281" s="347">
        <v>2</v>
      </c>
      <c r="H281" s="326" t="s">
        <v>525</v>
      </c>
      <c r="I281" s="351">
        <v>44583</v>
      </c>
      <c r="J281" s="341">
        <f t="shared" si="139"/>
        <v>44588</v>
      </c>
      <c r="BU281" s="343">
        <v>1</v>
      </c>
      <c r="CI281" s="343">
        <f t="shared" si="138"/>
        <v>0</v>
      </c>
    </row>
    <row r="282" spans="1:87" ht="27" hidden="1" customHeight="1">
      <c r="A282" s="337">
        <v>278</v>
      </c>
      <c r="B282" s="326" t="s">
        <v>2272</v>
      </c>
      <c r="C282" s="326" t="s">
        <v>649</v>
      </c>
      <c r="D282" s="346">
        <v>1</v>
      </c>
      <c r="E282" s="326">
        <f t="shared" si="142"/>
        <v>1</v>
      </c>
      <c r="F282" s="326">
        <f t="shared" si="143"/>
        <v>0</v>
      </c>
      <c r="G282" s="347">
        <v>2</v>
      </c>
      <c r="H282" s="326" t="s">
        <v>525</v>
      </c>
      <c r="I282" s="351">
        <v>44583</v>
      </c>
      <c r="J282" s="341">
        <f t="shared" si="139"/>
        <v>44588</v>
      </c>
      <c r="BU282" s="343">
        <v>1</v>
      </c>
      <c r="CI282" s="343">
        <f t="shared" si="138"/>
        <v>0</v>
      </c>
    </row>
    <row r="283" spans="1:87" ht="27" hidden="1" customHeight="1">
      <c r="A283" s="332">
        <v>279</v>
      </c>
      <c r="B283" s="112" t="s">
        <v>2337</v>
      </c>
      <c r="C283" s="326" t="s">
        <v>2543</v>
      </c>
      <c r="D283" s="346">
        <v>1</v>
      </c>
      <c r="E283" s="326">
        <f t="shared" ref="E283:E289" si="144">SUM(K283:RH283)</f>
        <v>1</v>
      </c>
      <c r="F283" s="326">
        <f t="shared" ref="F283:F289" si="145">D283-E283</f>
        <v>0</v>
      </c>
      <c r="G283" s="347">
        <v>4</v>
      </c>
      <c r="H283" s="326" t="s">
        <v>525</v>
      </c>
      <c r="I283" s="351">
        <v>44583</v>
      </c>
      <c r="J283" s="341">
        <f t="shared" si="139"/>
        <v>44588</v>
      </c>
      <c r="BU283" s="343">
        <v>1</v>
      </c>
      <c r="CI283" s="343">
        <f t="shared" si="138"/>
        <v>0</v>
      </c>
    </row>
    <row r="284" spans="1:87" ht="27" hidden="1" customHeight="1">
      <c r="A284" s="337">
        <v>280</v>
      </c>
      <c r="B284" s="326" t="s">
        <v>2542</v>
      </c>
      <c r="C284" s="326" t="s">
        <v>25</v>
      </c>
      <c r="D284" s="346">
        <v>2</v>
      </c>
      <c r="E284" s="326">
        <f t="shared" si="144"/>
        <v>2</v>
      </c>
      <c r="F284" s="326">
        <f t="shared" si="145"/>
        <v>0</v>
      </c>
      <c r="G284" s="347">
        <v>4</v>
      </c>
      <c r="H284" s="326" t="s">
        <v>525</v>
      </c>
      <c r="I284" s="351">
        <v>44583</v>
      </c>
      <c r="J284" s="341">
        <f t="shared" si="139"/>
        <v>44588</v>
      </c>
      <c r="BU284" s="343">
        <v>2</v>
      </c>
      <c r="CI284" s="343">
        <f t="shared" si="138"/>
        <v>0</v>
      </c>
    </row>
    <row r="285" spans="1:87" ht="27" hidden="1" customHeight="1">
      <c r="A285" s="332">
        <v>281</v>
      </c>
      <c r="B285" s="326" t="s">
        <v>2272</v>
      </c>
      <c r="C285" s="326" t="s">
        <v>1207</v>
      </c>
      <c r="D285" s="346">
        <v>1</v>
      </c>
      <c r="E285" s="326">
        <f t="shared" si="144"/>
        <v>1</v>
      </c>
      <c r="F285" s="326">
        <f t="shared" si="145"/>
        <v>0</v>
      </c>
      <c r="G285" s="347">
        <v>4</v>
      </c>
      <c r="H285" s="326" t="s">
        <v>525</v>
      </c>
      <c r="I285" s="351">
        <v>44583</v>
      </c>
      <c r="J285" s="341">
        <f t="shared" si="139"/>
        <v>44588</v>
      </c>
      <c r="BU285" s="343">
        <v>1</v>
      </c>
      <c r="CI285" s="343">
        <f t="shared" si="138"/>
        <v>0</v>
      </c>
    </row>
    <row r="286" spans="1:87" ht="27" hidden="1" customHeight="1">
      <c r="A286" s="337">
        <v>282</v>
      </c>
      <c r="B286" s="326" t="s">
        <v>2337</v>
      </c>
      <c r="C286" s="326" t="s">
        <v>2544</v>
      </c>
      <c r="D286" s="346">
        <v>1</v>
      </c>
      <c r="E286" s="326">
        <f t="shared" si="144"/>
        <v>1</v>
      </c>
      <c r="F286" s="326">
        <f t="shared" si="145"/>
        <v>0</v>
      </c>
      <c r="G286" s="347">
        <v>4</v>
      </c>
      <c r="H286" s="326" t="s">
        <v>525</v>
      </c>
      <c r="I286" s="351">
        <v>44583</v>
      </c>
      <c r="J286" s="341">
        <f t="shared" si="139"/>
        <v>44588</v>
      </c>
      <c r="BU286" s="343">
        <v>1</v>
      </c>
      <c r="CI286" s="343">
        <f t="shared" si="138"/>
        <v>0</v>
      </c>
    </row>
    <row r="287" spans="1:87" ht="27" hidden="1" customHeight="1">
      <c r="A287" s="332">
        <v>283</v>
      </c>
      <c r="B287" s="326" t="s">
        <v>1224</v>
      </c>
      <c r="C287" s="326" t="s">
        <v>605</v>
      </c>
      <c r="D287" s="346">
        <v>3</v>
      </c>
      <c r="E287" s="326">
        <f t="shared" si="144"/>
        <v>3</v>
      </c>
      <c r="F287" s="326">
        <f t="shared" si="145"/>
        <v>0</v>
      </c>
      <c r="G287" s="347">
        <v>4</v>
      </c>
      <c r="H287" s="326" t="s">
        <v>525</v>
      </c>
      <c r="I287" s="351">
        <v>44583</v>
      </c>
      <c r="J287" s="341">
        <f t="shared" si="139"/>
        <v>44588</v>
      </c>
      <c r="BU287" s="343">
        <v>3</v>
      </c>
      <c r="CI287" s="343">
        <f t="shared" si="138"/>
        <v>0</v>
      </c>
    </row>
    <row r="288" spans="1:87" ht="27" hidden="1" customHeight="1">
      <c r="A288" s="337">
        <v>284</v>
      </c>
      <c r="B288" s="326" t="s">
        <v>2272</v>
      </c>
      <c r="C288" s="326" t="s">
        <v>1821</v>
      </c>
      <c r="D288" s="346">
        <v>3</v>
      </c>
      <c r="E288" s="326">
        <f t="shared" si="144"/>
        <v>3</v>
      </c>
      <c r="F288" s="326">
        <f t="shared" si="145"/>
        <v>0</v>
      </c>
      <c r="G288" s="347">
        <v>4</v>
      </c>
      <c r="H288" s="326" t="s">
        <v>525</v>
      </c>
      <c r="I288" s="351">
        <v>44583</v>
      </c>
      <c r="J288" s="341">
        <f t="shared" si="139"/>
        <v>44588</v>
      </c>
      <c r="BU288" s="343">
        <v>3</v>
      </c>
      <c r="CI288" s="343">
        <f t="shared" si="138"/>
        <v>0</v>
      </c>
    </row>
    <row r="289" spans="1:87" ht="27" hidden="1" customHeight="1">
      <c r="A289" s="332">
        <v>285</v>
      </c>
      <c r="B289" s="326" t="s">
        <v>2542</v>
      </c>
      <c r="C289" s="326" t="s">
        <v>25</v>
      </c>
      <c r="D289" s="346">
        <v>1</v>
      </c>
      <c r="E289" s="326">
        <f t="shared" si="144"/>
        <v>1</v>
      </c>
      <c r="F289" s="326">
        <f t="shared" si="145"/>
        <v>0</v>
      </c>
      <c r="G289" s="347">
        <v>4</v>
      </c>
      <c r="H289" s="326" t="s">
        <v>525</v>
      </c>
      <c r="I289" s="351">
        <v>44583</v>
      </c>
      <c r="J289" s="341">
        <f t="shared" si="139"/>
        <v>44588</v>
      </c>
      <c r="BU289" s="343">
        <v>1</v>
      </c>
      <c r="CI289" s="343">
        <f t="shared" si="138"/>
        <v>0</v>
      </c>
    </row>
    <row r="290" spans="1:87" ht="27" customHeight="1">
      <c r="A290" s="337">
        <v>286</v>
      </c>
      <c r="B290" s="343" t="s">
        <v>2146</v>
      </c>
      <c r="C290" s="343" t="s">
        <v>1052</v>
      </c>
      <c r="D290" s="349">
        <v>2</v>
      </c>
      <c r="E290" s="391">
        <f t="shared" ref="E290:E300" si="146">SUM(K290:RH290)</f>
        <v>4</v>
      </c>
      <c r="F290" s="391">
        <f t="shared" ref="F290:F300" si="147">D290-E290</f>
        <v>-2</v>
      </c>
      <c r="G290" s="350">
        <v>6</v>
      </c>
      <c r="H290" s="326" t="s">
        <v>525</v>
      </c>
      <c r="I290" s="351">
        <v>44583</v>
      </c>
      <c r="J290" s="341">
        <f t="shared" ref="J290:J302" si="148">I290+5</f>
        <v>44588</v>
      </c>
      <c r="CB290" s="343">
        <v>2</v>
      </c>
      <c r="CI290" s="343">
        <f t="shared" si="138"/>
        <v>2</v>
      </c>
    </row>
    <row r="291" spans="1:87" ht="27" hidden="1" customHeight="1">
      <c r="A291" s="332">
        <v>287</v>
      </c>
      <c r="B291" s="326" t="s">
        <v>1224</v>
      </c>
      <c r="C291" s="326" t="s">
        <v>2105</v>
      </c>
      <c r="D291" s="346">
        <v>1</v>
      </c>
      <c r="E291" s="326">
        <f t="shared" si="146"/>
        <v>1</v>
      </c>
      <c r="F291" s="326">
        <f t="shared" si="147"/>
        <v>0</v>
      </c>
      <c r="G291" s="347">
        <v>6</v>
      </c>
      <c r="H291" s="326" t="s">
        <v>525</v>
      </c>
      <c r="I291" s="351">
        <v>44583</v>
      </c>
      <c r="J291" s="341">
        <f t="shared" si="148"/>
        <v>44588</v>
      </c>
      <c r="BU291" s="343">
        <v>1</v>
      </c>
      <c r="CI291" s="343">
        <f t="shared" si="138"/>
        <v>0</v>
      </c>
    </row>
    <row r="292" spans="1:87" ht="27" customHeight="1">
      <c r="A292" s="337">
        <v>288</v>
      </c>
      <c r="B292" s="343" t="s">
        <v>2065</v>
      </c>
      <c r="C292" s="343" t="s">
        <v>1189</v>
      </c>
      <c r="D292" s="349">
        <v>7</v>
      </c>
      <c r="E292" s="391">
        <f t="shared" si="146"/>
        <v>14</v>
      </c>
      <c r="F292" s="391">
        <f t="shared" si="147"/>
        <v>-7</v>
      </c>
      <c r="G292" s="350">
        <v>6</v>
      </c>
      <c r="H292" s="326" t="s">
        <v>525</v>
      </c>
      <c r="I292" s="351">
        <v>44583</v>
      </c>
      <c r="J292" s="341">
        <f t="shared" si="148"/>
        <v>44588</v>
      </c>
      <c r="CC292" s="343">
        <v>7</v>
      </c>
      <c r="CI292" s="343">
        <f t="shared" si="138"/>
        <v>7</v>
      </c>
    </row>
    <row r="293" spans="1:87" ht="27" hidden="1" customHeight="1">
      <c r="A293" s="332">
        <v>289</v>
      </c>
      <c r="B293" s="326" t="s">
        <v>1224</v>
      </c>
      <c r="C293" s="326" t="s">
        <v>2002</v>
      </c>
      <c r="D293" s="346">
        <v>1</v>
      </c>
      <c r="E293" s="326">
        <f t="shared" si="146"/>
        <v>1</v>
      </c>
      <c r="F293" s="326">
        <f t="shared" si="147"/>
        <v>0</v>
      </c>
      <c r="G293" s="347">
        <v>6</v>
      </c>
      <c r="H293" s="326" t="s">
        <v>525</v>
      </c>
      <c r="I293" s="351">
        <v>44583</v>
      </c>
      <c r="J293" s="341">
        <f t="shared" si="148"/>
        <v>44588</v>
      </c>
      <c r="BU293" s="343">
        <v>1</v>
      </c>
      <c r="CI293" s="343">
        <f t="shared" si="138"/>
        <v>0</v>
      </c>
    </row>
    <row r="294" spans="1:87" ht="27" hidden="1" customHeight="1">
      <c r="A294" s="337">
        <v>290</v>
      </c>
      <c r="B294" s="326" t="s">
        <v>2392</v>
      </c>
      <c r="C294" s="326" t="s">
        <v>1450</v>
      </c>
      <c r="D294" s="346">
        <v>1</v>
      </c>
      <c r="E294" s="326">
        <f t="shared" si="146"/>
        <v>1</v>
      </c>
      <c r="F294" s="326">
        <f t="shared" si="147"/>
        <v>0</v>
      </c>
      <c r="G294" s="347">
        <v>6</v>
      </c>
      <c r="H294" s="326" t="s">
        <v>525</v>
      </c>
      <c r="I294" s="351">
        <v>44583</v>
      </c>
      <c r="J294" s="341">
        <f t="shared" si="148"/>
        <v>44588</v>
      </c>
      <c r="BU294" s="343">
        <v>1</v>
      </c>
      <c r="CI294" s="343">
        <f t="shared" si="138"/>
        <v>0</v>
      </c>
    </row>
    <row r="295" spans="1:87" ht="27" customHeight="1">
      <c r="A295" s="332">
        <v>291</v>
      </c>
      <c r="B295" s="326" t="s">
        <v>1224</v>
      </c>
      <c r="C295" s="326" t="s">
        <v>2105</v>
      </c>
      <c r="D295" s="346">
        <v>2</v>
      </c>
      <c r="E295" s="326">
        <f t="shared" si="146"/>
        <v>3</v>
      </c>
      <c r="F295" s="326">
        <f t="shared" si="147"/>
        <v>-1</v>
      </c>
      <c r="G295" s="347">
        <v>6</v>
      </c>
      <c r="H295" s="326" t="s">
        <v>525</v>
      </c>
      <c r="I295" s="351">
        <v>44583</v>
      </c>
      <c r="J295" s="341">
        <f t="shared" si="148"/>
        <v>44588</v>
      </c>
      <c r="BU295" s="343">
        <v>1</v>
      </c>
      <c r="CB295" s="343">
        <v>1</v>
      </c>
      <c r="CI295" s="343">
        <f t="shared" si="138"/>
        <v>1</v>
      </c>
    </row>
    <row r="296" spans="1:87" ht="27" hidden="1" customHeight="1">
      <c r="A296" s="337">
        <v>292</v>
      </c>
      <c r="B296" s="326" t="s">
        <v>2146</v>
      </c>
      <c r="C296" s="326" t="s">
        <v>1052</v>
      </c>
      <c r="D296" s="346">
        <v>1</v>
      </c>
      <c r="E296" s="326">
        <f t="shared" si="146"/>
        <v>1</v>
      </c>
      <c r="F296" s="326">
        <f t="shared" si="147"/>
        <v>0</v>
      </c>
      <c r="G296" s="347">
        <v>6</v>
      </c>
      <c r="H296" s="326" t="s">
        <v>525</v>
      </c>
      <c r="I296" s="351">
        <v>44583</v>
      </c>
      <c r="J296" s="341">
        <f t="shared" si="148"/>
        <v>44588</v>
      </c>
      <c r="BU296" s="343">
        <v>1</v>
      </c>
      <c r="CI296" s="343">
        <f t="shared" si="138"/>
        <v>0</v>
      </c>
    </row>
    <row r="297" spans="1:87" ht="27" hidden="1" customHeight="1">
      <c r="A297" s="337">
        <v>293</v>
      </c>
      <c r="B297" s="326" t="s">
        <v>2392</v>
      </c>
      <c r="C297" s="326" t="s">
        <v>1450</v>
      </c>
      <c r="D297" s="346">
        <v>1</v>
      </c>
      <c r="E297" s="326">
        <f t="shared" si="146"/>
        <v>1</v>
      </c>
      <c r="F297" s="326">
        <f t="shared" si="147"/>
        <v>0</v>
      </c>
      <c r="G297" s="347">
        <v>6</v>
      </c>
      <c r="H297" s="326" t="s">
        <v>525</v>
      </c>
      <c r="I297" s="351">
        <v>44583</v>
      </c>
      <c r="J297" s="341">
        <f t="shared" si="148"/>
        <v>44588</v>
      </c>
      <c r="BU297" s="343">
        <v>1</v>
      </c>
      <c r="CI297" s="343">
        <f t="shared" si="138"/>
        <v>0</v>
      </c>
    </row>
    <row r="298" spans="1:87" ht="27" customHeight="1">
      <c r="A298" s="337">
        <v>294</v>
      </c>
      <c r="B298" s="112" t="s">
        <v>1375</v>
      </c>
      <c r="C298" s="326" t="s">
        <v>1380</v>
      </c>
      <c r="D298" s="346">
        <v>1</v>
      </c>
      <c r="E298" s="326">
        <f t="shared" si="146"/>
        <v>2</v>
      </c>
      <c r="F298" s="326">
        <f t="shared" si="147"/>
        <v>-1</v>
      </c>
      <c r="G298" s="347">
        <v>6</v>
      </c>
      <c r="H298" s="326" t="s">
        <v>525</v>
      </c>
      <c r="I298" s="351">
        <v>44583</v>
      </c>
      <c r="J298" s="341">
        <f t="shared" si="148"/>
        <v>44588</v>
      </c>
      <c r="CB298" s="343">
        <v>1</v>
      </c>
      <c r="CI298" s="343">
        <f t="shared" si="138"/>
        <v>1</v>
      </c>
    </row>
    <row r="299" spans="1:87" ht="27" customHeight="1">
      <c r="A299" s="337">
        <v>295</v>
      </c>
      <c r="B299" s="326" t="s">
        <v>1287</v>
      </c>
      <c r="C299" s="326" t="s">
        <v>2545</v>
      </c>
      <c r="D299" s="346">
        <v>4</v>
      </c>
      <c r="E299" s="326">
        <v>4</v>
      </c>
      <c r="F299" s="326">
        <f t="shared" si="147"/>
        <v>0</v>
      </c>
      <c r="G299" s="347">
        <v>6</v>
      </c>
      <c r="H299" s="326" t="s">
        <v>525</v>
      </c>
      <c r="I299" s="351">
        <v>44583</v>
      </c>
      <c r="J299" s="341">
        <f t="shared" si="148"/>
        <v>44588</v>
      </c>
      <c r="CC299" s="343">
        <v>4</v>
      </c>
      <c r="CI299" s="343">
        <f t="shared" si="138"/>
        <v>4</v>
      </c>
    </row>
    <row r="300" spans="1:87" ht="27" customHeight="1">
      <c r="A300" s="337">
        <v>296</v>
      </c>
      <c r="B300" s="326" t="s">
        <v>2065</v>
      </c>
      <c r="C300" s="326" t="s">
        <v>1189</v>
      </c>
      <c r="D300" s="346">
        <v>1</v>
      </c>
      <c r="E300" s="326">
        <f t="shared" si="146"/>
        <v>2</v>
      </c>
      <c r="F300" s="326">
        <f t="shared" si="147"/>
        <v>-1</v>
      </c>
      <c r="G300" s="347">
        <v>6</v>
      </c>
      <c r="H300" s="326" t="s">
        <v>525</v>
      </c>
      <c r="I300" s="351">
        <v>44583</v>
      </c>
      <c r="J300" s="341">
        <f t="shared" si="148"/>
        <v>44588</v>
      </c>
      <c r="CC300" s="343">
        <v>1</v>
      </c>
      <c r="CI300" s="343">
        <f t="shared" si="138"/>
        <v>1</v>
      </c>
    </row>
    <row r="301" spans="1:87" ht="27" customHeight="1">
      <c r="A301" s="337">
        <v>297</v>
      </c>
      <c r="B301" s="326" t="s">
        <v>1118</v>
      </c>
      <c r="C301" s="326" t="s">
        <v>2558</v>
      </c>
      <c r="D301" s="346">
        <v>2</v>
      </c>
      <c r="E301" s="326">
        <f t="shared" ref="E301:E302" si="149">SUM(K301:RH301)</f>
        <v>4</v>
      </c>
      <c r="F301" s="326">
        <f t="shared" ref="F301:F302" si="150">D301-E301</f>
        <v>-2</v>
      </c>
      <c r="G301" s="347" t="s">
        <v>1776</v>
      </c>
      <c r="H301" s="326" t="s">
        <v>526</v>
      </c>
      <c r="I301" s="351">
        <v>44607</v>
      </c>
      <c r="J301" s="341">
        <f t="shared" si="148"/>
        <v>44612</v>
      </c>
      <c r="CA301" s="343">
        <v>2</v>
      </c>
      <c r="CI301" s="343">
        <f t="shared" si="138"/>
        <v>2</v>
      </c>
    </row>
    <row r="302" spans="1:87" ht="27" customHeight="1">
      <c r="A302" s="337">
        <v>298</v>
      </c>
      <c r="B302" s="326" t="s">
        <v>2336</v>
      </c>
      <c r="C302" s="326" t="s">
        <v>1548</v>
      </c>
      <c r="D302" s="346">
        <v>5</v>
      </c>
      <c r="E302" s="326">
        <f t="shared" si="149"/>
        <v>10</v>
      </c>
      <c r="F302" s="326">
        <f t="shared" si="150"/>
        <v>-5</v>
      </c>
      <c r="G302" s="347" t="s">
        <v>1776</v>
      </c>
      <c r="H302" s="326" t="s">
        <v>526</v>
      </c>
      <c r="I302" s="351">
        <v>44603</v>
      </c>
      <c r="J302" s="341">
        <f t="shared" si="148"/>
        <v>44608</v>
      </c>
      <c r="BV302" s="343">
        <v>5</v>
      </c>
      <c r="CI302" s="343">
        <f t="shared" si="138"/>
        <v>5</v>
      </c>
    </row>
    <row r="303" spans="1:87" ht="27" customHeight="1">
      <c r="A303" s="337">
        <v>299</v>
      </c>
      <c r="B303" s="326" t="s">
        <v>2302</v>
      </c>
      <c r="C303" s="326" t="s">
        <v>2277</v>
      </c>
      <c r="D303" s="346">
        <v>1</v>
      </c>
      <c r="E303" s="326">
        <f t="shared" ref="E303:E312" si="151">SUM(K303:RH303)</f>
        <v>2</v>
      </c>
      <c r="F303" s="326">
        <f t="shared" ref="F303:F312" si="152">D303-E303</f>
        <v>-1</v>
      </c>
      <c r="G303" s="347">
        <v>2</v>
      </c>
      <c r="H303" s="326" t="s">
        <v>526</v>
      </c>
      <c r="I303" s="351">
        <v>44910</v>
      </c>
      <c r="J303" s="341">
        <f t="shared" ref="J303:J308" si="153">I303+5</f>
        <v>44915</v>
      </c>
      <c r="CC303" s="343">
        <v>1</v>
      </c>
      <c r="CI303" s="343">
        <f t="shared" si="138"/>
        <v>1</v>
      </c>
    </row>
    <row r="304" spans="1:87" ht="27" customHeight="1">
      <c r="A304" s="337">
        <v>300</v>
      </c>
      <c r="B304" s="326" t="s">
        <v>2065</v>
      </c>
      <c r="C304" s="326" t="s">
        <v>1665</v>
      </c>
      <c r="D304" s="346">
        <v>1</v>
      </c>
      <c r="E304" s="326">
        <f t="shared" si="151"/>
        <v>2</v>
      </c>
      <c r="F304" s="326">
        <f t="shared" si="152"/>
        <v>-1</v>
      </c>
      <c r="G304" s="347">
        <v>3</v>
      </c>
      <c r="H304" s="326" t="s">
        <v>526</v>
      </c>
      <c r="I304" s="351">
        <v>44910</v>
      </c>
      <c r="J304" s="341">
        <f t="shared" si="153"/>
        <v>44915</v>
      </c>
      <c r="CA304" s="343">
        <v>1</v>
      </c>
      <c r="CI304" s="343">
        <f t="shared" si="138"/>
        <v>1</v>
      </c>
    </row>
    <row r="305" spans="1:87" ht="27" customHeight="1">
      <c r="A305" s="337">
        <v>301</v>
      </c>
      <c r="B305" s="326" t="s">
        <v>2065</v>
      </c>
      <c r="C305" s="326" t="s">
        <v>1673</v>
      </c>
      <c r="D305" s="346">
        <v>2</v>
      </c>
      <c r="E305" s="326">
        <f t="shared" si="151"/>
        <v>4</v>
      </c>
      <c r="F305" s="326">
        <f t="shared" si="152"/>
        <v>-2</v>
      </c>
      <c r="G305" s="347">
        <v>4</v>
      </c>
      <c r="H305" s="326" t="s">
        <v>526</v>
      </c>
      <c r="I305" s="351">
        <v>44607</v>
      </c>
      <c r="J305" s="341">
        <f t="shared" si="153"/>
        <v>44612</v>
      </c>
      <c r="CB305" s="343">
        <v>2</v>
      </c>
      <c r="CI305" s="343">
        <f t="shared" si="138"/>
        <v>2</v>
      </c>
    </row>
    <row r="306" spans="1:87" ht="27" customHeight="1">
      <c r="A306" s="337">
        <v>302</v>
      </c>
      <c r="B306" s="326" t="s">
        <v>1363</v>
      </c>
      <c r="C306" s="326" t="s">
        <v>529</v>
      </c>
      <c r="D306" s="346">
        <v>1</v>
      </c>
      <c r="E306" s="326">
        <f t="shared" si="151"/>
        <v>2</v>
      </c>
      <c r="F306" s="326">
        <f t="shared" si="152"/>
        <v>-1</v>
      </c>
      <c r="G306" s="347">
        <v>4</v>
      </c>
      <c r="H306" s="326" t="s">
        <v>525</v>
      </c>
      <c r="I306" s="351">
        <v>44608</v>
      </c>
      <c r="J306" s="341">
        <f t="shared" si="153"/>
        <v>44613</v>
      </c>
      <c r="CB306" s="343">
        <v>1</v>
      </c>
      <c r="CI306" s="343">
        <f t="shared" si="138"/>
        <v>1</v>
      </c>
    </row>
    <row r="307" spans="1:87" ht="27" hidden="1" customHeight="1">
      <c r="A307" s="337">
        <v>303</v>
      </c>
      <c r="B307" s="326" t="s">
        <v>2308</v>
      </c>
      <c r="C307" s="326" t="s">
        <v>1973</v>
      </c>
      <c r="D307" s="346">
        <v>1</v>
      </c>
      <c r="E307" s="326">
        <f t="shared" si="151"/>
        <v>0</v>
      </c>
      <c r="F307" s="326">
        <f t="shared" si="152"/>
        <v>1</v>
      </c>
      <c r="G307" s="347">
        <v>4</v>
      </c>
      <c r="H307" s="326" t="s">
        <v>525</v>
      </c>
      <c r="I307" s="351">
        <v>44608</v>
      </c>
      <c r="J307" s="341">
        <f t="shared" si="153"/>
        <v>44613</v>
      </c>
      <c r="CI307" s="343">
        <f t="shared" si="138"/>
        <v>0</v>
      </c>
    </row>
    <row r="308" spans="1:87" ht="27" customHeight="1">
      <c r="A308" s="337">
        <v>304</v>
      </c>
      <c r="B308" s="326" t="s">
        <v>1363</v>
      </c>
      <c r="C308" s="326" t="s">
        <v>2580</v>
      </c>
      <c r="D308" s="346">
        <v>1</v>
      </c>
      <c r="E308" s="326">
        <f t="shared" si="151"/>
        <v>2</v>
      </c>
      <c r="F308" s="326">
        <f t="shared" si="152"/>
        <v>-1</v>
      </c>
      <c r="G308" s="347">
        <v>2</v>
      </c>
      <c r="H308" s="326" t="s">
        <v>525</v>
      </c>
      <c r="I308" s="351">
        <v>44608</v>
      </c>
      <c r="J308" s="341">
        <f t="shared" si="153"/>
        <v>44613</v>
      </c>
      <c r="CB308" s="343">
        <v>1</v>
      </c>
      <c r="CI308" s="343">
        <f t="shared" si="138"/>
        <v>1</v>
      </c>
    </row>
    <row r="309" spans="1:87" ht="27" customHeight="1">
      <c r="A309" s="337">
        <v>305</v>
      </c>
      <c r="B309" s="326" t="s">
        <v>1363</v>
      </c>
      <c r="C309" s="326" t="s">
        <v>1209</v>
      </c>
      <c r="D309" s="346">
        <v>1</v>
      </c>
      <c r="E309" s="326">
        <f t="shared" si="151"/>
        <v>2</v>
      </c>
      <c r="F309" s="326">
        <f t="shared" si="152"/>
        <v>-1</v>
      </c>
      <c r="G309" s="347">
        <v>2</v>
      </c>
      <c r="H309" s="326" t="s">
        <v>525</v>
      </c>
      <c r="I309" s="351">
        <v>44608</v>
      </c>
      <c r="J309" s="341">
        <f t="shared" ref="J309:J312" si="154">I309+5</f>
        <v>44613</v>
      </c>
      <c r="CB309" s="343">
        <v>1</v>
      </c>
      <c r="CI309" s="343">
        <f t="shared" si="138"/>
        <v>1</v>
      </c>
    </row>
    <row r="310" spans="1:87" ht="27" customHeight="1">
      <c r="A310" s="337">
        <v>306</v>
      </c>
      <c r="B310" s="326" t="s">
        <v>2579</v>
      </c>
      <c r="C310" s="326" t="s">
        <v>1476</v>
      </c>
      <c r="D310" s="346">
        <v>4</v>
      </c>
      <c r="E310" s="326">
        <f t="shared" si="151"/>
        <v>8</v>
      </c>
      <c r="F310" s="326">
        <f t="shared" si="152"/>
        <v>-4</v>
      </c>
      <c r="G310" s="347">
        <v>2</v>
      </c>
      <c r="H310" s="326" t="s">
        <v>525</v>
      </c>
      <c r="I310" s="351">
        <v>44608</v>
      </c>
      <c r="J310" s="341">
        <f t="shared" si="154"/>
        <v>44613</v>
      </c>
      <c r="CB310" s="343">
        <v>4</v>
      </c>
      <c r="CI310" s="343">
        <f t="shared" si="138"/>
        <v>4</v>
      </c>
    </row>
    <row r="311" spans="1:87" ht="27" customHeight="1">
      <c r="A311" s="337">
        <v>307</v>
      </c>
      <c r="B311" s="326" t="s">
        <v>2192</v>
      </c>
      <c r="C311" s="326" t="s">
        <v>670</v>
      </c>
      <c r="D311" s="346">
        <v>1</v>
      </c>
      <c r="E311" s="326">
        <f t="shared" si="151"/>
        <v>2</v>
      </c>
      <c r="F311" s="326">
        <f t="shared" si="152"/>
        <v>-1</v>
      </c>
      <c r="G311" s="347">
        <v>2</v>
      </c>
      <c r="H311" s="326" t="s">
        <v>525</v>
      </c>
      <c r="I311" s="351">
        <v>44608</v>
      </c>
      <c r="J311" s="341">
        <f t="shared" si="154"/>
        <v>44613</v>
      </c>
      <c r="CB311" s="343">
        <v>1</v>
      </c>
      <c r="CI311" s="343">
        <f t="shared" si="138"/>
        <v>1</v>
      </c>
    </row>
    <row r="312" spans="1:87" ht="27" customHeight="1">
      <c r="A312" s="337">
        <v>308</v>
      </c>
      <c r="B312" s="326" t="s">
        <v>2342</v>
      </c>
      <c r="C312" s="326" t="s">
        <v>2581</v>
      </c>
      <c r="D312" s="346">
        <v>4</v>
      </c>
      <c r="E312" s="326">
        <f t="shared" si="151"/>
        <v>8</v>
      </c>
      <c r="F312" s="326">
        <f t="shared" si="152"/>
        <v>-4</v>
      </c>
      <c r="G312" s="347">
        <v>2</v>
      </c>
      <c r="H312" s="326" t="s">
        <v>525</v>
      </c>
      <c r="I312" s="351">
        <v>44608</v>
      </c>
      <c r="J312" s="341">
        <f t="shared" si="154"/>
        <v>44613</v>
      </c>
      <c r="CB312" s="343">
        <v>4</v>
      </c>
      <c r="CI312" s="343">
        <f t="shared" si="138"/>
        <v>4</v>
      </c>
    </row>
    <row r="313" spans="1:87" ht="27" customHeight="1">
      <c r="A313" s="337">
        <v>309</v>
      </c>
      <c r="B313" s="326" t="s">
        <v>1971</v>
      </c>
      <c r="C313" s="326" t="s">
        <v>1208</v>
      </c>
      <c r="D313" s="346">
        <v>1</v>
      </c>
      <c r="E313" s="326">
        <f t="shared" ref="E313:E314" si="155">SUM(K313:RH313)</f>
        <v>2</v>
      </c>
      <c r="F313" s="326">
        <f t="shared" ref="F313:F314" si="156">D313-E313</f>
        <v>-1</v>
      </c>
      <c r="G313" s="347">
        <v>2</v>
      </c>
      <c r="H313" s="326" t="s">
        <v>525</v>
      </c>
      <c r="I313" s="351">
        <v>44608</v>
      </c>
      <c r="J313" s="341">
        <f t="shared" ref="J313:J314" si="157">I313+5</f>
        <v>44613</v>
      </c>
      <c r="CB313" s="343">
        <v>1</v>
      </c>
      <c r="CI313" s="343">
        <f t="shared" si="138"/>
        <v>1</v>
      </c>
    </row>
    <row r="314" spans="1:87" ht="27" customHeight="1">
      <c r="A314" s="337">
        <v>310</v>
      </c>
      <c r="B314" s="326" t="s">
        <v>1287</v>
      </c>
      <c r="C314" s="326" t="s">
        <v>2545</v>
      </c>
      <c r="D314" s="346">
        <v>4</v>
      </c>
      <c r="E314" s="326">
        <f t="shared" si="155"/>
        <v>8</v>
      </c>
      <c r="F314" s="326">
        <f t="shared" si="156"/>
        <v>-4</v>
      </c>
      <c r="G314" s="347">
        <v>6</v>
      </c>
      <c r="H314" s="326" t="s">
        <v>525</v>
      </c>
      <c r="I314" s="351">
        <v>44608</v>
      </c>
      <c r="J314" s="341">
        <f t="shared" si="157"/>
        <v>44613</v>
      </c>
      <c r="CC314" s="343">
        <v>4</v>
      </c>
      <c r="CI314" s="343">
        <f t="shared" si="138"/>
        <v>4</v>
      </c>
    </row>
    <row r="315" spans="1:87" ht="27" hidden="1" customHeight="1">
      <c r="A315" s="337">
        <v>311</v>
      </c>
      <c r="B315" s="326" t="s">
        <v>2582</v>
      </c>
      <c r="C315" s="326" t="s">
        <v>1577</v>
      </c>
      <c r="D315" s="346">
        <v>3</v>
      </c>
      <c r="E315" s="326">
        <f t="shared" ref="E315:E325" si="158">SUM(K315:RH315)</f>
        <v>0</v>
      </c>
      <c r="F315" s="326">
        <f t="shared" ref="F315:F325" si="159">D315-E315</f>
        <v>3</v>
      </c>
      <c r="G315" s="347">
        <v>6</v>
      </c>
      <c r="H315" s="326" t="s">
        <v>525</v>
      </c>
      <c r="I315" s="351">
        <v>44608</v>
      </c>
      <c r="J315" s="341">
        <f t="shared" ref="J315:J324" si="160">I315+5</f>
        <v>44613</v>
      </c>
      <c r="CI315" s="343">
        <f t="shared" si="138"/>
        <v>0</v>
      </c>
    </row>
    <row r="316" spans="1:87" ht="27" customHeight="1">
      <c r="A316" s="337">
        <v>312</v>
      </c>
      <c r="B316" s="326" t="s">
        <v>2007</v>
      </c>
      <c r="C316" s="326" t="s">
        <v>25</v>
      </c>
      <c r="D316" s="346">
        <v>1</v>
      </c>
      <c r="E316" s="326">
        <f t="shared" si="158"/>
        <v>2</v>
      </c>
      <c r="F316" s="326">
        <f t="shared" si="159"/>
        <v>-1</v>
      </c>
      <c r="G316" s="347">
        <v>6</v>
      </c>
      <c r="H316" s="326" t="s">
        <v>525</v>
      </c>
      <c r="I316" s="351">
        <v>44608</v>
      </c>
      <c r="J316" s="341">
        <f t="shared" si="160"/>
        <v>44613</v>
      </c>
      <c r="CB316" s="343">
        <v>1</v>
      </c>
      <c r="CI316" s="343">
        <f t="shared" si="138"/>
        <v>1</v>
      </c>
    </row>
    <row r="317" spans="1:87" ht="27" customHeight="1">
      <c r="A317" s="337">
        <v>313</v>
      </c>
      <c r="B317" s="326" t="s">
        <v>2065</v>
      </c>
      <c r="C317" s="326" t="s">
        <v>1189</v>
      </c>
      <c r="D317" s="346">
        <v>1</v>
      </c>
      <c r="E317" s="326">
        <f t="shared" si="158"/>
        <v>2</v>
      </c>
      <c r="F317" s="326">
        <f t="shared" si="159"/>
        <v>-1</v>
      </c>
      <c r="G317" s="347">
        <v>6</v>
      </c>
      <c r="H317" s="326" t="s">
        <v>525</v>
      </c>
      <c r="I317" s="351">
        <v>44608</v>
      </c>
      <c r="J317" s="341">
        <f t="shared" si="160"/>
        <v>44613</v>
      </c>
      <c r="CC317" s="343">
        <v>1</v>
      </c>
      <c r="CI317" s="343">
        <f t="shared" si="138"/>
        <v>1</v>
      </c>
    </row>
    <row r="318" spans="1:87" ht="27" customHeight="1">
      <c r="A318" s="337">
        <v>314</v>
      </c>
      <c r="B318" s="326" t="s">
        <v>2065</v>
      </c>
      <c r="C318" s="326" t="s">
        <v>1189</v>
      </c>
      <c r="D318" s="346">
        <v>4</v>
      </c>
      <c r="E318" s="326">
        <f t="shared" si="158"/>
        <v>8</v>
      </c>
      <c r="F318" s="326">
        <f t="shared" si="159"/>
        <v>-4</v>
      </c>
      <c r="G318" s="347">
        <v>6</v>
      </c>
      <c r="H318" s="326" t="s">
        <v>525</v>
      </c>
      <c r="I318" s="351">
        <v>44608</v>
      </c>
      <c r="J318" s="341">
        <f t="shared" si="160"/>
        <v>44613</v>
      </c>
      <c r="CC318" s="343">
        <v>4</v>
      </c>
      <c r="CI318" s="343">
        <f t="shared" si="138"/>
        <v>4</v>
      </c>
    </row>
    <row r="319" spans="1:87" ht="27" customHeight="1">
      <c r="A319" s="337">
        <v>315</v>
      </c>
      <c r="B319" s="326" t="s">
        <v>2582</v>
      </c>
      <c r="C319" s="326" t="s">
        <v>1577</v>
      </c>
      <c r="D319" s="346">
        <v>1</v>
      </c>
      <c r="E319" s="326">
        <f t="shared" si="158"/>
        <v>2</v>
      </c>
      <c r="F319" s="326">
        <f t="shared" si="159"/>
        <v>-1</v>
      </c>
      <c r="G319" s="347">
        <v>6</v>
      </c>
      <c r="H319" s="326" t="s">
        <v>525</v>
      </c>
      <c r="I319" s="351">
        <v>44608</v>
      </c>
      <c r="J319" s="341">
        <f t="shared" si="160"/>
        <v>44613</v>
      </c>
      <c r="CB319" s="343">
        <v>1</v>
      </c>
      <c r="CI319" s="343">
        <f t="shared" si="138"/>
        <v>1</v>
      </c>
    </row>
    <row r="320" spans="1:87" ht="27" customHeight="1">
      <c r="A320" s="337">
        <v>316</v>
      </c>
      <c r="B320" s="326" t="s">
        <v>2145</v>
      </c>
      <c r="C320" s="326" t="s">
        <v>2105</v>
      </c>
      <c r="D320" s="346">
        <v>1</v>
      </c>
      <c r="E320" s="326">
        <f t="shared" si="158"/>
        <v>2</v>
      </c>
      <c r="F320" s="326">
        <f t="shared" si="159"/>
        <v>-1</v>
      </c>
      <c r="G320" s="347">
        <v>6</v>
      </c>
      <c r="H320" s="326" t="s">
        <v>525</v>
      </c>
      <c r="I320" s="351">
        <v>44608</v>
      </c>
      <c r="J320" s="341">
        <f t="shared" si="160"/>
        <v>44613</v>
      </c>
      <c r="CB320" s="343">
        <v>1</v>
      </c>
      <c r="CI320" s="343">
        <f t="shared" si="138"/>
        <v>1</v>
      </c>
    </row>
    <row r="321" spans="1:87" ht="27" customHeight="1">
      <c r="A321" s="337">
        <v>317</v>
      </c>
      <c r="B321" s="326" t="s">
        <v>1375</v>
      </c>
      <c r="C321" s="326" t="s">
        <v>1380</v>
      </c>
      <c r="D321" s="346">
        <v>1</v>
      </c>
      <c r="E321" s="326">
        <f t="shared" si="158"/>
        <v>2</v>
      </c>
      <c r="F321" s="326">
        <f t="shared" si="159"/>
        <v>-1</v>
      </c>
      <c r="G321" s="347">
        <v>6</v>
      </c>
      <c r="H321" s="326" t="s">
        <v>525</v>
      </c>
      <c r="I321" s="351">
        <v>44608</v>
      </c>
      <c r="J321" s="341">
        <f t="shared" si="160"/>
        <v>44613</v>
      </c>
      <c r="CB321" s="343">
        <v>1</v>
      </c>
      <c r="CI321" s="343">
        <f t="shared" si="138"/>
        <v>1</v>
      </c>
    </row>
    <row r="322" spans="1:87" ht="27" customHeight="1">
      <c r="A322" s="337">
        <v>318</v>
      </c>
      <c r="B322" s="326" t="s">
        <v>2055</v>
      </c>
      <c r="C322" s="326" t="s">
        <v>318</v>
      </c>
      <c r="D322" s="346">
        <v>3</v>
      </c>
      <c r="E322" s="326">
        <f t="shared" si="158"/>
        <v>6</v>
      </c>
      <c r="F322" s="326">
        <f t="shared" si="159"/>
        <v>-3</v>
      </c>
      <c r="G322" s="347">
        <v>1</v>
      </c>
      <c r="H322" s="326" t="s">
        <v>525</v>
      </c>
      <c r="I322" s="351">
        <v>44608</v>
      </c>
      <c r="J322" s="341">
        <f t="shared" si="160"/>
        <v>44613</v>
      </c>
      <c r="CB322" s="343">
        <v>3</v>
      </c>
      <c r="CI322" s="343">
        <f t="shared" si="138"/>
        <v>3</v>
      </c>
    </row>
    <row r="323" spans="1:87" ht="27" customHeight="1">
      <c r="A323" s="337">
        <v>319</v>
      </c>
      <c r="B323" s="326" t="s">
        <v>2583</v>
      </c>
      <c r="C323" s="326" t="s">
        <v>2349</v>
      </c>
      <c r="D323" s="346">
        <v>1</v>
      </c>
      <c r="E323" s="326">
        <f t="shared" si="158"/>
        <v>2</v>
      </c>
      <c r="F323" s="326">
        <f t="shared" si="159"/>
        <v>-1</v>
      </c>
      <c r="G323" s="347">
        <v>1</v>
      </c>
      <c r="H323" s="326" t="s">
        <v>525</v>
      </c>
      <c r="I323" s="351">
        <v>44608</v>
      </c>
      <c r="J323" s="341">
        <f t="shared" si="160"/>
        <v>44613</v>
      </c>
      <c r="CC323" s="343">
        <v>1</v>
      </c>
      <c r="CI323" s="343">
        <f t="shared" si="138"/>
        <v>1</v>
      </c>
    </row>
    <row r="324" spans="1:87" ht="27" customHeight="1">
      <c r="A324" s="337">
        <v>320</v>
      </c>
      <c r="B324" s="326" t="s">
        <v>2065</v>
      </c>
      <c r="C324" s="326" t="s">
        <v>689</v>
      </c>
      <c r="D324" s="346">
        <v>1</v>
      </c>
      <c r="E324" s="326">
        <f t="shared" si="158"/>
        <v>2</v>
      </c>
      <c r="F324" s="326">
        <f t="shared" si="159"/>
        <v>-1</v>
      </c>
      <c r="G324" s="347">
        <v>4</v>
      </c>
      <c r="H324" s="326" t="s">
        <v>526</v>
      </c>
      <c r="I324" s="351">
        <v>44611</v>
      </c>
      <c r="J324" s="341">
        <f t="shared" si="160"/>
        <v>44616</v>
      </c>
      <c r="CB324" s="343">
        <v>1</v>
      </c>
      <c r="CI324" s="343">
        <f t="shared" si="138"/>
        <v>1</v>
      </c>
    </row>
    <row r="325" spans="1:87" ht="27" customHeight="1">
      <c r="A325" s="337">
        <v>321</v>
      </c>
      <c r="B325" s="326" t="s">
        <v>2065</v>
      </c>
      <c r="C325" s="326" t="s">
        <v>1673</v>
      </c>
      <c r="D325" s="346">
        <v>1</v>
      </c>
      <c r="E325" s="326">
        <f t="shared" si="158"/>
        <v>2</v>
      </c>
      <c r="F325" s="326">
        <f t="shared" si="159"/>
        <v>-1</v>
      </c>
      <c r="G325" s="347">
        <v>4</v>
      </c>
      <c r="H325" s="326" t="s">
        <v>526</v>
      </c>
      <c r="I325" s="351">
        <v>44611</v>
      </c>
      <c r="J325" s="341">
        <f t="shared" ref="J325:J326" si="161">I325+5</f>
        <v>44616</v>
      </c>
      <c r="CB325" s="343">
        <v>1</v>
      </c>
      <c r="CI325" s="343">
        <f t="shared" si="138"/>
        <v>1</v>
      </c>
    </row>
    <row r="326" spans="1:87" ht="27" customHeight="1">
      <c r="A326" s="337">
        <v>322</v>
      </c>
      <c r="B326" s="326" t="s">
        <v>2065</v>
      </c>
      <c r="C326" s="326" t="s">
        <v>1673</v>
      </c>
      <c r="D326" s="346">
        <v>3</v>
      </c>
      <c r="E326" s="326">
        <f t="shared" ref="E326" si="162">SUM(K326:RH326)</f>
        <v>6</v>
      </c>
      <c r="F326" s="326">
        <f t="shared" ref="F326" si="163">D326-E326</f>
        <v>-3</v>
      </c>
      <c r="G326" s="347">
        <v>4</v>
      </c>
      <c r="H326" s="326" t="s">
        <v>526</v>
      </c>
      <c r="I326" s="351">
        <v>44611</v>
      </c>
      <c r="J326" s="341">
        <f t="shared" si="161"/>
        <v>44616</v>
      </c>
      <c r="CB326" s="343">
        <v>3</v>
      </c>
      <c r="CI326" s="343">
        <f t="shared" ref="CI326:CI328" si="164">SUM(BV326:CH326)</f>
        <v>3</v>
      </c>
    </row>
    <row r="327" spans="1:87" ht="27" customHeight="1">
      <c r="A327" s="337">
        <v>323</v>
      </c>
      <c r="B327" s="326" t="s">
        <v>2065</v>
      </c>
      <c r="C327" s="326" t="s">
        <v>2584</v>
      </c>
      <c r="D327" s="346">
        <v>1</v>
      </c>
      <c r="E327" s="326">
        <f t="shared" ref="E327:E328" si="165">SUM(K327:RH327)</f>
        <v>2</v>
      </c>
      <c r="F327" s="326">
        <f t="shared" ref="F327:F328" si="166">D327-E327</f>
        <v>-1</v>
      </c>
      <c r="G327" s="347">
        <v>2</v>
      </c>
      <c r="H327" s="326" t="s">
        <v>526</v>
      </c>
      <c r="I327" s="351">
        <v>44611</v>
      </c>
      <c r="J327" s="341">
        <f t="shared" ref="J327:J328" si="167">I327+5</f>
        <v>44616</v>
      </c>
      <c r="CC327" s="343">
        <v>1</v>
      </c>
      <c r="CI327" s="343">
        <f t="shared" si="164"/>
        <v>1</v>
      </c>
    </row>
    <row r="328" spans="1:87" ht="27" customHeight="1">
      <c r="A328" s="337">
        <v>324</v>
      </c>
      <c r="B328" s="343" t="s">
        <v>2065</v>
      </c>
      <c r="C328" s="343" t="s">
        <v>680</v>
      </c>
      <c r="D328" s="349">
        <v>1</v>
      </c>
      <c r="E328" s="326">
        <f t="shared" si="165"/>
        <v>2</v>
      </c>
      <c r="F328" s="326">
        <f t="shared" si="166"/>
        <v>-1</v>
      </c>
      <c r="G328" s="347">
        <v>4</v>
      </c>
      <c r="H328" s="326" t="s">
        <v>526</v>
      </c>
      <c r="I328" s="351">
        <v>44611</v>
      </c>
      <c r="J328" s="341">
        <f t="shared" si="167"/>
        <v>44616</v>
      </c>
      <c r="CB328" s="343">
        <v>1</v>
      </c>
      <c r="CI328" s="343">
        <f t="shared" si="164"/>
        <v>1</v>
      </c>
    </row>
  </sheetData>
  <autoFilter ref="A4:WPV328" xr:uid="{00000000-0009-0000-0000-000003000000}">
    <filterColumn colId="86">
      <filters>
        <filter val="1"/>
        <filter val="2"/>
        <filter val="3"/>
        <filter val="4"/>
        <filter val="5"/>
        <filter val="7"/>
      </filters>
    </filterColumn>
  </autoFilter>
  <mergeCells count="9">
    <mergeCell ref="CI3:CI4"/>
    <mergeCell ref="BU3:CH3"/>
    <mergeCell ref="AS3:BT3"/>
    <mergeCell ref="P3:AR3"/>
    <mergeCell ref="B1:J2"/>
    <mergeCell ref="D3:D4"/>
    <mergeCell ref="E3:E4"/>
    <mergeCell ref="F3:F4"/>
    <mergeCell ref="K3:O3"/>
  </mergeCells>
  <conditionalFormatting sqref="B75">
    <cfRule type="duplicateValues" dxfId="77" priority="5"/>
  </conditionalFormatting>
  <conditionalFormatting sqref="B77:B78">
    <cfRule type="duplicateValues" dxfId="76" priority="4"/>
  </conditionalFormatting>
  <conditionalFormatting sqref="B84">
    <cfRule type="duplicateValues" dxfId="75" priority="3"/>
  </conditionalFormatting>
  <conditionalFormatting sqref="B262:B263">
    <cfRule type="duplicateValues" dxfId="74" priority="2"/>
  </conditionalFormatting>
  <conditionalFormatting sqref="B298">
    <cfRule type="duplicateValues" dxfId="73" priority="1"/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rgb="FFFFFF00"/>
  </sheetPr>
  <dimension ref="A1:J307"/>
  <sheetViews>
    <sheetView windowProtection="1" zoomScale="130" zoomScaleNormal="130" workbookViewId="0">
      <pane xSplit="2" ySplit="1" topLeftCell="C293" activePane="bottomRight" state="frozen"/>
      <selection activeCell="F16" sqref="F16:G16"/>
      <selection pane="topRight" activeCell="F16" sqref="F16:G16"/>
      <selection pane="bottomLeft" activeCell="F16" sqref="F16:G16"/>
      <selection pane="bottomRight" activeCell="F16" sqref="F16:G16"/>
    </sheetView>
  </sheetViews>
  <sheetFormatPr defaultColWidth="9.140625" defaultRowHeight="12.75"/>
  <cols>
    <col min="1" max="1" width="32" style="7" customWidth="1"/>
    <col min="2" max="2" width="7.85546875" style="8" customWidth="1"/>
    <col min="3" max="3" width="8" style="8" customWidth="1"/>
    <col min="4" max="4" width="7.85546875" style="9" customWidth="1"/>
    <col min="5" max="5" width="9.140625" style="10" customWidth="1"/>
    <col min="6" max="6" width="11.5703125" style="5" customWidth="1"/>
    <col min="7" max="7" width="8.85546875" style="7" customWidth="1"/>
    <col min="8" max="8" width="4.7109375" style="5" customWidth="1"/>
    <col min="9" max="9" width="5.140625" style="5" customWidth="1"/>
    <col min="10" max="16384" width="9.140625" style="5"/>
  </cols>
  <sheetData>
    <row r="1" spans="1:9" ht="52.5" customHeight="1">
      <c r="A1" s="1" t="s">
        <v>0</v>
      </c>
      <c r="B1" s="2" t="s">
        <v>18</v>
      </c>
      <c r="C1" s="2" t="s">
        <v>17</v>
      </c>
      <c r="D1" s="3" t="s">
        <v>5</v>
      </c>
      <c r="E1" s="4" t="s">
        <v>2</v>
      </c>
      <c r="F1" s="2" t="s">
        <v>3</v>
      </c>
      <c r="G1" s="2" t="s">
        <v>4</v>
      </c>
      <c r="H1" s="2" t="s">
        <v>6</v>
      </c>
      <c r="I1" s="2" t="s">
        <v>7</v>
      </c>
    </row>
    <row r="2" spans="1:9" ht="14.25" customHeight="1">
      <c r="A2" s="91"/>
      <c r="B2" s="12"/>
      <c r="C2" s="12"/>
      <c r="D2" s="13"/>
      <c r="E2" s="14"/>
      <c r="F2" s="12"/>
      <c r="G2" s="12"/>
      <c r="H2" s="12"/>
      <c r="I2" s="12"/>
    </row>
    <row r="3" spans="1:9" ht="15.75" customHeight="1">
      <c r="A3" s="11" t="s">
        <v>63</v>
      </c>
      <c r="B3" s="17" t="e">
        <f>SUMIF(#REF!,A3,#REF!)/SUMIF(#REF!,A3,#REF!)*100</f>
        <v>#REF!</v>
      </c>
      <c r="C3" s="18" t="e">
        <f>SUMIF(#REF!,A3,#REF!)</f>
        <v>#REF!</v>
      </c>
      <c r="D3" s="75" t="e">
        <f t="shared" ref="D3:D66" si="0">(100-B3)*C3/100</f>
        <v>#REF!</v>
      </c>
      <c r="E3" s="16">
        <v>43467</v>
      </c>
      <c r="F3" s="19">
        <f t="shared" ref="F3:F66" ca="1" si="1">TODAY()</f>
        <v>45064</v>
      </c>
      <c r="G3" s="20">
        <f t="shared" ref="G3:G66" ca="1" si="2">E3-F3</f>
        <v>-1597</v>
      </c>
      <c r="H3" s="15">
        <f>MONTH(E3)</f>
        <v>1</v>
      </c>
      <c r="I3" s="15">
        <f>WEEKNUM(E3)</f>
        <v>1</v>
      </c>
    </row>
    <row r="4" spans="1:9" ht="15.75" customHeight="1">
      <c r="A4" s="11" t="s">
        <v>62</v>
      </c>
      <c r="B4" s="17" t="e">
        <f>SUMIF(#REF!,A4,#REF!)/SUMIF(#REF!,A4,#REF!)*100</f>
        <v>#REF!</v>
      </c>
      <c r="C4" s="18" t="e">
        <f>SUMIF(#REF!,A4,#REF!)</f>
        <v>#REF!</v>
      </c>
      <c r="D4" s="75" t="e">
        <f t="shared" si="0"/>
        <v>#REF!</v>
      </c>
      <c r="E4" s="16">
        <v>43467</v>
      </c>
      <c r="F4" s="19">
        <f t="shared" ca="1" si="1"/>
        <v>45064</v>
      </c>
      <c r="G4" s="20">
        <f t="shared" ca="1" si="2"/>
        <v>-1597</v>
      </c>
      <c r="H4" s="15">
        <f t="shared" ref="H4:H67" si="3">MONTH(E4)</f>
        <v>1</v>
      </c>
      <c r="I4" s="15">
        <f t="shared" ref="I4:I67" si="4">WEEKNUM(E4)</f>
        <v>1</v>
      </c>
    </row>
    <row r="5" spans="1:9" ht="15.75" customHeight="1">
      <c r="A5" s="11" t="s">
        <v>60</v>
      </c>
      <c r="B5" s="17" t="e">
        <f>SUMIF(#REF!,A5,#REF!)/SUMIF(#REF!,A5,#REF!)*100</f>
        <v>#REF!</v>
      </c>
      <c r="C5" s="18" t="e">
        <f>SUMIF(#REF!,A5,#REF!)</f>
        <v>#REF!</v>
      </c>
      <c r="D5" s="75" t="e">
        <f t="shared" si="0"/>
        <v>#REF!</v>
      </c>
      <c r="E5" s="16">
        <v>43467</v>
      </c>
      <c r="F5" s="19">
        <f t="shared" ca="1" si="1"/>
        <v>45064</v>
      </c>
      <c r="G5" s="20">
        <f t="shared" ca="1" si="2"/>
        <v>-1597</v>
      </c>
      <c r="H5" s="15">
        <f t="shared" si="3"/>
        <v>1</v>
      </c>
      <c r="I5" s="15">
        <f t="shared" si="4"/>
        <v>1</v>
      </c>
    </row>
    <row r="6" spans="1:9" ht="15.75" customHeight="1">
      <c r="A6" s="11" t="s">
        <v>61</v>
      </c>
      <c r="B6" s="17" t="e">
        <f>SUMIF(#REF!,A6,#REF!)/SUMIF(#REF!,A6,#REF!)*100</f>
        <v>#REF!</v>
      </c>
      <c r="C6" s="18" t="e">
        <f>SUMIF(#REF!,A6,#REF!)</f>
        <v>#REF!</v>
      </c>
      <c r="D6" s="75" t="e">
        <f t="shared" si="0"/>
        <v>#REF!</v>
      </c>
      <c r="E6" s="16">
        <v>43467</v>
      </c>
      <c r="F6" s="19">
        <f t="shared" ca="1" si="1"/>
        <v>45064</v>
      </c>
      <c r="G6" s="20">
        <f t="shared" ca="1" si="2"/>
        <v>-1597</v>
      </c>
      <c r="H6" s="15">
        <f t="shared" si="3"/>
        <v>1</v>
      </c>
      <c r="I6" s="15">
        <f t="shared" si="4"/>
        <v>1</v>
      </c>
    </row>
    <row r="7" spans="1:9" ht="15.75" customHeight="1">
      <c r="A7" s="11" t="s">
        <v>56</v>
      </c>
      <c r="B7" s="17" t="e">
        <f>SUMIF(#REF!,A7,#REF!)/SUMIF(#REF!,A7,#REF!)*100</f>
        <v>#REF!</v>
      </c>
      <c r="C7" s="18" t="e">
        <f>SUMIF(#REF!,A7,#REF!)</f>
        <v>#REF!</v>
      </c>
      <c r="D7" s="75" t="e">
        <f t="shared" si="0"/>
        <v>#REF!</v>
      </c>
      <c r="E7" s="16">
        <v>43467</v>
      </c>
      <c r="F7" s="19">
        <f t="shared" ca="1" si="1"/>
        <v>45064</v>
      </c>
      <c r="G7" s="20">
        <f t="shared" ca="1" si="2"/>
        <v>-1597</v>
      </c>
      <c r="H7" s="15">
        <f t="shared" si="3"/>
        <v>1</v>
      </c>
      <c r="I7" s="15">
        <f t="shared" si="4"/>
        <v>1</v>
      </c>
    </row>
    <row r="8" spans="1:9" ht="15.75" customHeight="1">
      <c r="A8" s="11" t="s">
        <v>72</v>
      </c>
      <c r="B8" s="17" t="e">
        <f>SUMIF(#REF!,A8,#REF!)/SUMIF(#REF!,A8,#REF!)*100</f>
        <v>#REF!</v>
      </c>
      <c r="C8" s="18" t="e">
        <f>SUMIF(#REF!,A8,#REF!)</f>
        <v>#REF!</v>
      </c>
      <c r="D8" s="75" t="e">
        <f t="shared" si="0"/>
        <v>#REF!</v>
      </c>
      <c r="E8" s="16">
        <v>43468</v>
      </c>
      <c r="F8" s="19">
        <f t="shared" ca="1" si="1"/>
        <v>45064</v>
      </c>
      <c r="G8" s="20">
        <f t="shared" ca="1" si="2"/>
        <v>-1596</v>
      </c>
      <c r="H8" s="15">
        <f t="shared" si="3"/>
        <v>1</v>
      </c>
      <c r="I8" s="15">
        <f t="shared" si="4"/>
        <v>1</v>
      </c>
    </row>
    <row r="9" spans="1:9" ht="15.75" customHeight="1">
      <c r="A9" s="11" t="s">
        <v>67</v>
      </c>
      <c r="B9" s="17" t="e">
        <f>SUMIF(#REF!,A9,#REF!)/SUMIF(#REF!,A9,#REF!)*100</f>
        <v>#REF!</v>
      </c>
      <c r="C9" s="18" t="e">
        <f>SUMIF(#REF!,A9,#REF!)</f>
        <v>#REF!</v>
      </c>
      <c r="D9" s="75" t="e">
        <f t="shared" si="0"/>
        <v>#REF!</v>
      </c>
      <c r="E9" s="16">
        <v>43468</v>
      </c>
      <c r="F9" s="19">
        <f t="shared" ca="1" si="1"/>
        <v>45064</v>
      </c>
      <c r="G9" s="20">
        <f t="shared" ca="1" si="2"/>
        <v>-1596</v>
      </c>
      <c r="H9" s="15">
        <f t="shared" si="3"/>
        <v>1</v>
      </c>
      <c r="I9" s="15">
        <f t="shared" si="4"/>
        <v>1</v>
      </c>
    </row>
    <row r="10" spans="1:9" ht="15.75" customHeight="1">
      <c r="A10" s="11" t="s">
        <v>74</v>
      </c>
      <c r="B10" s="17" t="e">
        <f>SUMIF(#REF!,A10,#REF!)/SUMIF(#REF!,A10,#REF!)*100</f>
        <v>#REF!</v>
      </c>
      <c r="C10" s="18" t="e">
        <f>SUMIF(#REF!,A10,#REF!)</f>
        <v>#REF!</v>
      </c>
      <c r="D10" s="75" t="e">
        <f t="shared" si="0"/>
        <v>#REF!</v>
      </c>
      <c r="E10" s="16">
        <v>43468</v>
      </c>
      <c r="F10" s="19">
        <f t="shared" ca="1" si="1"/>
        <v>45064</v>
      </c>
      <c r="G10" s="20">
        <f t="shared" ca="1" si="2"/>
        <v>-1596</v>
      </c>
      <c r="H10" s="15">
        <f t="shared" si="3"/>
        <v>1</v>
      </c>
      <c r="I10" s="15">
        <f t="shared" si="4"/>
        <v>1</v>
      </c>
    </row>
    <row r="11" spans="1:9" ht="15.75" customHeight="1">
      <c r="A11" s="11" t="s">
        <v>68</v>
      </c>
      <c r="B11" s="17" t="e">
        <f>SUMIF(#REF!,A11,#REF!)/SUMIF(#REF!,A11,#REF!)*100</f>
        <v>#REF!</v>
      </c>
      <c r="C11" s="18" t="e">
        <f>SUMIF(#REF!,A11,#REF!)</f>
        <v>#REF!</v>
      </c>
      <c r="D11" s="75" t="e">
        <f t="shared" si="0"/>
        <v>#REF!</v>
      </c>
      <c r="E11" s="16">
        <v>43469</v>
      </c>
      <c r="F11" s="19">
        <f t="shared" ca="1" si="1"/>
        <v>45064</v>
      </c>
      <c r="G11" s="20">
        <f t="shared" ca="1" si="2"/>
        <v>-1595</v>
      </c>
      <c r="H11" s="15">
        <f t="shared" si="3"/>
        <v>1</v>
      </c>
      <c r="I11" s="15">
        <f t="shared" si="4"/>
        <v>1</v>
      </c>
    </row>
    <row r="12" spans="1:9" ht="15.75" customHeight="1">
      <c r="A12" s="11" t="s">
        <v>59</v>
      </c>
      <c r="B12" s="17" t="e">
        <f>SUMIF(#REF!,A12,#REF!)/SUMIF(#REF!,A12,#REF!)*100</f>
        <v>#REF!</v>
      </c>
      <c r="C12" s="18" t="e">
        <f>SUMIF(#REF!,A12,#REF!)</f>
        <v>#REF!</v>
      </c>
      <c r="D12" s="75" t="e">
        <f t="shared" si="0"/>
        <v>#REF!</v>
      </c>
      <c r="E12" s="16">
        <v>43470</v>
      </c>
      <c r="F12" s="19">
        <f t="shared" ca="1" si="1"/>
        <v>45064</v>
      </c>
      <c r="G12" s="20">
        <f t="shared" ca="1" si="2"/>
        <v>-1594</v>
      </c>
      <c r="H12" s="15">
        <f t="shared" si="3"/>
        <v>1</v>
      </c>
      <c r="I12" s="15">
        <f t="shared" si="4"/>
        <v>1</v>
      </c>
    </row>
    <row r="13" spans="1:9" ht="15.75" customHeight="1">
      <c r="A13" s="11" t="s">
        <v>70</v>
      </c>
      <c r="B13" s="17" t="e">
        <f>SUMIF(#REF!,A13,#REF!)/SUMIF(#REF!,A13,#REF!)*100</f>
        <v>#REF!</v>
      </c>
      <c r="C13" s="18" t="e">
        <f>SUMIF(#REF!,A13,#REF!)</f>
        <v>#REF!</v>
      </c>
      <c r="D13" s="75" t="e">
        <f t="shared" si="0"/>
        <v>#REF!</v>
      </c>
      <c r="E13" s="16">
        <v>43472</v>
      </c>
      <c r="F13" s="19">
        <f t="shared" ca="1" si="1"/>
        <v>45064</v>
      </c>
      <c r="G13" s="20">
        <f t="shared" ca="1" si="2"/>
        <v>-1592</v>
      </c>
      <c r="H13" s="15">
        <f t="shared" si="3"/>
        <v>1</v>
      </c>
      <c r="I13" s="15">
        <f t="shared" si="4"/>
        <v>2</v>
      </c>
    </row>
    <row r="14" spans="1:9" ht="15.75" customHeight="1">
      <c r="A14" s="11" t="s">
        <v>64</v>
      </c>
      <c r="B14" s="17" t="e">
        <f>SUMIF(#REF!,A14,#REF!)/SUMIF(#REF!,A14,#REF!)*100</f>
        <v>#REF!</v>
      </c>
      <c r="C14" s="18" t="e">
        <f>SUMIF(#REF!,A14,#REF!)</f>
        <v>#REF!</v>
      </c>
      <c r="D14" s="75" t="e">
        <f t="shared" si="0"/>
        <v>#REF!</v>
      </c>
      <c r="E14" s="16">
        <v>43473</v>
      </c>
      <c r="F14" s="19">
        <f t="shared" ca="1" si="1"/>
        <v>45064</v>
      </c>
      <c r="G14" s="20">
        <f t="shared" ca="1" si="2"/>
        <v>-1591</v>
      </c>
      <c r="H14" s="15">
        <f t="shared" si="3"/>
        <v>1</v>
      </c>
      <c r="I14" s="15">
        <f t="shared" si="4"/>
        <v>2</v>
      </c>
    </row>
    <row r="15" spans="1:9" ht="15.75" customHeight="1">
      <c r="A15" s="11" t="s">
        <v>75</v>
      </c>
      <c r="B15" s="17" t="e">
        <f>SUMIF(#REF!,A15,#REF!)/SUMIF(#REF!,A15,#REF!)*100</f>
        <v>#REF!</v>
      </c>
      <c r="C15" s="18" t="e">
        <f>SUMIF(#REF!,A15,#REF!)</f>
        <v>#REF!</v>
      </c>
      <c r="D15" s="75" t="e">
        <f t="shared" si="0"/>
        <v>#REF!</v>
      </c>
      <c r="E15" s="16">
        <v>43475</v>
      </c>
      <c r="F15" s="19">
        <f t="shared" ca="1" si="1"/>
        <v>45064</v>
      </c>
      <c r="G15" s="20">
        <f t="shared" ca="1" si="2"/>
        <v>-1589</v>
      </c>
      <c r="H15" s="15">
        <f t="shared" si="3"/>
        <v>1</v>
      </c>
      <c r="I15" s="15">
        <f t="shared" si="4"/>
        <v>2</v>
      </c>
    </row>
    <row r="16" spans="1:9" ht="15.75" customHeight="1">
      <c r="A16" s="11" t="s">
        <v>53</v>
      </c>
      <c r="B16" s="17" t="e">
        <f>SUMIF(#REF!,A16,#REF!)/SUMIF(#REF!,A16,#REF!)*100</f>
        <v>#REF!</v>
      </c>
      <c r="C16" s="18" t="e">
        <f>SUMIF(#REF!,A16,#REF!)</f>
        <v>#REF!</v>
      </c>
      <c r="D16" s="75" t="e">
        <f t="shared" si="0"/>
        <v>#REF!</v>
      </c>
      <c r="E16" s="16">
        <v>43475</v>
      </c>
      <c r="F16" s="19">
        <f t="shared" ca="1" si="1"/>
        <v>45064</v>
      </c>
      <c r="G16" s="20">
        <f t="shared" ca="1" si="2"/>
        <v>-1589</v>
      </c>
      <c r="H16" s="15">
        <f t="shared" si="3"/>
        <v>1</v>
      </c>
      <c r="I16" s="15">
        <f t="shared" si="4"/>
        <v>2</v>
      </c>
    </row>
    <row r="17" spans="1:9" ht="15.75" customHeight="1">
      <c r="A17" s="11" t="s">
        <v>76</v>
      </c>
      <c r="B17" s="17" t="e">
        <f>SUMIF(#REF!,A17,#REF!)/SUMIF(#REF!,A17,#REF!)*100</f>
        <v>#REF!</v>
      </c>
      <c r="C17" s="18" t="e">
        <f>SUMIF(#REF!,A17,#REF!)</f>
        <v>#REF!</v>
      </c>
      <c r="D17" s="75" t="e">
        <f t="shared" si="0"/>
        <v>#REF!</v>
      </c>
      <c r="E17" s="16">
        <v>43476</v>
      </c>
      <c r="F17" s="19">
        <f t="shared" ca="1" si="1"/>
        <v>45064</v>
      </c>
      <c r="G17" s="20">
        <f t="shared" ca="1" si="2"/>
        <v>-1588</v>
      </c>
      <c r="H17" s="15">
        <f t="shared" si="3"/>
        <v>1</v>
      </c>
      <c r="I17" s="15">
        <f t="shared" si="4"/>
        <v>2</v>
      </c>
    </row>
    <row r="18" spans="1:9" ht="15.75" customHeight="1">
      <c r="A18" s="11" t="s">
        <v>83</v>
      </c>
      <c r="B18" s="17" t="e">
        <f>SUMIF(#REF!,A18,#REF!)/SUMIF(#REF!,A18,#REF!)*100</f>
        <v>#REF!</v>
      </c>
      <c r="C18" s="18" t="e">
        <f>SUMIF(#REF!,A18,#REF!)</f>
        <v>#REF!</v>
      </c>
      <c r="D18" s="75" t="e">
        <f t="shared" si="0"/>
        <v>#REF!</v>
      </c>
      <c r="E18" s="16">
        <v>43476</v>
      </c>
      <c r="F18" s="19">
        <f t="shared" ca="1" si="1"/>
        <v>45064</v>
      </c>
      <c r="G18" s="20">
        <f t="shared" ca="1" si="2"/>
        <v>-1588</v>
      </c>
      <c r="H18" s="15">
        <f t="shared" si="3"/>
        <v>1</v>
      </c>
      <c r="I18" s="15">
        <f t="shared" si="4"/>
        <v>2</v>
      </c>
    </row>
    <row r="19" spans="1:9" ht="15.75" customHeight="1">
      <c r="A19" s="11" t="s">
        <v>84</v>
      </c>
      <c r="B19" s="17" t="e">
        <f>SUMIF(#REF!,A19,#REF!)/SUMIF(#REF!,A19,#REF!)*100</f>
        <v>#REF!</v>
      </c>
      <c r="C19" s="18" t="e">
        <f>SUMIF(#REF!,A19,#REF!)</f>
        <v>#REF!</v>
      </c>
      <c r="D19" s="75" t="e">
        <f t="shared" si="0"/>
        <v>#REF!</v>
      </c>
      <c r="E19" s="16">
        <v>43477</v>
      </c>
      <c r="F19" s="19">
        <f t="shared" ca="1" si="1"/>
        <v>45064</v>
      </c>
      <c r="G19" s="20">
        <f t="shared" ca="1" si="2"/>
        <v>-1587</v>
      </c>
      <c r="H19" s="15">
        <f t="shared" si="3"/>
        <v>1</v>
      </c>
      <c r="I19" s="15">
        <f t="shared" si="4"/>
        <v>2</v>
      </c>
    </row>
    <row r="20" spans="1:9" ht="15.75" customHeight="1">
      <c r="A20" s="11" t="s">
        <v>39</v>
      </c>
      <c r="B20" s="17" t="e">
        <f>SUMIF(#REF!,A20,#REF!)/SUMIF(#REF!,A20,#REF!)*100</f>
        <v>#REF!</v>
      </c>
      <c r="C20" s="18" t="e">
        <f>SUMIF(#REF!,A20,#REF!)</f>
        <v>#REF!</v>
      </c>
      <c r="D20" s="75" t="e">
        <f t="shared" si="0"/>
        <v>#REF!</v>
      </c>
      <c r="E20" s="16">
        <v>43477</v>
      </c>
      <c r="F20" s="19">
        <f t="shared" ca="1" si="1"/>
        <v>45064</v>
      </c>
      <c r="G20" s="20">
        <f t="shared" ca="1" si="2"/>
        <v>-1587</v>
      </c>
      <c r="H20" s="15">
        <f t="shared" si="3"/>
        <v>1</v>
      </c>
      <c r="I20" s="15">
        <f t="shared" si="4"/>
        <v>2</v>
      </c>
    </row>
    <row r="21" spans="1:9" ht="15.75" customHeight="1">
      <c r="A21" s="11" t="s">
        <v>77</v>
      </c>
      <c r="B21" s="17" t="e">
        <f>SUMIF(#REF!,A21,#REF!)/SUMIF(#REF!,A21,#REF!)*100</f>
        <v>#REF!</v>
      </c>
      <c r="C21" s="18" t="e">
        <f>SUMIF(#REF!,A21,#REF!)</f>
        <v>#REF!</v>
      </c>
      <c r="D21" s="75" t="e">
        <f t="shared" si="0"/>
        <v>#REF!</v>
      </c>
      <c r="E21" s="16">
        <v>43479</v>
      </c>
      <c r="F21" s="19">
        <f t="shared" ca="1" si="1"/>
        <v>45064</v>
      </c>
      <c r="G21" s="20">
        <f t="shared" ca="1" si="2"/>
        <v>-1585</v>
      </c>
      <c r="H21" s="15">
        <f t="shared" si="3"/>
        <v>1</v>
      </c>
      <c r="I21" s="15">
        <f t="shared" si="4"/>
        <v>3</v>
      </c>
    </row>
    <row r="22" spans="1:9" ht="15.75" customHeight="1">
      <c r="A22" s="11" t="s">
        <v>80</v>
      </c>
      <c r="B22" s="17" t="e">
        <f>SUMIF(#REF!,A22,#REF!)/SUMIF(#REF!,A22,#REF!)*100</f>
        <v>#REF!</v>
      </c>
      <c r="C22" s="18" t="e">
        <f>SUMIF(#REF!,A22,#REF!)</f>
        <v>#REF!</v>
      </c>
      <c r="D22" s="75" t="e">
        <f t="shared" si="0"/>
        <v>#REF!</v>
      </c>
      <c r="E22" s="16">
        <v>43479</v>
      </c>
      <c r="F22" s="19">
        <f t="shared" ca="1" si="1"/>
        <v>45064</v>
      </c>
      <c r="G22" s="20">
        <f t="shared" ca="1" si="2"/>
        <v>-1585</v>
      </c>
      <c r="H22" s="15">
        <f t="shared" si="3"/>
        <v>1</v>
      </c>
      <c r="I22" s="15">
        <f t="shared" si="4"/>
        <v>3</v>
      </c>
    </row>
    <row r="23" spans="1:9" ht="15.75" customHeight="1">
      <c r="A23" s="11" t="s">
        <v>43</v>
      </c>
      <c r="B23" s="17" t="e">
        <f>SUMIF(#REF!,A23,#REF!)/SUMIF(#REF!,A23,#REF!)*100</f>
        <v>#REF!</v>
      </c>
      <c r="C23" s="18" t="e">
        <f>SUMIF(#REF!,A23,#REF!)</f>
        <v>#REF!</v>
      </c>
      <c r="D23" s="75" t="e">
        <f t="shared" si="0"/>
        <v>#REF!</v>
      </c>
      <c r="E23" s="16">
        <v>43480</v>
      </c>
      <c r="F23" s="19">
        <f t="shared" ca="1" si="1"/>
        <v>45064</v>
      </c>
      <c r="G23" s="20">
        <f t="shared" ca="1" si="2"/>
        <v>-1584</v>
      </c>
      <c r="H23" s="15">
        <f t="shared" si="3"/>
        <v>1</v>
      </c>
      <c r="I23" s="15">
        <f t="shared" si="4"/>
        <v>3</v>
      </c>
    </row>
    <row r="24" spans="1:9" ht="15.75" customHeight="1">
      <c r="A24" s="11" t="s">
        <v>44</v>
      </c>
      <c r="B24" s="17" t="e">
        <f>SUMIF(#REF!,A24,#REF!)/SUMIF(#REF!,A24,#REF!)*100</f>
        <v>#REF!</v>
      </c>
      <c r="C24" s="18" t="e">
        <f>SUMIF(#REF!,A24,#REF!)</f>
        <v>#REF!</v>
      </c>
      <c r="D24" s="75" t="e">
        <f t="shared" si="0"/>
        <v>#REF!</v>
      </c>
      <c r="E24" s="16">
        <v>43480</v>
      </c>
      <c r="F24" s="19">
        <f t="shared" ca="1" si="1"/>
        <v>45064</v>
      </c>
      <c r="G24" s="20">
        <f t="shared" ca="1" si="2"/>
        <v>-1584</v>
      </c>
      <c r="H24" s="15">
        <f t="shared" si="3"/>
        <v>1</v>
      </c>
      <c r="I24" s="15">
        <f t="shared" si="4"/>
        <v>3</v>
      </c>
    </row>
    <row r="25" spans="1:9" ht="15.75" customHeight="1">
      <c r="A25" s="11" t="s">
        <v>45</v>
      </c>
      <c r="B25" s="17" t="e">
        <f>SUMIF(#REF!,A25,#REF!)/SUMIF(#REF!,A25,#REF!)*100</f>
        <v>#REF!</v>
      </c>
      <c r="C25" s="18" t="e">
        <f>SUMIF(#REF!,A25,#REF!)</f>
        <v>#REF!</v>
      </c>
      <c r="D25" s="75" t="e">
        <f t="shared" si="0"/>
        <v>#REF!</v>
      </c>
      <c r="E25" s="16">
        <v>43481</v>
      </c>
      <c r="F25" s="19">
        <f t="shared" ca="1" si="1"/>
        <v>45064</v>
      </c>
      <c r="G25" s="20">
        <f t="shared" ca="1" si="2"/>
        <v>-1583</v>
      </c>
      <c r="H25" s="15">
        <f t="shared" si="3"/>
        <v>1</v>
      </c>
      <c r="I25" s="15">
        <f t="shared" si="4"/>
        <v>3</v>
      </c>
    </row>
    <row r="26" spans="1:9" ht="15.75" customHeight="1">
      <c r="A26" s="11" t="s">
        <v>51</v>
      </c>
      <c r="B26" s="17" t="e">
        <f>SUMIF(#REF!,A26,#REF!)/SUMIF(#REF!,A26,#REF!)*100</f>
        <v>#REF!</v>
      </c>
      <c r="C26" s="18" t="e">
        <f>SUMIF(#REF!,A26,#REF!)</f>
        <v>#REF!</v>
      </c>
      <c r="D26" s="75" t="e">
        <f t="shared" si="0"/>
        <v>#REF!</v>
      </c>
      <c r="E26" s="16">
        <v>43483</v>
      </c>
      <c r="F26" s="19">
        <f t="shared" ca="1" si="1"/>
        <v>45064</v>
      </c>
      <c r="G26" s="20">
        <f t="shared" ca="1" si="2"/>
        <v>-1581</v>
      </c>
      <c r="H26" s="15">
        <f t="shared" si="3"/>
        <v>1</v>
      </c>
      <c r="I26" s="15">
        <f t="shared" si="4"/>
        <v>3</v>
      </c>
    </row>
    <row r="27" spans="1:9" ht="15.75" customHeight="1">
      <c r="A27" s="11" t="s">
        <v>58</v>
      </c>
      <c r="B27" s="17" t="e">
        <f>SUMIF(#REF!,A27,#REF!)/SUMIF(#REF!,A27,#REF!)*100</f>
        <v>#REF!</v>
      </c>
      <c r="C27" s="18" t="e">
        <f>SUMIF(#REF!,A27,#REF!)</f>
        <v>#REF!</v>
      </c>
      <c r="D27" s="75" t="e">
        <f t="shared" si="0"/>
        <v>#REF!</v>
      </c>
      <c r="E27" s="16">
        <v>43483</v>
      </c>
      <c r="F27" s="19">
        <f t="shared" ca="1" si="1"/>
        <v>45064</v>
      </c>
      <c r="G27" s="20">
        <f t="shared" ca="1" si="2"/>
        <v>-1581</v>
      </c>
      <c r="H27" s="15">
        <f t="shared" si="3"/>
        <v>1</v>
      </c>
      <c r="I27" s="15">
        <f t="shared" si="4"/>
        <v>3</v>
      </c>
    </row>
    <row r="28" spans="1:9" ht="15.75" customHeight="1">
      <c r="A28" s="11" t="s">
        <v>85</v>
      </c>
      <c r="B28" s="17" t="e">
        <f>SUMIF(#REF!,A28,#REF!)/SUMIF(#REF!,A28,#REF!)*100</f>
        <v>#REF!</v>
      </c>
      <c r="C28" s="18" t="e">
        <f>SUMIF(#REF!,A28,#REF!)</f>
        <v>#REF!</v>
      </c>
      <c r="D28" s="75" t="e">
        <f t="shared" si="0"/>
        <v>#REF!</v>
      </c>
      <c r="E28" s="16">
        <v>43484</v>
      </c>
      <c r="F28" s="19">
        <f t="shared" ca="1" si="1"/>
        <v>45064</v>
      </c>
      <c r="G28" s="20">
        <f t="shared" ca="1" si="2"/>
        <v>-1580</v>
      </c>
      <c r="H28" s="15">
        <f t="shared" si="3"/>
        <v>1</v>
      </c>
      <c r="I28" s="15">
        <f t="shared" si="4"/>
        <v>3</v>
      </c>
    </row>
    <row r="29" spans="1:9" ht="15.75" customHeight="1">
      <c r="A29" s="11" t="s">
        <v>86</v>
      </c>
      <c r="B29" s="17" t="e">
        <f>SUMIF(#REF!,A29,#REF!)/SUMIF(#REF!,A29,#REF!)*100</f>
        <v>#REF!</v>
      </c>
      <c r="C29" s="18" t="e">
        <f>SUMIF(#REF!,A29,#REF!)</f>
        <v>#REF!</v>
      </c>
      <c r="D29" s="75" t="e">
        <f t="shared" si="0"/>
        <v>#REF!</v>
      </c>
      <c r="E29" s="16">
        <v>43484</v>
      </c>
      <c r="F29" s="19">
        <f t="shared" ca="1" si="1"/>
        <v>45064</v>
      </c>
      <c r="G29" s="20">
        <f t="shared" ca="1" si="2"/>
        <v>-1580</v>
      </c>
      <c r="H29" s="15">
        <f t="shared" si="3"/>
        <v>1</v>
      </c>
      <c r="I29" s="15">
        <f t="shared" si="4"/>
        <v>3</v>
      </c>
    </row>
    <row r="30" spans="1:9" ht="15.75" customHeight="1">
      <c r="A30" s="11" t="s">
        <v>92</v>
      </c>
      <c r="B30" s="17" t="e">
        <f>SUMIF(#REF!,A30,#REF!)/SUMIF(#REF!,A30,#REF!)*100</f>
        <v>#REF!</v>
      </c>
      <c r="C30" s="18" t="e">
        <f>SUMIF(#REF!,A30,#REF!)</f>
        <v>#REF!</v>
      </c>
      <c r="D30" s="75" t="e">
        <f t="shared" si="0"/>
        <v>#REF!</v>
      </c>
      <c r="E30" s="16">
        <v>43484</v>
      </c>
      <c r="F30" s="19">
        <f t="shared" ca="1" si="1"/>
        <v>45064</v>
      </c>
      <c r="G30" s="20">
        <f t="shared" ca="1" si="2"/>
        <v>-1580</v>
      </c>
      <c r="H30" s="15">
        <f t="shared" si="3"/>
        <v>1</v>
      </c>
      <c r="I30" s="15">
        <f t="shared" si="4"/>
        <v>3</v>
      </c>
    </row>
    <row r="31" spans="1:9" ht="15.75" customHeight="1">
      <c r="A31" s="11" t="s">
        <v>93</v>
      </c>
      <c r="B31" s="17" t="e">
        <f>SUMIF(#REF!,A31,#REF!)/SUMIF(#REF!,A31,#REF!)*100</f>
        <v>#REF!</v>
      </c>
      <c r="C31" s="18" t="e">
        <f>SUMIF(#REF!,A31,#REF!)</f>
        <v>#REF!</v>
      </c>
      <c r="D31" s="75" t="e">
        <f t="shared" si="0"/>
        <v>#REF!</v>
      </c>
      <c r="E31" s="16">
        <v>43484</v>
      </c>
      <c r="F31" s="19">
        <f t="shared" ca="1" si="1"/>
        <v>45064</v>
      </c>
      <c r="G31" s="20">
        <f t="shared" ca="1" si="2"/>
        <v>-1580</v>
      </c>
      <c r="H31" s="15">
        <f t="shared" si="3"/>
        <v>1</v>
      </c>
      <c r="I31" s="15">
        <f t="shared" si="4"/>
        <v>3</v>
      </c>
    </row>
    <row r="32" spans="1:9" ht="15.75" customHeight="1">
      <c r="A32" s="11" t="s">
        <v>89</v>
      </c>
      <c r="B32" s="17" t="e">
        <f>SUMIF(#REF!,A32,#REF!)/SUMIF(#REF!,A32,#REF!)*100</f>
        <v>#REF!</v>
      </c>
      <c r="C32" s="18" t="e">
        <f>SUMIF(#REF!,A32,#REF!)</f>
        <v>#REF!</v>
      </c>
      <c r="D32" s="75" t="e">
        <f t="shared" si="0"/>
        <v>#REF!</v>
      </c>
      <c r="E32" s="16">
        <v>43486</v>
      </c>
      <c r="F32" s="19">
        <f t="shared" ca="1" si="1"/>
        <v>45064</v>
      </c>
      <c r="G32" s="20">
        <f t="shared" ca="1" si="2"/>
        <v>-1578</v>
      </c>
      <c r="H32" s="15">
        <f t="shared" si="3"/>
        <v>1</v>
      </c>
      <c r="I32" s="15">
        <f t="shared" si="4"/>
        <v>4</v>
      </c>
    </row>
    <row r="33" spans="1:10" ht="15.75" customHeight="1">
      <c r="A33" s="11" t="s">
        <v>90</v>
      </c>
      <c r="B33" s="17" t="e">
        <f>SUMIF(#REF!,A33,#REF!)/SUMIF(#REF!,A33,#REF!)*100</f>
        <v>#REF!</v>
      </c>
      <c r="C33" s="18" t="e">
        <f>SUMIF(#REF!,A33,#REF!)</f>
        <v>#REF!</v>
      </c>
      <c r="D33" s="75" t="e">
        <f t="shared" si="0"/>
        <v>#REF!</v>
      </c>
      <c r="E33" s="16">
        <v>43486</v>
      </c>
      <c r="F33" s="19">
        <f t="shared" ca="1" si="1"/>
        <v>45064</v>
      </c>
      <c r="G33" s="20">
        <f t="shared" ca="1" si="2"/>
        <v>-1578</v>
      </c>
      <c r="H33" s="15">
        <f t="shared" si="3"/>
        <v>1</v>
      </c>
      <c r="I33" s="15">
        <f t="shared" si="4"/>
        <v>4</v>
      </c>
    </row>
    <row r="34" spans="1:10" ht="15.75" customHeight="1">
      <c r="A34" s="11" t="s">
        <v>104</v>
      </c>
      <c r="B34" s="17" t="e">
        <f>SUMIF(#REF!,A34,#REF!)/SUMIF(#REF!,A34,#REF!)*100</f>
        <v>#REF!</v>
      </c>
      <c r="C34" s="18" t="e">
        <f>SUMIF(#REF!,A34,#REF!)</f>
        <v>#REF!</v>
      </c>
      <c r="D34" s="75" t="e">
        <f t="shared" si="0"/>
        <v>#REF!</v>
      </c>
      <c r="E34" s="16">
        <v>43486</v>
      </c>
      <c r="F34" s="19">
        <f t="shared" ca="1" si="1"/>
        <v>45064</v>
      </c>
      <c r="G34" s="20">
        <f t="shared" ca="1" si="2"/>
        <v>-1578</v>
      </c>
      <c r="H34" s="15">
        <f t="shared" si="3"/>
        <v>1</v>
      </c>
      <c r="I34" s="15">
        <f t="shared" si="4"/>
        <v>4</v>
      </c>
    </row>
    <row r="35" spans="1:10" ht="15.75" customHeight="1">
      <c r="A35" s="11" t="s">
        <v>69</v>
      </c>
      <c r="B35" s="17" t="e">
        <f>SUMIF(#REF!,A35,#REF!)/SUMIF(#REF!,A35,#REF!)*100</f>
        <v>#REF!</v>
      </c>
      <c r="C35" s="18" t="e">
        <f>SUMIF(#REF!,A35,#REF!)</f>
        <v>#REF!</v>
      </c>
      <c r="D35" s="75" t="e">
        <f t="shared" si="0"/>
        <v>#REF!</v>
      </c>
      <c r="E35" s="16">
        <v>43488</v>
      </c>
      <c r="F35" s="19">
        <f t="shared" ca="1" si="1"/>
        <v>45064</v>
      </c>
      <c r="G35" s="20">
        <f t="shared" ca="1" si="2"/>
        <v>-1576</v>
      </c>
      <c r="H35" s="15">
        <f t="shared" si="3"/>
        <v>1</v>
      </c>
      <c r="I35" s="15">
        <f t="shared" si="4"/>
        <v>4</v>
      </c>
      <c r="J35" s="6">
        <v>43488</v>
      </c>
    </row>
    <row r="36" spans="1:10" ht="15.75" customHeight="1">
      <c r="A36" s="11" t="s">
        <v>94</v>
      </c>
      <c r="B36" s="17" t="e">
        <f>SUMIF(#REF!,A36,#REF!)/SUMIF(#REF!,A36,#REF!)*100</f>
        <v>#REF!</v>
      </c>
      <c r="C36" s="18" t="e">
        <f>SUMIF(#REF!,A36,#REF!)</f>
        <v>#REF!</v>
      </c>
      <c r="D36" s="75" t="e">
        <f t="shared" si="0"/>
        <v>#REF!</v>
      </c>
      <c r="E36" s="16">
        <v>43489</v>
      </c>
      <c r="F36" s="19">
        <f t="shared" ca="1" si="1"/>
        <v>45064</v>
      </c>
      <c r="G36" s="20">
        <f t="shared" ca="1" si="2"/>
        <v>-1575</v>
      </c>
      <c r="H36" s="15">
        <f t="shared" si="3"/>
        <v>1</v>
      </c>
      <c r="I36" s="15">
        <f t="shared" si="4"/>
        <v>4</v>
      </c>
      <c r="J36" s="6">
        <v>43489</v>
      </c>
    </row>
    <row r="37" spans="1:10" ht="15.75" customHeight="1">
      <c r="A37" s="11" t="s">
        <v>79</v>
      </c>
      <c r="B37" s="17" t="e">
        <f>SUMIF(#REF!,A37,#REF!)/SUMIF(#REF!,A37,#REF!)*100</f>
        <v>#REF!</v>
      </c>
      <c r="C37" s="18" t="e">
        <f>SUMIF(#REF!,A37,#REF!)</f>
        <v>#REF!</v>
      </c>
      <c r="D37" s="75" t="e">
        <f t="shared" si="0"/>
        <v>#REF!</v>
      </c>
      <c r="E37" s="85">
        <v>43489</v>
      </c>
      <c r="F37" s="19">
        <f t="shared" ca="1" si="1"/>
        <v>45064</v>
      </c>
      <c r="G37" s="20">
        <f t="shared" ca="1" si="2"/>
        <v>-1575</v>
      </c>
      <c r="H37" s="15">
        <f t="shared" si="3"/>
        <v>1</v>
      </c>
      <c r="I37" s="15">
        <f t="shared" si="4"/>
        <v>4</v>
      </c>
      <c r="J37" s="23">
        <v>43489</v>
      </c>
    </row>
    <row r="38" spans="1:10" ht="15.75" customHeight="1">
      <c r="A38" s="11" t="s">
        <v>81</v>
      </c>
      <c r="B38" s="17" t="e">
        <f>SUMIF(#REF!,A38,#REF!)/SUMIF(#REF!,A38,#REF!)*100</f>
        <v>#REF!</v>
      </c>
      <c r="C38" s="18" t="e">
        <f>SUMIF(#REF!,A38,#REF!)</f>
        <v>#REF!</v>
      </c>
      <c r="D38" s="75" t="e">
        <f t="shared" si="0"/>
        <v>#REF!</v>
      </c>
      <c r="E38" s="85">
        <v>43490</v>
      </c>
      <c r="F38" s="19">
        <f t="shared" ca="1" si="1"/>
        <v>45064</v>
      </c>
      <c r="G38" s="20">
        <f t="shared" ca="1" si="2"/>
        <v>-1574</v>
      </c>
      <c r="H38" s="15">
        <f t="shared" si="3"/>
        <v>1</v>
      </c>
      <c r="I38" s="15">
        <f t="shared" si="4"/>
        <v>4</v>
      </c>
      <c r="J38" s="23">
        <v>43490</v>
      </c>
    </row>
    <row r="39" spans="1:10" ht="15.75" customHeight="1">
      <c r="A39" s="11" t="s">
        <v>87</v>
      </c>
      <c r="B39" s="17" t="e">
        <f>SUMIF(#REF!,A39,#REF!)/SUMIF(#REF!,A39,#REF!)*100</f>
        <v>#REF!</v>
      </c>
      <c r="C39" s="18" t="e">
        <f>SUMIF(#REF!,A39,#REF!)</f>
        <v>#REF!</v>
      </c>
      <c r="D39" s="75" t="e">
        <f t="shared" si="0"/>
        <v>#REF!</v>
      </c>
      <c r="E39" s="16">
        <v>43490</v>
      </c>
      <c r="F39" s="19">
        <f t="shared" ca="1" si="1"/>
        <v>45064</v>
      </c>
      <c r="G39" s="20">
        <f t="shared" ca="1" si="2"/>
        <v>-1574</v>
      </c>
      <c r="H39" s="15">
        <f t="shared" si="3"/>
        <v>1</v>
      </c>
      <c r="I39" s="15">
        <f t="shared" si="4"/>
        <v>4</v>
      </c>
      <c r="J39" s="6">
        <v>43490</v>
      </c>
    </row>
    <row r="40" spans="1:10" ht="15.75" customHeight="1">
      <c r="A40" s="11" t="s">
        <v>95</v>
      </c>
      <c r="B40" s="17" t="e">
        <f>SUMIF(#REF!,A40,#REF!)/SUMIF(#REF!,A40,#REF!)*100</f>
        <v>#REF!</v>
      </c>
      <c r="C40" s="18" t="e">
        <f>SUMIF(#REF!,A40,#REF!)</f>
        <v>#REF!</v>
      </c>
      <c r="D40" s="75" t="e">
        <f t="shared" si="0"/>
        <v>#REF!</v>
      </c>
      <c r="E40" s="16">
        <v>43490</v>
      </c>
      <c r="F40" s="19">
        <f t="shared" ca="1" si="1"/>
        <v>45064</v>
      </c>
      <c r="G40" s="20">
        <f t="shared" ca="1" si="2"/>
        <v>-1574</v>
      </c>
      <c r="H40" s="15">
        <f t="shared" si="3"/>
        <v>1</v>
      </c>
      <c r="I40" s="15">
        <f t="shared" si="4"/>
        <v>4</v>
      </c>
      <c r="J40" s="6">
        <v>43490</v>
      </c>
    </row>
    <row r="41" spans="1:10" ht="15.75" customHeight="1">
      <c r="A41" s="11" t="s">
        <v>42</v>
      </c>
      <c r="B41" s="17" t="e">
        <f>SUMIF(#REF!,A41,#REF!)/SUMIF(#REF!,A41,#REF!)*100</f>
        <v>#REF!</v>
      </c>
      <c r="C41" s="18" t="e">
        <f>SUMIF(#REF!,A41,#REF!)</f>
        <v>#REF!</v>
      </c>
      <c r="D41" s="75" t="e">
        <f t="shared" si="0"/>
        <v>#REF!</v>
      </c>
      <c r="E41" s="16">
        <v>43491</v>
      </c>
      <c r="F41" s="19">
        <f t="shared" ca="1" si="1"/>
        <v>45064</v>
      </c>
      <c r="G41" s="20">
        <f t="shared" ca="1" si="2"/>
        <v>-1573</v>
      </c>
      <c r="H41" s="15">
        <f t="shared" si="3"/>
        <v>1</v>
      </c>
      <c r="I41" s="15">
        <f t="shared" si="4"/>
        <v>4</v>
      </c>
      <c r="J41" s="6">
        <v>43491</v>
      </c>
    </row>
    <row r="42" spans="1:10" ht="15.75" customHeight="1">
      <c r="A42" s="11" t="s">
        <v>46</v>
      </c>
      <c r="B42" s="17" t="e">
        <f>SUMIF(#REF!,A42,#REF!)/SUMIF(#REF!,A42,#REF!)*100</f>
        <v>#REF!</v>
      </c>
      <c r="C42" s="18" t="e">
        <f>SUMIF(#REF!,A42,#REF!)</f>
        <v>#REF!</v>
      </c>
      <c r="D42" s="75" t="e">
        <f t="shared" si="0"/>
        <v>#REF!</v>
      </c>
      <c r="E42" s="16">
        <v>43491</v>
      </c>
      <c r="F42" s="19">
        <f t="shared" ca="1" si="1"/>
        <v>45064</v>
      </c>
      <c r="G42" s="20">
        <f t="shared" ca="1" si="2"/>
        <v>-1573</v>
      </c>
      <c r="H42" s="15">
        <f t="shared" si="3"/>
        <v>1</v>
      </c>
      <c r="I42" s="15">
        <f t="shared" si="4"/>
        <v>4</v>
      </c>
      <c r="J42" s="6">
        <v>43491</v>
      </c>
    </row>
    <row r="43" spans="1:10" ht="15.75" customHeight="1">
      <c r="A43" s="11" t="s">
        <v>48</v>
      </c>
      <c r="B43" s="17" t="e">
        <f>SUMIF(#REF!,A43,#REF!)/SUMIF(#REF!,A43,#REF!)*100</f>
        <v>#REF!</v>
      </c>
      <c r="C43" s="18" t="e">
        <f>SUMIF(#REF!,A43,#REF!)</f>
        <v>#REF!</v>
      </c>
      <c r="D43" s="75" t="e">
        <f t="shared" si="0"/>
        <v>#REF!</v>
      </c>
      <c r="E43" s="16">
        <v>43491</v>
      </c>
      <c r="F43" s="19">
        <f t="shared" ca="1" si="1"/>
        <v>45064</v>
      </c>
      <c r="G43" s="20">
        <f t="shared" ca="1" si="2"/>
        <v>-1573</v>
      </c>
      <c r="H43" s="15">
        <f t="shared" si="3"/>
        <v>1</v>
      </c>
      <c r="I43" s="15">
        <f t="shared" si="4"/>
        <v>4</v>
      </c>
      <c r="J43" s="6">
        <v>43491</v>
      </c>
    </row>
    <row r="44" spans="1:10" ht="15.75" customHeight="1">
      <c r="A44" s="11" t="s">
        <v>49</v>
      </c>
      <c r="B44" s="17" t="e">
        <f>SUMIF(#REF!,A44,#REF!)/SUMIF(#REF!,A44,#REF!)*100</f>
        <v>#REF!</v>
      </c>
      <c r="C44" s="18" t="e">
        <f>SUMIF(#REF!,A44,#REF!)</f>
        <v>#REF!</v>
      </c>
      <c r="D44" s="75" t="e">
        <f t="shared" si="0"/>
        <v>#REF!</v>
      </c>
      <c r="E44" s="16">
        <v>43491</v>
      </c>
      <c r="F44" s="19">
        <f t="shared" ca="1" si="1"/>
        <v>45064</v>
      </c>
      <c r="G44" s="20">
        <f t="shared" ca="1" si="2"/>
        <v>-1573</v>
      </c>
      <c r="H44" s="15">
        <f t="shared" si="3"/>
        <v>1</v>
      </c>
      <c r="I44" s="15">
        <f t="shared" si="4"/>
        <v>4</v>
      </c>
      <c r="J44" s="6">
        <v>43491</v>
      </c>
    </row>
    <row r="45" spans="1:10" ht="15.75" customHeight="1">
      <c r="A45" s="11" t="s">
        <v>50</v>
      </c>
      <c r="B45" s="17" t="e">
        <f>SUMIF(#REF!,A45,#REF!)/SUMIF(#REF!,A45,#REF!)*100</f>
        <v>#REF!</v>
      </c>
      <c r="C45" s="18" t="e">
        <f>SUMIF(#REF!,A45,#REF!)</f>
        <v>#REF!</v>
      </c>
      <c r="D45" s="75" t="e">
        <f t="shared" si="0"/>
        <v>#REF!</v>
      </c>
      <c r="E45" s="16">
        <v>43491</v>
      </c>
      <c r="F45" s="19">
        <f t="shared" ca="1" si="1"/>
        <v>45064</v>
      </c>
      <c r="G45" s="20">
        <f t="shared" ca="1" si="2"/>
        <v>-1573</v>
      </c>
      <c r="H45" s="15">
        <f t="shared" si="3"/>
        <v>1</v>
      </c>
      <c r="I45" s="15">
        <f t="shared" si="4"/>
        <v>4</v>
      </c>
      <c r="J45" s="6">
        <v>43491</v>
      </c>
    </row>
    <row r="46" spans="1:10" ht="15.75" customHeight="1">
      <c r="A46" s="11" t="s">
        <v>99</v>
      </c>
      <c r="B46" s="17" t="e">
        <f>SUMIF(#REF!,A46,#REF!)/SUMIF(#REF!,A46,#REF!)*100</f>
        <v>#REF!</v>
      </c>
      <c r="C46" s="18" t="e">
        <f>SUMIF(#REF!,A46,#REF!)</f>
        <v>#REF!</v>
      </c>
      <c r="D46" s="75" t="e">
        <f t="shared" si="0"/>
        <v>#REF!</v>
      </c>
      <c r="E46" s="16">
        <v>43491</v>
      </c>
      <c r="F46" s="19">
        <f t="shared" ca="1" si="1"/>
        <v>45064</v>
      </c>
      <c r="G46" s="20">
        <f t="shared" ca="1" si="2"/>
        <v>-1573</v>
      </c>
      <c r="H46" s="15">
        <f t="shared" si="3"/>
        <v>1</v>
      </c>
      <c r="I46" s="15">
        <f t="shared" si="4"/>
        <v>4</v>
      </c>
      <c r="J46" s="6">
        <v>43491</v>
      </c>
    </row>
    <row r="47" spans="1:10" ht="15.75" customHeight="1">
      <c r="A47" s="11" t="s">
        <v>100</v>
      </c>
      <c r="B47" s="17" t="e">
        <f>SUMIF(#REF!,A47,#REF!)/SUMIF(#REF!,A47,#REF!)*100</f>
        <v>#REF!</v>
      </c>
      <c r="C47" s="18" t="e">
        <f>SUMIF(#REF!,A47,#REF!)</f>
        <v>#REF!</v>
      </c>
      <c r="D47" s="75" t="e">
        <f t="shared" si="0"/>
        <v>#REF!</v>
      </c>
      <c r="E47" s="16">
        <v>43493</v>
      </c>
      <c r="F47" s="19">
        <f t="shared" ca="1" si="1"/>
        <v>45064</v>
      </c>
      <c r="G47" s="20">
        <f t="shared" ca="1" si="2"/>
        <v>-1571</v>
      </c>
      <c r="H47" s="15">
        <f t="shared" si="3"/>
        <v>1</v>
      </c>
      <c r="I47" s="15">
        <f t="shared" si="4"/>
        <v>5</v>
      </c>
    </row>
    <row r="48" spans="1:10" ht="15.75" customHeight="1">
      <c r="A48" s="11" t="s">
        <v>105</v>
      </c>
      <c r="B48" s="17" t="e">
        <f>SUMIF(#REF!,A48,#REF!)/SUMIF(#REF!,A48,#REF!)*100</f>
        <v>#REF!</v>
      </c>
      <c r="C48" s="18" t="e">
        <f>SUMIF(#REF!,A48,#REF!)</f>
        <v>#REF!</v>
      </c>
      <c r="D48" s="75" t="e">
        <f t="shared" si="0"/>
        <v>#REF!</v>
      </c>
      <c r="E48" s="16">
        <v>43493</v>
      </c>
      <c r="F48" s="19">
        <f t="shared" ca="1" si="1"/>
        <v>45064</v>
      </c>
      <c r="G48" s="20">
        <f t="shared" ca="1" si="2"/>
        <v>-1571</v>
      </c>
      <c r="H48" s="15">
        <f t="shared" si="3"/>
        <v>1</v>
      </c>
      <c r="I48" s="15">
        <f t="shared" si="4"/>
        <v>5</v>
      </c>
    </row>
    <row r="49" spans="1:9" ht="15.75" customHeight="1">
      <c r="A49" s="11" t="s">
        <v>106</v>
      </c>
      <c r="B49" s="17" t="e">
        <f>SUMIF(#REF!,A49,#REF!)/SUMIF(#REF!,A49,#REF!)*100</f>
        <v>#REF!</v>
      </c>
      <c r="C49" s="18" t="e">
        <f>SUMIF(#REF!,A49,#REF!)</f>
        <v>#REF!</v>
      </c>
      <c r="D49" s="75" t="e">
        <f t="shared" si="0"/>
        <v>#REF!</v>
      </c>
      <c r="E49" s="16">
        <v>43493</v>
      </c>
      <c r="F49" s="19">
        <f t="shared" ca="1" si="1"/>
        <v>45064</v>
      </c>
      <c r="G49" s="20">
        <f t="shared" ca="1" si="2"/>
        <v>-1571</v>
      </c>
      <c r="H49" s="15">
        <f t="shared" si="3"/>
        <v>1</v>
      </c>
      <c r="I49" s="15">
        <f t="shared" si="4"/>
        <v>5</v>
      </c>
    </row>
    <row r="50" spans="1:9" ht="15.75" customHeight="1">
      <c r="A50" s="11" t="s">
        <v>101</v>
      </c>
      <c r="B50" s="17" t="e">
        <f>SUMIF(#REF!,A50,#REF!)/SUMIF(#REF!,A50,#REF!)*100</f>
        <v>#REF!</v>
      </c>
      <c r="C50" s="18" t="e">
        <f>SUMIF(#REF!,A50,#REF!)</f>
        <v>#REF!</v>
      </c>
      <c r="D50" s="75" t="e">
        <f t="shared" si="0"/>
        <v>#REF!</v>
      </c>
      <c r="E50" s="16">
        <v>43494</v>
      </c>
      <c r="F50" s="19">
        <f t="shared" ca="1" si="1"/>
        <v>45064</v>
      </c>
      <c r="G50" s="20">
        <f t="shared" ca="1" si="2"/>
        <v>-1570</v>
      </c>
      <c r="H50" s="15">
        <f t="shared" si="3"/>
        <v>1</v>
      </c>
      <c r="I50" s="15">
        <f t="shared" si="4"/>
        <v>5</v>
      </c>
    </row>
    <row r="51" spans="1:9" ht="15.75" customHeight="1">
      <c r="A51" s="11" t="s">
        <v>107</v>
      </c>
      <c r="B51" s="17" t="e">
        <f>SUMIF(#REF!,A51,#REF!)/SUMIF(#REF!,A51,#REF!)*100</f>
        <v>#REF!</v>
      </c>
      <c r="C51" s="18" t="e">
        <f>SUMIF(#REF!,A51,#REF!)</f>
        <v>#REF!</v>
      </c>
      <c r="D51" s="75" t="e">
        <f t="shared" si="0"/>
        <v>#REF!</v>
      </c>
      <c r="E51" s="16">
        <v>43494</v>
      </c>
      <c r="F51" s="19">
        <f t="shared" ca="1" si="1"/>
        <v>45064</v>
      </c>
      <c r="G51" s="20">
        <f t="shared" ca="1" si="2"/>
        <v>-1570</v>
      </c>
      <c r="H51" s="15">
        <f t="shared" si="3"/>
        <v>1</v>
      </c>
      <c r="I51" s="15">
        <f t="shared" si="4"/>
        <v>5</v>
      </c>
    </row>
    <row r="52" spans="1:9" ht="15.75" customHeight="1">
      <c r="A52" s="11" t="s">
        <v>78</v>
      </c>
      <c r="B52" s="17" t="e">
        <f>SUMIF(#REF!,A52,#REF!)/SUMIF(#REF!,A52,#REF!)*100</f>
        <v>#REF!</v>
      </c>
      <c r="C52" s="18" t="e">
        <f>SUMIF(#REF!,A52,#REF!)</f>
        <v>#REF!</v>
      </c>
      <c r="D52" s="75" t="e">
        <f t="shared" si="0"/>
        <v>#REF!</v>
      </c>
      <c r="E52" s="16">
        <v>43494</v>
      </c>
      <c r="F52" s="19">
        <f t="shared" ca="1" si="1"/>
        <v>45064</v>
      </c>
      <c r="G52" s="20">
        <f t="shared" ca="1" si="2"/>
        <v>-1570</v>
      </c>
      <c r="H52" s="15">
        <f t="shared" si="3"/>
        <v>1</v>
      </c>
      <c r="I52" s="15">
        <f t="shared" si="4"/>
        <v>5</v>
      </c>
    </row>
    <row r="53" spans="1:9" ht="15.75" customHeight="1">
      <c r="A53" s="11" t="s">
        <v>41</v>
      </c>
      <c r="B53" s="17" t="e">
        <f>SUMIF(#REF!,A53,#REF!)/SUMIF(#REF!,A53,#REF!)*100</f>
        <v>#REF!</v>
      </c>
      <c r="C53" s="18" t="e">
        <f>SUMIF(#REF!,A53,#REF!)</f>
        <v>#REF!</v>
      </c>
      <c r="D53" s="75" t="e">
        <f t="shared" si="0"/>
        <v>#REF!</v>
      </c>
      <c r="E53" s="16">
        <v>43495</v>
      </c>
      <c r="F53" s="19">
        <f t="shared" ca="1" si="1"/>
        <v>45064</v>
      </c>
      <c r="G53" s="20">
        <f t="shared" ca="1" si="2"/>
        <v>-1569</v>
      </c>
      <c r="H53" s="15">
        <f t="shared" si="3"/>
        <v>1</v>
      </c>
      <c r="I53" s="15">
        <f t="shared" si="4"/>
        <v>5</v>
      </c>
    </row>
    <row r="54" spans="1:9" ht="15.75" customHeight="1">
      <c r="A54" s="11" t="s">
        <v>38</v>
      </c>
      <c r="B54" s="17" t="e">
        <f>SUMIF(#REF!,A54,#REF!)/SUMIF(#REF!,A54,#REF!)*100</f>
        <v>#REF!</v>
      </c>
      <c r="C54" s="18" t="e">
        <f>SUMIF(#REF!,A54,#REF!)</f>
        <v>#REF!</v>
      </c>
      <c r="D54" s="75" t="e">
        <f t="shared" si="0"/>
        <v>#REF!</v>
      </c>
      <c r="E54" s="16">
        <v>43495</v>
      </c>
      <c r="F54" s="19">
        <f t="shared" ca="1" si="1"/>
        <v>45064</v>
      </c>
      <c r="G54" s="20">
        <f t="shared" ca="1" si="2"/>
        <v>-1569</v>
      </c>
      <c r="H54" s="15">
        <f t="shared" si="3"/>
        <v>1</v>
      </c>
      <c r="I54" s="15">
        <f t="shared" si="4"/>
        <v>5</v>
      </c>
    </row>
    <row r="55" spans="1:9" ht="15.75" customHeight="1">
      <c r="A55" s="11" t="s">
        <v>73</v>
      </c>
      <c r="B55" s="17" t="e">
        <f>SUMIF(#REF!,A55,#REF!)/SUMIF(#REF!,A55,#REF!)*100</f>
        <v>#REF!</v>
      </c>
      <c r="C55" s="18" t="e">
        <f>SUMIF(#REF!,A55,#REF!)</f>
        <v>#REF!</v>
      </c>
      <c r="D55" s="75" t="e">
        <f t="shared" si="0"/>
        <v>#REF!</v>
      </c>
      <c r="E55" s="16">
        <v>43495</v>
      </c>
      <c r="F55" s="19">
        <f t="shared" ca="1" si="1"/>
        <v>45064</v>
      </c>
      <c r="G55" s="20">
        <f t="shared" ca="1" si="2"/>
        <v>-1569</v>
      </c>
      <c r="H55" s="15">
        <f t="shared" si="3"/>
        <v>1</v>
      </c>
      <c r="I55" s="15">
        <f t="shared" si="4"/>
        <v>5</v>
      </c>
    </row>
    <row r="56" spans="1:9" ht="15.75" customHeight="1">
      <c r="A56" s="11" t="s">
        <v>57</v>
      </c>
      <c r="B56" s="17" t="e">
        <f>SUMIF(#REF!,A56,#REF!)/SUMIF(#REF!,A56,#REF!)*100</f>
        <v>#REF!</v>
      </c>
      <c r="C56" s="18" t="e">
        <f>SUMIF(#REF!,A56,#REF!)</f>
        <v>#REF!</v>
      </c>
      <c r="D56" s="75" t="e">
        <f t="shared" si="0"/>
        <v>#REF!</v>
      </c>
      <c r="E56" s="16">
        <v>43496</v>
      </c>
      <c r="F56" s="19">
        <f t="shared" ca="1" si="1"/>
        <v>45064</v>
      </c>
      <c r="G56" s="20">
        <f t="shared" ca="1" si="2"/>
        <v>-1568</v>
      </c>
      <c r="H56" s="15">
        <f t="shared" si="3"/>
        <v>1</v>
      </c>
      <c r="I56" s="15">
        <f t="shared" si="4"/>
        <v>5</v>
      </c>
    </row>
    <row r="57" spans="1:9" ht="15.75" customHeight="1">
      <c r="A57" s="11" t="s">
        <v>102</v>
      </c>
      <c r="B57" s="17" t="e">
        <f>SUMIF(#REF!,A57,#REF!)/SUMIF(#REF!,A57,#REF!)*100</f>
        <v>#REF!</v>
      </c>
      <c r="C57" s="18" t="e">
        <f>SUMIF(#REF!,A57,#REF!)</f>
        <v>#REF!</v>
      </c>
      <c r="D57" s="75" t="e">
        <f t="shared" si="0"/>
        <v>#REF!</v>
      </c>
      <c r="E57" s="16">
        <v>43496</v>
      </c>
      <c r="F57" s="19">
        <f t="shared" ca="1" si="1"/>
        <v>45064</v>
      </c>
      <c r="G57" s="20">
        <f t="shared" ca="1" si="2"/>
        <v>-1568</v>
      </c>
      <c r="H57" s="15">
        <f t="shared" si="3"/>
        <v>1</v>
      </c>
      <c r="I57" s="15">
        <f t="shared" si="4"/>
        <v>5</v>
      </c>
    </row>
    <row r="58" spans="1:9" ht="15.75" customHeight="1">
      <c r="A58" s="11" t="s">
        <v>103</v>
      </c>
      <c r="B58" s="17" t="e">
        <f>SUMIF(#REF!,A58,#REF!)/SUMIF(#REF!,A58,#REF!)*100</f>
        <v>#REF!</v>
      </c>
      <c r="C58" s="18" t="e">
        <f>SUMIF(#REF!,A58,#REF!)</f>
        <v>#REF!</v>
      </c>
      <c r="D58" s="75" t="e">
        <f t="shared" si="0"/>
        <v>#REF!</v>
      </c>
      <c r="E58" s="16">
        <v>43496</v>
      </c>
      <c r="F58" s="19">
        <f t="shared" ca="1" si="1"/>
        <v>45064</v>
      </c>
      <c r="G58" s="20">
        <f t="shared" ca="1" si="2"/>
        <v>-1568</v>
      </c>
      <c r="H58" s="15">
        <f t="shared" si="3"/>
        <v>1</v>
      </c>
      <c r="I58" s="15">
        <f t="shared" si="4"/>
        <v>5</v>
      </c>
    </row>
    <row r="59" spans="1:9" ht="15.75" customHeight="1">
      <c r="A59" s="11" t="s">
        <v>112</v>
      </c>
      <c r="B59" s="17" t="e">
        <f>SUMIF(#REF!,A59,#REF!)/SUMIF(#REF!,A59,#REF!)*100</f>
        <v>#REF!</v>
      </c>
      <c r="C59" s="18" t="e">
        <f>SUMIF(#REF!,A59,#REF!)</f>
        <v>#REF!</v>
      </c>
      <c r="D59" s="75" t="e">
        <f t="shared" si="0"/>
        <v>#REF!</v>
      </c>
      <c r="E59" s="16">
        <v>43508</v>
      </c>
      <c r="F59" s="19">
        <f t="shared" ca="1" si="1"/>
        <v>45064</v>
      </c>
      <c r="G59" s="20">
        <f t="shared" ca="1" si="2"/>
        <v>-1556</v>
      </c>
      <c r="H59" s="15">
        <f t="shared" si="3"/>
        <v>2</v>
      </c>
      <c r="I59" s="15">
        <f t="shared" si="4"/>
        <v>7</v>
      </c>
    </row>
    <row r="60" spans="1:9" ht="15.75" customHeight="1">
      <c r="A60" s="11" t="s">
        <v>111</v>
      </c>
      <c r="B60" s="17" t="e">
        <f>SUMIF(#REF!,A60,#REF!)/SUMIF(#REF!,A60,#REF!)*100</f>
        <v>#REF!</v>
      </c>
      <c r="C60" s="18" t="e">
        <f>SUMIF(#REF!,A60,#REF!)</f>
        <v>#REF!</v>
      </c>
      <c r="D60" s="75" t="e">
        <f t="shared" si="0"/>
        <v>#REF!</v>
      </c>
      <c r="E60" s="16">
        <v>43509</v>
      </c>
      <c r="F60" s="19">
        <f t="shared" ca="1" si="1"/>
        <v>45064</v>
      </c>
      <c r="G60" s="20">
        <f t="shared" ca="1" si="2"/>
        <v>-1555</v>
      </c>
      <c r="H60" s="15">
        <f t="shared" si="3"/>
        <v>2</v>
      </c>
      <c r="I60" s="15">
        <f t="shared" si="4"/>
        <v>7</v>
      </c>
    </row>
    <row r="61" spans="1:9" ht="15.75" customHeight="1">
      <c r="A61" s="11" t="s">
        <v>113</v>
      </c>
      <c r="B61" s="17" t="e">
        <f>SUMIF(#REF!,A61,#REF!)/SUMIF(#REF!,A61,#REF!)*100</f>
        <v>#REF!</v>
      </c>
      <c r="C61" s="18" t="e">
        <f>SUMIF(#REF!,A61,#REF!)</f>
        <v>#REF!</v>
      </c>
      <c r="D61" s="75" t="e">
        <f t="shared" si="0"/>
        <v>#REF!</v>
      </c>
      <c r="E61" s="16">
        <v>43509</v>
      </c>
      <c r="F61" s="19">
        <f t="shared" ca="1" si="1"/>
        <v>45064</v>
      </c>
      <c r="G61" s="20">
        <f t="shared" ca="1" si="2"/>
        <v>-1555</v>
      </c>
      <c r="H61" s="15">
        <f t="shared" si="3"/>
        <v>2</v>
      </c>
      <c r="I61" s="15">
        <f t="shared" si="4"/>
        <v>7</v>
      </c>
    </row>
    <row r="62" spans="1:9" ht="15.75" customHeight="1">
      <c r="A62" s="11" t="s">
        <v>123</v>
      </c>
      <c r="B62" s="17" t="e">
        <f>SUMIF(#REF!,A62,#REF!)/SUMIF(#REF!,A62,#REF!)*100</f>
        <v>#REF!</v>
      </c>
      <c r="C62" s="18" t="e">
        <f>SUMIF(#REF!,A62,#REF!)</f>
        <v>#REF!</v>
      </c>
      <c r="D62" s="75" t="e">
        <f t="shared" si="0"/>
        <v>#REF!</v>
      </c>
      <c r="E62" s="16">
        <v>43512</v>
      </c>
      <c r="F62" s="19">
        <f t="shared" ca="1" si="1"/>
        <v>45064</v>
      </c>
      <c r="G62" s="20">
        <f t="shared" ca="1" si="2"/>
        <v>-1552</v>
      </c>
      <c r="H62" s="15">
        <f t="shared" si="3"/>
        <v>2</v>
      </c>
      <c r="I62" s="15">
        <f t="shared" si="4"/>
        <v>7</v>
      </c>
    </row>
    <row r="63" spans="1:9" ht="15.75" customHeight="1">
      <c r="A63" s="11" t="s">
        <v>54</v>
      </c>
      <c r="B63" s="17" t="e">
        <f>SUMIF(#REF!,A63,#REF!)/SUMIF(#REF!,A63,#REF!)*100</f>
        <v>#REF!</v>
      </c>
      <c r="C63" s="18" t="e">
        <f>SUMIF(#REF!,A63,#REF!)</f>
        <v>#REF!</v>
      </c>
      <c r="D63" s="75" t="e">
        <f t="shared" si="0"/>
        <v>#REF!</v>
      </c>
      <c r="E63" s="16">
        <v>43514</v>
      </c>
      <c r="F63" s="19">
        <f t="shared" ca="1" si="1"/>
        <v>45064</v>
      </c>
      <c r="G63" s="20">
        <f t="shared" ca="1" si="2"/>
        <v>-1550</v>
      </c>
      <c r="H63" s="15">
        <f t="shared" si="3"/>
        <v>2</v>
      </c>
      <c r="I63" s="15">
        <f t="shared" si="4"/>
        <v>8</v>
      </c>
    </row>
    <row r="64" spans="1:9" ht="15.75" customHeight="1">
      <c r="A64" s="11" t="s">
        <v>115</v>
      </c>
      <c r="B64" s="17" t="e">
        <f>SUMIF(#REF!,A64,#REF!)/SUMIF(#REF!,A64,#REF!)*100</f>
        <v>#REF!</v>
      </c>
      <c r="C64" s="18" t="e">
        <f>SUMIF(#REF!,A64,#REF!)</f>
        <v>#REF!</v>
      </c>
      <c r="D64" s="75" t="e">
        <f t="shared" si="0"/>
        <v>#REF!</v>
      </c>
      <c r="E64" s="16">
        <v>43514</v>
      </c>
      <c r="F64" s="19">
        <f t="shared" ca="1" si="1"/>
        <v>45064</v>
      </c>
      <c r="G64" s="20">
        <f t="shared" ca="1" si="2"/>
        <v>-1550</v>
      </c>
      <c r="H64" s="15">
        <f t="shared" si="3"/>
        <v>2</v>
      </c>
      <c r="I64" s="15">
        <f t="shared" si="4"/>
        <v>8</v>
      </c>
    </row>
    <row r="65" spans="1:9" ht="15.75" customHeight="1">
      <c r="A65" s="11" t="s">
        <v>118</v>
      </c>
      <c r="B65" s="17" t="e">
        <f>SUMIF(#REF!,A65,#REF!)/SUMIF(#REF!,A65,#REF!)*100</f>
        <v>#REF!</v>
      </c>
      <c r="C65" s="18" t="e">
        <f>SUMIF(#REF!,A65,#REF!)</f>
        <v>#REF!</v>
      </c>
      <c r="D65" s="75" t="e">
        <f t="shared" si="0"/>
        <v>#REF!</v>
      </c>
      <c r="E65" s="16">
        <v>43514</v>
      </c>
      <c r="F65" s="19">
        <f t="shared" ca="1" si="1"/>
        <v>45064</v>
      </c>
      <c r="G65" s="20">
        <f t="shared" ca="1" si="2"/>
        <v>-1550</v>
      </c>
      <c r="H65" s="15">
        <f t="shared" si="3"/>
        <v>2</v>
      </c>
      <c r="I65" s="15">
        <f t="shared" si="4"/>
        <v>8</v>
      </c>
    </row>
    <row r="66" spans="1:9" ht="15.75" customHeight="1">
      <c r="A66" s="11" t="s">
        <v>82</v>
      </c>
      <c r="B66" s="17" t="e">
        <f>SUMIF(#REF!,A66,#REF!)/SUMIF(#REF!,A66,#REF!)*100</f>
        <v>#REF!</v>
      </c>
      <c r="C66" s="18" t="e">
        <f>SUMIF(#REF!,A66,#REF!)</f>
        <v>#REF!</v>
      </c>
      <c r="D66" s="75" t="e">
        <f t="shared" si="0"/>
        <v>#REF!</v>
      </c>
      <c r="E66" s="16">
        <v>43516</v>
      </c>
      <c r="F66" s="19">
        <f t="shared" ca="1" si="1"/>
        <v>45064</v>
      </c>
      <c r="G66" s="20">
        <f t="shared" ca="1" si="2"/>
        <v>-1548</v>
      </c>
      <c r="H66" s="15">
        <f t="shared" si="3"/>
        <v>2</v>
      </c>
      <c r="I66" s="15">
        <f t="shared" si="4"/>
        <v>8</v>
      </c>
    </row>
    <row r="67" spans="1:9" ht="15.75" customHeight="1">
      <c r="A67" s="11" t="s">
        <v>66</v>
      </c>
      <c r="B67" s="17" t="e">
        <f>SUMIF(#REF!,A67,#REF!)/SUMIF(#REF!,A67,#REF!)*100</f>
        <v>#REF!</v>
      </c>
      <c r="C67" s="18" t="e">
        <f>SUMIF(#REF!,A67,#REF!)</f>
        <v>#REF!</v>
      </c>
      <c r="D67" s="75" t="e">
        <f t="shared" ref="D67:D130" si="5">(100-B67)*C67/100</f>
        <v>#REF!</v>
      </c>
      <c r="E67" s="16">
        <v>43516</v>
      </c>
      <c r="F67" s="19">
        <f t="shared" ref="F67:F118" ca="1" si="6">TODAY()</f>
        <v>45064</v>
      </c>
      <c r="G67" s="20">
        <f t="shared" ref="G67:G96" ca="1" si="7">E67-F67</f>
        <v>-1548</v>
      </c>
      <c r="H67" s="15">
        <f t="shared" si="3"/>
        <v>2</v>
      </c>
      <c r="I67" s="15">
        <f t="shared" si="4"/>
        <v>8</v>
      </c>
    </row>
    <row r="68" spans="1:9" ht="15.75" customHeight="1">
      <c r="A68" s="11" t="s">
        <v>126</v>
      </c>
      <c r="B68" s="17" t="e">
        <f>SUMIF(#REF!,A68,#REF!)/SUMIF(#REF!,A68,#REF!)*100</f>
        <v>#REF!</v>
      </c>
      <c r="C68" s="18" t="e">
        <f>SUMIF(#REF!,A68,#REF!)</f>
        <v>#REF!</v>
      </c>
      <c r="D68" s="75" t="e">
        <f t="shared" si="5"/>
        <v>#REF!</v>
      </c>
      <c r="E68" s="16">
        <v>43518</v>
      </c>
      <c r="F68" s="19">
        <f t="shared" ca="1" si="6"/>
        <v>45064</v>
      </c>
      <c r="G68" s="20">
        <f t="shared" ca="1" si="7"/>
        <v>-1546</v>
      </c>
      <c r="H68" s="15">
        <f t="shared" ref="H68:H124" si="8">MONTH(E68)</f>
        <v>2</v>
      </c>
      <c r="I68" s="15">
        <f t="shared" ref="I68:I124" si="9">WEEKNUM(E68)</f>
        <v>8</v>
      </c>
    </row>
    <row r="69" spans="1:9" ht="15.75" customHeight="1">
      <c r="A69" s="11" t="s">
        <v>71</v>
      </c>
      <c r="B69" s="17" t="e">
        <f>SUMIF(#REF!,A69,#REF!)/SUMIF(#REF!,A69,#REF!)*100</f>
        <v>#REF!</v>
      </c>
      <c r="C69" s="18" t="e">
        <f>SUMIF(#REF!,A69,#REF!)</f>
        <v>#REF!</v>
      </c>
      <c r="D69" s="75" t="e">
        <f t="shared" si="5"/>
        <v>#REF!</v>
      </c>
      <c r="E69" s="85">
        <v>43518</v>
      </c>
      <c r="F69" s="19">
        <f t="shared" ca="1" si="6"/>
        <v>45064</v>
      </c>
      <c r="G69" s="20">
        <f t="shared" ca="1" si="7"/>
        <v>-1546</v>
      </c>
      <c r="H69" s="15">
        <f t="shared" si="8"/>
        <v>2</v>
      </c>
      <c r="I69" s="15">
        <f t="shared" si="9"/>
        <v>8</v>
      </c>
    </row>
    <row r="70" spans="1:9" ht="15.75" customHeight="1">
      <c r="A70" s="11" t="s">
        <v>114</v>
      </c>
      <c r="B70" s="17" t="e">
        <f>SUMIF(#REF!,A70,#REF!)/SUMIF(#REF!,A70,#REF!)*100</f>
        <v>#REF!</v>
      </c>
      <c r="C70" s="18" t="e">
        <f>SUMIF(#REF!,A70,#REF!)</f>
        <v>#REF!</v>
      </c>
      <c r="D70" s="75" t="e">
        <f t="shared" si="5"/>
        <v>#REF!</v>
      </c>
      <c r="E70" s="16">
        <v>43518</v>
      </c>
      <c r="F70" s="19">
        <f t="shared" ca="1" si="6"/>
        <v>45064</v>
      </c>
      <c r="G70" s="20">
        <f t="shared" ca="1" si="7"/>
        <v>-1546</v>
      </c>
      <c r="H70" s="15">
        <f t="shared" si="8"/>
        <v>2</v>
      </c>
      <c r="I70" s="15">
        <f t="shared" si="9"/>
        <v>8</v>
      </c>
    </row>
    <row r="71" spans="1:9" ht="15.75" customHeight="1">
      <c r="A71" s="11" t="s">
        <v>119</v>
      </c>
      <c r="B71" s="17" t="e">
        <f>SUMIF(#REF!,A71,#REF!)/SUMIF(#REF!,A71,#REF!)*100</f>
        <v>#REF!</v>
      </c>
      <c r="C71" s="18" t="e">
        <f>SUMIF(#REF!,A71,#REF!)</f>
        <v>#REF!</v>
      </c>
      <c r="D71" s="75" t="e">
        <f t="shared" si="5"/>
        <v>#REF!</v>
      </c>
      <c r="E71" s="16">
        <v>43518</v>
      </c>
      <c r="F71" s="19">
        <f t="shared" ca="1" si="6"/>
        <v>45064</v>
      </c>
      <c r="G71" s="20">
        <f t="shared" ca="1" si="7"/>
        <v>-1546</v>
      </c>
      <c r="H71" s="15">
        <f t="shared" si="8"/>
        <v>2</v>
      </c>
      <c r="I71" s="15">
        <f t="shared" si="9"/>
        <v>8</v>
      </c>
    </row>
    <row r="72" spans="1:9" ht="15.75" customHeight="1">
      <c r="A72" s="11" t="s">
        <v>128</v>
      </c>
      <c r="B72" s="17" t="e">
        <f>SUMIF(#REF!,A72,#REF!)/SUMIF(#REF!,A72,#REF!)*100</f>
        <v>#REF!</v>
      </c>
      <c r="C72" s="18" t="e">
        <f>SUMIF(#REF!,A72,#REF!)</f>
        <v>#REF!</v>
      </c>
      <c r="D72" s="75" t="e">
        <f t="shared" si="5"/>
        <v>#REF!</v>
      </c>
      <c r="E72" s="16">
        <v>43518</v>
      </c>
      <c r="F72" s="19">
        <f t="shared" ca="1" si="6"/>
        <v>45064</v>
      </c>
      <c r="G72" s="20">
        <f t="shared" ca="1" si="7"/>
        <v>-1546</v>
      </c>
      <c r="H72" s="15">
        <f t="shared" si="8"/>
        <v>2</v>
      </c>
      <c r="I72" s="15">
        <f t="shared" si="9"/>
        <v>8</v>
      </c>
    </row>
    <row r="73" spans="1:9" ht="15.75" customHeight="1">
      <c r="A73" s="22" t="s">
        <v>65</v>
      </c>
      <c r="B73" s="17" t="e">
        <f>SUMIF(#REF!,A73,#REF!)/SUMIF(#REF!,A73,#REF!)*100</f>
        <v>#REF!</v>
      </c>
      <c r="C73" s="18" t="e">
        <f>SUMIF(#REF!,A73,#REF!)</f>
        <v>#REF!</v>
      </c>
      <c r="D73" s="75" t="e">
        <f t="shared" si="5"/>
        <v>#REF!</v>
      </c>
      <c r="E73" s="16">
        <v>43519</v>
      </c>
      <c r="F73" s="19">
        <f t="shared" ca="1" si="6"/>
        <v>45064</v>
      </c>
      <c r="G73" s="20">
        <f t="shared" ca="1" si="7"/>
        <v>-1545</v>
      </c>
      <c r="H73" s="15">
        <f t="shared" si="8"/>
        <v>2</v>
      </c>
      <c r="I73" s="15">
        <f t="shared" si="9"/>
        <v>8</v>
      </c>
    </row>
    <row r="74" spans="1:9" ht="15.75" customHeight="1">
      <c r="A74" s="11" t="s">
        <v>122</v>
      </c>
      <c r="B74" s="17" t="e">
        <f>SUMIF(#REF!,A74,#REF!)/SUMIF(#REF!,A74,#REF!)*100</f>
        <v>#REF!</v>
      </c>
      <c r="C74" s="18" t="e">
        <f>SUMIF(#REF!,A74,#REF!)</f>
        <v>#REF!</v>
      </c>
      <c r="D74" s="75" t="e">
        <f t="shared" si="5"/>
        <v>#REF!</v>
      </c>
      <c r="E74" s="16">
        <v>43521</v>
      </c>
      <c r="F74" s="19">
        <f t="shared" ca="1" si="6"/>
        <v>45064</v>
      </c>
      <c r="G74" s="20">
        <f t="shared" ca="1" si="7"/>
        <v>-1543</v>
      </c>
      <c r="H74" s="15">
        <f t="shared" si="8"/>
        <v>2</v>
      </c>
      <c r="I74" s="15">
        <f t="shared" si="9"/>
        <v>9</v>
      </c>
    </row>
    <row r="75" spans="1:9" ht="15.75" customHeight="1">
      <c r="A75" s="11" t="s">
        <v>125</v>
      </c>
      <c r="B75" s="17" t="e">
        <f>SUMIF(#REF!,A75,#REF!)/SUMIF(#REF!,A75,#REF!)*100</f>
        <v>#REF!</v>
      </c>
      <c r="C75" s="18" t="e">
        <f>SUMIF(#REF!,A75,#REF!)</f>
        <v>#REF!</v>
      </c>
      <c r="D75" s="75" t="e">
        <f t="shared" si="5"/>
        <v>#REF!</v>
      </c>
      <c r="E75" s="16">
        <v>43521</v>
      </c>
      <c r="F75" s="19">
        <f t="shared" ca="1" si="6"/>
        <v>45064</v>
      </c>
      <c r="G75" s="20">
        <f t="shared" ca="1" si="7"/>
        <v>-1543</v>
      </c>
      <c r="H75" s="15">
        <f t="shared" si="8"/>
        <v>2</v>
      </c>
      <c r="I75" s="15">
        <f t="shared" si="9"/>
        <v>9</v>
      </c>
    </row>
    <row r="76" spans="1:9" ht="15.75" customHeight="1">
      <c r="A76" s="22" t="s">
        <v>40</v>
      </c>
      <c r="B76" s="17" t="e">
        <f>SUMIF(#REF!,A76,#REF!)/SUMIF(#REF!,A76,#REF!)*100</f>
        <v>#REF!</v>
      </c>
      <c r="C76" s="18" t="e">
        <f>SUMIF(#REF!,A76,#REF!)</f>
        <v>#REF!</v>
      </c>
      <c r="D76" s="75" t="e">
        <f t="shared" si="5"/>
        <v>#REF!</v>
      </c>
      <c r="E76" s="16">
        <v>43522</v>
      </c>
      <c r="F76" s="19">
        <f t="shared" ca="1" si="6"/>
        <v>45064</v>
      </c>
      <c r="G76" s="20">
        <f t="shared" ca="1" si="7"/>
        <v>-1542</v>
      </c>
      <c r="H76" s="15">
        <f t="shared" si="8"/>
        <v>2</v>
      </c>
      <c r="I76" s="15">
        <f t="shared" si="9"/>
        <v>9</v>
      </c>
    </row>
    <row r="77" spans="1:9" ht="15.75" customHeight="1">
      <c r="A77" s="11" t="s">
        <v>97</v>
      </c>
      <c r="B77" s="17" t="e">
        <f>SUMIF(#REF!,A77,#REF!)/SUMIF(#REF!,A77,#REF!)*100</f>
        <v>#REF!</v>
      </c>
      <c r="C77" s="18" t="e">
        <f>SUMIF(#REF!,A77,#REF!)</f>
        <v>#REF!</v>
      </c>
      <c r="D77" s="75" t="e">
        <f t="shared" si="5"/>
        <v>#REF!</v>
      </c>
      <c r="E77" s="16">
        <v>43524</v>
      </c>
      <c r="F77" s="19">
        <f t="shared" ca="1" si="6"/>
        <v>45064</v>
      </c>
      <c r="G77" s="20">
        <f t="shared" ca="1" si="7"/>
        <v>-1540</v>
      </c>
      <c r="H77" s="15">
        <f t="shared" si="8"/>
        <v>2</v>
      </c>
      <c r="I77" s="15">
        <f t="shared" si="9"/>
        <v>9</v>
      </c>
    </row>
    <row r="78" spans="1:9" ht="15.75" customHeight="1">
      <c r="A78" s="11" t="s">
        <v>52</v>
      </c>
      <c r="B78" s="17" t="e">
        <f>SUMIF(#REF!,A78,#REF!)/SUMIF(#REF!,A78,#REF!)*100</f>
        <v>#REF!</v>
      </c>
      <c r="C78" s="18" t="e">
        <f>SUMIF(#REF!,A78,#REF!)</f>
        <v>#REF!</v>
      </c>
      <c r="D78" s="75" t="e">
        <f t="shared" si="5"/>
        <v>#REF!</v>
      </c>
      <c r="E78" s="16">
        <v>43525</v>
      </c>
      <c r="F78" s="19">
        <f t="shared" ca="1" si="6"/>
        <v>45064</v>
      </c>
      <c r="G78" s="20">
        <f t="shared" ca="1" si="7"/>
        <v>-1539</v>
      </c>
      <c r="H78" s="15">
        <f t="shared" si="8"/>
        <v>3</v>
      </c>
      <c r="I78" s="15">
        <f t="shared" si="9"/>
        <v>9</v>
      </c>
    </row>
    <row r="79" spans="1:9" ht="15.75" customHeight="1">
      <c r="A79" s="11" t="s">
        <v>98</v>
      </c>
      <c r="B79" s="17" t="e">
        <f>SUMIF(#REF!,A79,#REF!)/SUMIF(#REF!,A79,#REF!)*100</f>
        <v>#REF!</v>
      </c>
      <c r="C79" s="18" t="e">
        <f>SUMIF(#REF!,A79,#REF!)</f>
        <v>#REF!</v>
      </c>
      <c r="D79" s="75" t="e">
        <f t="shared" si="5"/>
        <v>#REF!</v>
      </c>
      <c r="E79" s="16">
        <v>43525</v>
      </c>
      <c r="F79" s="19">
        <f t="shared" ca="1" si="6"/>
        <v>45064</v>
      </c>
      <c r="G79" s="20">
        <f t="shared" ca="1" si="7"/>
        <v>-1539</v>
      </c>
      <c r="H79" s="15">
        <f t="shared" si="8"/>
        <v>3</v>
      </c>
      <c r="I79" s="15">
        <f t="shared" si="9"/>
        <v>9</v>
      </c>
    </row>
    <row r="80" spans="1:9" ht="15.75" customHeight="1">
      <c r="A80" s="11" t="s">
        <v>55</v>
      </c>
      <c r="B80" s="17" t="e">
        <f>SUMIF(#REF!,A80,#REF!)/SUMIF(#REF!,A80,#REF!)*100</f>
        <v>#REF!</v>
      </c>
      <c r="C80" s="18" t="e">
        <f>SUMIF(#REF!,A80,#REF!)</f>
        <v>#REF!</v>
      </c>
      <c r="D80" s="75" t="e">
        <f t="shared" si="5"/>
        <v>#REF!</v>
      </c>
      <c r="E80" s="16">
        <v>43526</v>
      </c>
      <c r="F80" s="19">
        <f t="shared" ca="1" si="6"/>
        <v>45064</v>
      </c>
      <c r="G80" s="20">
        <f t="shared" ca="1" si="7"/>
        <v>-1538</v>
      </c>
      <c r="H80" s="15">
        <f t="shared" si="8"/>
        <v>3</v>
      </c>
      <c r="I80" s="15">
        <f t="shared" si="9"/>
        <v>9</v>
      </c>
    </row>
    <row r="81" spans="1:9" ht="15.75" customHeight="1">
      <c r="A81" s="11" t="s">
        <v>91</v>
      </c>
      <c r="B81" s="17" t="e">
        <f>SUMIF(#REF!,A81,#REF!)/SUMIF(#REF!,A81,#REF!)*100</f>
        <v>#REF!</v>
      </c>
      <c r="C81" s="18" t="e">
        <f>SUMIF(#REF!,A81,#REF!)</f>
        <v>#REF!</v>
      </c>
      <c r="D81" s="75" t="e">
        <f t="shared" si="5"/>
        <v>#REF!</v>
      </c>
      <c r="E81" s="16">
        <v>43526</v>
      </c>
      <c r="F81" s="19">
        <f t="shared" ca="1" si="6"/>
        <v>45064</v>
      </c>
      <c r="G81" s="20">
        <f t="shared" ca="1" si="7"/>
        <v>-1538</v>
      </c>
      <c r="H81" s="15">
        <f t="shared" si="8"/>
        <v>3</v>
      </c>
      <c r="I81" s="15">
        <f t="shared" si="9"/>
        <v>9</v>
      </c>
    </row>
    <row r="82" spans="1:9" ht="15.75" customHeight="1">
      <c r="A82" s="11" t="s">
        <v>129</v>
      </c>
      <c r="B82" s="17" t="e">
        <f>SUMIF(#REF!,A82,#REF!)/SUMIF(#REF!,A82,#REF!)*100</f>
        <v>#REF!</v>
      </c>
      <c r="C82" s="18" t="e">
        <f>SUMIF(#REF!,A82,#REF!)</f>
        <v>#REF!</v>
      </c>
      <c r="D82" s="75" t="e">
        <f t="shared" si="5"/>
        <v>#REF!</v>
      </c>
      <c r="E82" s="16">
        <v>43528</v>
      </c>
      <c r="F82" s="19">
        <f t="shared" ca="1" si="6"/>
        <v>45064</v>
      </c>
      <c r="G82" s="20">
        <f t="shared" ca="1" si="7"/>
        <v>-1536</v>
      </c>
      <c r="H82" s="15">
        <f t="shared" si="8"/>
        <v>3</v>
      </c>
      <c r="I82" s="15">
        <f t="shared" si="9"/>
        <v>10</v>
      </c>
    </row>
    <row r="83" spans="1:9" ht="15.75" customHeight="1">
      <c r="A83" s="11" t="s">
        <v>120</v>
      </c>
      <c r="B83" s="17" t="e">
        <f>SUMIF(#REF!,A83,#REF!)/SUMIF(#REF!,A83,#REF!)*100</f>
        <v>#REF!</v>
      </c>
      <c r="C83" s="18" t="e">
        <f>SUMIF(#REF!,A83,#REF!)</f>
        <v>#REF!</v>
      </c>
      <c r="D83" s="75" t="e">
        <f t="shared" si="5"/>
        <v>#REF!</v>
      </c>
      <c r="E83" s="85">
        <v>43530</v>
      </c>
      <c r="F83" s="19">
        <f t="shared" ca="1" si="6"/>
        <v>45064</v>
      </c>
      <c r="G83" s="20">
        <f t="shared" ca="1" si="7"/>
        <v>-1534</v>
      </c>
      <c r="H83" s="15">
        <f t="shared" si="8"/>
        <v>3</v>
      </c>
      <c r="I83" s="15">
        <f t="shared" si="9"/>
        <v>10</v>
      </c>
    </row>
    <row r="84" spans="1:9" ht="15.75" customHeight="1">
      <c r="A84" s="11" t="s">
        <v>132</v>
      </c>
      <c r="B84" s="17" t="e">
        <f>SUMIF(#REF!,A84,#REF!)/SUMIF(#REF!,A84,#REF!)*100</f>
        <v>#REF!</v>
      </c>
      <c r="C84" s="18" t="e">
        <f>SUMIF(#REF!,A84,#REF!)</f>
        <v>#REF!</v>
      </c>
      <c r="D84" s="75" t="e">
        <f t="shared" si="5"/>
        <v>#REF!</v>
      </c>
      <c r="E84" s="16">
        <v>43530</v>
      </c>
      <c r="F84" s="19">
        <f t="shared" ca="1" si="6"/>
        <v>45064</v>
      </c>
      <c r="G84" s="20">
        <f t="shared" ca="1" si="7"/>
        <v>-1534</v>
      </c>
      <c r="H84" s="15">
        <f t="shared" si="8"/>
        <v>3</v>
      </c>
      <c r="I84" s="15">
        <f t="shared" si="9"/>
        <v>10</v>
      </c>
    </row>
    <row r="85" spans="1:9" ht="15.75" customHeight="1">
      <c r="A85" s="11" t="s">
        <v>127</v>
      </c>
      <c r="B85" s="17" t="e">
        <f>SUMIF(#REF!,A85,#REF!)/SUMIF(#REF!,A85,#REF!)*100</f>
        <v>#REF!</v>
      </c>
      <c r="C85" s="18" t="e">
        <f>SUMIF(#REF!,A85,#REF!)</f>
        <v>#REF!</v>
      </c>
      <c r="D85" s="75" t="e">
        <f t="shared" si="5"/>
        <v>#REF!</v>
      </c>
      <c r="E85" s="16">
        <v>43530</v>
      </c>
      <c r="F85" s="19">
        <f t="shared" ca="1" si="6"/>
        <v>45064</v>
      </c>
      <c r="G85" s="20">
        <f t="shared" ca="1" si="7"/>
        <v>-1534</v>
      </c>
      <c r="H85" s="15">
        <f t="shared" si="8"/>
        <v>3</v>
      </c>
      <c r="I85" s="15">
        <f t="shared" si="9"/>
        <v>10</v>
      </c>
    </row>
    <row r="86" spans="1:9" ht="15.75" customHeight="1">
      <c r="A86" s="11" t="s">
        <v>136</v>
      </c>
      <c r="B86" s="17" t="e">
        <f>SUMIF(#REF!,A86,#REF!)/SUMIF(#REF!,A86,#REF!)*100</f>
        <v>#REF!</v>
      </c>
      <c r="C86" s="18" t="e">
        <f>SUMIF(#REF!,A86,#REF!)</f>
        <v>#REF!</v>
      </c>
      <c r="D86" s="75" t="e">
        <f t="shared" si="5"/>
        <v>#REF!</v>
      </c>
      <c r="E86" s="16">
        <v>43531</v>
      </c>
      <c r="F86" s="19">
        <f t="shared" ca="1" si="6"/>
        <v>45064</v>
      </c>
      <c r="G86" s="20">
        <f t="shared" ca="1" si="7"/>
        <v>-1533</v>
      </c>
      <c r="H86" s="15">
        <f t="shared" si="8"/>
        <v>3</v>
      </c>
      <c r="I86" s="15">
        <f t="shared" si="9"/>
        <v>10</v>
      </c>
    </row>
    <row r="87" spans="1:9" ht="15.75" customHeight="1">
      <c r="A87" s="11" t="s">
        <v>133</v>
      </c>
      <c r="B87" s="17" t="e">
        <f>SUMIF(#REF!,A87,#REF!)/SUMIF(#REF!,A87,#REF!)*100</f>
        <v>#REF!</v>
      </c>
      <c r="C87" s="18" t="e">
        <f>SUMIF(#REF!,A87,#REF!)</f>
        <v>#REF!</v>
      </c>
      <c r="D87" s="75" t="e">
        <f t="shared" si="5"/>
        <v>#REF!</v>
      </c>
      <c r="E87" s="16">
        <v>43533</v>
      </c>
      <c r="F87" s="19">
        <f t="shared" ca="1" si="6"/>
        <v>45064</v>
      </c>
      <c r="G87" s="20">
        <f t="shared" ca="1" si="7"/>
        <v>-1531</v>
      </c>
      <c r="H87" s="15">
        <f t="shared" si="8"/>
        <v>3</v>
      </c>
      <c r="I87" s="15">
        <f t="shared" si="9"/>
        <v>10</v>
      </c>
    </row>
    <row r="88" spans="1:9" ht="15.75" customHeight="1">
      <c r="A88" s="11" t="s">
        <v>131</v>
      </c>
      <c r="B88" s="17" t="e">
        <f>SUMIF(#REF!,A88,#REF!)/SUMIF(#REF!,A88,#REF!)*100</f>
        <v>#REF!</v>
      </c>
      <c r="C88" s="18" t="e">
        <f>SUMIF(#REF!,A88,#REF!)</f>
        <v>#REF!</v>
      </c>
      <c r="D88" s="75" t="e">
        <f t="shared" si="5"/>
        <v>#REF!</v>
      </c>
      <c r="E88" s="16">
        <v>43533</v>
      </c>
      <c r="F88" s="19">
        <f t="shared" ca="1" si="6"/>
        <v>45064</v>
      </c>
      <c r="G88" s="20">
        <f t="shared" ca="1" si="7"/>
        <v>-1531</v>
      </c>
      <c r="H88" s="15">
        <f t="shared" si="8"/>
        <v>3</v>
      </c>
      <c r="I88" s="15">
        <f t="shared" si="9"/>
        <v>10</v>
      </c>
    </row>
    <row r="89" spans="1:9" ht="15.75" customHeight="1">
      <c r="A89" s="11" t="s">
        <v>134</v>
      </c>
      <c r="B89" s="17" t="e">
        <f>SUMIF(#REF!,A89,#REF!)/SUMIF(#REF!,A89,#REF!)*100</f>
        <v>#REF!</v>
      </c>
      <c r="C89" s="18" t="e">
        <f>SUMIF(#REF!,A89,#REF!)</f>
        <v>#REF!</v>
      </c>
      <c r="D89" s="75" t="e">
        <f t="shared" si="5"/>
        <v>#REF!</v>
      </c>
      <c r="E89" s="16">
        <v>43535</v>
      </c>
      <c r="F89" s="19">
        <f t="shared" ca="1" si="6"/>
        <v>45064</v>
      </c>
      <c r="G89" s="20">
        <f t="shared" ca="1" si="7"/>
        <v>-1529</v>
      </c>
      <c r="H89" s="15">
        <f t="shared" si="8"/>
        <v>3</v>
      </c>
      <c r="I89" s="15">
        <f t="shared" si="9"/>
        <v>11</v>
      </c>
    </row>
    <row r="90" spans="1:9" ht="15.75" customHeight="1">
      <c r="A90" s="11" t="s">
        <v>109</v>
      </c>
      <c r="B90" s="17" t="e">
        <f>SUMIF(#REF!,A90,#REF!)/SUMIF(#REF!,A90,#REF!)*100</f>
        <v>#REF!</v>
      </c>
      <c r="C90" s="18" t="e">
        <f>SUMIF(#REF!,A90,#REF!)</f>
        <v>#REF!</v>
      </c>
      <c r="D90" s="75" t="e">
        <f t="shared" si="5"/>
        <v>#REF!</v>
      </c>
      <c r="E90" s="16">
        <v>43537</v>
      </c>
      <c r="F90" s="19">
        <f t="shared" ca="1" si="6"/>
        <v>45064</v>
      </c>
      <c r="G90" s="20">
        <f t="shared" ca="1" si="7"/>
        <v>-1527</v>
      </c>
      <c r="H90" s="15">
        <f t="shared" si="8"/>
        <v>3</v>
      </c>
      <c r="I90" s="15">
        <f t="shared" si="9"/>
        <v>11</v>
      </c>
    </row>
    <row r="91" spans="1:9" ht="15.75" customHeight="1">
      <c r="A91" s="11" t="s">
        <v>141</v>
      </c>
      <c r="B91" s="17" t="e">
        <f>SUMIF(#REF!,A91,#REF!)/SUMIF(#REF!,A91,#REF!)*100</f>
        <v>#REF!</v>
      </c>
      <c r="C91" s="18" t="e">
        <f>SUMIF(#REF!,A91,#REF!)</f>
        <v>#REF!</v>
      </c>
      <c r="D91" s="75" t="e">
        <f t="shared" si="5"/>
        <v>#REF!</v>
      </c>
      <c r="E91" s="16">
        <v>43539</v>
      </c>
      <c r="F91" s="19">
        <f t="shared" ca="1" si="6"/>
        <v>45064</v>
      </c>
      <c r="G91" s="20">
        <f t="shared" ca="1" si="7"/>
        <v>-1525</v>
      </c>
      <c r="H91" s="15">
        <f t="shared" si="8"/>
        <v>3</v>
      </c>
      <c r="I91" s="15">
        <f t="shared" si="9"/>
        <v>11</v>
      </c>
    </row>
    <row r="92" spans="1:9" ht="15.75" customHeight="1">
      <c r="A92" s="11" t="s">
        <v>135</v>
      </c>
      <c r="B92" s="17" t="e">
        <f>SUMIF(#REF!,A92,#REF!)/SUMIF(#REF!,A92,#REF!)*100</f>
        <v>#REF!</v>
      </c>
      <c r="C92" s="18" t="e">
        <f>SUMIF(#REF!,A92,#REF!)</f>
        <v>#REF!</v>
      </c>
      <c r="D92" s="75" t="e">
        <f t="shared" si="5"/>
        <v>#REF!</v>
      </c>
      <c r="E92" s="16">
        <v>43542</v>
      </c>
      <c r="F92" s="19">
        <f t="shared" ca="1" si="6"/>
        <v>45064</v>
      </c>
      <c r="G92" s="20">
        <f t="shared" ca="1" si="7"/>
        <v>-1522</v>
      </c>
      <c r="H92" s="15">
        <f t="shared" si="8"/>
        <v>3</v>
      </c>
      <c r="I92" s="15">
        <f t="shared" si="9"/>
        <v>12</v>
      </c>
    </row>
    <row r="93" spans="1:9" ht="15.75" customHeight="1">
      <c r="A93" s="11" t="s">
        <v>148</v>
      </c>
      <c r="B93" s="17" t="e">
        <f>SUMIF(#REF!,A93,#REF!)/SUMIF(#REF!,A93,#REF!)*100</f>
        <v>#REF!</v>
      </c>
      <c r="C93" s="18" t="e">
        <f>SUMIF(#REF!,A93,#REF!)</f>
        <v>#REF!</v>
      </c>
      <c r="D93" s="75" t="e">
        <f t="shared" si="5"/>
        <v>#REF!</v>
      </c>
      <c r="E93" s="16">
        <v>43543</v>
      </c>
      <c r="F93" s="19">
        <f t="shared" ca="1" si="6"/>
        <v>45064</v>
      </c>
      <c r="G93" s="20">
        <f t="shared" ca="1" si="7"/>
        <v>-1521</v>
      </c>
      <c r="H93" s="15">
        <f t="shared" si="8"/>
        <v>3</v>
      </c>
      <c r="I93" s="15">
        <f t="shared" si="9"/>
        <v>12</v>
      </c>
    </row>
    <row r="94" spans="1:9" ht="15.75" customHeight="1">
      <c r="A94" s="11" t="s">
        <v>96</v>
      </c>
      <c r="B94" s="17" t="e">
        <f>SUMIF(#REF!,A94,#REF!)/SUMIF(#REF!,A94,#REF!)*100</f>
        <v>#REF!</v>
      </c>
      <c r="C94" s="18" t="e">
        <f>SUMIF(#REF!,A94,#REF!)</f>
        <v>#REF!</v>
      </c>
      <c r="D94" s="75" t="e">
        <f t="shared" si="5"/>
        <v>#REF!</v>
      </c>
      <c r="E94" s="86">
        <v>43547</v>
      </c>
      <c r="F94" s="19">
        <f t="shared" ca="1" si="6"/>
        <v>45064</v>
      </c>
      <c r="G94" s="20">
        <f t="shared" ca="1" si="7"/>
        <v>-1517</v>
      </c>
      <c r="H94" s="15">
        <f t="shared" si="8"/>
        <v>3</v>
      </c>
      <c r="I94" s="15">
        <f t="shared" si="9"/>
        <v>12</v>
      </c>
    </row>
    <row r="95" spans="1:9" ht="15.75" customHeight="1">
      <c r="A95" s="11" t="s">
        <v>88</v>
      </c>
      <c r="B95" s="17" t="e">
        <f>SUMIF(#REF!,A95,#REF!)/SUMIF(#REF!,A95,#REF!)*100</f>
        <v>#REF!</v>
      </c>
      <c r="C95" s="18" t="e">
        <f>SUMIF(#REF!,A95,#REF!)</f>
        <v>#REF!</v>
      </c>
      <c r="D95" s="75" t="e">
        <f t="shared" si="5"/>
        <v>#REF!</v>
      </c>
      <c r="E95" s="16">
        <v>43549</v>
      </c>
      <c r="F95" s="19">
        <f t="shared" ca="1" si="6"/>
        <v>45064</v>
      </c>
      <c r="G95" s="20">
        <f t="shared" ca="1" si="7"/>
        <v>-1515</v>
      </c>
      <c r="H95" s="15">
        <f t="shared" si="8"/>
        <v>3</v>
      </c>
      <c r="I95" s="15">
        <f t="shared" si="9"/>
        <v>13</v>
      </c>
    </row>
    <row r="96" spans="1:9" ht="15.75" customHeight="1">
      <c r="A96" s="11" t="s">
        <v>144</v>
      </c>
      <c r="B96" s="17" t="e">
        <f>SUMIF(#REF!,A96,#REF!)/SUMIF(#REF!,A96,#REF!)*100</f>
        <v>#REF!</v>
      </c>
      <c r="C96" s="18" t="e">
        <f>SUMIF(#REF!,A96,#REF!)</f>
        <v>#REF!</v>
      </c>
      <c r="D96" s="75" t="e">
        <f t="shared" si="5"/>
        <v>#REF!</v>
      </c>
      <c r="E96" s="16">
        <v>43549</v>
      </c>
      <c r="F96" s="19">
        <f t="shared" ca="1" si="6"/>
        <v>45064</v>
      </c>
      <c r="G96" s="20">
        <f t="shared" ca="1" si="7"/>
        <v>-1515</v>
      </c>
      <c r="H96" s="15">
        <f t="shared" si="8"/>
        <v>3</v>
      </c>
      <c r="I96" s="15">
        <f t="shared" si="9"/>
        <v>13</v>
      </c>
    </row>
    <row r="97" spans="1:9" ht="15.75" customHeight="1">
      <c r="A97" s="11" t="s">
        <v>147</v>
      </c>
      <c r="B97" s="17" t="e">
        <f>SUMIF(#REF!,A97,#REF!)/SUMIF(#REF!,A97,#REF!)*100</f>
        <v>#REF!</v>
      </c>
      <c r="C97" s="18" t="e">
        <f>SUMIF(#REF!,A97,#REF!)</f>
        <v>#REF!</v>
      </c>
      <c r="D97" s="75" t="e">
        <f t="shared" si="5"/>
        <v>#REF!</v>
      </c>
      <c r="E97" s="16">
        <v>43551</v>
      </c>
      <c r="F97" s="19">
        <f ca="1">TODAY()</f>
        <v>45064</v>
      </c>
      <c r="G97" s="20">
        <f ca="1">E97-F97</f>
        <v>-1513</v>
      </c>
      <c r="H97" s="15">
        <f t="shared" si="8"/>
        <v>3</v>
      </c>
      <c r="I97" s="15">
        <f t="shared" si="9"/>
        <v>13</v>
      </c>
    </row>
    <row r="98" spans="1:9" ht="15.75" customHeight="1">
      <c r="A98" s="11" t="s">
        <v>117</v>
      </c>
      <c r="B98" s="17" t="e">
        <f>SUMIF(#REF!,A98,#REF!)/SUMIF(#REF!,A98,#REF!)*100</f>
        <v>#REF!</v>
      </c>
      <c r="C98" s="18" t="e">
        <f>SUMIF(#REF!,A98,#REF!)</f>
        <v>#REF!</v>
      </c>
      <c r="D98" s="75" t="e">
        <f t="shared" si="5"/>
        <v>#REF!</v>
      </c>
      <c r="E98" s="16">
        <v>43551</v>
      </c>
      <c r="F98" s="19">
        <f t="shared" ca="1" si="6"/>
        <v>45064</v>
      </c>
      <c r="G98" s="20">
        <f t="shared" ref="G98:G118" ca="1" si="10">E98-F98</f>
        <v>-1513</v>
      </c>
      <c r="H98" s="15">
        <f t="shared" si="8"/>
        <v>3</v>
      </c>
      <c r="I98" s="15">
        <f t="shared" si="9"/>
        <v>13</v>
      </c>
    </row>
    <row r="99" spans="1:9" ht="15.75" customHeight="1">
      <c r="A99" s="11" t="s">
        <v>124</v>
      </c>
      <c r="B99" s="17" t="e">
        <f>SUMIF(#REF!,A99,#REF!)/SUMIF(#REF!,A99,#REF!)*100</f>
        <v>#REF!</v>
      </c>
      <c r="C99" s="18" t="e">
        <f>SUMIF(#REF!,A99,#REF!)</f>
        <v>#REF!</v>
      </c>
      <c r="D99" s="75" t="e">
        <f t="shared" si="5"/>
        <v>#REF!</v>
      </c>
      <c r="E99" s="16">
        <v>43551</v>
      </c>
      <c r="F99" s="19">
        <f t="shared" ca="1" si="6"/>
        <v>45064</v>
      </c>
      <c r="G99" s="20">
        <f t="shared" ca="1" si="10"/>
        <v>-1513</v>
      </c>
      <c r="H99" s="15">
        <f t="shared" si="8"/>
        <v>3</v>
      </c>
      <c r="I99" s="15">
        <f t="shared" si="9"/>
        <v>13</v>
      </c>
    </row>
    <row r="100" spans="1:9" ht="15.75" customHeight="1">
      <c r="A100" s="11" t="s">
        <v>146</v>
      </c>
      <c r="B100" s="17" t="e">
        <f>SUMIF(#REF!,A100,#REF!)/SUMIF(#REF!,A100,#REF!)*100</f>
        <v>#REF!</v>
      </c>
      <c r="C100" s="18" t="e">
        <f>SUMIF(#REF!,A100,#REF!)</f>
        <v>#REF!</v>
      </c>
      <c r="D100" s="75" t="e">
        <f t="shared" si="5"/>
        <v>#REF!</v>
      </c>
      <c r="E100" s="16">
        <v>43552</v>
      </c>
      <c r="F100" s="19">
        <f t="shared" ca="1" si="6"/>
        <v>45064</v>
      </c>
      <c r="G100" s="20">
        <f t="shared" ca="1" si="10"/>
        <v>-1512</v>
      </c>
      <c r="H100" s="15">
        <f t="shared" si="8"/>
        <v>3</v>
      </c>
      <c r="I100" s="15">
        <f t="shared" si="9"/>
        <v>13</v>
      </c>
    </row>
    <row r="101" spans="1:9" ht="15.75" customHeight="1">
      <c r="A101" s="11" t="s">
        <v>121</v>
      </c>
      <c r="B101" s="17" t="e">
        <f>SUMIF(#REF!,A101,#REF!)/SUMIF(#REF!,A101,#REF!)*100</f>
        <v>#REF!</v>
      </c>
      <c r="C101" s="18" t="e">
        <f>SUMIF(#REF!,A101,#REF!)</f>
        <v>#REF!</v>
      </c>
      <c r="D101" s="75" t="e">
        <f t="shared" si="5"/>
        <v>#REF!</v>
      </c>
      <c r="E101" s="16">
        <v>43552</v>
      </c>
      <c r="F101" s="19">
        <f t="shared" ca="1" si="6"/>
        <v>45064</v>
      </c>
      <c r="G101" s="20">
        <f t="shared" ca="1" si="10"/>
        <v>-1512</v>
      </c>
      <c r="H101" s="15">
        <f t="shared" si="8"/>
        <v>3</v>
      </c>
      <c r="I101" s="15">
        <f t="shared" si="9"/>
        <v>13</v>
      </c>
    </row>
    <row r="102" spans="1:9" ht="15.75" customHeight="1">
      <c r="A102" s="11" t="s">
        <v>149</v>
      </c>
      <c r="B102" s="17" t="e">
        <f>SUMIF(#REF!,A102,#REF!)/SUMIF(#REF!,A102,#REF!)*100</f>
        <v>#REF!</v>
      </c>
      <c r="C102" s="18" t="e">
        <f>SUMIF(#REF!,A102,#REF!)</f>
        <v>#REF!</v>
      </c>
      <c r="D102" s="75" t="e">
        <f t="shared" si="5"/>
        <v>#REF!</v>
      </c>
      <c r="E102" s="16">
        <v>43554</v>
      </c>
      <c r="F102" s="19">
        <f t="shared" ca="1" si="6"/>
        <v>45064</v>
      </c>
      <c r="G102" s="20">
        <f t="shared" ca="1" si="10"/>
        <v>-1510</v>
      </c>
      <c r="H102" s="15">
        <f t="shared" si="8"/>
        <v>3</v>
      </c>
      <c r="I102" s="15">
        <f t="shared" si="9"/>
        <v>13</v>
      </c>
    </row>
    <row r="103" spans="1:9" ht="15.75" customHeight="1">
      <c r="A103" s="11" t="s">
        <v>152</v>
      </c>
      <c r="B103" s="17" t="e">
        <f>SUMIF(#REF!,A103,#REF!)/SUMIF(#REF!,A103,#REF!)*100</f>
        <v>#REF!</v>
      </c>
      <c r="C103" s="18" t="e">
        <f>SUMIF(#REF!,A103,#REF!)</f>
        <v>#REF!</v>
      </c>
      <c r="D103" s="75" t="e">
        <f t="shared" si="5"/>
        <v>#REF!</v>
      </c>
      <c r="E103" s="16">
        <v>43554</v>
      </c>
      <c r="F103" s="19">
        <f t="shared" ca="1" si="6"/>
        <v>45064</v>
      </c>
      <c r="G103" s="20">
        <f t="shared" ca="1" si="10"/>
        <v>-1510</v>
      </c>
      <c r="H103" s="15">
        <f t="shared" si="8"/>
        <v>3</v>
      </c>
      <c r="I103" s="15">
        <f t="shared" si="9"/>
        <v>13</v>
      </c>
    </row>
    <row r="104" spans="1:9" ht="15.75" customHeight="1">
      <c r="A104" s="11" t="s">
        <v>116</v>
      </c>
      <c r="B104" s="17" t="e">
        <f>SUMIF(#REF!,A104,#REF!)/SUMIF(#REF!,A104,#REF!)*100</f>
        <v>#REF!</v>
      </c>
      <c r="C104" s="18" t="e">
        <f>SUMIF(#REF!,A104,#REF!)</f>
        <v>#REF!</v>
      </c>
      <c r="D104" s="75" t="e">
        <f t="shared" si="5"/>
        <v>#REF!</v>
      </c>
      <c r="E104" s="16">
        <v>43556</v>
      </c>
      <c r="F104" s="19">
        <f t="shared" ca="1" si="6"/>
        <v>45064</v>
      </c>
      <c r="G104" s="20">
        <f t="shared" ca="1" si="10"/>
        <v>-1508</v>
      </c>
      <c r="H104" s="15">
        <f t="shared" si="8"/>
        <v>4</v>
      </c>
      <c r="I104" s="15">
        <f t="shared" si="9"/>
        <v>14</v>
      </c>
    </row>
    <row r="105" spans="1:9" ht="15.75" customHeight="1">
      <c r="A105" s="15" t="s">
        <v>163</v>
      </c>
      <c r="B105" s="17" t="e">
        <f>SUMIF(#REF!,A105,#REF!)/SUMIF(#REF!,A105,#REF!)*100</f>
        <v>#REF!</v>
      </c>
      <c r="C105" s="18" t="e">
        <f>SUMIF(#REF!,A105,#REF!)</f>
        <v>#REF!</v>
      </c>
      <c r="D105" s="75" t="e">
        <f t="shared" si="5"/>
        <v>#REF!</v>
      </c>
      <c r="E105" s="16">
        <v>43556</v>
      </c>
      <c r="F105" s="19">
        <f t="shared" ca="1" si="6"/>
        <v>45064</v>
      </c>
      <c r="G105" s="20">
        <f t="shared" ca="1" si="10"/>
        <v>-1508</v>
      </c>
      <c r="H105" s="15">
        <f t="shared" si="8"/>
        <v>4</v>
      </c>
      <c r="I105" s="15">
        <f t="shared" si="9"/>
        <v>14</v>
      </c>
    </row>
    <row r="106" spans="1:9" ht="15.75" customHeight="1">
      <c r="A106" s="11" t="s">
        <v>110</v>
      </c>
      <c r="B106" s="17" t="e">
        <f>SUMIF(#REF!,A106,#REF!)/SUMIF(#REF!,A106,#REF!)*100</f>
        <v>#REF!</v>
      </c>
      <c r="C106" s="18" t="e">
        <f>SUMIF(#REF!,A106,#REF!)</f>
        <v>#REF!</v>
      </c>
      <c r="D106" s="75" t="e">
        <f t="shared" si="5"/>
        <v>#REF!</v>
      </c>
      <c r="E106" s="86">
        <v>43558</v>
      </c>
      <c r="F106" s="19">
        <f t="shared" ca="1" si="6"/>
        <v>45064</v>
      </c>
      <c r="G106" s="20">
        <f t="shared" ca="1" si="10"/>
        <v>-1506</v>
      </c>
      <c r="H106" s="15">
        <f t="shared" si="8"/>
        <v>4</v>
      </c>
      <c r="I106" s="15">
        <f t="shared" si="9"/>
        <v>14</v>
      </c>
    </row>
    <row r="107" spans="1:9" ht="15.75" customHeight="1">
      <c r="A107" s="11" t="s">
        <v>153</v>
      </c>
      <c r="B107" s="17" t="e">
        <f>SUMIF(#REF!,A107,#REF!)/SUMIF(#REF!,A107,#REF!)*100</f>
        <v>#REF!</v>
      </c>
      <c r="C107" s="18" t="e">
        <f>SUMIF(#REF!,A107,#REF!)</f>
        <v>#REF!</v>
      </c>
      <c r="D107" s="75" t="e">
        <f t="shared" si="5"/>
        <v>#REF!</v>
      </c>
      <c r="E107" s="16">
        <v>43558</v>
      </c>
      <c r="F107" s="19">
        <f t="shared" ca="1" si="6"/>
        <v>45064</v>
      </c>
      <c r="G107" s="20">
        <f t="shared" ca="1" si="10"/>
        <v>-1506</v>
      </c>
      <c r="H107" s="15">
        <f t="shared" si="8"/>
        <v>4</v>
      </c>
      <c r="I107" s="15">
        <f t="shared" si="9"/>
        <v>14</v>
      </c>
    </row>
    <row r="108" spans="1:9" ht="15.75" customHeight="1">
      <c r="A108" s="11" t="s">
        <v>108</v>
      </c>
      <c r="B108" s="17" t="e">
        <f>SUMIF(#REF!,A108,#REF!)/SUMIF(#REF!,A108,#REF!)*100</f>
        <v>#REF!</v>
      </c>
      <c r="C108" s="18" t="e">
        <f>SUMIF(#REF!,A108,#REF!)</f>
        <v>#REF!</v>
      </c>
      <c r="D108" s="75" t="e">
        <f t="shared" si="5"/>
        <v>#REF!</v>
      </c>
      <c r="E108" s="16">
        <v>43563</v>
      </c>
      <c r="F108" s="19">
        <f t="shared" ca="1" si="6"/>
        <v>45064</v>
      </c>
      <c r="G108" s="20">
        <f t="shared" ca="1" si="10"/>
        <v>-1501</v>
      </c>
      <c r="H108" s="15">
        <f t="shared" si="8"/>
        <v>4</v>
      </c>
      <c r="I108" s="15">
        <f t="shared" si="9"/>
        <v>15</v>
      </c>
    </row>
    <row r="109" spans="1:9" ht="15.75" customHeight="1">
      <c r="A109" s="11" t="s">
        <v>160</v>
      </c>
      <c r="B109" s="17" t="e">
        <f>SUMIF(#REF!,A109,#REF!)/SUMIF(#REF!,A109,#REF!)*100</f>
        <v>#REF!</v>
      </c>
      <c r="C109" s="18" t="e">
        <f>SUMIF(#REF!,A109,#REF!)</f>
        <v>#REF!</v>
      </c>
      <c r="D109" s="75" t="e">
        <f t="shared" si="5"/>
        <v>#REF!</v>
      </c>
      <c r="E109" s="16">
        <v>43563</v>
      </c>
      <c r="F109" s="19">
        <f t="shared" ca="1" si="6"/>
        <v>45064</v>
      </c>
      <c r="G109" s="20">
        <f t="shared" ca="1" si="10"/>
        <v>-1501</v>
      </c>
      <c r="H109" s="15">
        <f t="shared" si="8"/>
        <v>4</v>
      </c>
      <c r="I109" s="15">
        <f t="shared" si="9"/>
        <v>15</v>
      </c>
    </row>
    <row r="110" spans="1:9" ht="15.75" customHeight="1">
      <c r="A110" s="11" t="s">
        <v>142</v>
      </c>
      <c r="B110" s="17" t="e">
        <f>SUMIF(#REF!,A110,#REF!)/SUMIF(#REF!,A110,#REF!)*100</f>
        <v>#REF!</v>
      </c>
      <c r="C110" s="18" t="e">
        <f>SUMIF(#REF!,A110,#REF!)</f>
        <v>#REF!</v>
      </c>
      <c r="D110" s="75" t="e">
        <f t="shared" si="5"/>
        <v>#REF!</v>
      </c>
      <c r="E110" s="16">
        <v>43571</v>
      </c>
      <c r="F110" s="19">
        <f t="shared" ca="1" si="6"/>
        <v>45064</v>
      </c>
      <c r="G110" s="20">
        <f t="shared" ca="1" si="10"/>
        <v>-1493</v>
      </c>
      <c r="H110" s="15">
        <f t="shared" si="8"/>
        <v>4</v>
      </c>
      <c r="I110" s="15">
        <f t="shared" si="9"/>
        <v>16</v>
      </c>
    </row>
    <row r="111" spans="1:9" ht="15.75" customHeight="1">
      <c r="A111" s="11" t="s">
        <v>165</v>
      </c>
      <c r="B111" s="17" t="e">
        <f>SUMIF(#REF!,A111,#REF!)/SUMIF(#REF!,A111,#REF!)*100</f>
        <v>#REF!</v>
      </c>
      <c r="C111" s="18" t="e">
        <f>SUMIF(#REF!,A111,#REF!)</f>
        <v>#REF!</v>
      </c>
      <c r="D111" s="75" t="e">
        <f t="shared" si="5"/>
        <v>#REF!</v>
      </c>
      <c r="E111" s="16">
        <v>43571</v>
      </c>
      <c r="F111" s="19">
        <f t="shared" ca="1" si="6"/>
        <v>45064</v>
      </c>
      <c r="G111" s="20">
        <f t="shared" ca="1" si="10"/>
        <v>-1493</v>
      </c>
      <c r="H111" s="15">
        <f t="shared" si="8"/>
        <v>4</v>
      </c>
      <c r="I111" s="15">
        <f t="shared" si="9"/>
        <v>16</v>
      </c>
    </row>
    <row r="112" spans="1:9" ht="15.75" customHeight="1">
      <c r="A112" s="11" t="s">
        <v>167</v>
      </c>
      <c r="B112" s="17" t="e">
        <f>SUMIF(#REF!,A112,#REF!)/SUMIF(#REF!,A112,#REF!)*100</f>
        <v>#REF!</v>
      </c>
      <c r="C112" s="18" t="e">
        <f>SUMIF(#REF!,A112,#REF!)</f>
        <v>#REF!</v>
      </c>
      <c r="D112" s="75" t="e">
        <f t="shared" si="5"/>
        <v>#REF!</v>
      </c>
      <c r="E112" s="16">
        <v>43571</v>
      </c>
      <c r="F112" s="19">
        <f t="shared" ca="1" si="6"/>
        <v>45064</v>
      </c>
      <c r="G112" s="20">
        <f t="shared" ca="1" si="10"/>
        <v>-1493</v>
      </c>
      <c r="H112" s="15">
        <f t="shared" si="8"/>
        <v>4</v>
      </c>
      <c r="I112" s="15">
        <f t="shared" si="9"/>
        <v>16</v>
      </c>
    </row>
    <row r="113" spans="1:9" ht="15.75" customHeight="1">
      <c r="A113" s="11" t="s">
        <v>166</v>
      </c>
      <c r="B113" s="17" t="e">
        <f>SUMIF(#REF!,A113,#REF!)/SUMIF(#REF!,A113,#REF!)*100</f>
        <v>#REF!</v>
      </c>
      <c r="C113" s="18" t="e">
        <f>SUMIF(#REF!,A113,#REF!)</f>
        <v>#REF!</v>
      </c>
      <c r="D113" s="75" t="e">
        <f t="shared" si="5"/>
        <v>#REF!</v>
      </c>
      <c r="E113" s="16">
        <v>43572</v>
      </c>
      <c r="F113" s="19">
        <f t="shared" ca="1" si="6"/>
        <v>45064</v>
      </c>
      <c r="G113" s="20">
        <f t="shared" ca="1" si="10"/>
        <v>-1492</v>
      </c>
      <c r="H113" s="15">
        <f t="shared" si="8"/>
        <v>4</v>
      </c>
      <c r="I113" s="15">
        <f t="shared" si="9"/>
        <v>16</v>
      </c>
    </row>
    <row r="114" spans="1:9" ht="15.75" customHeight="1">
      <c r="A114" s="11" t="s">
        <v>130</v>
      </c>
      <c r="B114" s="17" t="e">
        <f>SUMIF(#REF!,A114,#REF!)/SUMIF(#REF!,A114,#REF!)*100</f>
        <v>#REF!</v>
      </c>
      <c r="C114" s="18" t="e">
        <f>SUMIF(#REF!,A114,#REF!)</f>
        <v>#REF!</v>
      </c>
      <c r="D114" s="75" t="e">
        <f t="shared" si="5"/>
        <v>#REF!</v>
      </c>
      <c r="E114" s="16">
        <v>43572</v>
      </c>
      <c r="F114" s="19">
        <f t="shared" ca="1" si="6"/>
        <v>45064</v>
      </c>
      <c r="G114" s="20">
        <f t="shared" ca="1" si="10"/>
        <v>-1492</v>
      </c>
      <c r="H114" s="15">
        <f t="shared" si="8"/>
        <v>4</v>
      </c>
      <c r="I114" s="15">
        <f t="shared" si="9"/>
        <v>16</v>
      </c>
    </row>
    <row r="115" spans="1:9" ht="15.75" customHeight="1">
      <c r="A115" s="11" t="s">
        <v>198</v>
      </c>
      <c r="B115" s="17" t="e">
        <f>SUMIF(#REF!,A115,#REF!)/SUMIF(#REF!,A115,#REF!)*100</f>
        <v>#REF!</v>
      </c>
      <c r="C115" s="18" t="e">
        <f>SUMIF(#REF!,A115,#REF!)</f>
        <v>#REF!</v>
      </c>
      <c r="D115" s="75" t="e">
        <f t="shared" si="5"/>
        <v>#REF!</v>
      </c>
      <c r="E115" s="16">
        <v>43572</v>
      </c>
      <c r="F115" s="19">
        <f t="shared" ca="1" si="6"/>
        <v>45064</v>
      </c>
      <c r="G115" s="20">
        <f t="shared" ca="1" si="10"/>
        <v>-1492</v>
      </c>
      <c r="H115" s="15">
        <f t="shared" si="8"/>
        <v>4</v>
      </c>
      <c r="I115" s="15">
        <f t="shared" si="9"/>
        <v>16</v>
      </c>
    </row>
    <row r="116" spans="1:9" ht="15.75" customHeight="1">
      <c r="A116" s="11" t="s">
        <v>159</v>
      </c>
      <c r="B116" s="17" t="e">
        <f>SUMIF(#REF!,A116,#REF!)/SUMIF(#REF!,A116,#REF!)*100</f>
        <v>#REF!</v>
      </c>
      <c r="C116" s="18" t="e">
        <f>SUMIF(#REF!,A116,#REF!)</f>
        <v>#REF!</v>
      </c>
      <c r="D116" s="75" t="e">
        <f t="shared" si="5"/>
        <v>#REF!</v>
      </c>
      <c r="E116" s="16">
        <v>43574</v>
      </c>
      <c r="F116" s="19">
        <f t="shared" ca="1" si="6"/>
        <v>45064</v>
      </c>
      <c r="G116" s="20">
        <f t="shared" ca="1" si="10"/>
        <v>-1490</v>
      </c>
      <c r="H116" s="15">
        <f t="shared" si="8"/>
        <v>4</v>
      </c>
      <c r="I116" s="15">
        <f t="shared" si="9"/>
        <v>16</v>
      </c>
    </row>
    <row r="117" spans="1:9" ht="15.75" customHeight="1">
      <c r="A117" s="11" t="s">
        <v>161</v>
      </c>
      <c r="B117" s="17" t="e">
        <f>SUMIF(#REF!,A117,#REF!)/SUMIF(#REF!,A117,#REF!)*100</f>
        <v>#REF!</v>
      </c>
      <c r="C117" s="18" t="e">
        <f>SUMIF(#REF!,A117,#REF!)</f>
        <v>#REF!</v>
      </c>
      <c r="D117" s="75" t="e">
        <f t="shared" si="5"/>
        <v>#REF!</v>
      </c>
      <c r="E117" s="16">
        <v>43574</v>
      </c>
      <c r="F117" s="19">
        <f t="shared" ca="1" si="6"/>
        <v>45064</v>
      </c>
      <c r="G117" s="20">
        <f t="shared" ca="1" si="10"/>
        <v>-1490</v>
      </c>
      <c r="H117" s="15">
        <f t="shared" si="8"/>
        <v>4</v>
      </c>
      <c r="I117" s="15">
        <f t="shared" si="9"/>
        <v>16</v>
      </c>
    </row>
    <row r="118" spans="1:9" ht="15.75" customHeight="1">
      <c r="A118" s="11" t="s">
        <v>154</v>
      </c>
      <c r="B118" s="17" t="e">
        <f>SUMIF(#REF!,A118,#REF!)/SUMIF(#REF!,A118,#REF!)*100</f>
        <v>#REF!</v>
      </c>
      <c r="C118" s="18" t="e">
        <f>SUMIF(#REF!,A118,#REF!)</f>
        <v>#REF!</v>
      </c>
      <c r="D118" s="75" t="e">
        <f t="shared" si="5"/>
        <v>#REF!</v>
      </c>
      <c r="E118" s="16">
        <v>43575</v>
      </c>
      <c r="F118" s="19">
        <f t="shared" ca="1" si="6"/>
        <v>45064</v>
      </c>
      <c r="G118" s="20">
        <f t="shared" ca="1" si="10"/>
        <v>-1489</v>
      </c>
      <c r="H118" s="15">
        <f t="shared" si="8"/>
        <v>4</v>
      </c>
      <c r="I118" s="15">
        <f t="shared" si="9"/>
        <v>16</v>
      </c>
    </row>
    <row r="119" spans="1:9" ht="15.75" customHeight="1">
      <c r="A119" s="11" t="s">
        <v>155</v>
      </c>
      <c r="B119" s="17" t="e">
        <f>SUMIF(#REF!,A119,#REF!)/SUMIF(#REF!,A119,#REF!)*100</f>
        <v>#REF!</v>
      </c>
      <c r="C119" s="18" t="e">
        <f>SUMIF(#REF!,A119,#REF!)</f>
        <v>#REF!</v>
      </c>
      <c r="D119" s="75" t="e">
        <f t="shared" si="5"/>
        <v>#REF!</v>
      </c>
      <c r="E119" s="16">
        <v>43575</v>
      </c>
      <c r="F119" s="19">
        <v>43561</v>
      </c>
      <c r="G119" s="20">
        <v>14</v>
      </c>
      <c r="H119" s="15">
        <f t="shared" si="8"/>
        <v>4</v>
      </c>
      <c r="I119" s="15">
        <f t="shared" si="9"/>
        <v>16</v>
      </c>
    </row>
    <row r="120" spans="1:9" ht="15.75" customHeight="1">
      <c r="A120" s="11" t="s">
        <v>156</v>
      </c>
      <c r="B120" s="17" t="e">
        <f>SUMIF(#REF!,A120,#REF!)/SUMIF(#REF!,A120,#REF!)*100</f>
        <v>#REF!</v>
      </c>
      <c r="C120" s="18" t="e">
        <f>SUMIF(#REF!,A120,#REF!)</f>
        <v>#REF!</v>
      </c>
      <c r="D120" s="75" t="e">
        <f t="shared" si="5"/>
        <v>#REF!</v>
      </c>
      <c r="E120" s="16">
        <v>43575</v>
      </c>
      <c r="F120" s="19">
        <f t="shared" ref="F120:F183" ca="1" si="11">TODAY()</f>
        <v>45064</v>
      </c>
      <c r="G120" s="20">
        <f t="shared" ref="G120:G183" ca="1" si="12">E120-F120</f>
        <v>-1489</v>
      </c>
      <c r="H120" s="15">
        <f t="shared" si="8"/>
        <v>4</v>
      </c>
      <c r="I120" s="15">
        <f t="shared" si="9"/>
        <v>16</v>
      </c>
    </row>
    <row r="121" spans="1:9" ht="15.75" customHeight="1">
      <c r="A121" s="11" t="s">
        <v>143</v>
      </c>
      <c r="B121" s="17" t="e">
        <f>SUMIF(#REF!,A121,#REF!)/SUMIF(#REF!,A121,#REF!)*100</f>
        <v>#REF!</v>
      </c>
      <c r="C121" s="18" t="e">
        <f>SUMIF(#REF!,A121,#REF!)</f>
        <v>#REF!</v>
      </c>
      <c r="D121" s="75" t="e">
        <f t="shared" si="5"/>
        <v>#REF!</v>
      </c>
      <c r="E121" s="86">
        <v>43577</v>
      </c>
      <c r="F121" s="19">
        <f t="shared" ca="1" si="11"/>
        <v>45064</v>
      </c>
      <c r="G121" s="20">
        <f t="shared" ca="1" si="12"/>
        <v>-1487</v>
      </c>
      <c r="H121" s="15">
        <f t="shared" si="8"/>
        <v>4</v>
      </c>
      <c r="I121" s="15">
        <f t="shared" si="9"/>
        <v>17</v>
      </c>
    </row>
    <row r="122" spans="1:9" ht="15.75" customHeight="1">
      <c r="A122" s="11" t="s">
        <v>137</v>
      </c>
      <c r="B122" s="17" t="e">
        <f>SUMIF(#REF!,A122,#REF!)/SUMIF(#REF!,A122,#REF!)*100</f>
        <v>#REF!</v>
      </c>
      <c r="C122" s="18" t="e">
        <f>SUMIF(#REF!,A122,#REF!)</f>
        <v>#REF!</v>
      </c>
      <c r="D122" s="75" t="e">
        <f t="shared" si="5"/>
        <v>#REF!</v>
      </c>
      <c r="E122" s="16">
        <v>43577</v>
      </c>
      <c r="F122" s="19">
        <f t="shared" ca="1" si="11"/>
        <v>45064</v>
      </c>
      <c r="G122" s="20">
        <f t="shared" ca="1" si="12"/>
        <v>-1487</v>
      </c>
      <c r="H122" s="15">
        <f t="shared" si="8"/>
        <v>4</v>
      </c>
      <c r="I122" s="15">
        <f t="shared" si="9"/>
        <v>17</v>
      </c>
    </row>
    <row r="123" spans="1:9" ht="15.75" customHeight="1">
      <c r="A123" s="11" t="s">
        <v>138</v>
      </c>
      <c r="B123" s="17" t="e">
        <f>SUMIF(#REF!,A123,#REF!)/SUMIF(#REF!,A123,#REF!)*100</f>
        <v>#REF!</v>
      </c>
      <c r="C123" s="18" t="e">
        <f>SUMIF(#REF!,A123,#REF!)</f>
        <v>#REF!</v>
      </c>
      <c r="D123" s="75" t="e">
        <f t="shared" si="5"/>
        <v>#REF!</v>
      </c>
      <c r="E123" s="86">
        <v>43577</v>
      </c>
      <c r="F123" s="19">
        <f t="shared" ca="1" si="11"/>
        <v>45064</v>
      </c>
      <c r="G123" s="20">
        <f t="shared" ca="1" si="12"/>
        <v>-1487</v>
      </c>
      <c r="H123" s="15">
        <f t="shared" si="8"/>
        <v>4</v>
      </c>
      <c r="I123" s="15">
        <f t="shared" si="9"/>
        <v>17</v>
      </c>
    </row>
    <row r="124" spans="1:9" ht="15.75" customHeight="1">
      <c r="A124" s="11" t="s">
        <v>139</v>
      </c>
      <c r="B124" s="17" t="e">
        <f>SUMIF(#REF!,A124,#REF!)/SUMIF(#REF!,A124,#REF!)*100</f>
        <v>#REF!</v>
      </c>
      <c r="C124" s="18" t="e">
        <f>SUMIF(#REF!,A124,#REF!)</f>
        <v>#REF!</v>
      </c>
      <c r="D124" s="75" t="e">
        <f t="shared" si="5"/>
        <v>#REF!</v>
      </c>
      <c r="E124" s="16">
        <v>43577</v>
      </c>
      <c r="F124" s="19">
        <f t="shared" ca="1" si="11"/>
        <v>45064</v>
      </c>
      <c r="G124" s="20">
        <f t="shared" ca="1" si="12"/>
        <v>-1487</v>
      </c>
      <c r="H124" s="15">
        <f t="shared" si="8"/>
        <v>4</v>
      </c>
      <c r="I124" s="15">
        <f t="shared" si="9"/>
        <v>17</v>
      </c>
    </row>
    <row r="125" spans="1:9" ht="15.75" customHeight="1">
      <c r="A125" s="11" t="s">
        <v>140</v>
      </c>
      <c r="B125" s="17" t="e">
        <f>SUMIF(#REF!,A125,#REF!)/SUMIF(#REF!,A125,#REF!)*100</f>
        <v>#REF!</v>
      </c>
      <c r="C125" s="18" t="e">
        <f>SUMIF(#REF!,A125,#REF!)</f>
        <v>#REF!</v>
      </c>
      <c r="D125" s="75" t="e">
        <f t="shared" si="5"/>
        <v>#REF!</v>
      </c>
      <c r="E125" s="16">
        <v>43577</v>
      </c>
      <c r="F125" s="19">
        <f t="shared" ca="1" si="11"/>
        <v>45064</v>
      </c>
      <c r="G125" s="20">
        <f t="shared" ca="1" si="12"/>
        <v>-1487</v>
      </c>
      <c r="H125" s="15">
        <f t="shared" ref="H125:H167" si="13">MONTH(E125)</f>
        <v>4</v>
      </c>
      <c r="I125" s="15">
        <f t="shared" ref="I125:I167" si="14">WEEKNUM(E125)</f>
        <v>17</v>
      </c>
    </row>
    <row r="126" spans="1:9" ht="15.75" customHeight="1">
      <c r="A126" s="11" t="s">
        <v>197</v>
      </c>
      <c r="B126" s="17" t="e">
        <f>SUMIF(#REF!,A126,#REF!)/SUMIF(#REF!,A126,#REF!)*100</f>
        <v>#REF!</v>
      </c>
      <c r="C126" s="18" t="e">
        <f>SUMIF(#REF!,A126,#REF!)</f>
        <v>#REF!</v>
      </c>
      <c r="D126" s="75" t="e">
        <f t="shared" si="5"/>
        <v>#REF!</v>
      </c>
      <c r="E126" s="16">
        <v>43579</v>
      </c>
      <c r="F126" s="19">
        <f t="shared" ca="1" si="11"/>
        <v>45064</v>
      </c>
      <c r="G126" s="20">
        <f t="shared" ca="1" si="12"/>
        <v>-1485</v>
      </c>
      <c r="H126" s="15">
        <f t="shared" si="13"/>
        <v>4</v>
      </c>
      <c r="I126" s="15">
        <f t="shared" si="14"/>
        <v>17</v>
      </c>
    </row>
    <row r="127" spans="1:9" ht="15.75" customHeight="1">
      <c r="A127" s="11" t="s">
        <v>203</v>
      </c>
      <c r="B127" s="17" t="e">
        <f>SUMIF(#REF!,A127,#REF!)/SUMIF(#REF!,A127,#REF!)*100</f>
        <v>#REF!</v>
      </c>
      <c r="C127" s="18" t="e">
        <f>SUMIF(#REF!,A127,#REF!)</f>
        <v>#REF!</v>
      </c>
      <c r="D127" s="75" t="e">
        <f t="shared" si="5"/>
        <v>#REF!</v>
      </c>
      <c r="E127" s="16">
        <v>43582</v>
      </c>
      <c r="F127" s="19">
        <f t="shared" ca="1" si="11"/>
        <v>45064</v>
      </c>
      <c r="G127" s="20">
        <f t="shared" ca="1" si="12"/>
        <v>-1482</v>
      </c>
      <c r="H127" s="15">
        <f t="shared" si="13"/>
        <v>4</v>
      </c>
      <c r="I127" s="15">
        <f t="shared" si="14"/>
        <v>17</v>
      </c>
    </row>
    <row r="128" spans="1:9" ht="15.75" customHeight="1">
      <c r="A128" s="11" t="s">
        <v>201</v>
      </c>
      <c r="B128" s="17" t="e">
        <f>SUMIF(#REF!,A128,#REF!)/SUMIF(#REF!,A128,#REF!)*100</f>
        <v>#REF!</v>
      </c>
      <c r="C128" s="18" t="e">
        <f>SUMIF(#REF!,A128,#REF!)</f>
        <v>#REF!</v>
      </c>
      <c r="D128" s="75" t="e">
        <f t="shared" si="5"/>
        <v>#REF!</v>
      </c>
      <c r="E128" s="16">
        <v>43587</v>
      </c>
      <c r="F128" s="19">
        <f t="shared" ca="1" si="11"/>
        <v>45064</v>
      </c>
      <c r="G128" s="20">
        <f t="shared" ca="1" si="12"/>
        <v>-1477</v>
      </c>
      <c r="H128" s="15">
        <f t="shared" si="13"/>
        <v>5</v>
      </c>
      <c r="I128" s="15">
        <f t="shared" si="14"/>
        <v>18</v>
      </c>
    </row>
    <row r="129" spans="1:9" ht="15.75" customHeight="1">
      <c r="A129" s="11" t="s">
        <v>208</v>
      </c>
      <c r="B129" s="17" t="e">
        <f>SUMIF(#REF!,A129,#REF!)/SUMIF(#REF!,A129,#REF!)*100</f>
        <v>#REF!</v>
      </c>
      <c r="C129" s="18" t="e">
        <f>SUMIF(#REF!,A129,#REF!)</f>
        <v>#REF!</v>
      </c>
      <c r="D129" s="75" t="e">
        <f t="shared" si="5"/>
        <v>#REF!</v>
      </c>
      <c r="E129" s="16">
        <v>43588</v>
      </c>
      <c r="F129" s="19">
        <f t="shared" ca="1" si="11"/>
        <v>45064</v>
      </c>
      <c r="G129" s="20">
        <f t="shared" ca="1" si="12"/>
        <v>-1476</v>
      </c>
      <c r="H129" s="15">
        <f t="shared" si="13"/>
        <v>5</v>
      </c>
      <c r="I129" s="15">
        <f t="shared" si="14"/>
        <v>18</v>
      </c>
    </row>
    <row r="130" spans="1:9" ht="15.75" customHeight="1">
      <c r="A130" s="11" t="s">
        <v>204</v>
      </c>
      <c r="B130" s="17" t="e">
        <f>SUMIF(#REF!,A130,#REF!)/SUMIF(#REF!,A130,#REF!)*100</f>
        <v>#REF!</v>
      </c>
      <c r="C130" s="18" t="e">
        <f>SUMIF(#REF!,A130,#REF!)</f>
        <v>#REF!</v>
      </c>
      <c r="D130" s="75" t="e">
        <f t="shared" si="5"/>
        <v>#REF!</v>
      </c>
      <c r="E130" s="16">
        <v>43588</v>
      </c>
      <c r="F130" s="19">
        <f t="shared" ca="1" si="11"/>
        <v>45064</v>
      </c>
      <c r="G130" s="20">
        <f t="shared" ca="1" si="12"/>
        <v>-1476</v>
      </c>
      <c r="H130" s="15">
        <f t="shared" si="13"/>
        <v>5</v>
      </c>
      <c r="I130" s="15">
        <f t="shared" si="14"/>
        <v>18</v>
      </c>
    </row>
    <row r="131" spans="1:9" ht="15.75" customHeight="1">
      <c r="A131" s="11" t="s">
        <v>162</v>
      </c>
      <c r="B131" s="17" t="e">
        <f>SUMIF(#REF!,A131,#REF!)/SUMIF(#REF!,A131,#REF!)*100</f>
        <v>#REF!</v>
      </c>
      <c r="C131" s="18" t="e">
        <f>SUMIF(#REF!,A131,#REF!)</f>
        <v>#REF!</v>
      </c>
      <c r="D131" s="75" t="e">
        <f t="shared" ref="D131:D194" si="15">(100-B131)*C131/100</f>
        <v>#REF!</v>
      </c>
      <c r="E131" s="16">
        <v>43589</v>
      </c>
      <c r="F131" s="19">
        <f t="shared" ca="1" si="11"/>
        <v>45064</v>
      </c>
      <c r="G131" s="20">
        <f t="shared" ca="1" si="12"/>
        <v>-1475</v>
      </c>
      <c r="H131" s="15">
        <f t="shared" si="13"/>
        <v>5</v>
      </c>
      <c r="I131" s="15">
        <f t="shared" si="14"/>
        <v>18</v>
      </c>
    </row>
    <row r="132" spans="1:9" ht="15.75" customHeight="1">
      <c r="A132" s="11" t="s">
        <v>157</v>
      </c>
      <c r="B132" s="17" t="e">
        <f>SUMIF(#REF!,A132,#REF!)/SUMIF(#REF!,A132,#REF!)*100</f>
        <v>#REF!</v>
      </c>
      <c r="C132" s="18" t="e">
        <f>SUMIF(#REF!,A132,#REF!)</f>
        <v>#REF!</v>
      </c>
      <c r="D132" s="75" t="e">
        <f t="shared" si="15"/>
        <v>#REF!</v>
      </c>
      <c r="E132" s="16">
        <v>43591</v>
      </c>
      <c r="F132" s="19">
        <f t="shared" ca="1" si="11"/>
        <v>45064</v>
      </c>
      <c r="G132" s="20">
        <f t="shared" ca="1" si="12"/>
        <v>-1473</v>
      </c>
      <c r="H132" s="15">
        <f t="shared" si="13"/>
        <v>5</v>
      </c>
      <c r="I132" s="15">
        <f t="shared" si="14"/>
        <v>19</v>
      </c>
    </row>
    <row r="133" spans="1:9" ht="15.75" customHeight="1">
      <c r="A133" s="11" t="s">
        <v>202</v>
      </c>
      <c r="B133" s="17" t="e">
        <f>SUMIF(#REF!,A133,#REF!)/SUMIF(#REF!,A133,#REF!)*100</f>
        <v>#REF!</v>
      </c>
      <c r="C133" s="18" t="e">
        <f>SUMIF(#REF!,A133,#REF!)</f>
        <v>#REF!</v>
      </c>
      <c r="D133" s="75" t="e">
        <f t="shared" si="15"/>
        <v>#REF!</v>
      </c>
      <c r="E133" s="16">
        <v>43591</v>
      </c>
      <c r="F133" s="19">
        <f t="shared" ca="1" si="11"/>
        <v>45064</v>
      </c>
      <c r="G133" s="20">
        <f t="shared" ca="1" si="12"/>
        <v>-1473</v>
      </c>
      <c r="H133" s="15">
        <f t="shared" si="13"/>
        <v>5</v>
      </c>
      <c r="I133" s="15">
        <f t="shared" si="14"/>
        <v>19</v>
      </c>
    </row>
    <row r="134" spans="1:9" ht="15.75" customHeight="1">
      <c r="A134" s="11" t="s">
        <v>151</v>
      </c>
      <c r="B134" s="17" t="e">
        <f>SUMIF(#REF!,A134,#REF!)/SUMIF(#REF!,A134,#REF!)*100</f>
        <v>#REF!</v>
      </c>
      <c r="C134" s="18" t="e">
        <f>SUMIF(#REF!,A134,#REF!)</f>
        <v>#REF!</v>
      </c>
      <c r="D134" s="75" t="e">
        <f t="shared" si="15"/>
        <v>#REF!</v>
      </c>
      <c r="E134" s="16">
        <v>43591</v>
      </c>
      <c r="F134" s="19">
        <f t="shared" ca="1" si="11"/>
        <v>45064</v>
      </c>
      <c r="G134" s="20">
        <f t="shared" ca="1" si="12"/>
        <v>-1473</v>
      </c>
      <c r="H134" s="15">
        <f t="shared" si="13"/>
        <v>5</v>
      </c>
      <c r="I134" s="15">
        <f t="shared" si="14"/>
        <v>19</v>
      </c>
    </row>
    <row r="135" spans="1:9" ht="15.75" customHeight="1">
      <c r="A135" s="11" t="s">
        <v>207</v>
      </c>
      <c r="B135" s="17" t="e">
        <f>SUMIF(#REF!,A135,#REF!)/SUMIF(#REF!,A135,#REF!)*100</f>
        <v>#REF!</v>
      </c>
      <c r="C135" s="18" t="e">
        <f>SUMIF(#REF!,A135,#REF!)</f>
        <v>#REF!</v>
      </c>
      <c r="D135" s="75" t="e">
        <f t="shared" si="15"/>
        <v>#REF!</v>
      </c>
      <c r="E135" s="16">
        <v>43592</v>
      </c>
      <c r="F135" s="19">
        <f t="shared" ca="1" si="11"/>
        <v>45064</v>
      </c>
      <c r="G135" s="20">
        <f t="shared" ca="1" si="12"/>
        <v>-1472</v>
      </c>
      <c r="H135" s="15">
        <f t="shared" si="13"/>
        <v>5</v>
      </c>
      <c r="I135" s="15">
        <f t="shared" si="14"/>
        <v>19</v>
      </c>
    </row>
    <row r="136" spans="1:9" ht="15.75" customHeight="1">
      <c r="A136" s="11" t="s">
        <v>206</v>
      </c>
      <c r="B136" s="17" t="e">
        <f>SUMIF(#REF!,A136,#REF!)/SUMIF(#REF!,A136,#REF!)*100</f>
        <v>#REF!</v>
      </c>
      <c r="C136" s="18" t="e">
        <f>SUMIF(#REF!,A136,#REF!)</f>
        <v>#REF!</v>
      </c>
      <c r="D136" s="75" t="e">
        <f t="shared" si="15"/>
        <v>#REF!</v>
      </c>
      <c r="E136" s="16">
        <v>43593</v>
      </c>
      <c r="F136" s="19">
        <f t="shared" ca="1" si="11"/>
        <v>45064</v>
      </c>
      <c r="G136" s="20">
        <f t="shared" ca="1" si="12"/>
        <v>-1471</v>
      </c>
      <c r="H136" s="15">
        <f t="shared" si="13"/>
        <v>5</v>
      </c>
      <c r="I136" s="15">
        <f t="shared" si="14"/>
        <v>19</v>
      </c>
    </row>
    <row r="137" spans="1:9" ht="15.75" customHeight="1">
      <c r="A137" s="11" t="s">
        <v>164</v>
      </c>
      <c r="B137" s="17" t="e">
        <f>SUMIF(#REF!,A137,#REF!)/SUMIF(#REF!,A137,#REF!)*100</f>
        <v>#REF!</v>
      </c>
      <c r="C137" s="18" t="e">
        <f>SUMIF(#REF!,A137,#REF!)</f>
        <v>#REF!</v>
      </c>
      <c r="D137" s="75" t="e">
        <f t="shared" si="15"/>
        <v>#REF!</v>
      </c>
      <c r="E137" s="16">
        <v>43594</v>
      </c>
      <c r="F137" s="19">
        <f t="shared" ca="1" si="11"/>
        <v>45064</v>
      </c>
      <c r="G137" s="20">
        <f t="shared" ca="1" si="12"/>
        <v>-1470</v>
      </c>
      <c r="H137" s="15">
        <f t="shared" si="13"/>
        <v>5</v>
      </c>
      <c r="I137" s="15">
        <f t="shared" si="14"/>
        <v>19</v>
      </c>
    </row>
    <row r="138" spans="1:9" ht="15.75" customHeight="1">
      <c r="A138" s="11" t="s">
        <v>168</v>
      </c>
      <c r="B138" s="17" t="e">
        <f>SUMIF(#REF!,A138,#REF!)/SUMIF(#REF!,A138,#REF!)*100</f>
        <v>#REF!</v>
      </c>
      <c r="C138" s="18" t="e">
        <f>SUMIF(#REF!,A138,#REF!)</f>
        <v>#REF!</v>
      </c>
      <c r="D138" s="75" t="e">
        <f t="shared" si="15"/>
        <v>#REF!</v>
      </c>
      <c r="E138" s="16">
        <v>43595</v>
      </c>
      <c r="F138" s="19">
        <f t="shared" ca="1" si="11"/>
        <v>45064</v>
      </c>
      <c r="G138" s="20">
        <f t="shared" ca="1" si="12"/>
        <v>-1469</v>
      </c>
      <c r="H138" s="15">
        <f t="shared" si="13"/>
        <v>5</v>
      </c>
      <c r="I138" s="15">
        <f t="shared" si="14"/>
        <v>19</v>
      </c>
    </row>
    <row r="139" spans="1:9" ht="15.75" customHeight="1">
      <c r="A139" s="11" t="s">
        <v>209</v>
      </c>
      <c r="B139" s="17" t="e">
        <f>SUMIF(#REF!,A139,#REF!)/SUMIF(#REF!,A139,#REF!)*100</f>
        <v>#REF!</v>
      </c>
      <c r="C139" s="18" t="e">
        <f>SUMIF(#REF!,A139,#REF!)</f>
        <v>#REF!</v>
      </c>
      <c r="D139" s="75" t="e">
        <f t="shared" si="15"/>
        <v>#REF!</v>
      </c>
      <c r="E139" s="16">
        <v>43598</v>
      </c>
      <c r="F139" s="19">
        <f t="shared" ca="1" si="11"/>
        <v>45064</v>
      </c>
      <c r="G139" s="20">
        <f t="shared" ca="1" si="12"/>
        <v>-1466</v>
      </c>
      <c r="H139" s="15">
        <f t="shared" si="13"/>
        <v>5</v>
      </c>
      <c r="I139" s="15">
        <f t="shared" si="14"/>
        <v>20</v>
      </c>
    </row>
    <row r="140" spans="1:9" ht="15.75" customHeight="1">
      <c r="A140" s="11" t="s">
        <v>145</v>
      </c>
      <c r="B140" s="17" t="e">
        <f>SUMIF(#REF!,A140,#REF!)/SUMIF(#REF!,A140,#REF!)*100</f>
        <v>#REF!</v>
      </c>
      <c r="C140" s="18" t="e">
        <f>SUMIF(#REF!,A140,#REF!)</f>
        <v>#REF!</v>
      </c>
      <c r="D140" s="75" t="e">
        <f t="shared" si="15"/>
        <v>#REF!</v>
      </c>
      <c r="E140" s="16">
        <v>43600</v>
      </c>
      <c r="F140" s="19">
        <f t="shared" ca="1" si="11"/>
        <v>45064</v>
      </c>
      <c r="G140" s="20">
        <f t="shared" ca="1" si="12"/>
        <v>-1464</v>
      </c>
      <c r="H140" s="15">
        <f t="shared" si="13"/>
        <v>5</v>
      </c>
      <c r="I140" s="15">
        <f t="shared" si="14"/>
        <v>20</v>
      </c>
    </row>
    <row r="141" spans="1:9" ht="15.75" customHeight="1">
      <c r="A141" s="11" t="s">
        <v>212</v>
      </c>
      <c r="B141" s="17" t="e">
        <f>SUMIF(#REF!,A141,#REF!)/SUMIF(#REF!,A141,#REF!)*100</f>
        <v>#REF!</v>
      </c>
      <c r="C141" s="18" t="e">
        <f>SUMIF(#REF!,A141,#REF!)</f>
        <v>#REF!</v>
      </c>
      <c r="D141" s="75" t="e">
        <f t="shared" si="15"/>
        <v>#REF!</v>
      </c>
      <c r="E141" s="16">
        <v>43603</v>
      </c>
      <c r="F141" s="19">
        <f t="shared" ca="1" si="11"/>
        <v>45064</v>
      </c>
      <c r="G141" s="20">
        <f t="shared" ca="1" si="12"/>
        <v>-1461</v>
      </c>
      <c r="H141" s="15">
        <f t="shared" si="13"/>
        <v>5</v>
      </c>
      <c r="I141" s="15">
        <f t="shared" si="14"/>
        <v>20</v>
      </c>
    </row>
    <row r="142" spans="1:9" ht="15.75" customHeight="1">
      <c r="A142" s="11" t="s">
        <v>210</v>
      </c>
      <c r="B142" s="17" t="e">
        <f>SUMIF(#REF!,A142,#REF!)/SUMIF(#REF!,A142,#REF!)*100</f>
        <v>#REF!</v>
      </c>
      <c r="C142" s="18" t="e">
        <f>SUMIF(#REF!,A142,#REF!)</f>
        <v>#REF!</v>
      </c>
      <c r="D142" s="75" t="e">
        <f t="shared" si="15"/>
        <v>#REF!</v>
      </c>
      <c r="E142" s="16">
        <v>43603</v>
      </c>
      <c r="F142" s="19">
        <f t="shared" ca="1" si="11"/>
        <v>45064</v>
      </c>
      <c r="G142" s="20">
        <f t="shared" ca="1" si="12"/>
        <v>-1461</v>
      </c>
      <c r="H142" s="15">
        <f t="shared" si="13"/>
        <v>5</v>
      </c>
      <c r="I142" s="15">
        <f t="shared" si="14"/>
        <v>20</v>
      </c>
    </row>
    <row r="143" spans="1:9" ht="15.75" customHeight="1">
      <c r="A143" s="11" t="s">
        <v>158</v>
      </c>
      <c r="B143" s="17" t="e">
        <f>SUMIF(#REF!,A143,#REF!)/SUMIF(#REF!,A143,#REF!)*100</f>
        <v>#REF!</v>
      </c>
      <c r="C143" s="18" t="e">
        <f>SUMIF(#REF!,A143,#REF!)</f>
        <v>#REF!</v>
      </c>
      <c r="D143" s="75" t="e">
        <f t="shared" si="15"/>
        <v>#REF!</v>
      </c>
      <c r="E143" s="16">
        <v>43605</v>
      </c>
      <c r="F143" s="19">
        <f t="shared" ca="1" si="11"/>
        <v>45064</v>
      </c>
      <c r="G143" s="20">
        <f t="shared" ca="1" si="12"/>
        <v>-1459</v>
      </c>
      <c r="H143" s="15">
        <f t="shared" si="13"/>
        <v>5</v>
      </c>
      <c r="I143" s="15">
        <f t="shared" si="14"/>
        <v>21</v>
      </c>
    </row>
    <row r="144" spans="1:9" ht="15.75" customHeight="1">
      <c r="A144" s="11" t="s">
        <v>199</v>
      </c>
      <c r="B144" s="17" t="e">
        <f>SUMIF(#REF!,A144,#REF!)/SUMIF(#REF!,A144,#REF!)*100</f>
        <v>#REF!</v>
      </c>
      <c r="C144" s="18" t="e">
        <f>SUMIF(#REF!,A144,#REF!)</f>
        <v>#REF!</v>
      </c>
      <c r="D144" s="75" t="e">
        <f t="shared" si="15"/>
        <v>#REF!</v>
      </c>
      <c r="E144" s="16">
        <v>43605</v>
      </c>
      <c r="F144" s="19">
        <f t="shared" ca="1" si="11"/>
        <v>45064</v>
      </c>
      <c r="G144" s="20">
        <f t="shared" ca="1" si="12"/>
        <v>-1459</v>
      </c>
      <c r="H144" s="15">
        <f t="shared" si="13"/>
        <v>5</v>
      </c>
      <c r="I144" s="15">
        <f t="shared" si="14"/>
        <v>21</v>
      </c>
    </row>
    <row r="145" spans="1:9" ht="15.75" customHeight="1">
      <c r="A145" s="11" t="s">
        <v>215</v>
      </c>
      <c r="B145" s="17" t="e">
        <f>SUMIF(#REF!,A145,#REF!)/SUMIF(#REF!,A145,#REF!)*100</f>
        <v>#REF!</v>
      </c>
      <c r="C145" s="18" t="e">
        <f>SUMIF(#REF!,A145,#REF!)</f>
        <v>#REF!</v>
      </c>
      <c r="D145" s="75" t="e">
        <f t="shared" si="15"/>
        <v>#REF!</v>
      </c>
      <c r="E145" s="16">
        <v>43609</v>
      </c>
      <c r="F145" s="19">
        <f t="shared" ca="1" si="11"/>
        <v>45064</v>
      </c>
      <c r="G145" s="20">
        <f t="shared" ca="1" si="12"/>
        <v>-1455</v>
      </c>
      <c r="H145" s="15">
        <f t="shared" si="13"/>
        <v>5</v>
      </c>
      <c r="I145" s="15">
        <f t="shared" si="14"/>
        <v>21</v>
      </c>
    </row>
    <row r="146" spans="1:9" ht="15.75" customHeight="1">
      <c r="A146" s="11" t="s">
        <v>200</v>
      </c>
      <c r="B146" s="17" t="e">
        <f>SUMIF(#REF!,A146,#REF!)/SUMIF(#REF!,A146,#REF!)*100</f>
        <v>#REF!</v>
      </c>
      <c r="C146" s="18" t="e">
        <f>SUMIF(#REF!,A146,#REF!)</f>
        <v>#REF!</v>
      </c>
      <c r="D146" s="75" t="e">
        <f t="shared" si="15"/>
        <v>#REF!</v>
      </c>
      <c r="E146" s="16">
        <v>43617</v>
      </c>
      <c r="F146" s="19">
        <f t="shared" ca="1" si="11"/>
        <v>45064</v>
      </c>
      <c r="G146" s="20">
        <f t="shared" ca="1" si="12"/>
        <v>-1447</v>
      </c>
      <c r="H146" s="15">
        <f t="shared" si="13"/>
        <v>6</v>
      </c>
      <c r="I146" s="15">
        <f t="shared" si="14"/>
        <v>22</v>
      </c>
    </row>
    <row r="147" spans="1:9" ht="15.75" customHeight="1">
      <c r="A147" s="11" t="s">
        <v>195</v>
      </c>
      <c r="B147" s="17" t="e">
        <f>SUMIF(#REF!,A147,#REF!)/SUMIF(#REF!,A147,#REF!)*100</f>
        <v>#REF!</v>
      </c>
      <c r="C147" s="18" t="e">
        <f>SUMIF(#REF!,A147,#REF!)</f>
        <v>#REF!</v>
      </c>
      <c r="D147" s="75" t="e">
        <f t="shared" si="15"/>
        <v>#REF!</v>
      </c>
      <c r="E147" s="16">
        <v>43619</v>
      </c>
      <c r="F147" s="19">
        <f t="shared" ca="1" si="11"/>
        <v>45064</v>
      </c>
      <c r="G147" s="20">
        <f t="shared" ca="1" si="12"/>
        <v>-1445</v>
      </c>
      <c r="H147" s="15">
        <f t="shared" si="13"/>
        <v>6</v>
      </c>
      <c r="I147" s="15">
        <f t="shared" si="14"/>
        <v>23</v>
      </c>
    </row>
    <row r="148" spans="1:9" ht="15.75" customHeight="1">
      <c r="A148" s="11" t="s">
        <v>214</v>
      </c>
      <c r="B148" s="17" t="e">
        <f>SUMIF(#REF!,A148,#REF!)/SUMIF(#REF!,A148,#REF!)*100</f>
        <v>#REF!</v>
      </c>
      <c r="C148" s="18" t="e">
        <f>SUMIF(#REF!,A148,#REF!)</f>
        <v>#REF!</v>
      </c>
      <c r="D148" s="75" t="e">
        <f t="shared" si="15"/>
        <v>#REF!</v>
      </c>
      <c r="E148" s="16">
        <v>43623</v>
      </c>
      <c r="F148" s="19">
        <f t="shared" ca="1" si="11"/>
        <v>45064</v>
      </c>
      <c r="G148" s="20">
        <f t="shared" ca="1" si="12"/>
        <v>-1441</v>
      </c>
      <c r="H148" s="15">
        <f t="shared" si="13"/>
        <v>6</v>
      </c>
      <c r="I148" s="15">
        <f t="shared" si="14"/>
        <v>23</v>
      </c>
    </row>
    <row r="149" spans="1:9" ht="15.75" customHeight="1">
      <c r="A149" s="11" t="s">
        <v>205</v>
      </c>
      <c r="B149" s="17" t="e">
        <f>SUMIF(#REF!,A149,#REF!)/SUMIF(#REF!,A149,#REF!)*100</f>
        <v>#REF!</v>
      </c>
      <c r="C149" s="18" t="e">
        <f>SUMIF(#REF!,A149,#REF!)</f>
        <v>#REF!</v>
      </c>
      <c r="D149" s="75" t="e">
        <f t="shared" si="15"/>
        <v>#REF!</v>
      </c>
      <c r="E149" s="16">
        <v>43626</v>
      </c>
      <c r="F149" s="19">
        <f t="shared" ca="1" si="11"/>
        <v>45064</v>
      </c>
      <c r="G149" s="20">
        <f t="shared" ca="1" si="12"/>
        <v>-1438</v>
      </c>
      <c r="H149" s="15">
        <f t="shared" si="13"/>
        <v>6</v>
      </c>
      <c r="I149" s="15">
        <f t="shared" si="14"/>
        <v>24</v>
      </c>
    </row>
    <row r="150" spans="1:9" ht="15.75" customHeight="1">
      <c r="A150" s="11" t="s">
        <v>213</v>
      </c>
      <c r="B150" s="17" t="e">
        <f>SUMIF(#REF!,A150,#REF!)/SUMIF(#REF!,A150,#REF!)*100</f>
        <v>#REF!</v>
      </c>
      <c r="C150" s="18" t="e">
        <f>SUMIF(#REF!,A150,#REF!)</f>
        <v>#REF!</v>
      </c>
      <c r="D150" s="75" t="e">
        <f t="shared" si="15"/>
        <v>#REF!</v>
      </c>
      <c r="E150" s="16">
        <v>43627</v>
      </c>
      <c r="F150" s="19">
        <f t="shared" ca="1" si="11"/>
        <v>45064</v>
      </c>
      <c r="G150" s="20">
        <f t="shared" ca="1" si="12"/>
        <v>-1437</v>
      </c>
      <c r="H150" s="15">
        <f t="shared" si="13"/>
        <v>6</v>
      </c>
      <c r="I150" s="15">
        <f t="shared" si="14"/>
        <v>24</v>
      </c>
    </row>
    <row r="151" spans="1:9" ht="15.75" customHeight="1">
      <c r="A151" s="11" t="s">
        <v>232</v>
      </c>
      <c r="B151" s="17" t="e">
        <f>SUMIF(#REF!,A151,#REF!)/SUMIF(#REF!,A151,#REF!)*100</f>
        <v>#REF!</v>
      </c>
      <c r="C151" s="18" t="e">
        <f>SUMIF(#REF!,A151,#REF!)</f>
        <v>#REF!</v>
      </c>
      <c r="D151" s="75" t="e">
        <f t="shared" si="15"/>
        <v>#REF!</v>
      </c>
      <c r="E151" s="16">
        <v>43633</v>
      </c>
      <c r="F151" s="19">
        <f t="shared" ca="1" si="11"/>
        <v>45064</v>
      </c>
      <c r="G151" s="20">
        <f t="shared" ca="1" si="12"/>
        <v>-1431</v>
      </c>
      <c r="H151" s="15">
        <f t="shared" si="13"/>
        <v>6</v>
      </c>
      <c r="I151" s="15">
        <f t="shared" si="14"/>
        <v>25</v>
      </c>
    </row>
    <row r="152" spans="1:9" ht="15.75" customHeight="1">
      <c r="A152" s="11" t="s">
        <v>241</v>
      </c>
      <c r="B152" s="17" t="e">
        <f>SUMIF(#REF!,A152,#REF!)/SUMIF(#REF!,A152,#REF!)*100</f>
        <v>#REF!</v>
      </c>
      <c r="C152" s="18" t="e">
        <f>SUMIF(#REF!,A152,#REF!)</f>
        <v>#REF!</v>
      </c>
      <c r="D152" s="75" t="e">
        <f t="shared" si="15"/>
        <v>#REF!</v>
      </c>
      <c r="E152" s="16">
        <v>43638</v>
      </c>
      <c r="F152" s="19">
        <f t="shared" ca="1" si="11"/>
        <v>45064</v>
      </c>
      <c r="G152" s="20">
        <f t="shared" ca="1" si="12"/>
        <v>-1426</v>
      </c>
      <c r="H152" s="15">
        <f t="shared" si="13"/>
        <v>6</v>
      </c>
      <c r="I152" s="15">
        <f t="shared" si="14"/>
        <v>25</v>
      </c>
    </row>
    <row r="153" spans="1:9" ht="15.75" customHeight="1">
      <c r="A153" s="15" t="s">
        <v>247</v>
      </c>
      <c r="B153" s="17"/>
      <c r="C153" s="18" t="e">
        <f>SUMIF(#REF!,A153,#REF!)</f>
        <v>#REF!</v>
      </c>
      <c r="D153" s="75" t="e">
        <f t="shared" si="15"/>
        <v>#REF!</v>
      </c>
      <c r="E153" s="16">
        <v>43642</v>
      </c>
      <c r="F153" s="19">
        <f t="shared" ca="1" si="11"/>
        <v>45064</v>
      </c>
      <c r="G153" s="20">
        <f t="shared" ca="1" si="12"/>
        <v>-1422</v>
      </c>
      <c r="H153" s="15">
        <f t="shared" si="13"/>
        <v>6</v>
      </c>
      <c r="I153" s="15">
        <f t="shared" si="14"/>
        <v>26</v>
      </c>
    </row>
    <row r="154" spans="1:9" ht="15.75" customHeight="1">
      <c r="A154" s="11" t="s">
        <v>217</v>
      </c>
      <c r="B154" s="17" t="e">
        <f>SUMIF(#REF!,A154,#REF!)/SUMIF(#REF!,A154,#REF!)*100</f>
        <v>#REF!</v>
      </c>
      <c r="C154" s="18" t="e">
        <f>SUMIF(#REF!,A154,#REF!)</f>
        <v>#REF!</v>
      </c>
      <c r="D154" s="75" t="e">
        <f t="shared" si="15"/>
        <v>#REF!</v>
      </c>
      <c r="E154" s="16">
        <v>43647</v>
      </c>
      <c r="F154" s="19">
        <f t="shared" ca="1" si="11"/>
        <v>45064</v>
      </c>
      <c r="G154" s="20">
        <f t="shared" ca="1" si="12"/>
        <v>-1417</v>
      </c>
      <c r="H154" s="15">
        <f t="shared" si="13"/>
        <v>7</v>
      </c>
      <c r="I154" s="15">
        <f t="shared" si="14"/>
        <v>27</v>
      </c>
    </row>
    <row r="155" spans="1:9" ht="15.75" customHeight="1">
      <c r="A155" s="11" t="s">
        <v>216</v>
      </c>
      <c r="B155" s="17" t="e">
        <f>SUMIF(#REF!,A155,#REF!)/SUMIF(#REF!,A155,#REF!)*100</f>
        <v>#REF!</v>
      </c>
      <c r="C155" s="18" t="e">
        <f>SUMIF(#REF!,A155,#REF!)</f>
        <v>#REF!</v>
      </c>
      <c r="D155" s="75" t="e">
        <f t="shared" si="15"/>
        <v>#REF!</v>
      </c>
      <c r="E155" s="16">
        <v>43649</v>
      </c>
      <c r="F155" s="19">
        <f t="shared" ca="1" si="11"/>
        <v>45064</v>
      </c>
      <c r="G155" s="20">
        <f t="shared" ca="1" si="12"/>
        <v>-1415</v>
      </c>
      <c r="H155" s="15">
        <f t="shared" si="13"/>
        <v>7</v>
      </c>
      <c r="I155" s="15">
        <f t="shared" si="14"/>
        <v>27</v>
      </c>
    </row>
    <row r="156" spans="1:9" ht="15.75" customHeight="1">
      <c r="A156" s="11" t="s">
        <v>257</v>
      </c>
      <c r="B156" s="17" t="e">
        <f>SUMIF(#REF!,A156,#REF!)/SUMIF(#REF!,A156,#REF!)*100</f>
        <v>#REF!</v>
      </c>
      <c r="C156" s="18" t="e">
        <f>SUMIF(#REF!,A156,#REF!)</f>
        <v>#REF!</v>
      </c>
      <c r="D156" s="75" t="e">
        <f t="shared" si="15"/>
        <v>#REF!</v>
      </c>
      <c r="E156" s="16">
        <v>43650</v>
      </c>
      <c r="F156" s="19">
        <f t="shared" ca="1" si="11"/>
        <v>45064</v>
      </c>
      <c r="G156" s="20">
        <f t="shared" ca="1" si="12"/>
        <v>-1414</v>
      </c>
      <c r="H156" s="15">
        <f t="shared" si="13"/>
        <v>7</v>
      </c>
      <c r="I156" s="15">
        <f t="shared" si="14"/>
        <v>27</v>
      </c>
    </row>
    <row r="157" spans="1:9" ht="15.75" customHeight="1">
      <c r="A157" s="11" t="s">
        <v>254</v>
      </c>
      <c r="B157" s="17" t="e">
        <f>SUMIF(#REF!,A157,#REF!)/SUMIF(#REF!,A157,#REF!)*100</f>
        <v>#REF!</v>
      </c>
      <c r="C157" s="18" t="e">
        <f>SUMIF(#REF!,A157,#REF!)</f>
        <v>#REF!</v>
      </c>
      <c r="D157" s="75" t="e">
        <f t="shared" si="15"/>
        <v>#REF!</v>
      </c>
      <c r="E157" s="16">
        <v>43650</v>
      </c>
      <c r="F157" s="19">
        <f t="shared" ca="1" si="11"/>
        <v>45064</v>
      </c>
      <c r="G157" s="20">
        <f t="shared" ca="1" si="12"/>
        <v>-1414</v>
      </c>
      <c r="H157" s="15">
        <f t="shared" si="13"/>
        <v>7</v>
      </c>
      <c r="I157" s="15">
        <f t="shared" si="14"/>
        <v>27</v>
      </c>
    </row>
    <row r="158" spans="1:9" ht="15.75" customHeight="1">
      <c r="A158" s="11" t="s">
        <v>220</v>
      </c>
      <c r="B158" s="17" t="e">
        <f>SUMIF(#REF!,A158,#REF!)/SUMIF(#REF!,A158,#REF!)*100</f>
        <v>#REF!</v>
      </c>
      <c r="C158" s="18" t="e">
        <f>SUMIF(#REF!,A158,#REF!)</f>
        <v>#REF!</v>
      </c>
      <c r="D158" s="75" t="e">
        <f t="shared" si="15"/>
        <v>#REF!</v>
      </c>
      <c r="E158" s="16">
        <v>43652</v>
      </c>
      <c r="F158" s="19">
        <f t="shared" ca="1" si="11"/>
        <v>45064</v>
      </c>
      <c r="G158" s="20">
        <f t="shared" ca="1" si="12"/>
        <v>-1412</v>
      </c>
      <c r="H158" s="15">
        <f t="shared" si="13"/>
        <v>7</v>
      </c>
      <c r="I158" s="15">
        <f t="shared" si="14"/>
        <v>27</v>
      </c>
    </row>
    <row r="159" spans="1:9" ht="15.75" customHeight="1">
      <c r="A159" s="11" t="s">
        <v>264</v>
      </c>
      <c r="B159" s="17" t="e">
        <f>SUMIF(#REF!,A159,#REF!)/SUMIF(#REF!,A159,#REF!)*100</f>
        <v>#REF!</v>
      </c>
      <c r="C159" s="18" t="e">
        <f>SUMIF(#REF!,A159,#REF!)</f>
        <v>#REF!</v>
      </c>
      <c r="D159" s="75" t="e">
        <f t="shared" si="15"/>
        <v>#REF!</v>
      </c>
      <c r="E159" s="16">
        <v>43652</v>
      </c>
      <c r="F159" s="19">
        <f t="shared" ca="1" si="11"/>
        <v>45064</v>
      </c>
      <c r="G159" s="20">
        <f t="shared" ca="1" si="12"/>
        <v>-1412</v>
      </c>
      <c r="H159" s="15">
        <f t="shared" si="13"/>
        <v>7</v>
      </c>
      <c r="I159" s="15">
        <f t="shared" si="14"/>
        <v>27</v>
      </c>
    </row>
    <row r="160" spans="1:9" ht="15.75" customHeight="1">
      <c r="A160" s="11" t="s">
        <v>269</v>
      </c>
      <c r="B160" s="17" t="e">
        <f>SUMIF(#REF!,A160,#REF!)/SUMIF(#REF!,A160,#REF!)*100</f>
        <v>#REF!</v>
      </c>
      <c r="C160" s="18" t="e">
        <f>SUMIF(#REF!,A160,#REF!)</f>
        <v>#REF!</v>
      </c>
      <c r="D160" s="75" t="e">
        <f t="shared" si="15"/>
        <v>#REF!</v>
      </c>
      <c r="E160" s="16">
        <v>43661</v>
      </c>
      <c r="F160" s="19">
        <f t="shared" ca="1" si="11"/>
        <v>45064</v>
      </c>
      <c r="G160" s="20">
        <f t="shared" ca="1" si="12"/>
        <v>-1403</v>
      </c>
      <c r="H160" s="15">
        <f t="shared" si="13"/>
        <v>7</v>
      </c>
      <c r="I160" s="15">
        <f t="shared" si="14"/>
        <v>29</v>
      </c>
    </row>
    <row r="161" spans="1:9" ht="15.75" customHeight="1">
      <c r="A161" s="11" t="s">
        <v>268</v>
      </c>
      <c r="B161" s="17" t="e">
        <f>SUMIF(#REF!,A161,#REF!)/SUMIF(#REF!,A161,#REF!)*100</f>
        <v>#REF!</v>
      </c>
      <c r="C161" s="18" t="e">
        <f>SUMIF(#REF!,A161,#REF!)</f>
        <v>#REF!</v>
      </c>
      <c r="D161" s="75" t="e">
        <f t="shared" si="15"/>
        <v>#REF!</v>
      </c>
      <c r="E161" s="16">
        <v>43663</v>
      </c>
      <c r="F161" s="19">
        <f t="shared" ca="1" si="11"/>
        <v>45064</v>
      </c>
      <c r="G161" s="20">
        <f t="shared" ca="1" si="12"/>
        <v>-1401</v>
      </c>
      <c r="H161" s="15">
        <f t="shared" si="13"/>
        <v>7</v>
      </c>
      <c r="I161" s="15">
        <f t="shared" si="14"/>
        <v>29</v>
      </c>
    </row>
    <row r="162" spans="1:9" ht="15.75" customHeight="1">
      <c r="A162" s="15" t="s">
        <v>248</v>
      </c>
      <c r="B162" s="17" t="e">
        <f>SUMIF(#REF!,A162,#REF!)/SUMIF(#REF!,A162,#REF!)*100</f>
        <v>#REF!</v>
      </c>
      <c r="C162" s="18" t="e">
        <f>SUMIF(#REF!,A162,#REF!)</f>
        <v>#REF!</v>
      </c>
      <c r="D162" s="75" t="e">
        <f t="shared" si="15"/>
        <v>#REF!</v>
      </c>
      <c r="E162" s="16">
        <v>43664</v>
      </c>
      <c r="F162" s="19">
        <f t="shared" ca="1" si="11"/>
        <v>45064</v>
      </c>
      <c r="G162" s="20">
        <f t="shared" ca="1" si="12"/>
        <v>-1400</v>
      </c>
      <c r="H162" s="15">
        <f t="shared" si="13"/>
        <v>7</v>
      </c>
      <c r="I162" s="15">
        <f t="shared" si="14"/>
        <v>29</v>
      </c>
    </row>
    <row r="163" spans="1:9" ht="15.75" customHeight="1">
      <c r="A163" s="11" t="s">
        <v>275</v>
      </c>
      <c r="B163" s="17" t="e">
        <f>SUMIF(#REF!,A163,#REF!)/SUMIF(#REF!,A163,#REF!)*100</f>
        <v>#REF!</v>
      </c>
      <c r="C163" s="18" t="e">
        <f>SUMIF(#REF!,A163,#REF!)</f>
        <v>#REF!</v>
      </c>
      <c r="D163" s="75" t="e">
        <f t="shared" si="15"/>
        <v>#REF!</v>
      </c>
      <c r="E163" s="16">
        <v>43669</v>
      </c>
      <c r="F163" s="19">
        <f t="shared" ca="1" si="11"/>
        <v>45064</v>
      </c>
      <c r="G163" s="20">
        <f t="shared" ca="1" si="12"/>
        <v>-1395</v>
      </c>
      <c r="H163" s="15">
        <f t="shared" si="13"/>
        <v>7</v>
      </c>
      <c r="I163" s="15">
        <f t="shared" si="14"/>
        <v>30</v>
      </c>
    </row>
    <row r="164" spans="1:9" ht="15.75" customHeight="1">
      <c r="A164" s="11" t="s">
        <v>240</v>
      </c>
      <c r="B164" s="17" t="e">
        <f>SUMIF(#REF!,A164,#REF!)/SUMIF(#REF!,A164,#REF!)*100</f>
        <v>#REF!</v>
      </c>
      <c r="C164" s="18" t="e">
        <f>SUMIF(#REF!,A164,#REF!)</f>
        <v>#REF!</v>
      </c>
      <c r="D164" s="75" t="e">
        <f t="shared" si="15"/>
        <v>#REF!</v>
      </c>
      <c r="E164" s="16">
        <v>43670</v>
      </c>
      <c r="F164" s="19">
        <f t="shared" ca="1" si="11"/>
        <v>45064</v>
      </c>
      <c r="G164" s="20">
        <f t="shared" ca="1" si="12"/>
        <v>-1394</v>
      </c>
      <c r="H164" s="15">
        <f t="shared" si="13"/>
        <v>7</v>
      </c>
      <c r="I164" s="15">
        <f t="shared" si="14"/>
        <v>30</v>
      </c>
    </row>
    <row r="165" spans="1:9" ht="15.75" customHeight="1">
      <c r="A165" s="15" t="s">
        <v>246</v>
      </c>
      <c r="B165" s="17" t="e">
        <f>SUMIF(#REF!,A165,#REF!)/SUMIF(#REF!,A165,#REF!)*100</f>
        <v>#REF!</v>
      </c>
      <c r="C165" s="18" t="e">
        <f>SUMIF(#REF!,A165,#REF!)</f>
        <v>#REF!</v>
      </c>
      <c r="D165" s="75" t="e">
        <f t="shared" si="15"/>
        <v>#REF!</v>
      </c>
      <c r="E165" s="16">
        <v>43670</v>
      </c>
      <c r="F165" s="19">
        <f t="shared" ca="1" si="11"/>
        <v>45064</v>
      </c>
      <c r="G165" s="20">
        <f t="shared" ca="1" si="12"/>
        <v>-1394</v>
      </c>
      <c r="H165" s="15">
        <f t="shared" si="13"/>
        <v>7</v>
      </c>
      <c r="I165" s="15">
        <f t="shared" si="14"/>
        <v>30</v>
      </c>
    </row>
    <row r="166" spans="1:9" ht="15.75" customHeight="1">
      <c r="A166" s="11" t="s">
        <v>292</v>
      </c>
      <c r="B166" s="17" t="e">
        <f>SUMIF(#REF!,A166,#REF!)/SUMIF(#REF!,A166,#REF!)*100</f>
        <v>#REF!</v>
      </c>
      <c r="C166" s="18" t="e">
        <f>SUMIF(#REF!,A166,#REF!)</f>
        <v>#REF!</v>
      </c>
      <c r="D166" s="75" t="e">
        <f t="shared" si="15"/>
        <v>#REF!</v>
      </c>
      <c r="E166" s="16">
        <v>43675</v>
      </c>
      <c r="F166" s="19">
        <f t="shared" ca="1" si="11"/>
        <v>45064</v>
      </c>
      <c r="G166" s="20">
        <f t="shared" ca="1" si="12"/>
        <v>-1389</v>
      </c>
      <c r="H166" s="15">
        <f t="shared" si="13"/>
        <v>7</v>
      </c>
      <c r="I166" s="15">
        <f t="shared" si="14"/>
        <v>31</v>
      </c>
    </row>
    <row r="167" spans="1:9" ht="15.75" customHeight="1">
      <c r="A167" s="11" t="s">
        <v>278</v>
      </c>
      <c r="B167" s="17" t="e">
        <f>SUMIF(#REF!,A167,#REF!)/SUMIF(#REF!,A167,#REF!)*100</f>
        <v>#REF!</v>
      </c>
      <c r="C167" s="18" t="e">
        <f>SUMIF(#REF!,A167,#REF!)</f>
        <v>#REF!</v>
      </c>
      <c r="D167" s="75" t="e">
        <f t="shared" si="15"/>
        <v>#REF!</v>
      </c>
      <c r="E167" s="16">
        <v>43676</v>
      </c>
      <c r="F167" s="19">
        <f t="shared" ca="1" si="11"/>
        <v>45064</v>
      </c>
      <c r="G167" s="20">
        <f t="shared" ca="1" si="12"/>
        <v>-1388</v>
      </c>
      <c r="H167" s="15">
        <f t="shared" si="13"/>
        <v>7</v>
      </c>
      <c r="I167" s="15">
        <f t="shared" si="14"/>
        <v>31</v>
      </c>
    </row>
    <row r="168" spans="1:9" ht="15.75" customHeight="1">
      <c r="A168" s="11" t="s">
        <v>279</v>
      </c>
      <c r="B168" s="17" t="e">
        <f>SUMIF(#REF!,A168,#REF!)/SUMIF(#REF!,A168,#REF!)*100</f>
        <v>#REF!</v>
      </c>
      <c r="C168" s="18" t="e">
        <f>SUMIF(#REF!,A168,#REF!)</f>
        <v>#REF!</v>
      </c>
      <c r="D168" s="75" t="e">
        <f t="shared" si="15"/>
        <v>#REF!</v>
      </c>
      <c r="E168" s="16">
        <v>43677</v>
      </c>
      <c r="F168" s="19">
        <f t="shared" ca="1" si="11"/>
        <v>45064</v>
      </c>
      <c r="G168" s="20">
        <f t="shared" ca="1" si="12"/>
        <v>-1387</v>
      </c>
      <c r="H168" s="15">
        <f t="shared" ref="H168:H231" si="16">MONTH(E168)</f>
        <v>7</v>
      </c>
      <c r="I168" s="15">
        <f t="shared" ref="I168:I231" si="17">WEEKNUM(E168)</f>
        <v>31</v>
      </c>
    </row>
    <row r="169" spans="1:9" ht="15.75" customHeight="1">
      <c r="A169" s="20" t="s">
        <v>308</v>
      </c>
      <c r="B169" s="17" t="e">
        <f>SUMIF(#REF!,A169,#REF!)/SUMIF(#REF!,A169,#REF!)*100</f>
        <v>#REF!</v>
      </c>
      <c r="C169" s="18" t="e">
        <f>SUMIF(#REF!,A169,#REF!)</f>
        <v>#REF!</v>
      </c>
      <c r="D169" s="75" t="e">
        <f t="shared" si="15"/>
        <v>#REF!</v>
      </c>
      <c r="E169" s="21">
        <v>43677</v>
      </c>
      <c r="F169" s="19">
        <f t="shared" ca="1" si="11"/>
        <v>45064</v>
      </c>
      <c r="G169" s="20">
        <f t="shared" ca="1" si="12"/>
        <v>-1387</v>
      </c>
      <c r="H169" s="15">
        <f t="shared" si="16"/>
        <v>7</v>
      </c>
      <c r="I169" s="15">
        <f t="shared" si="17"/>
        <v>31</v>
      </c>
    </row>
    <row r="170" spans="1:9" ht="15.75" customHeight="1">
      <c r="A170" s="11" t="s">
        <v>233</v>
      </c>
      <c r="B170" s="17" t="e">
        <f>SUMIF(#REF!,A170,#REF!)/SUMIF(#REF!,A170,#REF!)*100</f>
        <v>#REF!</v>
      </c>
      <c r="C170" s="18" t="e">
        <f>SUMIF(#REF!,A170,#REF!)</f>
        <v>#REF!</v>
      </c>
      <c r="D170" s="75" t="e">
        <f t="shared" si="15"/>
        <v>#REF!</v>
      </c>
      <c r="E170" s="16">
        <v>43679</v>
      </c>
      <c r="F170" s="19">
        <f t="shared" ca="1" si="11"/>
        <v>45064</v>
      </c>
      <c r="G170" s="20">
        <f t="shared" ca="1" si="12"/>
        <v>-1385</v>
      </c>
      <c r="H170" s="15">
        <f t="shared" si="16"/>
        <v>8</v>
      </c>
      <c r="I170" s="15">
        <f t="shared" si="17"/>
        <v>31</v>
      </c>
    </row>
    <row r="171" spans="1:9" ht="15.75" customHeight="1">
      <c r="A171" s="11" t="s">
        <v>270</v>
      </c>
      <c r="B171" s="17" t="e">
        <f>SUMIF(#REF!,A171,#REF!)/SUMIF(#REF!,A171,#REF!)*100</f>
        <v>#REF!</v>
      </c>
      <c r="C171" s="18" t="e">
        <f>SUMIF(#REF!,A171,#REF!)</f>
        <v>#REF!</v>
      </c>
      <c r="D171" s="75" t="e">
        <f t="shared" si="15"/>
        <v>#REF!</v>
      </c>
      <c r="E171" s="16">
        <v>43679</v>
      </c>
      <c r="F171" s="19">
        <f t="shared" ca="1" si="11"/>
        <v>45064</v>
      </c>
      <c r="G171" s="20">
        <f t="shared" ca="1" si="12"/>
        <v>-1385</v>
      </c>
      <c r="H171" s="15">
        <f t="shared" si="16"/>
        <v>8</v>
      </c>
      <c r="I171" s="15">
        <f t="shared" si="17"/>
        <v>31</v>
      </c>
    </row>
    <row r="172" spans="1:9" ht="15.75" customHeight="1">
      <c r="A172" s="11" t="s">
        <v>258</v>
      </c>
      <c r="B172" s="17" t="e">
        <f>SUMIF(#REF!,A172,#REF!)/SUMIF(#REF!,A172,#REF!)*100</f>
        <v>#REF!</v>
      </c>
      <c r="C172" s="18" t="e">
        <f>SUMIF(#REF!,A172,#REF!)</f>
        <v>#REF!</v>
      </c>
      <c r="D172" s="75" t="e">
        <f t="shared" si="15"/>
        <v>#REF!</v>
      </c>
      <c r="E172" s="16">
        <v>43682</v>
      </c>
      <c r="F172" s="19">
        <f t="shared" ca="1" si="11"/>
        <v>45064</v>
      </c>
      <c r="G172" s="20">
        <f t="shared" ca="1" si="12"/>
        <v>-1382</v>
      </c>
      <c r="H172" s="15">
        <f t="shared" si="16"/>
        <v>8</v>
      </c>
      <c r="I172" s="15">
        <f t="shared" si="17"/>
        <v>32</v>
      </c>
    </row>
    <row r="173" spans="1:9" ht="15.75" customHeight="1">
      <c r="A173" s="11" t="s">
        <v>291</v>
      </c>
      <c r="B173" s="17" t="e">
        <f>SUMIF(#REF!,A173,#REF!)/SUMIF(#REF!,A173,#REF!)*100</f>
        <v>#REF!</v>
      </c>
      <c r="C173" s="18" t="e">
        <f>SUMIF(#REF!,A173,#REF!)</f>
        <v>#REF!</v>
      </c>
      <c r="D173" s="75" t="e">
        <f t="shared" si="15"/>
        <v>#REF!</v>
      </c>
      <c r="E173" s="16">
        <v>43682</v>
      </c>
      <c r="F173" s="19">
        <f t="shared" ca="1" si="11"/>
        <v>45064</v>
      </c>
      <c r="G173" s="20">
        <f t="shared" ca="1" si="12"/>
        <v>-1382</v>
      </c>
      <c r="H173" s="15">
        <f t="shared" si="16"/>
        <v>8</v>
      </c>
      <c r="I173" s="15">
        <f t="shared" si="17"/>
        <v>32</v>
      </c>
    </row>
    <row r="174" spans="1:9" ht="15.75" customHeight="1">
      <c r="A174" s="11" t="s">
        <v>286</v>
      </c>
      <c r="B174" s="17" t="e">
        <f>SUMIF(#REF!,A174,#REF!)/SUMIF(#REF!,A174,#REF!)*100</f>
        <v>#REF!</v>
      </c>
      <c r="C174" s="18" t="e">
        <f>SUMIF(#REF!,A174,#REF!)</f>
        <v>#REF!</v>
      </c>
      <c r="D174" s="75" t="e">
        <f t="shared" si="15"/>
        <v>#REF!</v>
      </c>
      <c r="E174" s="16">
        <v>43683</v>
      </c>
      <c r="F174" s="19">
        <f t="shared" ca="1" si="11"/>
        <v>45064</v>
      </c>
      <c r="G174" s="20">
        <f t="shared" ca="1" si="12"/>
        <v>-1381</v>
      </c>
      <c r="H174" s="15">
        <f t="shared" si="16"/>
        <v>8</v>
      </c>
      <c r="I174" s="15">
        <f t="shared" si="17"/>
        <v>32</v>
      </c>
    </row>
    <row r="175" spans="1:9" ht="15.75" customHeight="1">
      <c r="A175" s="11" t="s">
        <v>285</v>
      </c>
      <c r="B175" s="17" t="e">
        <f>SUMIF(#REF!,A175,#REF!)/SUMIF(#REF!,A175,#REF!)*100</f>
        <v>#REF!</v>
      </c>
      <c r="C175" s="18" t="e">
        <f>SUMIF(#REF!,A175,#REF!)</f>
        <v>#REF!</v>
      </c>
      <c r="D175" s="75" t="e">
        <f t="shared" si="15"/>
        <v>#REF!</v>
      </c>
      <c r="E175" s="16">
        <v>43684</v>
      </c>
      <c r="F175" s="19">
        <f t="shared" ca="1" si="11"/>
        <v>45064</v>
      </c>
      <c r="G175" s="20">
        <f t="shared" ca="1" si="12"/>
        <v>-1380</v>
      </c>
      <c r="H175" s="15">
        <f t="shared" si="16"/>
        <v>8</v>
      </c>
      <c r="I175" s="15">
        <f t="shared" si="17"/>
        <v>32</v>
      </c>
    </row>
    <row r="176" spans="1:9" ht="15.75" customHeight="1">
      <c r="A176" s="20" t="s">
        <v>313</v>
      </c>
      <c r="B176" s="17" t="e">
        <f>SUMIF(#REF!,A176,#REF!)/SUMIF(#REF!,A176,#REF!)*100</f>
        <v>#REF!</v>
      </c>
      <c r="C176" s="18" t="e">
        <f>SUMIF(#REF!,A176,#REF!)</f>
        <v>#REF!</v>
      </c>
      <c r="D176" s="75" t="e">
        <f t="shared" si="15"/>
        <v>#REF!</v>
      </c>
      <c r="E176" s="21">
        <v>43685</v>
      </c>
      <c r="F176" s="19">
        <f t="shared" ca="1" si="11"/>
        <v>45064</v>
      </c>
      <c r="G176" s="20">
        <f t="shared" ca="1" si="12"/>
        <v>-1379</v>
      </c>
      <c r="H176" s="15">
        <f t="shared" si="16"/>
        <v>8</v>
      </c>
      <c r="I176" s="15">
        <f t="shared" si="17"/>
        <v>32</v>
      </c>
    </row>
    <row r="177" spans="1:9" ht="15.75" customHeight="1">
      <c r="A177" s="11" t="s">
        <v>271</v>
      </c>
      <c r="B177" s="17" t="e">
        <f>SUMIF(#REF!,A177,#REF!)/SUMIF(#REF!,A177,#REF!)*100</f>
        <v>#REF!</v>
      </c>
      <c r="C177" s="18" t="e">
        <f>SUMIF(#REF!,A177,#REF!)</f>
        <v>#REF!</v>
      </c>
      <c r="D177" s="75" t="e">
        <f t="shared" si="15"/>
        <v>#REF!</v>
      </c>
      <c r="E177" s="16">
        <v>43687</v>
      </c>
      <c r="F177" s="19">
        <f t="shared" ca="1" si="11"/>
        <v>45064</v>
      </c>
      <c r="G177" s="20">
        <f t="shared" ca="1" si="12"/>
        <v>-1377</v>
      </c>
      <c r="H177" s="15">
        <f t="shared" si="16"/>
        <v>8</v>
      </c>
      <c r="I177" s="15">
        <f t="shared" si="17"/>
        <v>32</v>
      </c>
    </row>
    <row r="178" spans="1:9" ht="15.75" customHeight="1">
      <c r="A178" s="11" t="s">
        <v>265</v>
      </c>
      <c r="B178" s="17" t="e">
        <f>SUMIF(#REF!,A178,#REF!)/SUMIF(#REF!,A178,#REF!)*100</f>
        <v>#REF!</v>
      </c>
      <c r="C178" s="18" t="e">
        <f>SUMIF(#REF!,A178,#REF!)</f>
        <v>#REF!</v>
      </c>
      <c r="D178" s="75" t="e">
        <f t="shared" si="15"/>
        <v>#REF!</v>
      </c>
      <c r="E178" s="16">
        <v>43689</v>
      </c>
      <c r="F178" s="19">
        <f t="shared" ca="1" si="11"/>
        <v>45064</v>
      </c>
      <c r="G178" s="20">
        <f t="shared" ca="1" si="12"/>
        <v>-1375</v>
      </c>
      <c r="H178" s="15">
        <f t="shared" si="16"/>
        <v>8</v>
      </c>
      <c r="I178" s="15">
        <f t="shared" si="17"/>
        <v>33</v>
      </c>
    </row>
    <row r="179" spans="1:9" ht="15.75" customHeight="1">
      <c r="A179" s="15" t="s">
        <v>267</v>
      </c>
      <c r="B179" s="17" t="e">
        <f>SUMIF(#REF!,A179,#REF!)/SUMIF(#REF!,A179,#REF!)*100</f>
        <v>#REF!</v>
      </c>
      <c r="C179" s="18" t="e">
        <f>SUMIF(#REF!,A179,#REF!)</f>
        <v>#REF!</v>
      </c>
      <c r="D179" s="75" t="e">
        <f t="shared" si="15"/>
        <v>#REF!</v>
      </c>
      <c r="E179" s="16">
        <v>43689</v>
      </c>
      <c r="F179" s="19">
        <f t="shared" ca="1" si="11"/>
        <v>45064</v>
      </c>
      <c r="G179" s="20">
        <f t="shared" ca="1" si="12"/>
        <v>-1375</v>
      </c>
      <c r="H179" s="15">
        <f t="shared" si="16"/>
        <v>8</v>
      </c>
      <c r="I179" s="15">
        <f t="shared" si="17"/>
        <v>33</v>
      </c>
    </row>
    <row r="180" spans="1:9" ht="15.75" customHeight="1">
      <c r="A180" s="11" t="s">
        <v>273</v>
      </c>
      <c r="B180" s="17" t="e">
        <f>SUMIF(#REF!,A180,#REF!)/SUMIF(#REF!,A180,#REF!)*100</f>
        <v>#REF!</v>
      </c>
      <c r="C180" s="18" t="e">
        <f>SUMIF(#REF!,A180,#REF!)</f>
        <v>#REF!</v>
      </c>
      <c r="D180" s="75" t="e">
        <f t="shared" si="15"/>
        <v>#REF!</v>
      </c>
      <c r="E180" s="16">
        <v>43690</v>
      </c>
      <c r="F180" s="19">
        <f t="shared" ca="1" si="11"/>
        <v>45064</v>
      </c>
      <c r="G180" s="20">
        <f t="shared" ca="1" si="12"/>
        <v>-1374</v>
      </c>
      <c r="H180" s="15">
        <f t="shared" si="16"/>
        <v>8</v>
      </c>
      <c r="I180" s="15">
        <f t="shared" si="17"/>
        <v>33</v>
      </c>
    </row>
    <row r="181" spans="1:9" ht="15.75" customHeight="1">
      <c r="A181" s="20" t="s">
        <v>316</v>
      </c>
      <c r="B181" s="17" t="e">
        <f>SUMIF(#REF!,A181,#REF!)/SUMIF(#REF!,A181,#REF!)*100</f>
        <v>#REF!</v>
      </c>
      <c r="C181" s="18" t="e">
        <f>SUMIF(#REF!,A181,#REF!)</f>
        <v>#REF!</v>
      </c>
      <c r="D181" s="75" t="e">
        <f t="shared" si="15"/>
        <v>#REF!</v>
      </c>
      <c r="E181" s="21">
        <v>43691</v>
      </c>
      <c r="F181" s="19">
        <f t="shared" ca="1" si="11"/>
        <v>45064</v>
      </c>
      <c r="G181" s="20">
        <f t="shared" ca="1" si="12"/>
        <v>-1373</v>
      </c>
      <c r="H181" s="15">
        <f t="shared" si="16"/>
        <v>8</v>
      </c>
      <c r="I181" s="15">
        <f t="shared" si="17"/>
        <v>33</v>
      </c>
    </row>
    <row r="182" spans="1:9" ht="15.75" customHeight="1">
      <c r="A182" s="11" t="s">
        <v>289</v>
      </c>
      <c r="B182" s="17" t="e">
        <f>SUMIF(#REF!,A182,#REF!)/SUMIF(#REF!,A182,#REF!)*100</f>
        <v>#REF!</v>
      </c>
      <c r="C182" s="18" t="e">
        <f>SUMIF(#REF!,A182,#REF!)</f>
        <v>#REF!</v>
      </c>
      <c r="D182" s="75" t="e">
        <f t="shared" si="15"/>
        <v>#REF!</v>
      </c>
      <c r="E182" s="16">
        <v>43691</v>
      </c>
      <c r="F182" s="19">
        <f t="shared" ca="1" si="11"/>
        <v>45064</v>
      </c>
      <c r="G182" s="20">
        <f t="shared" ca="1" si="12"/>
        <v>-1373</v>
      </c>
      <c r="H182" s="15">
        <f t="shared" si="16"/>
        <v>8</v>
      </c>
      <c r="I182" s="15">
        <f t="shared" si="17"/>
        <v>33</v>
      </c>
    </row>
    <row r="183" spans="1:9" ht="15.75" customHeight="1">
      <c r="A183" s="20" t="s">
        <v>321</v>
      </c>
      <c r="B183" s="17" t="e">
        <f>SUMIF(#REF!,A183,#REF!)/SUMIF(#REF!,A183,#REF!)*100</f>
        <v>#REF!</v>
      </c>
      <c r="C183" s="18" t="e">
        <f>SUMIF(#REF!,A183,#REF!)</f>
        <v>#REF!</v>
      </c>
      <c r="D183" s="75" t="e">
        <f t="shared" si="15"/>
        <v>#REF!</v>
      </c>
      <c r="E183" s="21">
        <v>43692</v>
      </c>
      <c r="F183" s="19">
        <f t="shared" ca="1" si="11"/>
        <v>45064</v>
      </c>
      <c r="G183" s="20">
        <f t="shared" ca="1" si="12"/>
        <v>-1372</v>
      </c>
      <c r="H183" s="15">
        <f t="shared" si="16"/>
        <v>8</v>
      </c>
      <c r="I183" s="15">
        <f t="shared" si="17"/>
        <v>33</v>
      </c>
    </row>
    <row r="184" spans="1:9" ht="15.75" customHeight="1">
      <c r="A184" s="11" t="s">
        <v>280</v>
      </c>
      <c r="B184" s="17" t="e">
        <f>SUMIF(#REF!,A184,#REF!)/SUMIF(#REF!,A184,#REF!)*100</f>
        <v>#REF!</v>
      </c>
      <c r="C184" s="18" t="e">
        <f>SUMIF(#REF!,A184,#REF!)</f>
        <v>#REF!</v>
      </c>
      <c r="D184" s="75" t="e">
        <f t="shared" si="15"/>
        <v>#REF!</v>
      </c>
      <c r="E184" s="16">
        <v>43693</v>
      </c>
      <c r="F184" s="19">
        <f t="shared" ref="F184:F247" ca="1" si="18">TODAY()</f>
        <v>45064</v>
      </c>
      <c r="G184" s="20">
        <f t="shared" ref="G184:G247" ca="1" si="19">E184-F184</f>
        <v>-1371</v>
      </c>
      <c r="H184" s="15">
        <f t="shared" si="16"/>
        <v>8</v>
      </c>
      <c r="I184" s="15">
        <f t="shared" si="17"/>
        <v>33</v>
      </c>
    </row>
    <row r="185" spans="1:9" ht="15.75" customHeight="1">
      <c r="A185" s="20" t="s">
        <v>336</v>
      </c>
      <c r="B185" s="17" t="e">
        <f>SUMIF(#REF!,A185,#REF!)/SUMIF(#REF!,A185,#REF!)*100</f>
        <v>#REF!</v>
      </c>
      <c r="C185" s="18" t="e">
        <f>SUMIF(#REF!,A185,#REF!)</f>
        <v>#REF!</v>
      </c>
      <c r="D185" s="75" t="e">
        <f t="shared" si="15"/>
        <v>#REF!</v>
      </c>
      <c r="E185" s="21">
        <v>43694</v>
      </c>
      <c r="F185" s="19">
        <f t="shared" ca="1" si="18"/>
        <v>45064</v>
      </c>
      <c r="G185" s="20">
        <f t="shared" ca="1" si="19"/>
        <v>-1370</v>
      </c>
      <c r="H185" s="15">
        <f t="shared" si="16"/>
        <v>8</v>
      </c>
      <c r="I185" s="15">
        <f t="shared" si="17"/>
        <v>33</v>
      </c>
    </row>
    <row r="186" spans="1:9" ht="15.75" customHeight="1">
      <c r="A186" s="20" t="s">
        <v>339</v>
      </c>
      <c r="B186" s="17" t="e">
        <f>SUMIF(#REF!,A186,#REF!)/SUMIF(#REF!,A186,#REF!)*100</f>
        <v>#REF!</v>
      </c>
      <c r="C186" s="18" t="e">
        <f>SUMIF(#REF!,A186,#REF!)</f>
        <v>#REF!</v>
      </c>
      <c r="D186" s="75" t="e">
        <f t="shared" si="15"/>
        <v>#REF!</v>
      </c>
      <c r="E186" s="21">
        <v>43697</v>
      </c>
      <c r="F186" s="19">
        <f t="shared" ca="1" si="18"/>
        <v>45064</v>
      </c>
      <c r="G186" s="20">
        <f t="shared" ca="1" si="19"/>
        <v>-1367</v>
      </c>
      <c r="H186" s="15">
        <f t="shared" si="16"/>
        <v>8</v>
      </c>
      <c r="I186" s="15">
        <f t="shared" si="17"/>
        <v>34</v>
      </c>
    </row>
    <row r="187" spans="1:9" ht="15.75" customHeight="1">
      <c r="A187" s="20" t="s">
        <v>351</v>
      </c>
      <c r="B187" s="17" t="e">
        <f>SUMIF(#REF!,A187,#REF!)/SUMIF(#REF!,A187,#REF!)*100</f>
        <v>#REF!</v>
      </c>
      <c r="C187" s="18" t="e">
        <f>SUMIF(#REF!,A187,#REF!)</f>
        <v>#REF!</v>
      </c>
      <c r="D187" s="75" t="e">
        <f t="shared" si="15"/>
        <v>#REF!</v>
      </c>
      <c r="E187" s="21">
        <v>43698</v>
      </c>
      <c r="F187" s="19">
        <f t="shared" ca="1" si="18"/>
        <v>45064</v>
      </c>
      <c r="G187" s="20">
        <f t="shared" ca="1" si="19"/>
        <v>-1366</v>
      </c>
      <c r="H187" s="15">
        <f t="shared" si="16"/>
        <v>8</v>
      </c>
      <c r="I187" s="15">
        <f t="shared" si="17"/>
        <v>34</v>
      </c>
    </row>
    <row r="188" spans="1:9" ht="15.75" customHeight="1">
      <c r="A188" s="20" t="s">
        <v>344</v>
      </c>
      <c r="B188" s="17" t="e">
        <f>SUMIF(#REF!,A188,#REF!)/SUMIF(#REF!,A188,#REF!)*100</f>
        <v>#REF!</v>
      </c>
      <c r="C188" s="18" t="e">
        <f>SUMIF(#REF!,A188,#REF!)</f>
        <v>#REF!</v>
      </c>
      <c r="D188" s="75" t="e">
        <f t="shared" si="15"/>
        <v>#REF!</v>
      </c>
      <c r="E188" s="21">
        <v>43699</v>
      </c>
      <c r="F188" s="19">
        <f t="shared" ca="1" si="18"/>
        <v>45064</v>
      </c>
      <c r="G188" s="20">
        <f t="shared" ca="1" si="19"/>
        <v>-1365</v>
      </c>
      <c r="H188" s="15">
        <f t="shared" si="16"/>
        <v>8</v>
      </c>
      <c r="I188" s="15">
        <f t="shared" si="17"/>
        <v>34</v>
      </c>
    </row>
    <row r="189" spans="1:9" ht="15.75" customHeight="1">
      <c r="A189" s="20" t="s">
        <v>343</v>
      </c>
      <c r="B189" s="17" t="e">
        <f>SUMIF(#REF!,A189,#REF!)/SUMIF(#REF!,A189,#REF!)*100</f>
        <v>#REF!</v>
      </c>
      <c r="C189" s="18" t="e">
        <f>SUMIF(#REF!,A189,#REF!)</f>
        <v>#REF!</v>
      </c>
      <c r="D189" s="75" t="e">
        <f t="shared" si="15"/>
        <v>#REF!</v>
      </c>
      <c r="E189" s="21">
        <v>43700</v>
      </c>
      <c r="F189" s="19">
        <f t="shared" ca="1" si="18"/>
        <v>45064</v>
      </c>
      <c r="G189" s="20">
        <f t="shared" ca="1" si="19"/>
        <v>-1364</v>
      </c>
      <c r="H189" s="15">
        <f t="shared" si="16"/>
        <v>8</v>
      </c>
      <c r="I189" s="15">
        <f t="shared" si="17"/>
        <v>34</v>
      </c>
    </row>
    <row r="190" spans="1:9" ht="17.25" customHeight="1">
      <c r="A190" s="20" t="s">
        <v>348</v>
      </c>
      <c r="B190" s="17" t="e">
        <f>SUMIF(#REF!,A190,#REF!)/SUMIF(#REF!,A190,#REF!)*100</f>
        <v>#REF!</v>
      </c>
      <c r="C190" s="18" t="e">
        <f>SUMIF(#REF!,A190,#REF!)</f>
        <v>#REF!</v>
      </c>
      <c r="D190" s="75" t="e">
        <f t="shared" si="15"/>
        <v>#REF!</v>
      </c>
      <c r="E190" s="21">
        <v>43705</v>
      </c>
      <c r="F190" s="19">
        <f t="shared" ca="1" si="18"/>
        <v>45064</v>
      </c>
      <c r="G190" s="20">
        <f t="shared" ca="1" si="19"/>
        <v>-1359</v>
      </c>
      <c r="H190" s="15">
        <f t="shared" si="16"/>
        <v>8</v>
      </c>
      <c r="I190" s="15">
        <f t="shared" si="17"/>
        <v>35</v>
      </c>
    </row>
    <row r="191" spans="1:9" ht="18" customHeight="1">
      <c r="A191" s="20" t="s">
        <v>340</v>
      </c>
      <c r="B191" s="17" t="e">
        <f>SUMIF(#REF!,A191,#REF!)/SUMIF(#REF!,A191,#REF!)*100</f>
        <v>#REF!</v>
      </c>
      <c r="C191" s="18" t="e">
        <f>SUMIF(#REF!,A191,#REF!)</f>
        <v>#REF!</v>
      </c>
      <c r="D191" s="75" t="e">
        <f t="shared" si="15"/>
        <v>#REF!</v>
      </c>
      <c r="E191" s="21">
        <v>43708</v>
      </c>
      <c r="F191" s="19">
        <f t="shared" ca="1" si="18"/>
        <v>45064</v>
      </c>
      <c r="G191" s="20">
        <f t="shared" ca="1" si="19"/>
        <v>-1356</v>
      </c>
      <c r="H191" s="15">
        <f t="shared" si="16"/>
        <v>8</v>
      </c>
      <c r="I191" s="15">
        <f t="shared" si="17"/>
        <v>35</v>
      </c>
    </row>
    <row r="192" spans="1:9" ht="15">
      <c r="A192" s="20" t="s">
        <v>361</v>
      </c>
      <c r="B192" s="17" t="e">
        <f>SUMIF(#REF!,A192,#REF!)/SUMIF(#REF!,A192,#REF!)*100</f>
        <v>#REF!</v>
      </c>
      <c r="C192" s="18" t="e">
        <f>SUMIF(#REF!,A192,#REF!)</f>
        <v>#REF!</v>
      </c>
      <c r="D192" s="75" t="e">
        <f t="shared" si="15"/>
        <v>#REF!</v>
      </c>
      <c r="E192" s="21">
        <v>43708</v>
      </c>
      <c r="F192" s="19">
        <f t="shared" ca="1" si="18"/>
        <v>45064</v>
      </c>
      <c r="G192" s="20">
        <f t="shared" ca="1" si="19"/>
        <v>-1356</v>
      </c>
      <c r="H192" s="15">
        <f t="shared" si="16"/>
        <v>8</v>
      </c>
      <c r="I192" s="15">
        <f t="shared" si="17"/>
        <v>35</v>
      </c>
    </row>
    <row r="193" spans="1:9" ht="15">
      <c r="A193" s="20" t="s">
        <v>353</v>
      </c>
      <c r="B193" s="17" t="e">
        <f>SUMIF(#REF!,A193,#REF!)/SUMIF(#REF!,A193,#REF!)*100</f>
        <v>#REF!</v>
      </c>
      <c r="C193" s="18" t="e">
        <f>SUMIF(#REF!,A193,#REF!)</f>
        <v>#REF!</v>
      </c>
      <c r="D193" s="75" t="e">
        <f t="shared" si="15"/>
        <v>#REF!</v>
      </c>
      <c r="E193" s="21">
        <v>43711</v>
      </c>
      <c r="F193" s="19">
        <f t="shared" ca="1" si="18"/>
        <v>45064</v>
      </c>
      <c r="G193" s="20">
        <f t="shared" ca="1" si="19"/>
        <v>-1353</v>
      </c>
      <c r="H193" s="15">
        <f t="shared" si="16"/>
        <v>9</v>
      </c>
      <c r="I193" s="15">
        <f t="shared" si="17"/>
        <v>36</v>
      </c>
    </row>
    <row r="194" spans="1:9" ht="15">
      <c r="A194" s="20" t="s">
        <v>345</v>
      </c>
      <c r="B194" s="17" t="e">
        <f>SUMIF(#REF!,A194,#REF!)/SUMIF(#REF!,A194,#REF!)*100</f>
        <v>#REF!</v>
      </c>
      <c r="C194" s="18" t="e">
        <f>SUMIF(#REF!,A194,#REF!)</f>
        <v>#REF!</v>
      </c>
      <c r="D194" s="75" t="e">
        <f t="shared" si="15"/>
        <v>#REF!</v>
      </c>
      <c r="E194" s="21">
        <v>43711</v>
      </c>
      <c r="F194" s="19">
        <f t="shared" ca="1" si="18"/>
        <v>45064</v>
      </c>
      <c r="G194" s="20">
        <f t="shared" ca="1" si="19"/>
        <v>-1353</v>
      </c>
      <c r="H194" s="15">
        <f t="shared" si="16"/>
        <v>9</v>
      </c>
      <c r="I194" s="15">
        <f t="shared" si="17"/>
        <v>36</v>
      </c>
    </row>
    <row r="195" spans="1:9" ht="15">
      <c r="A195" s="20" t="s">
        <v>357</v>
      </c>
      <c r="B195" s="17" t="e">
        <f>SUMIF(#REF!,A195,#REF!)/SUMIF(#REF!,A195,#REF!)*100</f>
        <v>#REF!</v>
      </c>
      <c r="C195" s="18" t="e">
        <f>SUMIF(#REF!,A195,#REF!)</f>
        <v>#REF!</v>
      </c>
      <c r="D195" s="75" t="e">
        <f t="shared" ref="D195:D258" si="20">(100-B195)*C195/100</f>
        <v>#REF!</v>
      </c>
      <c r="E195" s="21">
        <v>43711</v>
      </c>
      <c r="F195" s="19">
        <f t="shared" ca="1" si="18"/>
        <v>45064</v>
      </c>
      <c r="G195" s="20">
        <f t="shared" ca="1" si="19"/>
        <v>-1353</v>
      </c>
      <c r="H195" s="15">
        <f t="shared" si="16"/>
        <v>9</v>
      </c>
      <c r="I195" s="15">
        <f t="shared" si="17"/>
        <v>36</v>
      </c>
    </row>
    <row r="196" spans="1:9" ht="15">
      <c r="A196" s="20" t="s">
        <v>362</v>
      </c>
      <c r="B196" s="17" t="e">
        <f>SUMIF(#REF!,A196,#REF!)/SUMIF(#REF!,A196,#REF!)*100</f>
        <v>#REF!</v>
      </c>
      <c r="C196" s="18" t="e">
        <f>SUMIF(#REF!,A196,#REF!)</f>
        <v>#REF!</v>
      </c>
      <c r="D196" s="75" t="e">
        <f t="shared" si="20"/>
        <v>#REF!</v>
      </c>
      <c r="E196" s="21">
        <v>43713</v>
      </c>
      <c r="F196" s="19">
        <f t="shared" ca="1" si="18"/>
        <v>45064</v>
      </c>
      <c r="G196" s="20">
        <f t="shared" ca="1" si="19"/>
        <v>-1351</v>
      </c>
      <c r="H196" s="15">
        <f t="shared" si="16"/>
        <v>9</v>
      </c>
      <c r="I196" s="15">
        <f t="shared" si="17"/>
        <v>36</v>
      </c>
    </row>
    <row r="197" spans="1:9" ht="15">
      <c r="A197" s="11" t="s">
        <v>276</v>
      </c>
      <c r="B197" s="17" t="e">
        <f>SUMIF(#REF!,A197,#REF!)/SUMIF(#REF!,A197,#REF!)*100</f>
        <v>#REF!</v>
      </c>
      <c r="C197" s="18" t="e">
        <f>SUMIF(#REF!,A197,#REF!)</f>
        <v>#REF!</v>
      </c>
      <c r="D197" s="75" t="e">
        <f t="shared" si="20"/>
        <v>#REF!</v>
      </c>
      <c r="E197" s="16">
        <v>43717</v>
      </c>
      <c r="F197" s="19">
        <f t="shared" ca="1" si="18"/>
        <v>45064</v>
      </c>
      <c r="G197" s="20">
        <f t="shared" ca="1" si="19"/>
        <v>-1347</v>
      </c>
      <c r="H197" s="15">
        <f t="shared" si="16"/>
        <v>9</v>
      </c>
      <c r="I197" s="15">
        <f t="shared" si="17"/>
        <v>37</v>
      </c>
    </row>
    <row r="198" spans="1:9" ht="15">
      <c r="A198" s="20" t="s">
        <v>365</v>
      </c>
      <c r="B198" s="17" t="e">
        <f>SUMIF(#REF!,A198,#REF!)/SUMIF(#REF!,A198,#REF!)*100</f>
        <v>#REF!</v>
      </c>
      <c r="C198" s="18" t="e">
        <f>SUMIF(#REF!,A198,#REF!)</f>
        <v>#REF!</v>
      </c>
      <c r="D198" s="75" t="e">
        <f t="shared" si="20"/>
        <v>#REF!</v>
      </c>
      <c r="E198" s="21">
        <v>43717</v>
      </c>
      <c r="F198" s="19">
        <f t="shared" ca="1" si="18"/>
        <v>45064</v>
      </c>
      <c r="G198" s="20">
        <f t="shared" ca="1" si="19"/>
        <v>-1347</v>
      </c>
      <c r="H198" s="15">
        <f t="shared" si="16"/>
        <v>9</v>
      </c>
      <c r="I198" s="15">
        <f t="shared" si="17"/>
        <v>37</v>
      </c>
    </row>
    <row r="199" spans="1:9" ht="15">
      <c r="A199" s="20" t="s">
        <v>366</v>
      </c>
      <c r="B199" s="17" t="e">
        <f>SUMIF(#REF!,A199,#REF!)/SUMIF(#REF!,A199,#REF!)*100</f>
        <v>#REF!</v>
      </c>
      <c r="C199" s="18" t="e">
        <f>SUMIF(#REF!,A199,#REF!)</f>
        <v>#REF!</v>
      </c>
      <c r="D199" s="75" t="e">
        <f t="shared" si="20"/>
        <v>#REF!</v>
      </c>
      <c r="E199" s="21">
        <v>43718</v>
      </c>
      <c r="F199" s="19">
        <f t="shared" ca="1" si="18"/>
        <v>45064</v>
      </c>
      <c r="G199" s="20">
        <f t="shared" ca="1" si="19"/>
        <v>-1346</v>
      </c>
      <c r="H199" s="15">
        <f t="shared" si="16"/>
        <v>9</v>
      </c>
      <c r="I199" s="15">
        <f t="shared" si="17"/>
        <v>37</v>
      </c>
    </row>
    <row r="200" spans="1:9" ht="15">
      <c r="A200" s="20" t="s">
        <v>367</v>
      </c>
      <c r="B200" s="17" t="e">
        <f>SUMIF(#REF!,A200,#REF!)/SUMIF(#REF!,A200,#REF!)*100</f>
        <v>#REF!</v>
      </c>
      <c r="C200" s="18" t="e">
        <f>SUMIF(#REF!,A200,#REF!)</f>
        <v>#REF!</v>
      </c>
      <c r="D200" s="75" t="e">
        <f t="shared" si="20"/>
        <v>#REF!</v>
      </c>
      <c r="E200" s="21">
        <v>43720</v>
      </c>
      <c r="F200" s="19">
        <f t="shared" ca="1" si="18"/>
        <v>45064</v>
      </c>
      <c r="G200" s="20">
        <f t="shared" ca="1" si="19"/>
        <v>-1344</v>
      </c>
      <c r="H200" s="15">
        <f t="shared" si="16"/>
        <v>9</v>
      </c>
      <c r="I200" s="15">
        <f t="shared" si="17"/>
        <v>37</v>
      </c>
    </row>
    <row r="201" spans="1:9" ht="15">
      <c r="A201" s="11" t="s">
        <v>293</v>
      </c>
      <c r="B201" s="17" t="e">
        <f>SUMIF(#REF!,A201,#REF!)/SUMIF(#REF!,A201,#REF!)*100</f>
        <v>#REF!</v>
      </c>
      <c r="C201" s="18" t="e">
        <f>SUMIF(#REF!,A201,#REF!)</f>
        <v>#REF!</v>
      </c>
      <c r="D201" s="75" t="e">
        <f t="shared" si="20"/>
        <v>#REF!</v>
      </c>
      <c r="E201" s="16">
        <v>43722</v>
      </c>
      <c r="F201" s="19">
        <f t="shared" ca="1" si="18"/>
        <v>45064</v>
      </c>
      <c r="G201" s="20">
        <f t="shared" ca="1" si="19"/>
        <v>-1342</v>
      </c>
      <c r="H201" s="15">
        <f t="shared" si="16"/>
        <v>9</v>
      </c>
      <c r="I201" s="15">
        <f t="shared" si="17"/>
        <v>37</v>
      </c>
    </row>
    <row r="202" spans="1:9" ht="15">
      <c r="A202" s="11" t="s">
        <v>288</v>
      </c>
      <c r="B202" s="17" t="e">
        <f>SUMIF(#REF!,A202,#REF!)/SUMIF(#REF!,A202,#REF!)*100</f>
        <v>#REF!</v>
      </c>
      <c r="C202" s="18" t="e">
        <f>SUMIF(#REF!,A202,#REF!)</f>
        <v>#REF!</v>
      </c>
      <c r="D202" s="75" t="e">
        <f t="shared" si="20"/>
        <v>#REF!</v>
      </c>
      <c r="E202" s="16">
        <v>43722</v>
      </c>
      <c r="F202" s="19">
        <f t="shared" ca="1" si="18"/>
        <v>45064</v>
      </c>
      <c r="G202" s="20">
        <f t="shared" ca="1" si="19"/>
        <v>-1342</v>
      </c>
      <c r="H202" s="15">
        <f t="shared" si="16"/>
        <v>9</v>
      </c>
      <c r="I202" s="15">
        <f t="shared" si="17"/>
        <v>37</v>
      </c>
    </row>
    <row r="203" spans="1:9" ht="15">
      <c r="A203" s="20" t="s">
        <v>364</v>
      </c>
      <c r="B203" s="17" t="e">
        <f>SUMIF(#REF!,A203,#REF!)/SUMIF(#REF!,A203,#REF!)*100</f>
        <v>#REF!</v>
      </c>
      <c r="C203" s="18" t="e">
        <f>SUMIF(#REF!,A203,#REF!)</f>
        <v>#REF!</v>
      </c>
      <c r="D203" s="75" t="e">
        <f t="shared" si="20"/>
        <v>#REF!</v>
      </c>
      <c r="E203" s="21">
        <v>43722</v>
      </c>
      <c r="F203" s="19">
        <f t="shared" ca="1" si="18"/>
        <v>45064</v>
      </c>
      <c r="G203" s="20">
        <f t="shared" ca="1" si="19"/>
        <v>-1342</v>
      </c>
      <c r="H203" s="15">
        <f t="shared" si="16"/>
        <v>9</v>
      </c>
      <c r="I203" s="15">
        <f t="shared" si="17"/>
        <v>37</v>
      </c>
    </row>
    <row r="204" spans="1:9" ht="15">
      <c r="A204" s="20" t="s">
        <v>399</v>
      </c>
      <c r="B204" s="17" t="e">
        <f>SUMIF(#REF!,A204,#REF!)/SUMIF(#REF!,A204,#REF!)*100</f>
        <v>#REF!</v>
      </c>
      <c r="C204" s="18" t="e">
        <f>SUMIF(#REF!,A204,#REF!)</f>
        <v>#REF!</v>
      </c>
      <c r="D204" s="75" t="e">
        <f t="shared" si="20"/>
        <v>#REF!</v>
      </c>
      <c r="E204" s="21">
        <v>43724</v>
      </c>
      <c r="F204" s="19">
        <f t="shared" ca="1" si="18"/>
        <v>45064</v>
      </c>
      <c r="G204" s="20">
        <f t="shared" ca="1" si="19"/>
        <v>-1340</v>
      </c>
      <c r="H204" s="15">
        <f t="shared" si="16"/>
        <v>9</v>
      </c>
      <c r="I204" s="15">
        <f t="shared" si="17"/>
        <v>38</v>
      </c>
    </row>
    <row r="205" spans="1:9" ht="15">
      <c r="A205" s="20" t="s">
        <v>368</v>
      </c>
      <c r="B205" s="17" t="e">
        <f>SUMIF(#REF!,A205,#REF!)/SUMIF(#REF!,A205,#REF!)*100</f>
        <v>#REF!</v>
      </c>
      <c r="C205" s="18" t="e">
        <f>SUMIF(#REF!,A205,#REF!)</f>
        <v>#REF!</v>
      </c>
      <c r="D205" s="75" t="e">
        <f t="shared" si="20"/>
        <v>#REF!</v>
      </c>
      <c r="E205" s="21">
        <v>43724</v>
      </c>
      <c r="F205" s="19">
        <f t="shared" ca="1" si="18"/>
        <v>45064</v>
      </c>
      <c r="G205" s="20">
        <f t="shared" ca="1" si="19"/>
        <v>-1340</v>
      </c>
      <c r="H205" s="15">
        <f t="shared" si="16"/>
        <v>9</v>
      </c>
      <c r="I205" s="15">
        <f t="shared" si="17"/>
        <v>38</v>
      </c>
    </row>
    <row r="206" spans="1:9" ht="15">
      <c r="A206" s="20" t="s">
        <v>376</v>
      </c>
      <c r="B206" s="17" t="e">
        <f>SUMIF(#REF!,A206,#REF!)/SUMIF(#REF!,A206,#REF!)*100</f>
        <v>#REF!</v>
      </c>
      <c r="C206" s="18" t="e">
        <f>SUMIF(#REF!,A206,#REF!)</f>
        <v>#REF!</v>
      </c>
      <c r="D206" s="75" t="e">
        <f t="shared" si="20"/>
        <v>#REF!</v>
      </c>
      <c r="E206" s="21">
        <v>43727</v>
      </c>
      <c r="F206" s="19">
        <f t="shared" ca="1" si="18"/>
        <v>45064</v>
      </c>
      <c r="G206" s="20">
        <f t="shared" ca="1" si="19"/>
        <v>-1337</v>
      </c>
      <c r="H206" s="15">
        <f t="shared" si="16"/>
        <v>9</v>
      </c>
      <c r="I206" s="15">
        <f t="shared" si="17"/>
        <v>38</v>
      </c>
    </row>
    <row r="207" spans="1:9" ht="15">
      <c r="A207" s="20" t="s">
        <v>398</v>
      </c>
      <c r="B207" s="17" t="e">
        <f>SUMIF(#REF!,A207,#REF!)/SUMIF(#REF!,A207,#REF!)*100</f>
        <v>#REF!</v>
      </c>
      <c r="C207" s="18" t="e">
        <f>SUMIF(#REF!,A207,#REF!)</f>
        <v>#REF!</v>
      </c>
      <c r="D207" s="75" t="e">
        <f t="shared" si="20"/>
        <v>#REF!</v>
      </c>
      <c r="E207" s="21">
        <v>43731</v>
      </c>
      <c r="F207" s="19">
        <f t="shared" ca="1" si="18"/>
        <v>45064</v>
      </c>
      <c r="G207" s="20">
        <f t="shared" ca="1" si="19"/>
        <v>-1333</v>
      </c>
      <c r="H207" s="15">
        <f t="shared" si="16"/>
        <v>9</v>
      </c>
      <c r="I207" s="15">
        <f t="shared" si="17"/>
        <v>39</v>
      </c>
    </row>
    <row r="208" spans="1:9" ht="15">
      <c r="A208" s="11" t="s">
        <v>211</v>
      </c>
      <c r="B208" s="17" t="e">
        <f>SUMIF(#REF!,A208,#REF!)/SUMIF(#REF!,A208,#REF!)*100</f>
        <v>#REF!</v>
      </c>
      <c r="C208" s="18" t="e">
        <f>SUMIF(#REF!,A208,#REF!)</f>
        <v>#REF!</v>
      </c>
      <c r="D208" s="75" t="e">
        <f t="shared" si="20"/>
        <v>#REF!</v>
      </c>
      <c r="E208" s="16">
        <v>43731</v>
      </c>
      <c r="F208" s="19">
        <f t="shared" ca="1" si="18"/>
        <v>45064</v>
      </c>
      <c r="G208" s="20">
        <f t="shared" ca="1" si="19"/>
        <v>-1333</v>
      </c>
      <c r="H208" s="15">
        <f t="shared" si="16"/>
        <v>9</v>
      </c>
      <c r="I208" s="15">
        <f t="shared" si="17"/>
        <v>39</v>
      </c>
    </row>
    <row r="209" spans="1:9" ht="15">
      <c r="A209" s="20" t="s">
        <v>395</v>
      </c>
      <c r="B209" s="17" t="e">
        <f>SUMIF(#REF!,A209,#REF!)/SUMIF(#REF!,A209,#REF!)*100</f>
        <v>#REF!</v>
      </c>
      <c r="C209" s="18" t="e">
        <f>SUMIF(#REF!,A209,#REF!)</f>
        <v>#REF!</v>
      </c>
      <c r="D209" s="75" t="e">
        <f t="shared" si="20"/>
        <v>#REF!</v>
      </c>
      <c r="E209" s="21">
        <v>43731</v>
      </c>
      <c r="F209" s="19">
        <f t="shared" ca="1" si="18"/>
        <v>45064</v>
      </c>
      <c r="G209" s="20">
        <f t="shared" ca="1" si="19"/>
        <v>-1333</v>
      </c>
      <c r="H209" s="15">
        <f t="shared" si="16"/>
        <v>9</v>
      </c>
      <c r="I209" s="15">
        <f t="shared" si="17"/>
        <v>39</v>
      </c>
    </row>
    <row r="210" spans="1:9" ht="15">
      <c r="A210" s="11" t="s">
        <v>281</v>
      </c>
      <c r="B210" s="17" t="e">
        <f>SUMIF(#REF!,A210,#REF!)/SUMIF(#REF!,A210,#REF!)*100</f>
        <v>#REF!</v>
      </c>
      <c r="C210" s="18" t="e">
        <f>SUMIF(#REF!,A210,#REF!)</f>
        <v>#REF!</v>
      </c>
      <c r="D210" s="75" t="e">
        <f t="shared" si="20"/>
        <v>#REF!</v>
      </c>
      <c r="E210" s="16">
        <v>43732</v>
      </c>
      <c r="F210" s="19">
        <f t="shared" ca="1" si="18"/>
        <v>45064</v>
      </c>
      <c r="G210" s="20">
        <f t="shared" ca="1" si="19"/>
        <v>-1332</v>
      </c>
      <c r="H210" s="15">
        <f t="shared" si="16"/>
        <v>9</v>
      </c>
      <c r="I210" s="15">
        <f t="shared" si="17"/>
        <v>39</v>
      </c>
    </row>
    <row r="211" spans="1:9" ht="15">
      <c r="A211" s="20" t="s">
        <v>404</v>
      </c>
      <c r="B211" s="17" t="e">
        <f>SUMIF(#REF!,A211,#REF!)/SUMIF(#REF!,A211,#REF!)*100</f>
        <v>#REF!</v>
      </c>
      <c r="C211" s="18" t="e">
        <f>SUMIF(#REF!,A211,#REF!)</f>
        <v>#REF!</v>
      </c>
      <c r="D211" s="75" t="e">
        <f t="shared" si="20"/>
        <v>#REF!</v>
      </c>
      <c r="E211" s="21">
        <v>43732</v>
      </c>
      <c r="F211" s="19">
        <f t="shared" ca="1" si="18"/>
        <v>45064</v>
      </c>
      <c r="G211" s="20">
        <f t="shared" ca="1" si="19"/>
        <v>-1332</v>
      </c>
      <c r="H211" s="15">
        <f t="shared" si="16"/>
        <v>9</v>
      </c>
      <c r="I211" s="15">
        <f t="shared" si="17"/>
        <v>39</v>
      </c>
    </row>
    <row r="212" spans="1:9" ht="15">
      <c r="A212" s="20" t="s">
        <v>396</v>
      </c>
      <c r="B212" s="17" t="e">
        <f>SUMIF(#REF!,A212,#REF!)/SUMIF(#REF!,A212,#REF!)*100</f>
        <v>#REF!</v>
      </c>
      <c r="C212" s="18" t="e">
        <f>SUMIF(#REF!,A212,#REF!)</f>
        <v>#REF!</v>
      </c>
      <c r="D212" s="75" t="e">
        <f t="shared" si="20"/>
        <v>#REF!</v>
      </c>
      <c r="E212" s="21">
        <v>43732</v>
      </c>
      <c r="F212" s="19">
        <f t="shared" ca="1" si="18"/>
        <v>45064</v>
      </c>
      <c r="G212" s="20">
        <f t="shared" ca="1" si="19"/>
        <v>-1332</v>
      </c>
      <c r="H212" s="15">
        <f t="shared" si="16"/>
        <v>9</v>
      </c>
      <c r="I212" s="15">
        <f t="shared" si="17"/>
        <v>39</v>
      </c>
    </row>
    <row r="213" spans="1:9" ht="15">
      <c r="A213" s="20" t="s">
        <v>411</v>
      </c>
      <c r="B213" s="17" t="e">
        <f>SUMIF(#REF!,A213,#REF!)/SUMIF(#REF!,A213,#REF!)*100</f>
        <v>#REF!</v>
      </c>
      <c r="C213" s="18" t="e">
        <f>SUMIF(#REF!,A213,#REF!)</f>
        <v>#REF!</v>
      </c>
      <c r="D213" s="75" t="e">
        <f t="shared" si="20"/>
        <v>#REF!</v>
      </c>
      <c r="E213" s="21">
        <v>43735</v>
      </c>
      <c r="F213" s="19">
        <f t="shared" ca="1" si="18"/>
        <v>45064</v>
      </c>
      <c r="G213" s="20">
        <f t="shared" ca="1" si="19"/>
        <v>-1329</v>
      </c>
      <c r="H213" s="15">
        <f t="shared" si="16"/>
        <v>9</v>
      </c>
      <c r="I213" s="15">
        <f t="shared" si="17"/>
        <v>39</v>
      </c>
    </row>
    <row r="214" spans="1:9" ht="15">
      <c r="A214" s="20" t="s">
        <v>414</v>
      </c>
      <c r="B214" s="17" t="e">
        <f>SUMIF(#REF!,A214,#REF!)/SUMIF(#REF!,A214,#REF!)*100</f>
        <v>#REF!</v>
      </c>
      <c r="C214" s="18" t="e">
        <f>SUMIF(#REF!,A214,#REF!)</f>
        <v>#REF!</v>
      </c>
      <c r="D214" s="75" t="e">
        <f t="shared" si="20"/>
        <v>#REF!</v>
      </c>
      <c r="E214" s="21">
        <v>43736</v>
      </c>
      <c r="F214" s="19">
        <f t="shared" ca="1" si="18"/>
        <v>45064</v>
      </c>
      <c r="G214" s="20">
        <f t="shared" ca="1" si="19"/>
        <v>-1328</v>
      </c>
      <c r="H214" s="15">
        <f t="shared" si="16"/>
        <v>9</v>
      </c>
      <c r="I214" s="15">
        <f t="shared" si="17"/>
        <v>39</v>
      </c>
    </row>
    <row r="215" spans="1:9" ht="15">
      <c r="A215" s="20" t="s">
        <v>394</v>
      </c>
      <c r="B215" s="17" t="e">
        <f>SUMIF(#REF!,A215,#REF!)/SUMIF(#REF!,A215,#REF!)*100</f>
        <v>#REF!</v>
      </c>
      <c r="C215" s="18" t="e">
        <f>SUMIF(#REF!,A215,#REF!)</f>
        <v>#REF!</v>
      </c>
      <c r="D215" s="75" t="e">
        <f t="shared" si="20"/>
        <v>#REF!</v>
      </c>
      <c r="E215" s="21">
        <v>43736</v>
      </c>
      <c r="F215" s="19">
        <f t="shared" ca="1" si="18"/>
        <v>45064</v>
      </c>
      <c r="G215" s="20">
        <f t="shared" ca="1" si="19"/>
        <v>-1328</v>
      </c>
      <c r="H215" s="15">
        <f t="shared" si="16"/>
        <v>9</v>
      </c>
      <c r="I215" s="15">
        <f t="shared" si="17"/>
        <v>39</v>
      </c>
    </row>
    <row r="216" spans="1:9" ht="15">
      <c r="A216" s="20" t="s">
        <v>397</v>
      </c>
      <c r="B216" s="17" t="e">
        <f>SUMIF(#REF!,A216,#REF!)/SUMIF(#REF!,A216,#REF!)*100</f>
        <v>#REF!</v>
      </c>
      <c r="C216" s="18" t="e">
        <f>SUMIF(#REF!,A216,#REF!)</f>
        <v>#REF!</v>
      </c>
      <c r="D216" s="75" t="e">
        <f t="shared" si="20"/>
        <v>#REF!</v>
      </c>
      <c r="E216" s="21">
        <v>43736</v>
      </c>
      <c r="F216" s="19">
        <f t="shared" ca="1" si="18"/>
        <v>45064</v>
      </c>
      <c r="G216" s="20">
        <f t="shared" ca="1" si="19"/>
        <v>-1328</v>
      </c>
      <c r="H216" s="15">
        <f t="shared" si="16"/>
        <v>9</v>
      </c>
      <c r="I216" s="15">
        <f t="shared" si="17"/>
        <v>39</v>
      </c>
    </row>
    <row r="217" spans="1:9" ht="15">
      <c r="A217" s="20" t="s">
        <v>410</v>
      </c>
      <c r="B217" s="17" t="e">
        <f>SUMIF(#REF!,A217,#REF!)/SUMIF(#REF!,A217,#REF!)*100</f>
        <v>#REF!</v>
      </c>
      <c r="C217" s="18" t="e">
        <f>SUMIF(#REF!,A217,#REF!)</f>
        <v>#REF!</v>
      </c>
      <c r="D217" s="75" t="e">
        <f t="shared" si="20"/>
        <v>#REF!</v>
      </c>
      <c r="E217" s="21">
        <v>43738</v>
      </c>
      <c r="F217" s="19">
        <f t="shared" ca="1" si="18"/>
        <v>45064</v>
      </c>
      <c r="G217" s="20">
        <f t="shared" ca="1" si="19"/>
        <v>-1326</v>
      </c>
      <c r="H217" s="15">
        <f t="shared" si="16"/>
        <v>9</v>
      </c>
      <c r="I217" s="15">
        <f t="shared" si="17"/>
        <v>40</v>
      </c>
    </row>
    <row r="218" spans="1:9" ht="15">
      <c r="A218" s="11" t="s">
        <v>272</v>
      </c>
      <c r="B218" s="17" t="e">
        <f>SUMIF(#REF!,A218,#REF!)/SUMIF(#REF!,A218,#REF!)*100</f>
        <v>#REF!</v>
      </c>
      <c r="C218" s="18" t="e">
        <f>SUMIF(#REF!,A218,#REF!)</f>
        <v>#REF!</v>
      </c>
      <c r="D218" s="75" t="e">
        <f t="shared" si="20"/>
        <v>#REF!</v>
      </c>
      <c r="E218" s="16">
        <v>43740</v>
      </c>
      <c r="F218" s="19">
        <f t="shared" ca="1" si="18"/>
        <v>45064</v>
      </c>
      <c r="G218" s="20">
        <f t="shared" ca="1" si="19"/>
        <v>-1324</v>
      </c>
      <c r="H218" s="15">
        <f t="shared" si="16"/>
        <v>10</v>
      </c>
      <c r="I218" s="15">
        <f t="shared" si="17"/>
        <v>40</v>
      </c>
    </row>
    <row r="219" spans="1:9" ht="15">
      <c r="A219" s="20" t="s">
        <v>337</v>
      </c>
      <c r="B219" s="17" t="e">
        <f>SUMIF(#REF!,A219,#REF!)/SUMIF(#REF!,A219,#REF!)*100</f>
        <v>#REF!</v>
      </c>
      <c r="C219" s="18" t="e">
        <f>SUMIF(#REF!,A219,#REF!)</f>
        <v>#REF!</v>
      </c>
      <c r="D219" s="75" t="e">
        <f t="shared" si="20"/>
        <v>#REF!</v>
      </c>
      <c r="E219" s="21">
        <v>43740</v>
      </c>
      <c r="F219" s="19">
        <f t="shared" ca="1" si="18"/>
        <v>45064</v>
      </c>
      <c r="G219" s="20">
        <f t="shared" ca="1" si="19"/>
        <v>-1324</v>
      </c>
      <c r="H219" s="15">
        <f t="shared" si="16"/>
        <v>10</v>
      </c>
      <c r="I219" s="15">
        <f t="shared" si="17"/>
        <v>40</v>
      </c>
    </row>
    <row r="220" spans="1:9" ht="15">
      <c r="A220" s="20" t="s">
        <v>349</v>
      </c>
      <c r="B220" s="17" t="e">
        <f>SUMIF(#REF!,A220,#REF!)/SUMIF(#REF!,A220,#REF!)*100</f>
        <v>#REF!</v>
      </c>
      <c r="C220" s="18" t="e">
        <f>SUMIF(#REF!,A220,#REF!)</f>
        <v>#REF!</v>
      </c>
      <c r="D220" s="75" t="e">
        <f t="shared" si="20"/>
        <v>#REF!</v>
      </c>
      <c r="E220" s="21">
        <v>43740</v>
      </c>
      <c r="F220" s="19">
        <f t="shared" ca="1" si="18"/>
        <v>45064</v>
      </c>
      <c r="G220" s="20">
        <f t="shared" ca="1" si="19"/>
        <v>-1324</v>
      </c>
      <c r="H220" s="15">
        <f t="shared" si="16"/>
        <v>10</v>
      </c>
      <c r="I220" s="15">
        <f t="shared" si="17"/>
        <v>40</v>
      </c>
    </row>
    <row r="221" spans="1:9" ht="15">
      <c r="A221" s="20" t="s">
        <v>409</v>
      </c>
      <c r="B221" s="17" t="e">
        <f>SUMIF(#REF!,A221,#REF!)/SUMIF(#REF!,A221,#REF!)*100</f>
        <v>#REF!</v>
      </c>
      <c r="C221" s="18" t="e">
        <f>SUMIF(#REF!,A221,#REF!)</f>
        <v>#REF!</v>
      </c>
      <c r="D221" s="75" t="e">
        <f t="shared" si="20"/>
        <v>#REF!</v>
      </c>
      <c r="E221" s="21">
        <v>43741</v>
      </c>
      <c r="F221" s="19">
        <f t="shared" ca="1" si="18"/>
        <v>45064</v>
      </c>
      <c r="G221" s="20">
        <f t="shared" ca="1" si="19"/>
        <v>-1323</v>
      </c>
      <c r="H221" s="15">
        <f t="shared" si="16"/>
        <v>10</v>
      </c>
      <c r="I221" s="15">
        <f t="shared" si="17"/>
        <v>40</v>
      </c>
    </row>
    <row r="222" spans="1:9" ht="15">
      <c r="A222" s="20" t="s">
        <v>415</v>
      </c>
      <c r="B222" s="17" t="e">
        <f>SUMIF(#REF!,A222,#REF!)/SUMIF(#REF!,A222,#REF!)*100</f>
        <v>#REF!</v>
      </c>
      <c r="C222" s="18" t="e">
        <f>SUMIF(#REF!,A222,#REF!)</f>
        <v>#REF!</v>
      </c>
      <c r="D222" s="75" t="e">
        <f t="shared" si="20"/>
        <v>#REF!</v>
      </c>
      <c r="E222" s="21">
        <v>43742</v>
      </c>
      <c r="F222" s="19">
        <f t="shared" ca="1" si="18"/>
        <v>45064</v>
      </c>
      <c r="G222" s="20">
        <f t="shared" ca="1" si="19"/>
        <v>-1322</v>
      </c>
      <c r="H222" s="15">
        <f t="shared" si="16"/>
        <v>10</v>
      </c>
      <c r="I222" s="15">
        <f t="shared" si="17"/>
        <v>40</v>
      </c>
    </row>
    <row r="223" spans="1:9" ht="15">
      <c r="A223" s="20" t="s">
        <v>412</v>
      </c>
      <c r="B223" s="17" t="e">
        <f>SUMIF(#REF!,A223,#REF!)/SUMIF(#REF!,A223,#REF!)*100</f>
        <v>#REF!</v>
      </c>
      <c r="C223" s="18" t="e">
        <f>SUMIF(#REF!,A223,#REF!)</f>
        <v>#REF!</v>
      </c>
      <c r="D223" s="75" t="e">
        <f t="shared" si="20"/>
        <v>#REF!</v>
      </c>
      <c r="E223" s="21">
        <v>43743</v>
      </c>
      <c r="F223" s="19">
        <f t="shared" ca="1" si="18"/>
        <v>45064</v>
      </c>
      <c r="G223" s="20">
        <f t="shared" ca="1" si="19"/>
        <v>-1321</v>
      </c>
      <c r="H223" s="15">
        <f t="shared" si="16"/>
        <v>10</v>
      </c>
      <c r="I223" s="15">
        <f t="shared" si="17"/>
        <v>40</v>
      </c>
    </row>
    <row r="224" spans="1:9" ht="15">
      <c r="A224" s="20" t="s">
        <v>416</v>
      </c>
      <c r="B224" s="17" t="e">
        <f>SUMIF(#REF!,A224,#REF!)/SUMIF(#REF!,A224,#REF!)*100</f>
        <v>#REF!</v>
      </c>
      <c r="C224" s="18" t="e">
        <f>SUMIF(#REF!,A224,#REF!)</f>
        <v>#REF!</v>
      </c>
      <c r="D224" s="75" t="e">
        <f t="shared" si="20"/>
        <v>#REF!</v>
      </c>
      <c r="E224" s="21">
        <v>43745</v>
      </c>
      <c r="F224" s="19">
        <f t="shared" ca="1" si="18"/>
        <v>45064</v>
      </c>
      <c r="G224" s="20">
        <f t="shared" ca="1" si="19"/>
        <v>-1319</v>
      </c>
      <c r="H224" s="15">
        <f t="shared" si="16"/>
        <v>10</v>
      </c>
      <c r="I224" s="15">
        <f t="shared" si="17"/>
        <v>41</v>
      </c>
    </row>
    <row r="225" spans="1:9" ht="15">
      <c r="A225" s="20" t="s">
        <v>369</v>
      </c>
      <c r="B225" s="17" t="e">
        <f>SUMIF(#REF!,A225,#REF!)/SUMIF(#REF!,A225,#REF!)*100</f>
        <v>#REF!</v>
      </c>
      <c r="C225" s="18" t="e">
        <f>SUMIF(#REF!,A225,#REF!)</f>
        <v>#REF!</v>
      </c>
      <c r="D225" s="75" t="e">
        <f t="shared" si="20"/>
        <v>#REF!</v>
      </c>
      <c r="E225" s="21">
        <v>43746</v>
      </c>
      <c r="F225" s="19">
        <f t="shared" ca="1" si="18"/>
        <v>45064</v>
      </c>
      <c r="G225" s="20">
        <f t="shared" ca="1" si="19"/>
        <v>-1318</v>
      </c>
      <c r="H225" s="15">
        <f t="shared" si="16"/>
        <v>10</v>
      </c>
      <c r="I225" s="15">
        <f t="shared" si="17"/>
        <v>41</v>
      </c>
    </row>
    <row r="226" spans="1:9" ht="15">
      <c r="A226" s="20" t="s">
        <v>417</v>
      </c>
      <c r="B226" s="17" t="e">
        <f>SUMIF(#REF!,A226,#REF!)/SUMIF(#REF!,A226,#REF!)*100</f>
        <v>#REF!</v>
      </c>
      <c r="C226" s="18" t="e">
        <f>SUMIF(#REF!,A226,#REF!)</f>
        <v>#REF!</v>
      </c>
      <c r="D226" s="75" t="e">
        <f t="shared" si="20"/>
        <v>#REF!</v>
      </c>
      <c r="E226" s="21">
        <v>43748</v>
      </c>
      <c r="F226" s="19">
        <f t="shared" ca="1" si="18"/>
        <v>45064</v>
      </c>
      <c r="G226" s="20">
        <f t="shared" ca="1" si="19"/>
        <v>-1316</v>
      </c>
      <c r="H226" s="15">
        <f t="shared" si="16"/>
        <v>10</v>
      </c>
      <c r="I226" s="15">
        <f t="shared" si="17"/>
        <v>41</v>
      </c>
    </row>
    <row r="227" spans="1:9" ht="15">
      <c r="A227" s="11" t="s">
        <v>266</v>
      </c>
      <c r="B227" s="17" t="e">
        <f>SUMIF(#REF!,A227,#REF!)/SUMIF(#REF!,A227,#REF!)*100</f>
        <v>#REF!</v>
      </c>
      <c r="C227" s="18" t="e">
        <f>SUMIF(#REF!,A227,#REF!)</f>
        <v>#REF!</v>
      </c>
      <c r="D227" s="75" t="e">
        <f t="shared" si="20"/>
        <v>#REF!</v>
      </c>
      <c r="E227" s="16">
        <v>43752</v>
      </c>
      <c r="F227" s="19">
        <f t="shared" ca="1" si="18"/>
        <v>45064</v>
      </c>
      <c r="G227" s="20">
        <f t="shared" ca="1" si="19"/>
        <v>-1312</v>
      </c>
      <c r="H227" s="15">
        <f t="shared" si="16"/>
        <v>10</v>
      </c>
      <c r="I227" s="15">
        <f t="shared" si="17"/>
        <v>42</v>
      </c>
    </row>
    <row r="228" spans="1:9" ht="15">
      <c r="A228" s="20" t="s">
        <v>430</v>
      </c>
      <c r="B228" s="17" t="e">
        <f>SUMIF(#REF!,A228,#REF!)/SUMIF(#REF!,A228,#REF!)*100</f>
        <v>#REF!</v>
      </c>
      <c r="C228" s="18" t="e">
        <f>SUMIF(#REF!,A228,#REF!)</f>
        <v>#REF!</v>
      </c>
      <c r="D228" s="75" t="e">
        <f t="shared" si="20"/>
        <v>#REF!</v>
      </c>
      <c r="E228" s="21">
        <v>43752</v>
      </c>
      <c r="F228" s="19">
        <f t="shared" ca="1" si="18"/>
        <v>45064</v>
      </c>
      <c r="G228" s="20">
        <f t="shared" ca="1" si="19"/>
        <v>-1312</v>
      </c>
      <c r="H228" s="15">
        <f t="shared" si="16"/>
        <v>10</v>
      </c>
      <c r="I228" s="15">
        <f t="shared" si="17"/>
        <v>42</v>
      </c>
    </row>
    <row r="229" spans="1:9" ht="15">
      <c r="A229" s="20" t="s">
        <v>405</v>
      </c>
      <c r="B229" s="17" t="e">
        <f>SUMIF(#REF!,A229,#REF!)/SUMIF(#REF!,A229,#REF!)*100</f>
        <v>#REF!</v>
      </c>
      <c r="C229" s="18" t="e">
        <f>SUMIF(#REF!,A229,#REF!)</f>
        <v>#REF!</v>
      </c>
      <c r="D229" s="75" t="e">
        <f t="shared" si="20"/>
        <v>#REF!</v>
      </c>
      <c r="E229" s="21">
        <v>43753</v>
      </c>
      <c r="F229" s="19">
        <f t="shared" ca="1" si="18"/>
        <v>45064</v>
      </c>
      <c r="G229" s="20">
        <f t="shared" ca="1" si="19"/>
        <v>-1311</v>
      </c>
      <c r="H229" s="15">
        <f t="shared" si="16"/>
        <v>10</v>
      </c>
      <c r="I229" s="15">
        <f t="shared" si="17"/>
        <v>42</v>
      </c>
    </row>
    <row r="230" spans="1:9" ht="15">
      <c r="A230" s="20" t="s">
        <v>432</v>
      </c>
      <c r="B230" s="17" t="e">
        <f>SUMIF(#REF!,A230,#REF!)/SUMIF(#REF!,A230,#REF!)*100</f>
        <v>#REF!</v>
      </c>
      <c r="C230" s="18" t="e">
        <f>SUMIF(#REF!,A230,#REF!)</f>
        <v>#REF!</v>
      </c>
      <c r="D230" s="75" t="e">
        <f t="shared" si="20"/>
        <v>#REF!</v>
      </c>
      <c r="E230" s="21">
        <v>43756</v>
      </c>
      <c r="F230" s="19">
        <f t="shared" ca="1" si="18"/>
        <v>45064</v>
      </c>
      <c r="G230" s="20">
        <f t="shared" ca="1" si="19"/>
        <v>-1308</v>
      </c>
      <c r="H230" s="15">
        <f t="shared" si="16"/>
        <v>10</v>
      </c>
      <c r="I230" s="15">
        <f t="shared" si="17"/>
        <v>42</v>
      </c>
    </row>
    <row r="231" spans="1:9" ht="15">
      <c r="A231" s="20" t="s">
        <v>431</v>
      </c>
      <c r="B231" s="17" t="e">
        <f>SUMIF(#REF!,A231,#REF!)/SUMIF(#REF!,A231,#REF!)*100</f>
        <v>#REF!</v>
      </c>
      <c r="C231" s="18" t="e">
        <f>SUMIF(#REF!,A231,#REF!)</f>
        <v>#REF!</v>
      </c>
      <c r="D231" s="75" t="e">
        <f t="shared" si="20"/>
        <v>#REF!</v>
      </c>
      <c r="E231" s="21">
        <v>43756</v>
      </c>
      <c r="F231" s="19">
        <f t="shared" ca="1" si="18"/>
        <v>45064</v>
      </c>
      <c r="G231" s="20">
        <f t="shared" ca="1" si="19"/>
        <v>-1308</v>
      </c>
      <c r="H231" s="15">
        <f t="shared" si="16"/>
        <v>10</v>
      </c>
      <c r="I231" s="15">
        <f t="shared" si="17"/>
        <v>42</v>
      </c>
    </row>
    <row r="232" spans="1:9" ht="15">
      <c r="A232" s="20" t="s">
        <v>433</v>
      </c>
      <c r="B232" s="17" t="e">
        <f>SUMIF(#REF!,A232,#REF!)/SUMIF(#REF!,A232,#REF!)*100</f>
        <v>#REF!</v>
      </c>
      <c r="C232" s="18" t="e">
        <f>SUMIF(#REF!,A232,#REF!)</f>
        <v>#REF!</v>
      </c>
      <c r="D232" s="75" t="e">
        <f t="shared" si="20"/>
        <v>#REF!</v>
      </c>
      <c r="E232" s="21">
        <v>43760</v>
      </c>
      <c r="F232" s="19">
        <f t="shared" ca="1" si="18"/>
        <v>45064</v>
      </c>
      <c r="G232" s="20">
        <f t="shared" ca="1" si="19"/>
        <v>-1304</v>
      </c>
      <c r="H232" s="15">
        <f t="shared" ref="H232:H295" si="21">MONTH(E232)</f>
        <v>10</v>
      </c>
      <c r="I232" s="15">
        <f t="shared" ref="I232:I295" si="22">WEEKNUM(E232)</f>
        <v>43</v>
      </c>
    </row>
    <row r="233" spans="1:9" ht="15">
      <c r="A233" s="20" t="s">
        <v>434</v>
      </c>
      <c r="B233" s="17" t="e">
        <f>SUMIF(#REF!,A233,#REF!)/SUMIF(#REF!,A233,#REF!)*100</f>
        <v>#REF!</v>
      </c>
      <c r="C233" s="18" t="e">
        <f>SUMIF(#REF!,A233,#REF!)</f>
        <v>#REF!</v>
      </c>
      <c r="D233" s="75" t="e">
        <f t="shared" si="20"/>
        <v>#REF!</v>
      </c>
      <c r="E233" s="21">
        <v>43761</v>
      </c>
      <c r="F233" s="19">
        <f t="shared" ca="1" si="18"/>
        <v>45064</v>
      </c>
      <c r="G233" s="20">
        <f t="shared" ca="1" si="19"/>
        <v>-1303</v>
      </c>
      <c r="H233" s="15">
        <f t="shared" si="21"/>
        <v>10</v>
      </c>
      <c r="I233" s="15">
        <f t="shared" si="22"/>
        <v>43</v>
      </c>
    </row>
    <row r="234" spans="1:9" ht="15">
      <c r="A234" s="20" t="s">
        <v>385</v>
      </c>
      <c r="B234" s="17" t="e">
        <f>SUMIF(#REF!,A234,#REF!)/SUMIF(#REF!,A234,#REF!)*100</f>
        <v>#REF!</v>
      </c>
      <c r="C234" s="18" t="e">
        <f>SUMIF(#REF!,A234,#REF!)</f>
        <v>#REF!</v>
      </c>
      <c r="D234" s="75" t="e">
        <f t="shared" si="20"/>
        <v>#REF!</v>
      </c>
      <c r="E234" s="21">
        <v>43763</v>
      </c>
      <c r="F234" s="19">
        <f t="shared" ca="1" si="18"/>
        <v>45064</v>
      </c>
      <c r="G234" s="20">
        <f t="shared" ca="1" si="19"/>
        <v>-1301</v>
      </c>
      <c r="H234" s="15">
        <f t="shared" si="21"/>
        <v>10</v>
      </c>
      <c r="I234" s="15">
        <f t="shared" si="22"/>
        <v>43</v>
      </c>
    </row>
    <row r="235" spans="1:9" ht="15">
      <c r="A235" s="20" t="s">
        <v>437</v>
      </c>
      <c r="B235" s="17" t="e">
        <f>SUMIF(#REF!,A235,#REF!)/SUMIF(#REF!,A235,#REF!)*100</f>
        <v>#REF!</v>
      </c>
      <c r="C235" s="18" t="e">
        <f>SUMIF(#REF!,A235,#REF!)</f>
        <v>#REF!</v>
      </c>
      <c r="D235" s="75" t="e">
        <f t="shared" si="20"/>
        <v>#REF!</v>
      </c>
      <c r="E235" s="21">
        <v>43764</v>
      </c>
      <c r="F235" s="19">
        <f t="shared" ca="1" si="18"/>
        <v>45064</v>
      </c>
      <c r="G235" s="20">
        <f t="shared" ca="1" si="19"/>
        <v>-1300</v>
      </c>
      <c r="H235" s="15">
        <f t="shared" si="21"/>
        <v>10</v>
      </c>
      <c r="I235" s="15">
        <f t="shared" si="22"/>
        <v>43</v>
      </c>
    </row>
    <row r="236" spans="1:9" ht="15">
      <c r="A236" s="20" t="s">
        <v>452</v>
      </c>
      <c r="B236" s="17" t="e">
        <f>SUMIF(#REF!,A236,#REF!)/SUMIF(#REF!,A236,#REF!)*100</f>
        <v>#REF!</v>
      </c>
      <c r="C236" s="18" t="e">
        <f>SUMIF(#REF!,A236,#REF!)</f>
        <v>#REF!</v>
      </c>
      <c r="D236" s="75" t="e">
        <f t="shared" si="20"/>
        <v>#REF!</v>
      </c>
      <c r="E236" s="21">
        <v>43766</v>
      </c>
      <c r="F236" s="19">
        <f t="shared" ca="1" si="18"/>
        <v>45064</v>
      </c>
      <c r="G236" s="20">
        <f t="shared" ca="1" si="19"/>
        <v>-1298</v>
      </c>
      <c r="H236" s="15">
        <f t="shared" si="21"/>
        <v>10</v>
      </c>
      <c r="I236" s="15">
        <f t="shared" si="22"/>
        <v>44</v>
      </c>
    </row>
    <row r="237" spans="1:9" ht="15">
      <c r="A237" s="20" t="s">
        <v>439</v>
      </c>
      <c r="B237" s="17" t="e">
        <f>SUMIF(#REF!,A237,#REF!)/SUMIF(#REF!,A237,#REF!)*100</f>
        <v>#REF!</v>
      </c>
      <c r="C237" s="18" t="e">
        <f>SUMIF(#REF!,A237,#REF!)</f>
        <v>#REF!</v>
      </c>
      <c r="D237" s="75" t="e">
        <f t="shared" si="20"/>
        <v>#REF!</v>
      </c>
      <c r="E237" s="21">
        <v>43766</v>
      </c>
      <c r="F237" s="19">
        <f t="shared" ca="1" si="18"/>
        <v>45064</v>
      </c>
      <c r="G237" s="20">
        <f t="shared" ca="1" si="19"/>
        <v>-1298</v>
      </c>
      <c r="H237" s="15">
        <f t="shared" si="21"/>
        <v>10</v>
      </c>
      <c r="I237" s="15">
        <f t="shared" si="22"/>
        <v>44</v>
      </c>
    </row>
    <row r="238" spans="1:9" ht="15">
      <c r="A238" s="20" t="s">
        <v>440</v>
      </c>
      <c r="B238" s="17" t="e">
        <f>SUMIF(#REF!,A238,#REF!)/SUMIF(#REF!,A238,#REF!)*100</f>
        <v>#REF!</v>
      </c>
      <c r="C238" s="18" t="e">
        <f>SUMIF(#REF!,A238,#REF!)</f>
        <v>#REF!</v>
      </c>
      <c r="D238" s="75" t="e">
        <f t="shared" si="20"/>
        <v>#REF!</v>
      </c>
      <c r="E238" s="21">
        <v>43766</v>
      </c>
      <c r="F238" s="19">
        <f t="shared" ca="1" si="18"/>
        <v>45064</v>
      </c>
      <c r="G238" s="20">
        <f t="shared" ca="1" si="19"/>
        <v>-1298</v>
      </c>
      <c r="H238" s="15">
        <f t="shared" si="21"/>
        <v>10</v>
      </c>
      <c r="I238" s="15">
        <f t="shared" si="22"/>
        <v>44</v>
      </c>
    </row>
    <row r="239" spans="1:9" ht="15">
      <c r="A239" s="7" t="s">
        <v>420</v>
      </c>
      <c r="B239" s="17" t="e">
        <f>SUMIF(#REF!,A239,#REF!)/SUMIF(#REF!,A239,#REF!)*100</f>
        <v>#REF!</v>
      </c>
      <c r="C239" s="18" t="e">
        <f>SUMIF(#REF!,A239,#REF!)</f>
        <v>#REF!</v>
      </c>
      <c r="D239" s="75" t="e">
        <f t="shared" si="20"/>
        <v>#REF!</v>
      </c>
      <c r="E239" s="10">
        <v>43770</v>
      </c>
      <c r="F239" s="19">
        <f t="shared" ca="1" si="18"/>
        <v>45064</v>
      </c>
      <c r="G239" s="20">
        <f t="shared" ca="1" si="19"/>
        <v>-1294</v>
      </c>
      <c r="H239" s="15">
        <f t="shared" si="21"/>
        <v>11</v>
      </c>
      <c r="I239" s="15">
        <f t="shared" si="22"/>
        <v>44</v>
      </c>
    </row>
    <row r="240" spans="1:9" ht="15">
      <c r="A240" s="7" t="s">
        <v>445</v>
      </c>
      <c r="B240" s="17" t="e">
        <f>SUMIF(#REF!,A240,#REF!)/SUMIF(#REF!,A240,#REF!)*100</f>
        <v>#REF!</v>
      </c>
      <c r="C240" s="18" t="e">
        <f>SUMIF(#REF!,A240,#REF!)</f>
        <v>#REF!</v>
      </c>
      <c r="D240" s="75" t="e">
        <f t="shared" si="20"/>
        <v>#REF!</v>
      </c>
      <c r="E240" s="10">
        <v>43771</v>
      </c>
      <c r="F240" s="19">
        <f t="shared" ca="1" si="18"/>
        <v>45064</v>
      </c>
      <c r="G240" s="20">
        <f t="shared" ca="1" si="19"/>
        <v>-1293</v>
      </c>
      <c r="H240" s="15">
        <f t="shared" si="21"/>
        <v>11</v>
      </c>
      <c r="I240" s="15">
        <f t="shared" si="22"/>
        <v>44</v>
      </c>
    </row>
    <row r="241" spans="1:9" ht="15">
      <c r="A241" s="7" t="s">
        <v>341</v>
      </c>
      <c r="B241" s="17" t="e">
        <f>SUMIF(#REF!,A241,#REF!)/SUMIF(#REF!,A241,#REF!)*100</f>
        <v>#REF!</v>
      </c>
      <c r="C241" s="18" t="e">
        <f>SUMIF(#REF!,A241,#REF!)</f>
        <v>#REF!</v>
      </c>
      <c r="D241" s="75" t="e">
        <f t="shared" si="20"/>
        <v>#REF!</v>
      </c>
      <c r="E241" s="10">
        <v>43771</v>
      </c>
      <c r="F241" s="19">
        <f t="shared" ca="1" si="18"/>
        <v>45064</v>
      </c>
      <c r="G241" s="20">
        <f t="shared" ca="1" si="19"/>
        <v>-1293</v>
      </c>
      <c r="H241" s="15">
        <f t="shared" si="21"/>
        <v>11</v>
      </c>
      <c r="I241" s="15">
        <f t="shared" si="22"/>
        <v>44</v>
      </c>
    </row>
    <row r="242" spans="1:9" ht="15">
      <c r="A242" s="7" t="s">
        <v>309</v>
      </c>
      <c r="B242" s="17" t="e">
        <f>SUMIF(#REF!,A242,#REF!)/SUMIF(#REF!,A242,#REF!)*100</f>
        <v>#REF!</v>
      </c>
      <c r="C242" s="18" t="e">
        <f>SUMIF(#REF!,A242,#REF!)</f>
        <v>#REF!</v>
      </c>
      <c r="D242" s="75" t="e">
        <f t="shared" si="20"/>
        <v>#REF!</v>
      </c>
      <c r="E242" s="10">
        <v>43773</v>
      </c>
      <c r="F242" s="19">
        <f t="shared" ca="1" si="18"/>
        <v>45064</v>
      </c>
      <c r="G242" s="20">
        <f t="shared" ca="1" si="19"/>
        <v>-1291</v>
      </c>
      <c r="H242" s="15">
        <f t="shared" si="21"/>
        <v>11</v>
      </c>
      <c r="I242" s="15">
        <f t="shared" si="22"/>
        <v>45</v>
      </c>
    </row>
    <row r="243" spans="1:9" ht="15">
      <c r="A243" s="7" t="s">
        <v>448</v>
      </c>
      <c r="B243" s="17" t="e">
        <f>SUMIF(#REF!,A243,#REF!)/SUMIF(#REF!,A243,#REF!)*100</f>
        <v>#REF!</v>
      </c>
      <c r="C243" s="18" t="e">
        <f>SUMIF(#REF!,A243,#REF!)</f>
        <v>#REF!</v>
      </c>
      <c r="D243" s="75" t="e">
        <f t="shared" si="20"/>
        <v>#REF!</v>
      </c>
      <c r="E243" s="10">
        <v>43774</v>
      </c>
      <c r="F243" s="19">
        <f t="shared" ca="1" si="18"/>
        <v>45064</v>
      </c>
      <c r="G243" s="20">
        <f t="shared" ca="1" si="19"/>
        <v>-1290</v>
      </c>
      <c r="H243" s="15">
        <f t="shared" si="21"/>
        <v>11</v>
      </c>
      <c r="I243" s="15">
        <f t="shared" si="22"/>
        <v>45</v>
      </c>
    </row>
    <row r="244" spans="1:9" ht="15">
      <c r="A244" s="7" t="s">
        <v>451</v>
      </c>
      <c r="B244" s="17" t="e">
        <f>SUMIF(#REF!,A244,#REF!)/SUMIF(#REF!,A244,#REF!)*100</f>
        <v>#REF!</v>
      </c>
      <c r="C244" s="18" t="e">
        <f>SUMIF(#REF!,A244,#REF!)</f>
        <v>#REF!</v>
      </c>
      <c r="D244" s="75" t="e">
        <f t="shared" si="20"/>
        <v>#REF!</v>
      </c>
      <c r="E244" s="10">
        <v>43774</v>
      </c>
      <c r="F244" s="19">
        <f t="shared" ca="1" si="18"/>
        <v>45064</v>
      </c>
      <c r="G244" s="20">
        <f t="shared" ca="1" si="19"/>
        <v>-1290</v>
      </c>
      <c r="H244" s="15">
        <f t="shared" si="21"/>
        <v>11</v>
      </c>
      <c r="I244" s="15">
        <f t="shared" si="22"/>
        <v>45</v>
      </c>
    </row>
    <row r="245" spans="1:9" ht="15">
      <c r="A245" s="7" t="s">
        <v>408</v>
      </c>
      <c r="B245" s="17" t="e">
        <f>SUMIF(#REF!,A245,#REF!)/SUMIF(#REF!,A245,#REF!)*100</f>
        <v>#REF!</v>
      </c>
      <c r="C245" s="18" t="e">
        <f>SUMIF(#REF!,A245,#REF!)</f>
        <v>#REF!</v>
      </c>
      <c r="D245" s="75" t="e">
        <f t="shared" si="20"/>
        <v>#REF!</v>
      </c>
      <c r="E245" s="10">
        <v>43774</v>
      </c>
      <c r="F245" s="19">
        <f t="shared" ca="1" si="18"/>
        <v>45064</v>
      </c>
      <c r="G245" s="20">
        <f t="shared" ca="1" si="19"/>
        <v>-1290</v>
      </c>
      <c r="H245" s="15">
        <f t="shared" si="21"/>
        <v>11</v>
      </c>
      <c r="I245" s="15">
        <f t="shared" si="22"/>
        <v>45</v>
      </c>
    </row>
    <row r="246" spans="1:9" ht="15">
      <c r="A246" s="7" t="s">
        <v>453</v>
      </c>
      <c r="B246" s="17" t="e">
        <f>SUMIF(#REF!,A246,#REF!)/SUMIF(#REF!,A246,#REF!)*100</f>
        <v>#REF!</v>
      </c>
      <c r="C246" s="18" t="e">
        <f>SUMIF(#REF!,A246,#REF!)</f>
        <v>#REF!</v>
      </c>
      <c r="D246" s="75" t="e">
        <f t="shared" si="20"/>
        <v>#REF!</v>
      </c>
      <c r="E246" s="10">
        <v>43775</v>
      </c>
      <c r="F246" s="19">
        <f t="shared" ca="1" si="18"/>
        <v>45064</v>
      </c>
      <c r="G246" s="20">
        <f t="shared" ca="1" si="19"/>
        <v>-1289</v>
      </c>
      <c r="H246" s="15">
        <f t="shared" si="21"/>
        <v>11</v>
      </c>
      <c r="I246" s="15">
        <f t="shared" si="22"/>
        <v>45</v>
      </c>
    </row>
    <row r="247" spans="1:9" ht="15">
      <c r="A247" s="7" t="s">
        <v>358</v>
      </c>
      <c r="B247" s="17" t="e">
        <f>SUMIF(#REF!,A247,#REF!)/SUMIF(#REF!,A247,#REF!)*100</f>
        <v>#REF!</v>
      </c>
      <c r="C247" s="18" t="e">
        <f>SUMIF(#REF!,A247,#REF!)</f>
        <v>#REF!</v>
      </c>
      <c r="D247" s="75" t="e">
        <f t="shared" si="20"/>
        <v>#REF!</v>
      </c>
      <c r="E247" s="10">
        <v>43777</v>
      </c>
      <c r="F247" s="19">
        <f t="shared" ca="1" si="18"/>
        <v>45064</v>
      </c>
      <c r="G247" s="20">
        <f t="shared" ca="1" si="19"/>
        <v>-1287</v>
      </c>
      <c r="H247" s="15">
        <f t="shared" si="21"/>
        <v>11</v>
      </c>
      <c r="I247" s="15">
        <f t="shared" si="22"/>
        <v>45</v>
      </c>
    </row>
    <row r="248" spans="1:9" ht="15">
      <c r="A248" s="7" t="s">
        <v>441</v>
      </c>
      <c r="B248" s="17" t="e">
        <f>SUMIF(#REF!,A248,#REF!)/SUMIF(#REF!,A248,#REF!)*100</f>
        <v>#REF!</v>
      </c>
      <c r="C248" s="18" t="e">
        <f>SUMIF(#REF!,A248,#REF!)</f>
        <v>#REF!</v>
      </c>
      <c r="D248" s="75" t="e">
        <f t="shared" si="20"/>
        <v>#REF!</v>
      </c>
      <c r="E248" s="10">
        <v>43778</v>
      </c>
      <c r="F248" s="19">
        <f t="shared" ref="F248:F307" ca="1" si="23">TODAY()</f>
        <v>45064</v>
      </c>
      <c r="G248" s="20">
        <f t="shared" ref="G248:G307" ca="1" si="24">E248-F248</f>
        <v>-1286</v>
      </c>
      <c r="H248" s="15">
        <f t="shared" si="21"/>
        <v>11</v>
      </c>
      <c r="I248" s="15">
        <f t="shared" si="22"/>
        <v>45</v>
      </c>
    </row>
    <row r="249" spans="1:9" ht="15">
      <c r="A249" s="90" t="s">
        <v>294</v>
      </c>
      <c r="B249" s="17" t="e">
        <f>SUMIF(#REF!,A249,#REF!)/SUMIF(#REF!,A249,#REF!)*100</f>
        <v>#REF!</v>
      </c>
      <c r="C249" s="18" t="e">
        <f>SUMIF(#REF!,A249,#REF!)</f>
        <v>#REF!</v>
      </c>
      <c r="D249" s="75" t="e">
        <f t="shared" si="20"/>
        <v>#REF!</v>
      </c>
      <c r="E249" s="89">
        <v>43778</v>
      </c>
      <c r="F249" s="19">
        <f t="shared" ca="1" si="23"/>
        <v>45064</v>
      </c>
      <c r="G249" s="20">
        <f t="shared" ca="1" si="24"/>
        <v>-1286</v>
      </c>
      <c r="H249" s="15">
        <f t="shared" si="21"/>
        <v>11</v>
      </c>
      <c r="I249" s="15">
        <f t="shared" si="22"/>
        <v>45</v>
      </c>
    </row>
    <row r="250" spans="1:9" ht="15">
      <c r="A250" s="7" t="s">
        <v>438</v>
      </c>
      <c r="B250" s="17" t="e">
        <f>SUMIF(#REF!,A250,#REF!)/SUMIF(#REF!,A250,#REF!)*100</f>
        <v>#REF!</v>
      </c>
      <c r="C250" s="18" t="e">
        <f>SUMIF(#REF!,A250,#REF!)</f>
        <v>#REF!</v>
      </c>
      <c r="D250" s="75" t="e">
        <f t="shared" si="20"/>
        <v>#REF!</v>
      </c>
      <c r="E250" s="10">
        <v>43778</v>
      </c>
      <c r="F250" s="19">
        <f t="shared" ca="1" si="23"/>
        <v>45064</v>
      </c>
      <c r="G250" s="20">
        <f t="shared" ca="1" si="24"/>
        <v>-1286</v>
      </c>
      <c r="H250" s="15">
        <f t="shared" si="21"/>
        <v>11</v>
      </c>
      <c r="I250" s="15">
        <f t="shared" si="22"/>
        <v>45</v>
      </c>
    </row>
    <row r="251" spans="1:9" ht="15">
      <c r="A251" s="7" t="s">
        <v>363</v>
      </c>
      <c r="B251" s="17" t="e">
        <f>SUMIF(#REF!,A251,#REF!)/SUMIF(#REF!,A251,#REF!)*100</f>
        <v>#REF!</v>
      </c>
      <c r="C251" s="18" t="e">
        <f>SUMIF(#REF!,A251,#REF!)</f>
        <v>#REF!</v>
      </c>
      <c r="D251" s="75" t="e">
        <f t="shared" si="20"/>
        <v>#REF!</v>
      </c>
      <c r="E251" s="10">
        <v>43780</v>
      </c>
      <c r="F251" s="19">
        <f t="shared" ca="1" si="23"/>
        <v>45064</v>
      </c>
      <c r="G251" s="20">
        <f t="shared" ca="1" si="24"/>
        <v>-1284</v>
      </c>
      <c r="H251" s="15">
        <f t="shared" si="21"/>
        <v>11</v>
      </c>
      <c r="I251" s="15">
        <f t="shared" si="22"/>
        <v>46</v>
      </c>
    </row>
    <row r="252" spans="1:9" ht="15">
      <c r="A252" s="7" t="s">
        <v>350</v>
      </c>
      <c r="B252" s="17" t="e">
        <f>SUMIF(#REF!,A252,#REF!)/SUMIF(#REF!,A252,#REF!)*100</f>
        <v>#REF!</v>
      </c>
      <c r="C252" s="18" t="e">
        <f>SUMIF(#REF!,A252,#REF!)</f>
        <v>#REF!</v>
      </c>
      <c r="D252" s="75" t="e">
        <f t="shared" si="20"/>
        <v>#REF!</v>
      </c>
      <c r="E252" s="10">
        <v>43780</v>
      </c>
      <c r="F252" s="19">
        <f t="shared" ca="1" si="23"/>
        <v>45064</v>
      </c>
      <c r="G252" s="20">
        <f t="shared" ca="1" si="24"/>
        <v>-1284</v>
      </c>
      <c r="H252" s="15">
        <f t="shared" si="21"/>
        <v>11</v>
      </c>
      <c r="I252" s="15">
        <f t="shared" si="22"/>
        <v>46</v>
      </c>
    </row>
    <row r="253" spans="1:9" ht="15">
      <c r="A253" s="7" t="s">
        <v>347</v>
      </c>
      <c r="B253" s="17" t="e">
        <f>SUMIF(#REF!,A253,#REF!)/SUMIF(#REF!,A253,#REF!)*100</f>
        <v>#REF!</v>
      </c>
      <c r="C253" s="18" t="e">
        <f>SUMIF(#REF!,A253,#REF!)</f>
        <v>#REF!</v>
      </c>
      <c r="D253" s="75" t="e">
        <f t="shared" si="20"/>
        <v>#REF!</v>
      </c>
      <c r="E253" s="10">
        <v>43780</v>
      </c>
      <c r="F253" s="19">
        <f t="shared" ca="1" si="23"/>
        <v>45064</v>
      </c>
      <c r="G253" s="20">
        <f t="shared" ca="1" si="24"/>
        <v>-1284</v>
      </c>
      <c r="H253" s="15">
        <f t="shared" si="21"/>
        <v>11</v>
      </c>
      <c r="I253" s="15">
        <f t="shared" si="22"/>
        <v>46</v>
      </c>
    </row>
    <row r="254" spans="1:9" ht="15">
      <c r="A254" s="7" t="s">
        <v>444</v>
      </c>
      <c r="B254" s="17" t="e">
        <f>SUMIF(#REF!,A254,#REF!)/SUMIF(#REF!,A254,#REF!)*100</f>
        <v>#REF!</v>
      </c>
      <c r="C254" s="18" t="e">
        <f>SUMIF(#REF!,A254,#REF!)</f>
        <v>#REF!</v>
      </c>
      <c r="D254" s="75" t="e">
        <f t="shared" si="20"/>
        <v>#REF!</v>
      </c>
      <c r="E254" s="10">
        <v>43780</v>
      </c>
      <c r="F254" s="19">
        <f t="shared" ca="1" si="23"/>
        <v>45064</v>
      </c>
      <c r="G254" s="20">
        <f t="shared" ca="1" si="24"/>
        <v>-1284</v>
      </c>
      <c r="H254" s="15">
        <f t="shared" si="21"/>
        <v>11</v>
      </c>
      <c r="I254" s="15">
        <f t="shared" si="22"/>
        <v>46</v>
      </c>
    </row>
    <row r="255" spans="1:9" ht="15">
      <c r="A255" s="7" t="s">
        <v>456</v>
      </c>
      <c r="B255" s="17" t="e">
        <f>SUMIF(#REF!,A255,#REF!)/SUMIF(#REF!,A255,#REF!)*100</f>
        <v>#REF!</v>
      </c>
      <c r="C255" s="18" t="e">
        <f>SUMIF(#REF!,A255,#REF!)</f>
        <v>#REF!</v>
      </c>
      <c r="D255" s="75" t="e">
        <f t="shared" si="20"/>
        <v>#REF!</v>
      </c>
      <c r="E255" s="10">
        <v>43780</v>
      </c>
      <c r="F255" s="19">
        <f t="shared" ca="1" si="23"/>
        <v>45064</v>
      </c>
      <c r="G255" s="20">
        <f t="shared" ca="1" si="24"/>
        <v>-1284</v>
      </c>
      <c r="H255" s="15">
        <f t="shared" si="21"/>
        <v>11</v>
      </c>
      <c r="I255" s="15">
        <f t="shared" si="22"/>
        <v>46</v>
      </c>
    </row>
    <row r="256" spans="1:9" ht="15">
      <c r="A256" s="7" t="s">
        <v>413</v>
      </c>
      <c r="B256" s="17" t="e">
        <f>SUMIF(#REF!,A256,#REF!)/SUMIF(#REF!,A256,#REF!)*100</f>
        <v>#REF!</v>
      </c>
      <c r="C256" s="18" t="e">
        <f>SUMIF(#REF!,A256,#REF!)</f>
        <v>#REF!</v>
      </c>
      <c r="D256" s="75" t="e">
        <f t="shared" si="20"/>
        <v>#REF!</v>
      </c>
      <c r="E256" s="10">
        <v>43782</v>
      </c>
      <c r="F256" s="19">
        <f t="shared" ca="1" si="23"/>
        <v>45064</v>
      </c>
      <c r="G256" s="20">
        <f t="shared" ca="1" si="24"/>
        <v>-1282</v>
      </c>
      <c r="H256" s="15">
        <f t="shared" si="21"/>
        <v>11</v>
      </c>
      <c r="I256" s="15">
        <f t="shared" si="22"/>
        <v>46</v>
      </c>
    </row>
    <row r="257" spans="1:9" ht="15">
      <c r="A257" s="7" t="s">
        <v>379</v>
      </c>
      <c r="B257" s="17" t="e">
        <f>SUMIF(#REF!,A257,#REF!)/SUMIF(#REF!,A257,#REF!)*100</f>
        <v>#REF!</v>
      </c>
      <c r="C257" s="18" t="e">
        <f>SUMIF(#REF!,A257,#REF!)</f>
        <v>#REF!</v>
      </c>
      <c r="D257" s="75" t="e">
        <f t="shared" si="20"/>
        <v>#REF!</v>
      </c>
      <c r="E257" s="10">
        <v>43782</v>
      </c>
      <c r="F257" s="19">
        <f t="shared" ca="1" si="23"/>
        <v>45064</v>
      </c>
      <c r="G257" s="20">
        <f t="shared" ca="1" si="24"/>
        <v>-1282</v>
      </c>
      <c r="H257" s="15">
        <f t="shared" si="21"/>
        <v>11</v>
      </c>
      <c r="I257" s="15">
        <f t="shared" si="22"/>
        <v>46</v>
      </c>
    </row>
    <row r="258" spans="1:9" ht="15">
      <c r="A258" s="7" t="s">
        <v>352</v>
      </c>
      <c r="B258" s="17" t="e">
        <f>SUMIF(#REF!,A258,#REF!)/SUMIF(#REF!,A258,#REF!)*100</f>
        <v>#REF!</v>
      </c>
      <c r="C258" s="18" t="e">
        <f>SUMIF(#REF!,A258,#REF!)</f>
        <v>#REF!</v>
      </c>
      <c r="D258" s="75" t="e">
        <f t="shared" si="20"/>
        <v>#REF!</v>
      </c>
      <c r="E258" s="10">
        <v>43782</v>
      </c>
      <c r="F258" s="19">
        <f t="shared" ca="1" si="23"/>
        <v>45064</v>
      </c>
      <c r="G258" s="20">
        <f t="shared" ca="1" si="24"/>
        <v>-1282</v>
      </c>
      <c r="H258" s="15">
        <f t="shared" si="21"/>
        <v>11</v>
      </c>
      <c r="I258" s="15">
        <f t="shared" si="22"/>
        <v>46</v>
      </c>
    </row>
    <row r="259" spans="1:9" ht="15">
      <c r="A259" s="7" t="s">
        <v>354</v>
      </c>
      <c r="B259" s="17" t="e">
        <f>SUMIF(#REF!,A259,#REF!)/SUMIF(#REF!,A259,#REF!)*100</f>
        <v>#REF!</v>
      </c>
      <c r="C259" s="18" t="e">
        <f>SUMIF(#REF!,A259,#REF!)</f>
        <v>#REF!</v>
      </c>
      <c r="D259" s="75" t="e">
        <f t="shared" ref="D259:D307" si="25">(100-B259)*C259/100</f>
        <v>#REF!</v>
      </c>
      <c r="E259" s="10">
        <v>43782</v>
      </c>
      <c r="F259" s="19">
        <f t="shared" ca="1" si="23"/>
        <v>45064</v>
      </c>
      <c r="G259" s="20">
        <f t="shared" ca="1" si="24"/>
        <v>-1282</v>
      </c>
      <c r="H259" s="15">
        <f t="shared" si="21"/>
        <v>11</v>
      </c>
      <c r="I259" s="15">
        <f t="shared" si="22"/>
        <v>46</v>
      </c>
    </row>
    <row r="260" spans="1:9" ht="15">
      <c r="A260" s="7" t="s">
        <v>455</v>
      </c>
      <c r="B260" s="17" t="e">
        <f>SUMIF(#REF!,A260,#REF!)/SUMIF(#REF!,A260,#REF!)*100</f>
        <v>#REF!</v>
      </c>
      <c r="C260" s="18" t="e">
        <f>SUMIF(#REF!,A260,#REF!)</f>
        <v>#REF!</v>
      </c>
      <c r="D260" s="75" t="e">
        <f t="shared" si="25"/>
        <v>#REF!</v>
      </c>
      <c r="E260" s="10">
        <v>43782</v>
      </c>
      <c r="F260" s="19">
        <f t="shared" ca="1" si="23"/>
        <v>45064</v>
      </c>
      <c r="G260" s="20">
        <f t="shared" ca="1" si="24"/>
        <v>-1282</v>
      </c>
      <c r="H260" s="15">
        <f t="shared" si="21"/>
        <v>11</v>
      </c>
      <c r="I260" s="15">
        <f t="shared" si="22"/>
        <v>46</v>
      </c>
    </row>
    <row r="261" spans="1:9" ht="15">
      <c r="A261" s="7" t="s">
        <v>346</v>
      </c>
      <c r="B261" s="17" t="e">
        <f>SUMIF(#REF!,A261,#REF!)/SUMIF(#REF!,A261,#REF!)*100</f>
        <v>#REF!</v>
      </c>
      <c r="C261" s="18" t="e">
        <f>SUMIF(#REF!,A261,#REF!)</f>
        <v>#REF!</v>
      </c>
      <c r="D261" s="75" t="e">
        <f t="shared" si="25"/>
        <v>#REF!</v>
      </c>
      <c r="E261" s="10">
        <v>43784</v>
      </c>
      <c r="F261" s="19">
        <f t="shared" ca="1" si="23"/>
        <v>45064</v>
      </c>
      <c r="G261" s="20">
        <f t="shared" ca="1" si="24"/>
        <v>-1280</v>
      </c>
      <c r="H261" s="15">
        <f t="shared" si="21"/>
        <v>11</v>
      </c>
      <c r="I261" s="15">
        <f t="shared" si="22"/>
        <v>46</v>
      </c>
    </row>
    <row r="262" spans="1:9" ht="15">
      <c r="A262" s="7" t="s">
        <v>436</v>
      </c>
      <c r="B262" s="17" t="e">
        <f>SUMIF(#REF!,A262,#REF!)/SUMIF(#REF!,A262,#REF!)*100</f>
        <v>#REF!</v>
      </c>
      <c r="C262" s="18" t="e">
        <f>SUMIF(#REF!,A262,#REF!)</f>
        <v>#REF!</v>
      </c>
      <c r="D262" s="75" t="e">
        <f t="shared" si="25"/>
        <v>#REF!</v>
      </c>
      <c r="E262" s="10">
        <v>43785</v>
      </c>
      <c r="F262" s="19">
        <f t="shared" ca="1" si="23"/>
        <v>45064</v>
      </c>
      <c r="G262" s="20">
        <f t="shared" ca="1" si="24"/>
        <v>-1279</v>
      </c>
      <c r="H262" s="15">
        <f t="shared" si="21"/>
        <v>11</v>
      </c>
      <c r="I262" s="15">
        <f t="shared" si="22"/>
        <v>46</v>
      </c>
    </row>
    <row r="263" spans="1:9" ht="15">
      <c r="A263" s="7" t="s">
        <v>449</v>
      </c>
      <c r="B263" s="17" t="e">
        <f>SUMIF(#REF!,A263,#REF!)/SUMIF(#REF!,A263,#REF!)*100</f>
        <v>#REF!</v>
      </c>
      <c r="C263" s="18" t="e">
        <f>SUMIF(#REF!,A263,#REF!)</f>
        <v>#REF!</v>
      </c>
      <c r="D263" s="75" t="e">
        <f t="shared" si="25"/>
        <v>#REF!</v>
      </c>
      <c r="E263" s="10">
        <v>43791</v>
      </c>
      <c r="F263" s="19">
        <f t="shared" ca="1" si="23"/>
        <v>45064</v>
      </c>
      <c r="G263" s="20">
        <f t="shared" ca="1" si="24"/>
        <v>-1273</v>
      </c>
      <c r="H263" s="15">
        <f t="shared" si="21"/>
        <v>11</v>
      </c>
      <c r="I263" s="15">
        <f t="shared" si="22"/>
        <v>47</v>
      </c>
    </row>
    <row r="264" spans="1:9" ht="15">
      <c r="A264" s="7" t="s">
        <v>295</v>
      </c>
      <c r="B264" s="17" t="e">
        <f>SUMIF(#REF!,A264,#REF!)/SUMIF(#REF!,A264,#REF!)*100</f>
        <v>#REF!</v>
      </c>
      <c r="C264" s="18" t="e">
        <f>SUMIF(#REF!,A264,#REF!)</f>
        <v>#REF!</v>
      </c>
      <c r="D264" s="75" t="e">
        <f t="shared" si="25"/>
        <v>#REF!</v>
      </c>
      <c r="E264" s="10">
        <v>43792</v>
      </c>
      <c r="F264" s="19">
        <f t="shared" ca="1" si="23"/>
        <v>45064</v>
      </c>
      <c r="G264" s="20">
        <f t="shared" ca="1" si="24"/>
        <v>-1272</v>
      </c>
      <c r="H264" s="15">
        <f t="shared" si="21"/>
        <v>11</v>
      </c>
      <c r="I264" s="15">
        <f t="shared" si="22"/>
        <v>47</v>
      </c>
    </row>
    <row r="265" spans="1:9" ht="15">
      <c r="A265" s="7" t="s">
        <v>311</v>
      </c>
      <c r="B265" s="17" t="e">
        <f>SUMIF(#REF!,A265,#REF!)/SUMIF(#REF!,A265,#REF!)*100</f>
        <v>#REF!</v>
      </c>
      <c r="C265" s="18" t="e">
        <f>SUMIF(#REF!,A265,#REF!)</f>
        <v>#REF!</v>
      </c>
      <c r="D265" s="75" t="e">
        <f t="shared" si="25"/>
        <v>#REF!</v>
      </c>
      <c r="E265" s="10">
        <v>43792</v>
      </c>
      <c r="F265" s="19">
        <f t="shared" ca="1" si="23"/>
        <v>45064</v>
      </c>
      <c r="G265" s="20">
        <f t="shared" ca="1" si="24"/>
        <v>-1272</v>
      </c>
      <c r="H265" s="15">
        <f t="shared" si="21"/>
        <v>11</v>
      </c>
      <c r="I265" s="15">
        <f t="shared" si="22"/>
        <v>47</v>
      </c>
    </row>
    <row r="266" spans="1:9" ht="15">
      <c r="A266" s="7" t="s">
        <v>356</v>
      </c>
      <c r="B266" s="17" t="e">
        <f>SUMIF(#REF!,A266,#REF!)/SUMIF(#REF!,A266,#REF!)*100</f>
        <v>#REF!</v>
      </c>
      <c r="C266" s="18" t="e">
        <f>SUMIF(#REF!,A266,#REF!)</f>
        <v>#REF!</v>
      </c>
      <c r="D266" s="75" t="e">
        <f t="shared" si="25"/>
        <v>#REF!</v>
      </c>
      <c r="E266" s="10">
        <v>43792</v>
      </c>
      <c r="F266" s="19">
        <f t="shared" ca="1" si="23"/>
        <v>45064</v>
      </c>
      <c r="G266" s="20">
        <f t="shared" ca="1" si="24"/>
        <v>-1272</v>
      </c>
      <c r="H266" s="15">
        <f t="shared" si="21"/>
        <v>11</v>
      </c>
      <c r="I266" s="15">
        <f t="shared" si="22"/>
        <v>47</v>
      </c>
    </row>
    <row r="267" spans="1:9" ht="15">
      <c r="A267" s="7" t="s">
        <v>370</v>
      </c>
      <c r="B267" s="17" t="e">
        <f>SUMIF(#REF!,A267,#REF!)/SUMIF(#REF!,A267,#REF!)*100</f>
        <v>#REF!</v>
      </c>
      <c r="C267" s="18" t="e">
        <f>SUMIF(#REF!,A267,#REF!)</f>
        <v>#REF!</v>
      </c>
      <c r="D267" s="75" t="e">
        <f t="shared" si="25"/>
        <v>#REF!</v>
      </c>
      <c r="E267" s="10">
        <v>43796</v>
      </c>
      <c r="F267" s="19">
        <f t="shared" ca="1" si="23"/>
        <v>45064</v>
      </c>
      <c r="G267" s="20">
        <f t="shared" ca="1" si="24"/>
        <v>-1268</v>
      </c>
      <c r="H267" s="15">
        <f t="shared" si="21"/>
        <v>11</v>
      </c>
      <c r="I267" s="15">
        <f t="shared" si="22"/>
        <v>48</v>
      </c>
    </row>
    <row r="268" spans="1:9" ht="15">
      <c r="A268" s="7" t="s">
        <v>320</v>
      </c>
      <c r="B268" s="17" t="e">
        <f>SUMIF(#REF!,A268,#REF!)/SUMIF(#REF!,A268,#REF!)*100</f>
        <v>#REF!</v>
      </c>
      <c r="C268" s="18" t="e">
        <f>SUMIF(#REF!,A268,#REF!)</f>
        <v>#REF!</v>
      </c>
      <c r="D268" s="75" t="e">
        <f t="shared" si="25"/>
        <v>#REF!</v>
      </c>
      <c r="E268" s="10">
        <v>43796</v>
      </c>
      <c r="F268" s="19">
        <f t="shared" ca="1" si="23"/>
        <v>45064</v>
      </c>
      <c r="G268" s="20">
        <f t="shared" ca="1" si="24"/>
        <v>-1268</v>
      </c>
      <c r="H268" s="15">
        <f t="shared" si="21"/>
        <v>11</v>
      </c>
      <c r="I268" s="15">
        <f t="shared" si="22"/>
        <v>48</v>
      </c>
    </row>
    <row r="269" spans="1:9" ht="15">
      <c r="A269" s="7" t="s">
        <v>392</v>
      </c>
      <c r="B269" s="17" t="e">
        <f>SUMIF(#REF!,A269,#REF!)/SUMIF(#REF!,A269,#REF!)*100</f>
        <v>#REF!</v>
      </c>
      <c r="C269" s="18" t="e">
        <f>SUMIF(#REF!,A269,#REF!)</f>
        <v>#REF!</v>
      </c>
      <c r="D269" s="75" t="e">
        <f t="shared" si="25"/>
        <v>#REF!</v>
      </c>
      <c r="E269" s="10">
        <v>43796</v>
      </c>
      <c r="F269" s="19">
        <f t="shared" ca="1" si="23"/>
        <v>45064</v>
      </c>
      <c r="G269" s="20">
        <f t="shared" ca="1" si="24"/>
        <v>-1268</v>
      </c>
      <c r="H269" s="15">
        <f t="shared" si="21"/>
        <v>11</v>
      </c>
      <c r="I269" s="15">
        <f t="shared" si="22"/>
        <v>48</v>
      </c>
    </row>
    <row r="270" spans="1:9" ht="15">
      <c r="A270" s="7" t="s">
        <v>462</v>
      </c>
      <c r="B270" s="17" t="e">
        <f>SUMIF(#REF!,A270,#REF!)/SUMIF(#REF!,A270,#REF!)*100</f>
        <v>#REF!</v>
      </c>
      <c r="C270" s="18" t="e">
        <f>SUMIF(#REF!,A270,#REF!)</f>
        <v>#REF!</v>
      </c>
      <c r="D270" s="75" t="e">
        <f t="shared" si="25"/>
        <v>#REF!</v>
      </c>
      <c r="E270" s="10">
        <v>43798</v>
      </c>
      <c r="F270" s="19">
        <f t="shared" ca="1" si="23"/>
        <v>45064</v>
      </c>
      <c r="G270" s="20">
        <f t="shared" ca="1" si="24"/>
        <v>-1266</v>
      </c>
      <c r="H270" s="15">
        <f t="shared" si="21"/>
        <v>11</v>
      </c>
      <c r="I270" s="15">
        <f t="shared" si="22"/>
        <v>48</v>
      </c>
    </row>
    <row r="271" spans="1:9" ht="15">
      <c r="A271" s="7" t="s">
        <v>387</v>
      </c>
      <c r="B271" s="17" t="e">
        <f>SUMIF(#REF!,A271,#REF!)/SUMIF(#REF!,A271,#REF!)*100</f>
        <v>#REF!</v>
      </c>
      <c r="C271" s="18" t="e">
        <f>SUMIF(#REF!,A271,#REF!)</f>
        <v>#REF!</v>
      </c>
      <c r="D271" s="75" t="e">
        <f t="shared" si="25"/>
        <v>#REF!</v>
      </c>
      <c r="E271" s="10">
        <v>43799</v>
      </c>
      <c r="F271" s="19">
        <f t="shared" ca="1" si="23"/>
        <v>45064</v>
      </c>
      <c r="G271" s="20">
        <f t="shared" ca="1" si="24"/>
        <v>-1265</v>
      </c>
      <c r="H271" s="15">
        <f t="shared" si="21"/>
        <v>11</v>
      </c>
      <c r="I271" s="15">
        <f t="shared" si="22"/>
        <v>48</v>
      </c>
    </row>
    <row r="272" spans="1:9" ht="15">
      <c r="A272" s="7" t="s">
        <v>457</v>
      </c>
      <c r="B272" s="17" t="e">
        <f>SUMIF(#REF!,A272,#REF!)/SUMIF(#REF!,A272,#REF!)*100</f>
        <v>#REF!</v>
      </c>
      <c r="C272" s="18" t="e">
        <f>SUMIF(#REF!,A272,#REF!)</f>
        <v>#REF!</v>
      </c>
      <c r="D272" s="75" t="e">
        <f t="shared" si="25"/>
        <v>#REF!</v>
      </c>
      <c r="E272" s="10">
        <v>43799</v>
      </c>
      <c r="F272" s="19">
        <f t="shared" ca="1" si="23"/>
        <v>45064</v>
      </c>
      <c r="G272" s="20">
        <f t="shared" ca="1" si="24"/>
        <v>-1265</v>
      </c>
      <c r="H272" s="15">
        <f t="shared" si="21"/>
        <v>11</v>
      </c>
      <c r="I272" s="15">
        <f t="shared" si="22"/>
        <v>48</v>
      </c>
    </row>
    <row r="273" spans="1:9" ht="15">
      <c r="A273" s="7" t="s">
        <v>459</v>
      </c>
      <c r="B273" s="17" t="e">
        <f>SUMIF(#REF!,A273,#REF!)/SUMIF(#REF!,A273,#REF!)*100</f>
        <v>#REF!</v>
      </c>
      <c r="C273" s="18" t="e">
        <f>SUMIF(#REF!,A273,#REF!)</f>
        <v>#REF!</v>
      </c>
      <c r="D273" s="75" t="e">
        <f t="shared" si="25"/>
        <v>#REF!</v>
      </c>
      <c r="E273" s="10">
        <v>43799</v>
      </c>
      <c r="F273" s="19">
        <f t="shared" ca="1" si="23"/>
        <v>45064</v>
      </c>
      <c r="G273" s="20">
        <f t="shared" ca="1" si="24"/>
        <v>-1265</v>
      </c>
      <c r="H273" s="15">
        <f t="shared" si="21"/>
        <v>11</v>
      </c>
      <c r="I273" s="15">
        <f t="shared" si="22"/>
        <v>48</v>
      </c>
    </row>
    <row r="274" spans="1:9" ht="15">
      <c r="A274" s="7" t="s">
        <v>464</v>
      </c>
      <c r="B274" s="17" t="e">
        <f>SUMIF(#REF!,A274,#REF!)/SUMIF(#REF!,A274,#REF!)*100</f>
        <v>#REF!</v>
      </c>
      <c r="C274" s="18" t="e">
        <f>SUMIF(#REF!,A274,#REF!)</f>
        <v>#REF!</v>
      </c>
      <c r="D274" s="75" t="e">
        <f t="shared" si="25"/>
        <v>#REF!</v>
      </c>
      <c r="E274" s="10">
        <v>43799</v>
      </c>
      <c r="F274" s="19">
        <f t="shared" ca="1" si="23"/>
        <v>45064</v>
      </c>
      <c r="G274" s="20">
        <f t="shared" ca="1" si="24"/>
        <v>-1265</v>
      </c>
      <c r="H274" s="15">
        <f t="shared" si="21"/>
        <v>11</v>
      </c>
      <c r="I274" s="15">
        <f t="shared" si="22"/>
        <v>48</v>
      </c>
    </row>
    <row r="275" spans="1:9" ht="15">
      <c r="A275" s="7" t="s">
        <v>360</v>
      </c>
      <c r="B275" s="17" t="e">
        <f>SUMIF(#REF!,A275,#REF!)/SUMIF(#REF!,A275,#REF!)*100</f>
        <v>#REF!</v>
      </c>
      <c r="C275" s="18" t="e">
        <f>SUMIF(#REF!,A275,#REF!)</f>
        <v>#REF!</v>
      </c>
      <c r="D275" s="75" t="e">
        <f t="shared" si="25"/>
        <v>#REF!</v>
      </c>
      <c r="E275" s="10">
        <v>43802</v>
      </c>
      <c r="F275" s="19">
        <f t="shared" ca="1" si="23"/>
        <v>45064</v>
      </c>
      <c r="G275" s="20">
        <f t="shared" ca="1" si="24"/>
        <v>-1262</v>
      </c>
      <c r="H275" s="15">
        <f t="shared" si="21"/>
        <v>12</v>
      </c>
      <c r="I275" s="15">
        <f t="shared" si="22"/>
        <v>49</v>
      </c>
    </row>
    <row r="276" spans="1:9" ht="15">
      <c r="A276" s="7" t="s">
        <v>465</v>
      </c>
      <c r="B276" s="17" t="e">
        <f>SUMIF(#REF!,A276,#REF!)/SUMIF(#REF!,A276,#REF!)*100</f>
        <v>#REF!</v>
      </c>
      <c r="C276" s="18" t="e">
        <f>SUMIF(#REF!,A276,#REF!)</f>
        <v>#REF!</v>
      </c>
      <c r="D276" s="75" t="e">
        <f t="shared" si="25"/>
        <v>#REF!</v>
      </c>
      <c r="E276" s="10">
        <v>43802</v>
      </c>
      <c r="F276" s="19">
        <f t="shared" ca="1" si="23"/>
        <v>45064</v>
      </c>
      <c r="G276" s="20">
        <f t="shared" ca="1" si="24"/>
        <v>-1262</v>
      </c>
      <c r="H276" s="15">
        <f t="shared" si="21"/>
        <v>12</v>
      </c>
      <c r="I276" s="15">
        <f t="shared" si="22"/>
        <v>49</v>
      </c>
    </row>
    <row r="277" spans="1:9" ht="15">
      <c r="A277" s="7" t="s">
        <v>386</v>
      </c>
      <c r="B277" s="17" t="e">
        <f>SUMIF(#REF!,A277,#REF!)/SUMIF(#REF!,A277,#REF!)*100</f>
        <v>#REF!</v>
      </c>
      <c r="C277" s="18" t="e">
        <f>SUMIF(#REF!,A277,#REF!)</f>
        <v>#REF!</v>
      </c>
      <c r="D277" s="75" t="e">
        <f t="shared" si="25"/>
        <v>#REF!</v>
      </c>
      <c r="E277" s="10">
        <v>43803</v>
      </c>
      <c r="F277" s="19">
        <f t="shared" ca="1" si="23"/>
        <v>45064</v>
      </c>
      <c r="G277" s="20">
        <f t="shared" ca="1" si="24"/>
        <v>-1261</v>
      </c>
      <c r="H277" s="15">
        <f t="shared" si="21"/>
        <v>12</v>
      </c>
      <c r="I277" s="15">
        <f t="shared" si="22"/>
        <v>49</v>
      </c>
    </row>
    <row r="278" spans="1:9" ht="15">
      <c r="A278" s="7" t="s">
        <v>371</v>
      </c>
      <c r="B278" s="17" t="e">
        <f>SUMIF(#REF!,A278,#REF!)/SUMIF(#REF!,A278,#REF!)*100</f>
        <v>#REF!</v>
      </c>
      <c r="C278" s="18" t="e">
        <f>SUMIF(#REF!,A278,#REF!)</f>
        <v>#REF!</v>
      </c>
      <c r="D278" s="75" t="e">
        <f t="shared" si="25"/>
        <v>#REF!</v>
      </c>
      <c r="E278" s="10">
        <v>43803</v>
      </c>
      <c r="F278" s="19">
        <f t="shared" ca="1" si="23"/>
        <v>45064</v>
      </c>
      <c r="G278" s="20">
        <f t="shared" ca="1" si="24"/>
        <v>-1261</v>
      </c>
      <c r="H278" s="15">
        <f t="shared" si="21"/>
        <v>12</v>
      </c>
      <c r="I278" s="15">
        <f t="shared" si="22"/>
        <v>49</v>
      </c>
    </row>
    <row r="279" spans="1:9" ht="15">
      <c r="A279" s="7" t="s">
        <v>310</v>
      </c>
      <c r="B279" s="17" t="e">
        <f>SUMIF(#REF!,A279,#REF!)/SUMIF(#REF!,A279,#REF!)*100</f>
        <v>#REF!</v>
      </c>
      <c r="C279" s="18" t="e">
        <f>SUMIF(#REF!,A279,#REF!)</f>
        <v>#REF!</v>
      </c>
      <c r="D279" s="75" t="e">
        <f t="shared" si="25"/>
        <v>#REF!</v>
      </c>
      <c r="E279" s="10">
        <v>43805</v>
      </c>
      <c r="F279" s="19">
        <f t="shared" ca="1" si="23"/>
        <v>45064</v>
      </c>
      <c r="G279" s="20">
        <f t="shared" ca="1" si="24"/>
        <v>-1259</v>
      </c>
      <c r="H279" s="15">
        <f t="shared" si="21"/>
        <v>12</v>
      </c>
      <c r="I279" s="15">
        <f t="shared" si="22"/>
        <v>49</v>
      </c>
    </row>
    <row r="280" spans="1:9" ht="15">
      <c r="A280" s="7" t="s">
        <v>355</v>
      </c>
      <c r="B280" s="17" t="e">
        <f>SUMIF(#REF!,A280,#REF!)/SUMIF(#REF!,A280,#REF!)*100</f>
        <v>#REF!</v>
      </c>
      <c r="C280" s="18" t="e">
        <f>SUMIF(#REF!,A280,#REF!)</f>
        <v>#REF!</v>
      </c>
      <c r="D280" s="75" t="e">
        <f t="shared" si="25"/>
        <v>#REF!</v>
      </c>
      <c r="E280" s="10">
        <v>43805</v>
      </c>
      <c r="F280" s="19">
        <f t="shared" ca="1" si="23"/>
        <v>45064</v>
      </c>
      <c r="G280" s="20">
        <f t="shared" ca="1" si="24"/>
        <v>-1259</v>
      </c>
      <c r="H280" s="15">
        <f t="shared" si="21"/>
        <v>12</v>
      </c>
      <c r="I280" s="15">
        <f t="shared" si="22"/>
        <v>49</v>
      </c>
    </row>
    <row r="281" spans="1:9" ht="15">
      <c r="A281" s="7" t="s">
        <v>468</v>
      </c>
      <c r="B281" s="17" t="e">
        <f>SUMIF(#REF!,A281,#REF!)/SUMIF(#REF!,A281,#REF!)*100</f>
        <v>#REF!</v>
      </c>
      <c r="C281" s="18" t="e">
        <f>SUMIF(#REF!,A281,#REF!)</f>
        <v>#REF!</v>
      </c>
      <c r="D281" s="75" t="e">
        <f t="shared" si="25"/>
        <v>#REF!</v>
      </c>
      <c r="E281" s="10">
        <v>43806</v>
      </c>
      <c r="F281" s="19">
        <f t="shared" ca="1" si="23"/>
        <v>45064</v>
      </c>
      <c r="G281" s="20">
        <f t="shared" ca="1" si="24"/>
        <v>-1258</v>
      </c>
      <c r="H281" s="15">
        <f t="shared" si="21"/>
        <v>12</v>
      </c>
      <c r="I281" s="15">
        <f t="shared" si="22"/>
        <v>49</v>
      </c>
    </row>
    <row r="282" spans="1:9" ht="15">
      <c r="A282" s="7" t="s">
        <v>470</v>
      </c>
      <c r="B282" s="17" t="e">
        <f>SUMIF(#REF!,A282,#REF!)/SUMIF(#REF!,A282,#REF!)*100</f>
        <v>#REF!</v>
      </c>
      <c r="C282" s="18" t="e">
        <f>SUMIF(#REF!,A282,#REF!)</f>
        <v>#REF!</v>
      </c>
      <c r="D282" s="75" t="e">
        <f t="shared" si="25"/>
        <v>#REF!</v>
      </c>
      <c r="E282" s="10">
        <v>43811</v>
      </c>
      <c r="F282" s="19">
        <f t="shared" ca="1" si="23"/>
        <v>45064</v>
      </c>
      <c r="G282" s="20">
        <f t="shared" ca="1" si="24"/>
        <v>-1253</v>
      </c>
      <c r="H282" s="15">
        <f t="shared" si="21"/>
        <v>12</v>
      </c>
      <c r="I282" s="15">
        <f t="shared" si="22"/>
        <v>50</v>
      </c>
    </row>
    <row r="283" spans="1:9" ht="15">
      <c r="A283" s="7" t="s">
        <v>471</v>
      </c>
      <c r="B283" s="17" t="e">
        <f>SUMIF(#REF!,A283,#REF!)/SUMIF(#REF!,A283,#REF!)*100</f>
        <v>#REF!</v>
      </c>
      <c r="C283" s="18" t="e">
        <f>SUMIF(#REF!,A283,#REF!)</f>
        <v>#REF!</v>
      </c>
      <c r="D283" s="75" t="e">
        <f t="shared" si="25"/>
        <v>#REF!</v>
      </c>
      <c r="E283" s="10">
        <v>43813</v>
      </c>
      <c r="F283" s="19">
        <f t="shared" ca="1" si="23"/>
        <v>45064</v>
      </c>
      <c r="G283" s="20">
        <f t="shared" ca="1" si="24"/>
        <v>-1251</v>
      </c>
      <c r="H283" s="15">
        <f t="shared" si="21"/>
        <v>12</v>
      </c>
      <c r="I283" s="15">
        <f t="shared" si="22"/>
        <v>50</v>
      </c>
    </row>
    <row r="284" spans="1:9" ht="15">
      <c r="A284" s="7" t="s">
        <v>375</v>
      </c>
      <c r="B284" s="17" t="e">
        <f>SUMIF(#REF!,A284,#REF!)/SUMIF(#REF!,A284,#REF!)*100</f>
        <v>#REF!</v>
      </c>
      <c r="C284" s="18" t="e">
        <f>SUMIF(#REF!,A284,#REF!)</f>
        <v>#REF!</v>
      </c>
      <c r="D284" s="75" t="e">
        <f t="shared" si="25"/>
        <v>#REF!</v>
      </c>
      <c r="E284" s="10">
        <v>43815</v>
      </c>
      <c r="F284" s="19">
        <f t="shared" ca="1" si="23"/>
        <v>45064</v>
      </c>
      <c r="G284" s="20">
        <f t="shared" ca="1" si="24"/>
        <v>-1249</v>
      </c>
      <c r="H284" s="15">
        <f t="shared" si="21"/>
        <v>12</v>
      </c>
      <c r="I284" s="15">
        <f t="shared" si="22"/>
        <v>51</v>
      </c>
    </row>
    <row r="285" spans="1:9" ht="15">
      <c r="A285" s="7" t="s">
        <v>469</v>
      </c>
      <c r="B285" s="17" t="e">
        <f>SUMIF(#REF!,A285,#REF!)/SUMIF(#REF!,A285,#REF!)*100</f>
        <v>#REF!</v>
      </c>
      <c r="C285" s="18" t="e">
        <f>SUMIF(#REF!,A285,#REF!)</f>
        <v>#REF!</v>
      </c>
      <c r="D285" s="75" t="e">
        <f t="shared" si="25"/>
        <v>#REF!</v>
      </c>
      <c r="E285" s="10">
        <v>43815</v>
      </c>
      <c r="F285" s="19">
        <f t="shared" ca="1" si="23"/>
        <v>45064</v>
      </c>
      <c r="G285" s="20">
        <f t="shared" ca="1" si="24"/>
        <v>-1249</v>
      </c>
      <c r="H285" s="15">
        <f t="shared" si="21"/>
        <v>12</v>
      </c>
      <c r="I285" s="15">
        <f t="shared" si="22"/>
        <v>51</v>
      </c>
    </row>
    <row r="286" spans="1:9" ht="15">
      <c r="A286" s="7" t="s">
        <v>314</v>
      </c>
      <c r="B286" s="17" t="e">
        <f>SUMIF(#REF!,A286,#REF!)/SUMIF(#REF!,A286,#REF!)*100</f>
        <v>#REF!</v>
      </c>
      <c r="C286" s="18" t="e">
        <f>SUMIF(#REF!,A286,#REF!)</f>
        <v>#REF!</v>
      </c>
      <c r="D286" s="75" t="e">
        <f t="shared" si="25"/>
        <v>#REF!</v>
      </c>
      <c r="E286" s="10">
        <v>43816</v>
      </c>
      <c r="F286" s="19">
        <f t="shared" ca="1" si="23"/>
        <v>45064</v>
      </c>
      <c r="G286" s="20">
        <f t="shared" ca="1" si="24"/>
        <v>-1248</v>
      </c>
      <c r="H286" s="15">
        <f t="shared" si="21"/>
        <v>12</v>
      </c>
      <c r="I286" s="15">
        <f t="shared" si="22"/>
        <v>51</v>
      </c>
    </row>
    <row r="287" spans="1:9" ht="15">
      <c r="A287" s="7" t="s">
        <v>389</v>
      </c>
      <c r="B287" s="17" t="e">
        <f>SUMIF(#REF!,A287,#REF!)/SUMIF(#REF!,A287,#REF!)*100</f>
        <v>#REF!</v>
      </c>
      <c r="C287" s="18" t="e">
        <f>SUMIF(#REF!,A287,#REF!)</f>
        <v>#REF!</v>
      </c>
      <c r="D287" s="75" t="e">
        <f t="shared" si="25"/>
        <v>#REF!</v>
      </c>
      <c r="E287" s="10">
        <v>43817</v>
      </c>
      <c r="F287" s="19">
        <f t="shared" ca="1" si="23"/>
        <v>45064</v>
      </c>
      <c r="G287" s="20">
        <f t="shared" ca="1" si="24"/>
        <v>-1247</v>
      </c>
      <c r="H287" s="15">
        <f t="shared" si="21"/>
        <v>12</v>
      </c>
      <c r="I287" s="15">
        <f t="shared" si="22"/>
        <v>51</v>
      </c>
    </row>
    <row r="288" spans="1:9" ht="15">
      <c r="A288" s="7" t="s">
        <v>435</v>
      </c>
      <c r="B288" s="17" t="e">
        <f>SUMIF(#REF!,A288,#REF!)/SUMIF(#REF!,A288,#REF!)*100</f>
        <v>#REF!</v>
      </c>
      <c r="C288" s="18" t="e">
        <f>SUMIF(#REF!,A288,#REF!)</f>
        <v>#REF!</v>
      </c>
      <c r="D288" s="75" t="e">
        <f t="shared" si="25"/>
        <v>#REF!</v>
      </c>
      <c r="E288" s="10">
        <v>43817</v>
      </c>
      <c r="F288" s="19">
        <f t="shared" ca="1" si="23"/>
        <v>45064</v>
      </c>
      <c r="G288" s="20">
        <f t="shared" ca="1" si="24"/>
        <v>-1247</v>
      </c>
      <c r="H288" s="15">
        <f t="shared" si="21"/>
        <v>12</v>
      </c>
      <c r="I288" s="15">
        <f t="shared" si="22"/>
        <v>51</v>
      </c>
    </row>
    <row r="289" spans="1:9" ht="15">
      <c r="A289" s="7" t="s">
        <v>481</v>
      </c>
      <c r="B289" s="17" t="e">
        <f>SUMIF(#REF!,A289,#REF!)/SUMIF(#REF!,A289,#REF!)*100</f>
        <v>#REF!</v>
      </c>
      <c r="C289" s="18" t="e">
        <f>SUMIF(#REF!,A289,#REF!)</f>
        <v>#REF!</v>
      </c>
      <c r="D289" s="75" t="e">
        <f t="shared" si="25"/>
        <v>#REF!</v>
      </c>
      <c r="E289" s="10">
        <v>43817</v>
      </c>
      <c r="F289" s="19">
        <f t="shared" ca="1" si="23"/>
        <v>45064</v>
      </c>
      <c r="G289" s="20">
        <f t="shared" ca="1" si="24"/>
        <v>-1247</v>
      </c>
      <c r="H289" s="15">
        <f t="shared" si="21"/>
        <v>12</v>
      </c>
      <c r="I289" s="15">
        <f t="shared" si="22"/>
        <v>51</v>
      </c>
    </row>
    <row r="290" spans="1:9" ht="15">
      <c r="A290" s="7" t="s">
        <v>393</v>
      </c>
      <c r="B290" s="17" t="e">
        <f>SUMIF(#REF!,A290,#REF!)/SUMIF(#REF!,A290,#REF!)*100</f>
        <v>#REF!</v>
      </c>
      <c r="C290" s="18" t="e">
        <f>SUMIF(#REF!,A290,#REF!)</f>
        <v>#REF!</v>
      </c>
      <c r="D290" s="75" t="e">
        <f t="shared" si="25"/>
        <v>#REF!</v>
      </c>
      <c r="E290" s="10">
        <v>43818</v>
      </c>
      <c r="F290" s="19">
        <f t="shared" ca="1" si="23"/>
        <v>45064</v>
      </c>
      <c r="G290" s="20">
        <f t="shared" ca="1" si="24"/>
        <v>-1246</v>
      </c>
      <c r="H290" s="15">
        <f t="shared" si="21"/>
        <v>12</v>
      </c>
      <c r="I290" s="15">
        <f t="shared" si="22"/>
        <v>51</v>
      </c>
    </row>
    <row r="291" spans="1:9" ht="15">
      <c r="A291" s="7" t="s">
        <v>378</v>
      </c>
      <c r="B291" s="17" t="e">
        <f>SUMIF(#REF!,A291,#REF!)/SUMIF(#REF!,A291,#REF!)*100</f>
        <v>#REF!</v>
      </c>
      <c r="C291" s="18" t="e">
        <f>SUMIF(#REF!,A291,#REF!)</f>
        <v>#REF!</v>
      </c>
      <c r="D291" s="75" t="e">
        <f t="shared" si="25"/>
        <v>#REF!</v>
      </c>
      <c r="E291" s="10">
        <v>43819</v>
      </c>
      <c r="F291" s="19">
        <f t="shared" ca="1" si="23"/>
        <v>45064</v>
      </c>
      <c r="G291" s="20">
        <f t="shared" ca="1" si="24"/>
        <v>-1245</v>
      </c>
      <c r="H291" s="15">
        <f t="shared" si="21"/>
        <v>12</v>
      </c>
      <c r="I291" s="15">
        <f t="shared" si="22"/>
        <v>51</v>
      </c>
    </row>
    <row r="292" spans="1:9" ht="15">
      <c r="A292" s="7" t="s">
        <v>460</v>
      </c>
      <c r="B292" s="17" t="e">
        <f>SUMIF(#REF!,A292,#REF!)/SUMIF(#REF!,A292,#REF!)*100</f>
        <v>#REF!</v>
      </c>
      <c r="C292" s="18" t="e">
        <f>SUMIF(#REF!,A292,#REF!)</f>
        <v>#REF!</v>
      </c>
      <c r="D292" s="75" t="e">
        <f t="shared" si="25"/>
        <v>#REF!</v>
      </c>
      <c r="E292" s="10">
        <v>43819</v>
      </c>
      <c r="F292" s="19">
        <f t="shared" ca="1" si="23"/>
        <v>45064</v>
      </c>
      <c r="G292" s="20">
        <f t="shared" ca="1" si="24"/>
        <v>-1245</v>
      </c>
      <c r="H292" s="15">
        <f t="shared" si="21"/>
        <v>12</v>
      </c>
      <c r="I292" s="15">
        <f t="shared" si="22"/>
        <v>51</v>
      </c>
    </row>
    <row r="293" spans="1:9" ht="15">
      <c r="A293" s="7" t="s">
        <v>388</v>
      </c>
      <c r="B293" s="17" t="e">
        <f>SUMIF(#REF!,A293,#REF!)/SUMIF(#REF!,A293,#REF!)*100</f>
        <v>#REF!</v>
      </c>
      <c r="C293" s="18" t="e">
        <f>SUMIF(#REF!,A293,#REF!)</f>
        <v>#REF!</v>
      </c>
      <c r="D293" s="75" t="e">
        <f t="shared" si="25"/>
        <v>#REF!</v>
      </c>
      <c r="E293" s="10">
        <v>43819</v>
      </c>
      <c r="F293" s="19">
        <f t="shared" ca="1" si="23"/>
        <v>45064</v>
      </c>
      <c r="G293" s="20">
        <f t="shared" ca="1" si="24"/>
        <v>-1245</v>
      </c>
      <c r="H293" s="15">
        <f t="shared" si="21"/>
        <v>12</v>
      </c>
      <c r="I293" s="15">
        <f t="shared" si="22"/>
        <v>51</v>
      </c>
    </row>
    <row r="294" spans="1:9" ht="15">
      <c r="A294" s="7" t="s">
        <v>472</v>
      </c>
      <c r="B294" s="17" t="e">
        <f>SUMIF(#REF!,A294,#REF!)/SUMIF(#REF!,A294,#REF!)*100</f>
        <v>#REF!</v>
      </c>
      <c r="C294" s="18" t="e">
        <f>SUMIF(#REF!,A294,#REF!)</f>
        <v>#REF!</v>
      </c>
      <c r="D294" s="75" t="e">
        <f t="shared" si="25"/>
        <v>#REF!</v>
      </c>
      <c r="E294" s="10">
        <v>43819</v>
      </c>
      <c r="F294" s="19">
        <f t="shared" ca="1" si="23"/>
        <v>45064</v>
      </c>
      <c r="G294" s="20">
        <f t="shared" ca="1" si="24"/>
        <v>-1245</v>
      </c>
      <c r="H294" s="15">
        <f t="shared" si="21"/>
        <v>12</v>
      </c>
      <c r="I294" s="15">
        <f t="shared" si="22"/>
        <v>51</v>
      </c>
    </row>
    <row r="295" spans="1:9" ht="15">
      <c r="A295" s="7" t="s">
        <v>475</v>
      </c>
      <c r="B295" s="17" t="e">
        <f>SUMIF(#REF!,A295,#REF!)/SUMIF(#REF!,A295,#REF!)*100</f>
        <v>#REF!</v>
      </c>
      <c r="C295" s="18" t="e">
        <f>SUMIF(#REF!,A295,#REF!)</f>
        <v>#REF!</v>
      </c>
      <c r="D295" s="75" t="e">
        <f t="shared" si="25"/>
        <v>#REF!</v>
      </c>
      <c r="E295" s="10">
        <v>43819</v>
      </c>
      <c r="F295" s="19">
        <f t="shared" ca="1" si="23"/>
        <v>45064</v>
      </c>
      <c r="G295" s="20">
        <f t="shared" ca="1" si="24"/>
        <v>-1245</v>
      </c>
      <c r="H295" s="15">
        <f t="shared" si="21"/>
        <v>12</v>
      </c>
      <c r="I295" s="15">
        <f t="shared" si="22"/>
        <v>51</v>
      </c>
    </row>
    <row r="296" spans="1:9" ht="15">
      <c r="A296" s="7" t="s">
        <v>418</v>
      </c>
      <c r="B296" s="17" t="e">
        <f>SUMIF(#REF!,A296,#REF!)/SUMIF(#REF!,A296,#REF!)*100</f>
        <v>#REF!</v>
      </c>
      <c r="C296" s="18" t="e">
        <f>SUMIF(#REF!,A296,#REF!)</f>
        <v>#REF!</v>
      </c>
      <c r="D296" s="75" t="e">
        <f t="shared" si="25"/>
        <v>#REF!</v>
      </c>
      <c r="E296" s="10">
        <v>43822</v>
      </c>
      <c r="F296" s="19">
        <f t="shared" ca="1" si="23"/>
        <v>45064</v>
      </c>
      <c r="G296" s="20">
        <f t="shared" ca="1" si="24"/>
        <v>-1242</v>
      </c>
      <c r="H296" s="15">
        <f t="shared" ref="H296:H307" si="26">MONTH(E296)</f>
        <v>12</v>
      </c>
      <c r="I296" s="15">
        <f t="shared" ref="I296:I307" si="27">WEEKNUM(E296)</f>
        <v>52</v>
      </c>
    </row>
    <row r="297" spans="1:9" ht="15">
      <c r="A297" s="7" t="s">
        <v>342</v>
      </c>
      <c r="B297" s="17" t="e">
        <f>SUMIF(#REF!,A297,#REF!)/SUMIF(#REF!,A297,#REF!)*100</f>
        <v>#REF!</v>
      </c>
      <c r="C297" s="18" t="e">
        <f>SUMIF(#REF!,A297,#REF!)</f>
        <v>#REF!</v>
      </c>
      <c r="D297" s="75" t="e">
        <f t="shared" si="25"/>
        <v>#REF!</v>
      </c>
      <c r="E297" s="10">
        <v>43822</v>
      </c>
      <c r="F297" s="19">
        <f t="shared" ca="1" si="23"/>
        <v>45064</v>
      </c>
      <c r="G297" s="20">
        <f t="shared" ca="1" si="24"/>
        <v>-1242</v>
      </c>
      <c r="H297" s="15">
        <f t="shared" si="26"/>
        <v>12</v>
      </c>
      <c r="I297" s="15">
        <f t="shared" si="27"/>
        <v>52</v>
      </c>
    </row>
    <row r="298" spans="1:9" ht="15">
      <c r="A298" s="7" t="s">
        <v>476</v>
      </c>
      <c r="B298" s="17" t="e">
        <f>SUMIF(#REF!,A298,#REF!)/SUMIF(#REF!,A298,#REF!)*100</f>
        <v>#REF!</v>
      </c>
      <c r="C298" s="18" t="e">
        <f>SUMIF(#REF!,A298,#REF!)</f>
        <v>#REF!</v>
      </c>
      <c r="D298" s="75" t="e">
        <f t="shared" si="25"/>
        <v>#REF!</v>
      </c>
      <c r="E298" s="10">
        <v>43822</v>
      </c>
      <c r="F298" s="19">
        <f t="shared" ca="1" si="23"/>
        <v>45064</v>
      </c>
      <c r="G298" s="20">
        <f t="shared" ca="1" si="24"/>
        <v>-1242</v>
      </c>
      <c r="H298" s="15">
        <f t="shared" si="26"/>
        <v>12</v>
      </c>
      <c r="I298" s="15">
        <f t="shared" si="27"/>
        <v>52</v>
      </c>
    </row>
    <row r="299" spans="1:9" ht="15">
      <c r="A299" s="7" t="s">
        <v>473</v>
      </c>
      <c r="B299" s="17" t="e">
        <f>SUMIF(#REF!,A299,#REF!)/SUMIF(#REF!,A299,#REF!)*100</f>
        <v>#REF!</v>
      </c>
      <c r="C299" s="18" t="e">
        <f>SUMIF(#REF!,A299,#REF!)</f>
        <v>#REF!</v>
      </c>
      <c r="D299" s="75" t="e">
        <f t="shared" si="25"/>
        <v>#REF!</v>
      </c>
      <c r="E299" s="10">
        <v>43824</v>
      </c>
      <c r="F299" s="19">
        <f t="shared" ca="1" si="23"/>
        <v>45064</v>
      </c>
      <c r="G299" s="20">
        <f t="shared" ca="1" si="24"/>
        <v>-1240</v>
      </c>
      <c r="H299" s="15">
        <f t="shared" si="26"/>
        <v>12</v>
      </c>
      <c r="I299" s="15">
        <f t="shared" si="27"/>
        <v>52</v>
      </c>
    </row>
    <row r="300" spans="1:9" ht="15">
      <c r="A300" s="7" t="s">
        <v>474</v>
      </c>
      <c r="B300" s="17" t="e">
        <f>SUMIF(#REF!,A300,#REF!)/SUMIF(#REF!,A300,#REF!)*100</f>
        <v>#REF!</v>
      </c>
      <c r="C300" s="18" t="e">
        <f>SUMIF(#REF!,A300,#REF!)</f>
        <v>#REF!</v>
      </c>
      <c r="D300" s="75" t="e">
        <f t="shared" si="25"/>
        <v>#REF!</v>
      </c>
      <c r="E300" s="10">
        <v>43824</v>
      </c>
      <c r="F300" s="19">
        <f t="shared" ca="1" si="23"/>
        <v>45064</v>
      </c>
      <c r="G300" s="20">
        <f t="shared" ca="1" si="24"/>
        <v>-1240</v>
      </c>
      <c r="H300" s="15">
        <f t="shared" si="26"/>
        <v>12</v>
      </c>
      <c r="I300" s="15">
        <f t="shared" si="27"/>
        <v>52</v>
      </c>
    </row>
    <row r="301" spans="1:9" ht="15">
      <c r="A301" s="7" t="s">
        <v>312</v>
      </c>
      <c r="B301" s="17" t="e">
        <f>SUMIF(#REF!,A301,#REF!)/SUMIF(#REF!,A301,#REF!)*100</f>
        <v>#REF!</v>
      </c>
      <c r="C301" s="18" t="e">
        <f>SUMIF(#REF!,A301,#REF!)</f>
        <v>#REF!</v>
      </c>
      <c r="D301" s="75" t="e">
        <f t="shared" si="25"/>
        <v>#REF!</v>
      </c>
      <c r="E301" s="10">
        <v>43826</v>
      </c>
      <c r="F301" s="19">
        <f t="shared" ca="1" si="23"/>
        <v>45064</v>
      </c>
      <c r="G301" s="20">
        <f t="shared" ca="1" si="24"/>
        <v>-1238</v>
      </c>
      <c r="H301" s="15">
        <f t="shared" si="26"/>
        <v>12</v>
      </c>
      <c r="I301" s="15">
        <f t="shared" si="27"/>
        <v>52</v>
      </c>
    </row>
    <row r="302" spans="1:9" ht="15">
      <c r="A302" s="7" t="s">
        <v>390</v>
      </c>
      <c r="B302" s="17" t="e">
        <f>SUMIF(#REF!,A302,#REF!)/SUMIF(#REF!,A302,#REF!)*100</f>
        <v>#REF!</v>
      </c>
      <c r="C302" s="18" t="e">
        <f>SUMIF(#REF!,A302,#REF!)</f>
        <v>#REF!</v>
      </c>
      <c r="D302" s="75" t="e">
        <f t="shared" si="25"/>
        <v>#REF!</v>
      </c>
      <c r="E302" s="10">
        <v>43826</v>
      </c>
      <c r="F302" s="19">
        <f t="shared" ca="1" si="23"/>
        <v>45064</v>
      </c>
      <c r="G302" s="20">
        <f t="shared" ca="1" si="24"/>
        <v>-1238</v>
      </c>
      <c r="H302" s="15">
        <f t="shared" si="26"/>
        <v>12</v>
      </c>
      <c r="I302" s="15">
        <f t="shared" si="27"/>
        <v>52</v>
      </c>
    </row>
    <row r="303" spans="1:9" ht="15">
      <c r="A303" s="7" t="s">
        <v>478</v>
      </c>
      <c r="B303" s="17" t="e">
        <f>SUMIF(#REF!,A303,#REF!)/SUMIF(#REF!,A303,#REF!)*100</f>
        <v>#REF!</v>
      </c>
      <c r="C303" s="18" t="e">
        <f>SUMIF(#REF!,A303,#REF!)</f>
        <v>#REF!</v>
      </c>
      <c r="D303" s="75" t="e">
        <f t="shared" si="25"/>
        <v>#REF!</v>
      </c>
      <c r="E303" s="10">
        <v>43826</v>
      </c>
      <c r="F303" s="19">
        <f t="shared" ca="1" si="23"/>
        <v>45064</v>
      </c>
      <c r="G303" s="20">
        <f t="shared" ca="1" si="24"/>
        <v>-1238</v>
      </c>
      <c r="H303" s="15">
        <f t="shared" si="26"/>
        <v>12</v>
      </c>
      <c r="I303" s="15">
        <f t="shared" si="27"/>
        <v>52</v>
      </c>
    </row>
    <row r="304" spans="1:9" ht="15">
      <c r="A304" s="7" t="s">
        <v>483</v>
      </c>
      <c r="B304" s="17" t="e">
        <f>SUMIF(#REF!,A304,#REF!)/SUMIF(#REF!,A304,#REF!)*100</f>
        <v>#REF!</v>
      </c>
      <c r="C304" s="18" t="e">
        <f>SUMIF(#REF!,A304,#REF!)</f>
        <v>#REF!</v>
      </c>
      <c r="D304" s="75" t="e">
        <f t="shared" si="25"/>
        <v>#REF!</v>
      </c>
      <c r="E304" s="10">
        <v>43829</v>
      </c>
      <c r="F304" s="19">
        <f t="shared" ca="1" si="23"/>
        <v>45064</v>
      </c>
      <c r="G304" s="20">
        <f t="shared" ca="1" si="24"/>
        <v>-1235</v>
      </c>
      <c r="H304" s="15">
        <f t="shared" si="26"/>
        <v>12</v>
      </c>
      <c r="I304" s="15">
        <f t="shared" si="27"/>
        <v>53</v>
      </c>
    </row>
    <row r="305" spans="1:9" ht="15">
      <c r="A305" s="7" t="s">
        <v>377</v>
      </c>
      <c r="B305" s="17" t="e">
        <f>SUMIF(#REF!,A305,#REF!)/SUMIF(#REF!,A305,#REF!)*100</f>
        <v>#REF!</v>
      </c>
      <c r="C305" s="18" t="e">
        <f>SUMIF(#REF!,A305,#REF!)</f>
        <v>#REF!</v>
      </c>
      <c r="D305" s="75" t="e">
        <f t="shared" si="25"/>
        <v>#REF!</v>
      </c>
      <c r="E305" s="10">
        <v>43830</v>
      </c>
      <c r="F305" s="19">
        <f t="shared" ca="1" si="23"/>
        <v>45064</v>
      </c>
      <c r="G305" s="20">
        <f t="shared" ca="1" si="24"/>
        <v>-1234</v>
      </c>
      <c r="H305" s="15">
        <f t="shared" si="26"/>
        <v>12</v>
      </c>
      <c r="I305" s="15">
        <f t="shared" si="27"/>
        <v>53</v>
      </c>
    </row>
    <row r="306" spans="1:9" ht="15">
      <c r="A306" s="7" t="s">
        <v>406</v>
      </c>
      <c r="B306" s="17" t="e">
        <f>SUMIF(#REF!,A306,#REF!)/SUMIF(#REF!,A306,#REF!)*100</f>
        <v>#REF!</v>
      </c>
      <c r="C306" s="18" t="e">
        <f>SUMIF(#REF!,A306,#REF!)</f>
        <v>#REF!</v>
      </c>
      <c r="D306" s="75" t="e">
        <f t="shared" si="25"/>
        <v>#REF!</v>
      </c>
      <c r="E306" s="10">
        <v>43830</v>
      </c>
      <c r="F306" s="19">
        <f t="shared" ca="1" si="23"/>
        <v>45064</v>
      </c>
      <c r="G306" s="20">
        <f t="shared" ca="1" si="24"/>
        <v>-1234</v>
      </c>
      <c r="H306" s="15">
        <f t="shared" si="26"/>
        <v>12</v>
      </c>
      <c r="I306" s="15">
        <f t="shared" si="27"/>
        <v>53</v>
      </c>
    </row>
    <row r="307" spans="1:9" ht="15">
      <c r="A307" s="7" t="s">
        <v>407</v>
      </c>
      <c r="B307" s="17" t="e">
        <f>SUMIF(#REF!,A307,#REF!)/SUMIF(#REF!,A307,#REF!)*100</f>
        <v>#REF!</v>
      </c>
      <c r="C307" s="18" t="e">
        <f>SUMIF(#REF!,A307,#REF!)</f>
        <v>#REF!</v>
      </c>
      <c r="D307" s="75" t="e">
        <f t="shared" si="25"/>
        <v>#REF!</v>
      </c>
      <c r="E307" s="10">
        <v>43830</v>
      </c>
      <c r="F307" s="19">
        <f t="shared" ca="1" si="23"/>
        <v>45064</v>
      </c>
      <c r="G307" s="20">
        <f t="shared" ca="1" si="24"/>
        <v>-1234</v>
      </c>
      <c r="H307" s="15">
        <f t="shared" si="26"/>
        <v>12</v>
      </c>
      <c r="I307" s="15">
        <f t="shared" si="27"/>
        <v>53</v>
      </c>
    </row>
  </sheetData>
  <autoFilter ref="A1:I307" xr:uid="{00000000-0009-0000-0000-000004000000}">
    <sortState xmlns:xlrd2="http://schemas.microsoft.com/office/spreadsheetml/2017/richdata2" ref="A3:O354">
      <sortCondition ref="E2:E354"/>
    </sortState>
  </autoFilter>
  <conditionalFormatting sqref="A1:A2 A190:A1048576">
    <cfRule type="duplicateValues" dxfId="72" priority="6"/>
  </conditionalFormatting>
  <conditionalFormatting sqref="A190:A1048576">
    <cfRule type="duplicateValues" dxfId="71" priority="5"/>
  </conditionalFormatting>
  <conditionalFormatting sqref="G308:G1048576 G1:G2">
    <cfRule type="dataBar" priority="4">
      <dataBar>
        <cfvo type="min"/>
        <cfvo type="max"/>
        <color rgb="FF008AEF"/>
      </dataBar>
    </cfRule>
  </conditionalFormatting>
  <conditionalFormatting sqref="A1:A1048576">
    <cfRule type="duplicateValues" dxfId="70" priority="3"/>
  </conditionalFormatting>
  <conditionalFormatting sqref="B3:B307">
    <cfRule type="dataBar" priority="89534">
      <dataBar>
        <cfvo type="min"/>
        <cfvo type="max"/>
        <color rgb="FF63C384"/>
      </dataBar>
    </cfRule>
  </conditionalFormatting>
  <conditionalFormatting sqref="G3:G307">
    <cfRule type="dataBar" priority="89535">
      <dataBar>
        <cfvo type="min"/>
        <cfvo type="max"/>
        <color rgb="FF008AEF"/>
      </dataBar>
    </cfRule>
  </conditionalFormatting>
  <pageMargins left="0.7" right="0.7" top="0.16" bottom="0.24" header="0.16" footer="0.24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tabColor rgb="FF00B050"/>
  </sheetPr>
  <dimension ref="A1:BT44"/>
  <sheetViews>
    <sheetView windowProtection="1" zoomScaleNormal="100" workbookViewId="0">
      <pane xSplit="1" ySplit="3" topLeftCell="B15" activePane="bottomRight" state="frozen"/>
      <selection activeCell="F16" sqref="F16:G16"/>
      <selection pane="topRight" activeCell="F16" sqref="F16:G16"/>
      <selection pane="bottomLeft" activeCell="F16" sqref="F16:G16"/>
      <selection pane="bottomRight" activeCell="F16" sqref="F16:G16"/>
    </sheetView>
  </sheetViews>
  <sheetFormatPr defaultColWidth="9.140625" defaultRowHeight="15"/>
  <cols>
    <col min="1" max="1" width="17.7109375" style="26" customWidth="1"/>
    <col min="2" max="9" width="11.140625" style="26" customWidth="1"/>
    <col min="10" max="10" width="14" style="26" customWidth="1"/>
    <col min="11" max="11" width="11.140625" style="26" customWidth="1"/>
    <col min="12" max="12" width="15.7109375" style="26" customWidth="1"/>
    <col min="13" max="47" width="11.140625" style="26" customWidth="1"/>
    <col min="48" max="71" width="13.85546875" style="26" customWidth="1"/>
    <col min="72" max="72" width="11.85546875" style="26" customWidth="1"/>
    <col min="73" max="73" width="12" style="26" customWidth="1"/>
    <col min="74" max="74" width="13" style="26" customWidth="1"/>
    <col min="75" max="75" width="13.42578125" style="26" customWidth="1"/>
    <col min="76" max="76" width="12.28515625" style="26" customWidth="1"/>
    <col min="77" max="77" width="11.5703125" style="26" customWidth="1"/>
    <col min="78" max="78" width="12.28515625" style="26" customWidth="1"/>
    <col min="79" max="93" width="12.5703125" style="26" customWidth="1"/>
    <col min="94" max="94" width="13" style="26" customWidth="1"/>
    <col min="95" max="95" width="12.7109375" style="26" customWidth="1"/>
    <col min="96" max="97" width="11" style="26" customWidth="1"/>
    <col min="98" max="98" width="11.28515625" style="26" customWidth="1"/>
    <col min="99" max="107" width="10.28515625" style="26" customWidth="1"/>
    <col min="108" max="108" width="12.140625" style="26" customWidth="1"/>
    <col min="109" max="16384" width="9.140625" style="26"/>
  </cols>
  <sheetData>
    <row r="1" spans="1:71" ht="15.75" customHeight="1" thickBot="1">
      <c r="A1" s="24" t="s">
        <v>8</v>
      </c>
      <c r="B1" s="25" t="s">
        <v>187</v>
      </c>
      <c r="C1" s="25" t="s">
        <v>188</v>
      </c>
      <c r="D1" s="25" t="s">
        <v>189</v>
      </c>
      <c r="E1" s="25" t="s">
        <v>190</v>
      </c>
      <c r="F1" s="25" t="s">
        <v>191</v>
      </c>
      <c r="G1" s="25" t="s">
        <v>192</v>
      </c>
      <c r="H1" s="25" t="s">
        <v>193</v>
      </c>
      <c r="I1" s="25" t="s">
        <v>194</v>
      </c>
      <c r="J1" s="25" t="s">
        <v>169</v>
      </c>
      <c r="K1" s="77" t="s">
        <v>296</v>
      </c>
      <c r="L1" s="77" t="s">
        <v>297</v>
      </c>
      <c r="M1" s="77" t="s">
        <v>298</v>
      </c>
      <c r="N1" s="77" t="s">
        <v>299</v>
      </c>
      <c r="O1" s="77" t="s">
        <v>300</v>
      </c>
      <c r="P1" s="77" t="s">
        <v>301</v>
      </c>
      <c r="Q1" s="77" t="s">
        <v>302</v>
      </c>
      <c r="R1" s="77" t="s">
        <v>303</v>
      </c>
      <c r="S1" s="77" t="s">
        <v>304</v>
      </c>
      <c r="T1" s="77" t="s">
        <v>305</v>
      </c>
      <c r="U1" s="77" t="s">
        <v>306</v>
      </c>
      <c r="V1" s="77" t="s">
        <v>307</v>
      </c>
      <c r="W1" s="80" t="s">
        <v>324</v>
      </c>
      <c r="X1" s="80" t="s">
        <v>325</v>
      </c>
      <c r="Y1" s="80" t="s">
        <v>326</v>
      </c>
      <c r="Z1" s="80" t="s">
        <v>327</v>
      </c>
      <c r="AA1" s="80" t="s">
        <v>328</v>
      </c>
      <c r="AB1" s="80" t="s">
        <v>329</v>
      </c>
      <c r="AC1" s="80" t="s">
        <v>330</v>
      </c>
      <c r="AD1" s="80" t="s">
        <v>331</v>
      </c>
      <c r="AE1" s="80" t="s">
        <v>332</v>
      </c>
      <c r="AF1" s="80" t="s">
        <v>333</v>
      </c>
      <c r="AG1" s="80" t="s">
        <v>334</v>
      </c>
      <c r="AH1" s="80" t="s">
        <v>335</v>
      </c>
    </row>
    <row r="2" spans="1:71" ht="22.5" customHeight="1">
      <c r="A2" s="27" t="s">
        <v>7</v>
      </c>
      <c r="B2" s="26">
        <v>33</v>
      </c>
      <c r="C2" s="26">
        <v>34</v>
      </c>
      <c r="D2" s="26">
        <v>35</v>
      </c>
      <c r="E2" s="26">
        <v>36</v>
      </c>
      <c r="F2" s="26">
        <v>37</v>
      </c>
      <c r="G2" s="26">
        <v>38</v>
      </c>
      <c r="H2" s="26">
        <v>39</v>
      </c>
      <c r="I2" s="26">
        <v>40</v>
      </c>
      <c r="J2" s="26">
        <v>41</v>
      </c>
      <c r="K2" s="76">
        <v>42</v>
      </c>
      <c r="L2" s="76">
        <v>43</v>
      </c>
      <c r="M2" s="76">
        <v>44</v>
      </c>
      <c r="N2" s="76">
        <v>45</v>
      </c>
      <c r="O2" s="76">
        <v>46</v>
      </c>
      <c r="P2" s="76">
        <v>47</v>
      </c>
      <c r="Q2" s="76">
        <v>48</v>
      </c>
      <c r="R2" s="76">
        <v>49</v>
      </c>
      <c r="S2" s="76">
        <v>50</v>
      </c>
      <c r="T2" s="76">
        <v>51</v>
      </c>
      <c r="U2" s="76">
        <v>52</v>
      </c>
      <c r="V2" s="76">
        <v>53</v>
      </c>
      <c r="W2" s="79">
        <v>1</v>
      </c>
      <c r="X2" s="79">
        <v>2</v>
      </c>
      <c r="Y2" s="79">
        <v>3</v>
      </c>
      <c r="Z2" s="79">
        <v>4</v>
      </c>
      <c r="AA2" s="79">
        <v>5</v>
      </c>
      <c r="AB2" s="79">
        <v>6</v>
      </c>
      <c r="AC2" s="79">
        <v>7</v>
      </c>
      <c r="AD2" s="79">
        <v>8</v>
      </c>
      <c r="AE2" s="79">
        <v>9</v>
      </c>
      <c r="AF2" s="79">
        <v>10</v>
      </c>
      <c r="AG2" s="79">
        <v>11</v>
      </c>
      <c r="AH2" s="79">
        <v>12</v>
      </c>
    </row>
    <row r="3" spans="1:71" ht="19.5" customHeight="1">
      <c r="A3" s="29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</row>
    <row r="4" spans="1:71" ht="19.5" customHeight="1">
      <c r="A4" s="31"/>
      <c r="B4" s="78">
        <v>43694</v>
      </c>
      <c r="C4" s="78">
        <v>43701</v>
      </c>
      <c r="D4" s="78">
        <v>43708</v>
      </c>
      <c r="E4" s="78">
        <v>43715</v>
      </c>
      <c r="F4" s="78">
        <v>43722</v>
      </c>
      <c r="G4" s="78">
        <v>43729</v>
      </c>
      <c r="H4" s="78">
        <v>43736</v>
      </c>
      <c r="I4" s="78">
        <v>43743</v>
      </c>
      <c r="J4" s="78">
        <v>43750</v>
      </c>
      <c r="K4" s="78">
        <v>43757</v>
      </c>
      <c r="L4" s="78">
        <v>43764</v>
      </c>
      <c r="M4" s="78">
        <v>43771</v>
      </c>
      <c r="N4" s="78">
        <v>43778</v>
      </c>
      <c r="O4" s="78">
        <v>43785</v>
      </c>
      <c r="P4" s="78">
        <v>43792</v>
      </c>
      <c r="Q4" s="78">
        <v>43799</v>
      </c>
      <c r="R4" s="78">
        <v>43806</v>
      </c>
      <c r="S4" s="78">
        <v>43813</v>
      </c>
      <c r="T4" s="78">
        <v>43820</v>
      </c>
      <c r="U4" s="78">
        <v>43827</v>
      </c>
      <c r="V4" s="78">
        <v>43830</v>
      </c>
      <c r="W4" s="81">
        <v>43834</v>
      </c>
      <c r="X4" s="81">
        <v>43841</v>
      </c>
      <c r="Y4" s="81">
        <v>40926</v>
      </c>
      <c r="Z4" s="82">
        <v>43855</v>
      </c>
      <c r="AA4" s="82">
        <v>43862</v>
      </c>
      <c r="AB4" s="81">
        <v>43869</v>
      </c>
      <c r="AC4" s="81">
        <v>43876</v>
      </c>
      <c r="AD4" s="81">
        <v>43883</v>
      </c>
      <c r="AE4" s="81">
        <v>43890</v>
      </c>
      <c r="AF4" s="81">
        <v>43897</v>
      </c>
      <c r="AG4" s="81">
        <v>43904</v>
      </c>
      <c r="AH4" s="81">
        <v>43911</v>
      </c>
    </row>
    <row r="5" spans="1:71" ht="24.75" customHeight="1">
      <c r="A5" s="33" t="s">
        <v>9</v>
      </c>
      <c r="B5" s="34">
        <v>6600</v>
      </c>
      <c r="C5" s="34">
        <v>6600</v>
      </c>
      <c r="D5" s="34">
        <v>6600</v>
      </c>
      <c r="E5" s="34">
        <v>6600</v>
      </c>
      <c r="F5" s="34">
        <v>6600</v>
      </c>
      <c r="G5" s="34">
        <v>6600</v>
      </c>
      <c r="H5" s="34">
        <v>6600</v>
      </c>
      <c r="I5" s="34">
        <v>6600</v>
      </c>
      <c r="J5" s="34">
        <v>6600</v>
      </c>
      <c r="K5" s="34">
        <v>6600</v>
      </c>
      <c r="L5" s="34">
        <v>6600</v>
      </c>
      <c r="M5" s="34">
        <v>6600</v>
      </c>
      <c r="N5" s="34">
        <v>6600</v>
      </c>
      <c r="O5" s="34">
        <v>6600</v>
      </c>
      <c r="P5" s="34">
        <v>6600</v>
      </c>
      <c r="Q5" s="34">
        <v>6600</v>
      </c>
      <c r="R5" s="34">
        <v>6600</v>
      </c>
      <c r="S5" s="34">
        <v>6600</v>
      </c>
      <c r="T5" s="34">
        <v>6600</v>
      </c>
      <c r="U5" s="34">
        <v>6600</v>
      </c>
      <c r="V5" s="34">
        <v>6600</v>
      </c>
      <c r="W5" s="34">
        <v>6600</v>
      </c>
      <c r="X5" s="34">
        <v>6600</v>
      </c>
      <c r="Y5" s="34">
        <v>6600</v>
      </c>
      <c r="Z5" s="83">
        <v>6600</v>
      </c>
      <c r="AA5" s="83">
        <v>6600</v>
      </c>
      <c r="AB5" s="34">
        <v>6600</v>
      </c>
      <c r="AC5" s="34">
        <v>6600</v>
      </c>
      <c r="AD5" s="34">
        <v>6600</v>
      </c>
      <c r="AE5" s="34">
        <v>6600</v>
      </c>
      <c r="AF5" s="34">
        <v>6600</v>
      </c>
      <c r="AG5" s="34">
        <v>6600</v>
      </c>
      <c r="AH5" s="34">
        <v>6600</v>
      </c>
    </row>
    <row r="6" spans="1:71" ht="26.25" customHeight="1">
      <c r="A6" s="33" t="s">
        <v>10</v>
      </c>
      <c r="B6" s="35" t="e">
        <f>SUMIF(#REF!,'KEHOACH 2019'!B2,#REF!)</f>
        <v>#REF!</v>
      </c>
      <c r="C6" s="35" t="e">
        <f>SUMIF(#REF!,'KEHOACH 2019'!C2,#REF!)</f>
        <v>#REF!</v>
      </c>
      <c r="D6" s="35" t="e">
        <f>SUMIF(#REF!,'KEHOACH 2019'!D2,#REF!)</f>
        <v>#REF!</v>
      </c>
      <c r="E6" s="35" t="e">
        <f>SUMIF(#REF!,'KEHOACH 2019'!E2,#REF!)</f>
        <v>#REF!</v>
      </c>
      <c r="F6" s="35" t="e">
        <f>SUMIF(#REF!,'KEHOACH 2019'!F2,#REF!)</f>
        <v>#REF!</v>
      </c>
      <c r="G6" s="35" t="e">
        <f>SUMIF(#REF!,'KEHOACH 2019'!G2,#REF!)</f>
        <v>#REF!</v>
      </c>
      <c r="H6" s="35" t="e">
        <f>SUMIF(#REF!,'KEHOACH 2019'!H2,#REF!)</f>
        <v>#REF!</v>
      </c>
      <c r="I6" s="35" t="e">
        <f>SUMIF(#REF!,'KEHOACH 2019'!I2,#REF!)</f>
        <v>#REF!</v>
      </c>
      <c r="J6" s="35" t="e">
        <f>SUMIF(#REF!,'KEHOACH 2019'!J2,#REF!)</f>
        <v>#REF!</v>
      </c>
      <c r="K6" s="35" t="e">
        <f>SUMIF(#REF!,'KEHOACH 2019'!K2,#REF!)</f>
        <v>#REF!</v>
      </c>
      <c r="L6" s="35" t="e">
        <f>SUMIF(#REF!,'KEHOACH 2019'!L2,#REF!)</f>
        <v>#REF!</v>
      </c>
      <c r="M6" s="35" t="e">
        <f>SUMIF(#REF!,'KEHOACH 2019'!M2,#REF!)</f>
        <v>#REF!</v>
      </c>
      <c r="N6" s="35" t="e">
        <f>SUMIF(#REF!,'KEHOACH 2019'!N2,#REF!)</f>
        <v>#REF!</v>
      </c>
      <c r="O6" s="35" t="e">
        <f>SUMIF(#REF!,'KEHOACH 2019'!O2,#REF!)</f>
        <v>#REF!</v>
      </c>
      <c r="P6" s="35" t="e">
        <f>SUMIF(#REF!,'KEHOACH 2019'!P2,#REF!)</f>
        <v>#REF!</v>
      </c>
      <c r="Q6" s="35" t="e">
        <f>SUMIF(#REF!,'KEHOACH 2019'!Q2,#REF!)</f>
        <v>#REF!</v>
      </c>
      <c r="R6" s="35" t="e">
        <f>SUMIF(#REF!,'KEHOACH 2019'!R2,#REF!)</f>
        <v>#REF!</v>
      </c>
      <c r="S6" s="35" t="e">
        <f>SUMIF(#REF!,'KEHOACH 2019'!S2,#REF!)</f>
        <v>#REF!</v>
      </c>
      <c r="T6" s="35" t="e">
        <f>SUMIF(#REF!,'KEHOACH 2019'!T2,#REF!)</f>
        <v>#REF!</v>
      </c>
      <c r="U6" s="35" t="e">
        <f>SUMIF(#REF!,'KEHOACH 2019'!U2,#REF!)</f>
        <v>#REF!</v>
      </c>
      <c r="V6" s="35" t="e">
        <f>SUMIF(#REF!,'KEHOACH 2019'!V2,#REF!)</f>
        <v>#REF!</v>
      </c>
      <c r="W6" s="35" t="e">
        <f>SUMIF(#REF!,'KEHOACH 2019'!W2,#REF!)</f>
        <v>#REF!</v>
      </c>
      <c r="X6" s="35" t="e">
        <f>SUMIF(#REF!,'KEHOACH 2019'!X2,#REF!)</f>
        <v>#REF!</v>
      </c>
      <c r="Y6" s="35" t="e">
        <f>SUMIF(#REF!,'KEHOACH 2019'!Y2,#REF!)</f>
        <v>#REF!</v>
      </c>
      <c r="Z6" s="83" t="e">
        <f>SUMIF(#REF!,'KEHOACH 2019'!Z2,#REF!)</f>
        <v>#REF!</v>
      </c>
      <c r="AA6" s="83" t="e">
        <f>SUMIF(#REF!,'KEHOACH 2019'!AA2,#REF!)</f>
        <v>#REF!</v>
      </c>
      <c r="AB6" s="35" t="e">
        <f>SUMIF(#REF!,'KEHOACH 2019'!AB2,#REF!)</f>
        <v>#REF!</v>
      </c>
      <c r="AC6" s="35" t="e">
        <f>SUMIF(#REF!,'KEHOACH 2019'!AC2,#REF!)</f>
        <v>#REF!</v>
      </c>
      <c r="AD6" s="35" t="e">
        <f>SUMIF(#REF!,'KEHOACH 2019'!AD2,#REF!)</f>
        <v>#REF!</v>
      </c>
      <c r="AE6" s="35" t="e">
        <f>SUMIF(#REF!,'KEHOACH 2019'!AE2,#REF!)</f>
        <v>#REF!</v>
      </c>
      <c r="AF6" s="35" t="e">
        <f>SUMIF(#REF!,'KEHOACH 2019'!AF2,#REF!)</f>
        <v>#REF!</v>
      </c>
      <c r="AG6" s="35" t="e">
        <f>SUMIF(#REF!,'KEHOACH 2019'!AG2,#REF!)</f>
        <v>#REF!</v>
      </c>
      <c r="AH6" s="35" t="e">
        <f>SUMIF(#REF!,'KEHOACH 2019'!AH2,#REF!)</f>
        <v>#REF!</v>
      </c>
    </row>
    <row r="7" spans="1:71" ht="27" customHeight="1">
      <c r="A7" s="33" t="s">
        <v>11</v>
      </c>
      <c r="B7" s="35" t="e">
        <f>SUMIF(#REF!,'KEHOACH 2019'!B2,#REF!)</f>
        <v>#REF!</v>
      </c>
      <c r="C7" s="35" t="e">
        <f>SUMIF(#REF!,'KEHOACH 2019'!C2,#REF!)</f>
        <v>#REF!</v>
      </c>
      <c r="D7" s="35" t="e">
        <f>SUMIF(#REF!,'KEHOACH 2019'!D2,#REF!)</f>
        <v>#REF!</v>
      </c>
      <c r="E7" s="35" t="e">
        <f>SUMIF(#REF!,'KEHOACH 2019'!E2,#REF!)</f>
        <v>#REF!</v>
      </c>
      <c r="F7" s="35" t="e">
        <f>SUMIF(#REF!,'KEHOACH 2019'!F2,#REF!)</f>
        <v>#REF!</v>
      </c>
      <c r="G7" s="35" t="e">
        <f>SUMIF(#REF!,'KEHOACH 2019'!G2,#REF!)</f>
        <v>#REF!</v>
      </c>
      <c r="H7" s="35" t="e">
        <f>SUMIF(#REF!,'KEHOACH 2019'!H2,#REF!)</f>
        <v>#REF!</v>
      </c>
      <c r="I7" s="35" t="e">
        <f>SUMIF(#REF!,'KEHOACH 2019'!I2,#REF!)</f>
        <v>#REF!</v>
      </c>
      <c r="J7" s="35" t="e">
        <f>SUMIF(#REF!,'KEHOACH 2019'!J2,#REF!)</f>
        <v>#REF!</v>
      </c>
      <c r="K7" s="35" t="e">
        <f>SUMIF(#REF!,'KEHOACH 2019'!K2,#REF!)</f>
        <v>#REF!</v>
      </c>
      <c r="L7" s="35" t="e">
        <f>SUMIF(#REF!,'KEHOACH 2019'!L2,#REF!)</f>
        <v>#REF!</v>
      </c>
      <c r="M7" s="35" t="e">
        <f>SUMIF(#REF!,'KEHOACH 2019'!M2,#REF!)</f>
        <v>#REF!</v>
      </c>
      <c r="N7" s="35" t="e">
        <f>SUMIF(#REF!,'KEHOACH 2019'!N2,#REF!)</f>
        <v>#REF!</v>
      </c>
      <c r="O7" s="35" t="e">
        <f>SUMIF(#REF!,'KEHOACH 2019'!O2,#REF!)</f>
        <v>#REF!</v>
      </c>
      <c r="P7" s="35" t="e">
        <f>SUMIF(#REF!,'KEHOACH 2019'!P2,#REF!)</f>
        <v>#REF!</v>
      </c>
      <c r="Q7" s="35" t="e">
        <f>SUMIF(#REF!,'KEHOACH 2019'!Q2,#REF!)</f>
        <v>#REF!</v>
      </c>
      <c r="R7" s="35" t="e">
        <f>SUMIF(#REF!,'KEHOACH 2019'!R2,#REF!)</f>
        <v>#REF!</v>
      </c>
      <c r="S7" s="35" t="e">
        <f>SUMIF(#REF!,'KEHOACH 2019'!S2,#REF!)</f>
        <v>#REF!</v>
      </c>
      <c r="T7" s="35" t="e">
        <f>SUMIF(#REF!,'KEHOACH 2019'!T2,#REF!)</f>
        <v>#REF!</v>
      </c>
      <c r="U7" s="35" t="e">
        <f>SUMIF(#REF!,'KEHOACH 2019'!U2,#REF!)</f>
        <v>#REF!</v>
      </c>
      <c r="V7" s="35" t="e">
        <f>SUMIF(#REF!,'KEHOACH 2019'!V2,#REF!)</f>
        <v>#REF!</v>
      </c>
      <c r="W7" s="35" t="e">
        <f>SUMIF(#REF!,'KEHOACH 2019'!W2,#REF!)</f>
        <v>#REF!</v>
      </c>
      <c r="X7" s="35" t="e">
        <f>SUMIF(#REF!,'KEHOACH 2019'!X2,#REF!)</f>
        <v>#REF!</v>
      </c>
      <c r="Y7" s="35" t="e">
        <f>SUMIF(#REF!,'KEHOACH 2019'!Y2,#REF!)</f>
        <v>#REF!</v>
      </c>
      <c r="Z7" s="83" t="e">
        <f>SUMIF(#REF!,'KEHOACH 2019'!Z2,#REF!)</f>
        <v>#REF!</v>
      </c>
      <c r="AA7" s="83" t="e">
        <f>SUMIF(#REF!,'KEHOACH 2019'!AA2,#REF!)</f>
        <v>#REF!</v>
      </c>
      <c r="AB7" s="35" t="e">
        <f>SUMIF(#REF!,'KEHOACH 2019'!AB2,#REF!)</f>
        <v>#REF!</v>
      </c>
      <c r="AC7" s="35" t="e">
        <f>SUMIF(#REF!,'KEHOACH 2019'!AC2,#REF!)</f>
        <v>#REF!</v>
      </c>
      <c r="AD7" s="35" t="e">
        <f>SUMIF(#REF!,'KEHOACH 2019'!AD2,#REF!)</f>
        <v>#REF!</v>
      </c>
      <c r="AE7" s="35" t="e">
        <f>SUMIF(#REF!,'KEHOACH 2019'!AE2,#REF!)</f>
        <v>#REF!</v>
      </c>
      <c r="AF7" s="35" t="e">
        <f>SUMIF(#REF!,'KEHOACH 2019'!AF2,#REF!)</f>
        <v>#REF!</v>
      </c>
      <c r="AG7" s="35" t="e">
        <f>SUMIF(#REF!,'KEHOACH 2019'!AG2,#REF!)</f>
        <v>#REF!</v>
      </c>
      <c r="AH7" s="35" t="e">
        <f>SUMIF(#REF!,'KEHOACH 2019'!AH2,#REF!)</f>
        <v>#REF!</v>
      </c>
    </row>
    <row r="8" spans="1:71" ht="32.25" customHeight="1">
      <c r="A8" s="36" t="s">
        <v>12</v>
      </c>
      <c r="B8" s="37" t="e">
        <f>SUM($B$7:B7)</f>
        <v>#REF!</v>
      </c>
      <c r="C8" s="37" t="e">
        <f>SUM($B$7:C7)</f>
        <v>#REF!</v>
      </c>
      <c r="D8" s="37" t="e">
        <f>SUM($B$7:D7)</f>
        <v>#REF!</v>
      </c>
      <c r="E8" s="37" t="e">
        <f>SUM($B$7:E7)</f>
        <v>#REF!</v>
      </c>
      <c r="F8" s="37" t="e">
        <f>SUM($B$7:F7)</f>
        <v>#REF!</v>
      </c>
      <c r="G8" s="37" t="e">
        <f>SUM($B$7:G7)</f>
        <v>#REF!</v>
      </c>
      <c r="H8" s="37" t="e">
        <f>SUM($B$7:H7)</f>
        <v>#REF!</v>
      </c>
      <c r="I8" s="37" t="e">
        <f>SUM($B$7:I7)</f>
        <v>#REF!</v>
      </c>
      <c r="J8" s="37" t="e">
        <f>SUM($B$7:J7)</f>
        <v>#REF!</v>
      </c>
      <c r="K8" s="37" t="e">
        <f>SUM($B$7:K7)</f>
        <v>#REF!</v>
      </c>
      <c r="L8" s="37" t="e">
        <f>SUM($B$7:L7)</f>
        <v>#REF!</v>
      </c>
      <c r="M8" s="37" t="e">
        <f>SUM($B$7:M7)</f>
        <v>#REF!</v>
      </c>
      <c r="N8" s="37" t="e">
        <f>SUM($B$7:N7)</f>
        <v>#REF!</v>
      </c>
      <c r="O8" s="37" t="e">
        <f>SUM($B$7:O7)</f>
        <v>#REF!</v>
      </c>
      <c r="P8" s="37" t="e">
        <f>SUM($B$7:P7)</f>
        <v>#REF!</v>
      </c>
      <c r="Q8" s="37" t="e">
        <f>SUM($B$7:Q7)</f>
        <v>#REF!</v>
      </c>
      <c r="R8" s="37" t="e">
        <f>SUM($B$7:R7)</f>
        <v>#REF!</v>
      </c>
      <c r="S8" s="37" t="e">
        <f>SUM($B$7:S7)</f>
        <v>#REF!</v>
      </c>
      <c r="T8" s="37" t="e">
        <f>SUM($B$7:T7)</f>
        <v>#REF!</v>
      </c>
      <c r="U8" s="37" t="e">
        <f>SUM($B$7:U7)</f>
        <v>#REF!</v>
      </c>
      <c r="V8" s="37" t="e">
        <f>SUM($B$7:V7)</f>
        <v>#REF!</v>
      </c>
      <c r="W8" s="37" t="e">
        <f>SUM($B$7:W7)</f>
        <v>#REF!</v>
      </c>
      <c r="X8" s="37" t="e">
        <f>SUM($B$7:X7)</f>
        <v>#REF!</v>
      </c>
      <c r="Y8" s="37" t="e">
        <f>SUM($B$7:Y7)</f>
        <v>#REF!</v>
      </c>
      <c r="Z8" s="84" t="e">
        <f>SUM($B$7:Z7)</f>
        <v>#REF!</v>
      </c>
      <c r="AA8" s="84" t="e">
        <f>SUM($B$7:AA7)</f>
        <v>#REF!</v>
      </c>
      <c r="AB8" s="37" t="e">
        <f>SUM($B$7:AB7)</f>
        <v>#REF!</v>
      </c>
      <c r="AC8" s="37" t="e">
        <f>SUM($B$7:AC7)</f>
        <v>#REF!</v>
      </c>
      <c r="AD8" s="37" t="e">
        <f>SUM($B$7:AD7)</f>
        <v>#REF!</v>
      </c>
      <c r="AE8" s="37" t="e">
        <f>SUM($B$7:AE7)</f>
        <v>#REF!</v>
      </c>
      <c r="AF8" s="37" t="e">
        <f>SUM($B$7:AF7)</f>
        <v>#REF!</v>
      </c>
      <c r="AG8" s="37" t="e">
        <f>SUM($B$7:AG7)</f>
        <v>#REF!</v>
      </c>
      <c r="AH8" s="37" t="e">
        <f>SUM($B$7:AH7)</f>
        <v>#REF!</v>
      </c>
    </row>
    <row r="9" spans="1:71" ht="25.5" customHeight="1">
      <c r="A9" s="33" t="s">
        <v>13</v>
      </c>
      <c r="B9" s="28"/>
      <c r="C9" s="28"/>
      <c r="D9" s="28"/>
      <c r="E9" s="28"/>
      <c r="F9" s="28"/>
      <c r="G9" s="28"/>
      <c r="H9" s="28"/>
      <c r="I9" s="28"/>
      <c r="J9" s="28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71" ht="30.75" customHeight="1">
      <c r="A10" s="36" t="s">
        <v>14</v>
      </c>
      <c r="B10" s="28"/>
      <c r="C10" s="28"/>
      <c r="D10" s="28"/>
      <c r="E10" s="28"/>
      <c r="F10" s="28"/>
      <c r="G10" s="28"/>
      <c r="H10" s="28"/>
      <c r="I10" s="28"/>
      <c r="J10" s="28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</row>
    <row r="11" spans="1:71" ht="24" customHeight="1" thickBot="1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</row>
    <row r="12" spans="1:71" ht="33.75" customHeight="1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</row>
    <row r="13" spans="1:71" ht="18" customHeight="1" thickBot="1">
      <c r="A13" s="87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</row>
    <row r="14" spans="1:71" ht="18" customHeight="1">
      <c r="A14" s="42" t="s">
        <v>6</v>
      </c>
      <c r="B14" s="440" t="s">
        <v>176</v>
      </c>
      <c r="C14" s="441"/>
      <c r="D14" s="442" t="s">
        <v>177</v>
      </c>
      <c r="E14" s="443"/>
      <c r="F14" s="442" t="s">
        <v>178</v>
      </c>
      <c r="G14" s="443"/>
      <c r="H14" s="442" t="s">
        <v>179</v>
      </c>
      <c r="I14" s="4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</row>
    <row r="15" spans="1:71" ht="18" customHeight="1">
      <c r="A15" s="44"/>
      <c r="B15" s="45"/>
      <c r="C15" s="46"/>
      <c r="D15" s="47"/>
      <c r="E15" s="46"/>
      <c r="F15" s="48"/>
      <c r="G15" s="49"/>
      <c r="H15" s="48"/>
      <c r="I15" s="49"/>
      <c r="J15" s="43">
        <v>700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</row>
    <row r="16" spans="1:71" ht="19.5">
      <c r="A16" s="50">
        <v>1</v>
      </c>
      <c r="B16" s="444" t="e">
        <f>SUMIF('TIEN DO (2019)'!$H:$H,'KEHOACH 2019'!A16,'TIEN DO (2019)'!$D:$D)</f>
        <v>#REF!</v>
      </c>
      <c r="C16" s="445"/>
      <c r="D16" s="446"/>
      <c r="E16" s="445"/>
      <c r="F16" s="447" t="e">
        <f>SUMIF('TIEN DO (2019)'!$H$3:$H$307,'KEHOACH 2019'!A16,'TIEN DO (2019)'!$C$3:$C$307)</f>
        <v>#REF!</v>
      </c>
      <c r="G16" s="448"/>
      <c r="H16" s="447"/>
      <c r="I16" s="448"/>
      <c r="J16" s="51" t="e">
        <f>K16*J15-B16</f>
        <v>#REF!</v>
      </c>
      <c r="K16" s="51">
        <f>27-15</f>
        <v>12</v>
      </c>
      <c r="L16" s="52">
        <v>43861</v>
      </c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</row>
    <row r="17" spans="1:72" ht="19.5">
      <c r="A17" s="50">
        <v>2</v>
      </c>
      <c r="B17" s="444" t="e">
        <f>SUMIF('TIEN DO (2019)'!$H:$H,'KEHOACH 2019'!A17,'TIEN DO (2019)'!$D:$D)</f>
        <v>#REF!</v>
      </c>
      <c r="C17" s="445"/>
      <c r="D17" s="446"/>
      <c r="E17" s="445"/>
      <c r="F17" s="447" t="e">
        <f>SUMIF('TIEN DO (2019)'!$H$3:$H$307,'KEHOACH 2019'!A17,'TIEN DO (2019)'!$C$3:$C$307)</f>
        <v>#REF!</v>
      </c>
      <c r="G17" s="448"/>
      <c r="H17" s="447"/>
      <c r="I17" s="448"/>
      <c r="J17" s="74" t="e">
        <f>K17*J15-B17</f>
        <v>#REF!</v>
      </c>
      <c r="K17" s="51">
        <v>25</v>
      </c>
      <c r="L17" s="52">
        <v>43890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</row>
    <row r="18" spans="1:72" ht="19.5">
      <c r="A18" s="50">
        <v>3</v>
      </c>
      <c r="B18" s="444" t="e">
        <f>SUMIF('TIEN DO (2019)'!$H:$H,'KEHOACH 2019'!A18,'TIEN DO (2019)'!$D:$D)</f>
        <v>#REF!</v>
      </c>
      <c r="C18" s="445"/>
      <c r="D18" s="446"/>
      <c r="E18" s="445"/>
      <c r="F18" s="447" t="e">
        <f>SUMIF('TIEN DO (2019)'!$H$3:$H$307,'KEHOACH 2019'!A18,'TIEN DO (2019)'!$C$3:$C$307)</f>
        <v>#REF!</v>
      </c>
      <c r="G18" s="448"/>
      <c r="H18" s="447"/>
      <c r="I18" s="448"/>
      <c r="J18" s="51"/>
      <c r="K18" s="53"/>
      <c r="L18" s="52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</row>
    <row r="19" spans="1:72" ht="19.5">
      <c r="A19" s="50">
        <v>4</v>
      </c>
      <c r="B19" s="444" t="e">
        <f>SUMIF('TIEN DO (2019)'!$H:$H,'KEHOACH 2019'!A19,'TIEN DO (2019)'!$D:$D)</f>
        <v>#REF!</v>
      </c>
      <c r="C19" s="445"/>
      <c r="D19" s="446"/>
      <c r="E19" s="445"/>
      <c r="F19" s="447" t="e">
        <f>SUMIF('TIEN DO (2019)'!$H$3:$H$307,'KEHOACH 2019'!A19,'TIEN DO (2019)'!$C$3:$C$307)</f>
        <v>#REF!</v>
      </c>
      <c r="G19" s="448"/>
      <c r="H19" s="447"/>
      <c r="I19" s="448"/>
      <c r="J19" s="51"/>
      <c r="K19" s="53"/>
      <c r="L19" s="52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</row>
    <row r="20" spans="1:72" ht="19.5">
      <c r="A20" s="50">
        <v>5</v>
      </c>
      <c r="B20" s="444" t="e">
        <f>SUMIF('TIEN DO (2019)'!$H:$H,'KEHOACH 2019'!A20,'TIEN DO (2019)'!$D:$D)</f>
        <v>#REF!</v>
      </c>
      <c r="C20" s="445"/>
      <c r="D20" s="446"/>
      <c r="E20" s="445"/>
      <c r="F20" s="447" t="e">
        <f>SUMIF('TIEN DO (2019)'!$H$3:$H$307,'KEHOACH 2019'!A20,'TIEN DO (2019)'!$C$3:$C$307)</f>
        <v>#REF!</v>
      </c>
      <c r="G20" s="448"/>
      <c r="H20" s="447"/>
      <c r="I20" s="448"/>
      <c r="J20" s="51"/>
      <c r="K20" s="53"/>
      <c r="L20" s="52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</row>
    <row r="21" spans="1:72" ht="19.5">
      <c r="A21" s="50">
        <v>6</v>
      </c>
      <c r="B21" s="444" t="e">
        <f>SUMIF('TIEN DO (2019)'!$H:$H,'KEHOACH 2019'!A21,'TIEN DO (2019)'!$D:$D)</f>
        <v>#REF!</v>
      </c>
      <c r="C21" s="445"/>
      <c r="D21" s="446"/>
      <c r="E21" s="445"/>
      <c r="F21" s="447" t="e">
        <f>SUMIF('TIEN DO (2019)'!$H$3:$H$307,'KEHOACH 2019'!A21,'TIEN DO (2019)'!$C$3:$C$307)</f>
        <v>#REF!</v>
      </c>
      <c r="G21" s="448"/>
      <c r="H21" s="447"/>
      <c r="I21" s="448"/>
      <c r="J21" s="51"/>
      <c r="K21" s="74"/>
      <c r="L21" s="52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</row>
    <row r="22" spans="1:72" ht="19.5">
      <c r="A22" s="50">
        <v>7</v>
      </c>
      <c r="B22" s="444" t="e">
        <f>SUMIF('TIEN DO (2019)'!$H:$H,'KEHOACH 2019'!A22,'TIEN DO (2019)'!$D:$D)</f>
        <v>#REF!</v>
      </c>
      <c r="C22" s="445"/>
      <c r="D22" s="446"/>
      <c r="E22" s="445"/>
      <c r="F22" s="447" t="e">
        <f>SUMIF('TIEN DO (2019)'!$H$3:$H$307,'KEHOACH 2019'!A22,'TIEN DO (2019)'!$C$3:$C$307)</f>
        <v>#REF!</v>
      </c>
      <c r="G22" s="448"/>
      <c r="H22" s="447"/>
      <c r="I22" s="448"/>
      <c r="J22" s="51"/>
      <c r="K22" s="74"/>
      <c r="L22" s="52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</row>
    <row r="23" spans="1:72" ht="19.5">
      <c r="A23" s="50">
        <v>8</v>
      </c>
      <c r="B23" s="444" t="e">
        <f>SUMIF('TIEN DO (2019)'!$H:$H,'KEHOACH 2019'!A23,'TIEN DO (2019)'!$D:$D)</f>
        <v>#REF!</v>
      </c>
      <c r="C23" s="445"/>
      <c r="D23" s="446"/>
      <c r="E23" s="445"/>
      <c r="F23" s="447" t="e">
        <f>SUMIF('TIEN DO (2019)'!$H$3:$H$307,'KEHOACH 2019'!A23,'TIEN DO (2019)'!$C$3:$C$307)</f>
        <v>#REF!</v>
      </c>
      <c r="G23" s="448"/>
      <c r="H23" s="447"/>
      <c r="I23" s="448"/>
      <c r="J23" s="51"/>
      <c r="K23" s="74"/>
      <c r="L23" s="52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</row>
    <row r="24" spans="1:72" ht="19.5">
      <c r="A24" s="50">
        <v>9</v>
      </c>
      <c r="B24" s="444" t="e">
        <f>SUMIF('TIEN DO (2019)'!$H:$H,'KEHOACH 2019'!A24,'TIEN DO (2019)'!$D:$D)</f>
        <v>#REF!</v>
      </c>
      <c r="C24" s="445"/>
      <c r="D24" s="446"/>
      <c r="E24" s="445"/>
      <c r="F24" s="447" t="e">
        <f>SUMIF('TIEN DO (2019)'!$H$3:$H$307,'KEHOACH 2019'!A24,'TIEN DO (2019)'!$C$3:$C$307)</f>
        <v>#REF!</v>
      </c>
      <c r="G24" s="448"/>
      <c r="H24" s="447"/>
      <c r="I24" s="448"/>
      <c r="J24" s="51"/>
      <c r="K24" s="74"/>
      <c r="L24" s="52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</row>
    <row r="25" spans="1:72" ht="19.5">
      <c r="A25" s="50">
        <v>10</v>
      </c>
      <c r="B25" s="444" t="e">
        <f>SUMIF('TIEN DO (2019)'!$H:$H,'KEHOACH 2019'!A25,'TIEN DO (2019)'!$D:$D)</f>
        <v>#REF!</v>
      </c>
      <c r="C25" s="445"/>
      <c r="D25" s="446"/>
      <c r="E25" s="445"/>
      <c r="F25" s="447" t="e">
        <f>SUMIF('TIEN DO (2019)'!$H$3:$H$307,'KEHOACH 2019'!A25,'TIEN DO (2019)'!$C$3:$C$307)</f>
        <v>#REF!</v>
      </c>
      <c r="G25" s="448"/>
      <c r="H25" s="447"/>
      <c r="I25" s="448"/>
      <c r="J25" s="54"/>
      <c r="K25" s="51"/>
      <c r="L25" s="52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</row>
    <row r="26" spans="1:72" ht="19.5">
      <c r="A26" s="50">
        <v>11</v>
      </c>
      <c r="B26" s="444" t="e">
        <f>SUMIF('TIEN DO (2019)'!$H:$H,'KEHOACH 2019'!A26,'TIEN DO (2019)'!$D:$D)</f>
        <v>#REF!</v>
      </c>
      <c r="C26" s="445"/>
      <c r="D26" s="446"/>
      <c r="E26" s="445"/>
      <c r="F26" s="447" t="e">
        <f>SUMIF('TIEN DO (2019)'!$H$3:$H$307,'KEHOACH 2019'!A26,'TIEN DO (2019)'!$C$3:$C$307)</f>
        <v>#REF!</v>
      </c>
      <c r="G26" s="448"/>
      <c r="H26" s="447"/>
      <c r="I26" s="448"/>
      <c r="J26" s="54"/>
      <c r="K26" s="51"/>
      <c r="L26" s="52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</row>
    <row r="27" spans="1:72" ht="20.25" thickBot="1">
      <c r="A27" s="50">
        <v>12</v>
      </c>
      <c r="B27" s="444" t="e">
        <f>SUMIF('TIEN DO (2019)'!$H:$H,'KEHOACH 2019'!A27,'TIEN DO (2019)'!$D:$D)</f>
        <v>#REF!</v>
      </c>
      <c r="C27" s="445"/>
      <c r="D27" s="446"/>
      <c r="E27" s="445"/>
      <c r="F27" s="447" t="e">
        <f>SUMIF('TIEN DO (2019)'!$H$3:$H$307,'KEHOACH 2019'!A27,'TIEN DO (2019)'!$C$3:$C$307)</f>
        <v>#REF!</v>
      </c>
      <c r="G27" s="448"/>
      <c r="H27" s="447"/>
      <c r="I27" s="448"/>
      <c r="J27" s="54"/>
      <c r="K27" s="51"/>
      <c r="L27" s="52"/>
      <c r="M27" s="51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</row>
    <row r="28" spans="1:72" ht="19.5" customHeight="1" thickBot="1">
      <c r="A28" s="56" t="s">
        <v>15</v>
      </c>
      <c r="B28" s="449" t="e">
        <f>SUM(B16:C27)</f>
        <v>#REF!</v>
      </c>
      <c r="C28" s="449"/>
      <c r="D28" s="449">
        <f>SUM(D16:E27)</f>
        <v>0</v>
      </c>
      <c r="E28" s="449"/>
      <c r="F28" s="449" t="e">
        <f>SUM(F16:G27)</f>
        <v>#REF!</v>
      </c>
      <c r="G28" s="449"/>
      <c r="H28" s="449">
        <f>SUM(H16:I27)</f>
        <v>0</v>
      </c>
      <c r="I28" s="449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</row>
    <row r="32" spans="1:72" ht="15.75" hidden="1">
      <c r="A32" s="27" t="s">
        <v>7</v>
      </c>
      <c r="B32" s="57">
        <v>45</v>
      </c>
      <c r="C32" s="57">
        <v>46</v>
      </c>
      <c r="D32" s="57">
        <v>47</v>
      </c>
      <c r="E32" s="57">
        <v>48</v>
      </c>
      <c r="F32" s="57">
        <v>49</v>
      </c>
      <c r="G32" s="57">
        <v>50</v>
      </c>
      <c r="H32" s="57">
        <v>51</v>
      </c>
      <c r="I32" s="57">
        <v>52</v>
      </c>
      <c r="J32" s="58">
        <v>1</v>
      </c>
      <c r="K32" s="58">
        <v>2</v>
      </c>
      <c r="L32" s="58">
        <v>3</v>
      </c>
      <c r="M32" s="58">
        <v>4</v>
      </c>
      <c r="N32" s="58">
        <v>5</v>
      </c>
      <c r="O32" s="26">
        <v>6</v>
      </c>
    </row>
    <row r="33" spans="1:51" ht="18.75" hidden="1">
      <c r="A33" s="29"/>
      <c r="B33" s="30" t="s">
        <v>180</v>
      </c>
      <c r="C33" s="30" t="s">
        <v>181</v>
      </c>
      <c r="D33" s="30" t="s">
        <v>182</v>
      </c>
      <c r="E33" s="30" t="s">
        <v>183</v>
      </c>
      <c r="F33" s="30" t="s">
        <v>184</v>
      </c>
      <c r="G33" s="30" t="s">
        <v>185</v>
      </c>
      <c r="H33" s="30" t="s">
        <v>186</v>
      </c>
      <c r="I33" s="30" t="s">
        <v>170</v>
      </c>
      <c r="J33" s="30" t="s">
        <v>171</v>
      </c>
      <c r="K33" s="30" t="s">
        <v>172</v>
      </c>
      <c r="L33" s="30" t="s">
        <v>173</v>
      </c>
      <c r="M33" s="30" t="s">
        <v>174</v>
      </c>
      <c r="N33" s="30" t="s">
        <v>175</v>
      </c>
    </row>
    <row r="34" spans="1:51" ht="18.75" hidden="1">
      <c r="A34" s="29"/>
      <c r="B34" s="32">
        <v>43414</v>
      </c>
      <c r="C34" s="32">
        <v>43421</v>
      </c>
      <c r="D34" s="32">
        <v>43428</v>
      </c>
      <c r="E34" s="32">
        <v>43435</v>
      </c>
      <c r="F34" s="32">
        <v>43442</v>
      </c>
      <c r="G34" s="32">
        <v>43456</v>
      </c>
      <c r="H34" s="32">
        <v>43463</v>
      </c>
      <c r="I34" s="32">
        <v>43465</v>
      </c>
      <c r="J34" s="32">
        <v>43470</v>
      </c>
      <c r="K34" s="32">
        <v>43477</v>
      </c>
      <c r="L34" s="32">
        <v>43484</v>
      </c>
      <c r="M34" s="32">
        <v>43491</v>
      </c>
      <c r="N34" s="32">
        <v>43498</v>
      </c>
    </row>
    <row r="35" spans="1:51" ht="18.75" hidden="1">
      <c r="A35" s="59" t="s">
        <v>9</v>
      </c>
      <c r="B35" s="60">
        <v>6600</v>
      </c>
      <c r="C35" s="60">
        <v>6600</v>
      </c>
      <c r="D35" s="60">
        <v>6600</v>
      </c>
      <c r="E35" s="60">
        <v>6600</v>
      </c>
      <c r="F35" s="60">
        <v>6600</v>
      </c>
      <c r="G35" s="60">
        <v>6601</v>
      </c>
      <c r="H35" s="60">
        <v>6602</v>
      </c>
      <c r="I35" s="60">
        <v>6603</v>
      </c>
      <c r="J35" s="60">
        <v>6604</v>
      </c>
      <c r="K35" s="60">
        <v>6605</v>
      </c>
      <c r="L35" s="60">
        <v>6606</v>
      </c>
      <c r="M35" s="60">
        <v>6607</v>
      </c>
      <c r="N35" s="60">
        <v>6608</v>
      </c>
    </row>
    <row r="36" spans="1:51" ht="18.75" hidden="1">
      <c r="A36" s="61" t="s">
        <v>10</v>
      </c>
      <c r="B36" s="62" t="e">
        <f>SUMIF(#REF!,'KEHOACH 2019'!B32,#REF!)</f>
        <v>#REF!</v>
      </c>
      <c r="C36" s="62" t="e">
        <f>SUMIF(#REF!,'KEHOACH 2019'!C32,#REF!)</f>
        <v>#REF!</v>
      </c>
      <c r="D36" s="62" t="e">
        <f>SUMIF(#REF!,'KEHOACH 2019'!D32,#REF!)</f>
        <v>#REF!</v>
      </c>
      <c r="E36" s="62" t="e">
        <f>SUMIF(#REF!,'KEHOACH 2019'!E32,#REF!)</f>
        <v>#REF!</v>
      </c>
      <c r="F36" s="62" t="e">
        <f>SUMIF(#REF!,'KEHOACH 2019'!F32,#REF!)</f>
        <v>#REF!</v>
      </c>
      <c r="G36" s="62" t="e">
        <f>SUMIF(#REF!,'KEHOACH 2019'!G32,#REF!)</f>
        <v>#REF!</v>
      </c>
      <c r="H36" s="62" t="e">
        <f>SUMIF(#REF!,'KEHOACH 2019'!H32,#REF!)</f>
        <v>#REF!</v>
      </c>
      <c r="I36" s="62" t="e">
        <f>SUMIF(#REF!,'KEHOACH 2019'!I32,#REF!)</f>
        <v>#REF!</v>
      </c>
      <c r="J36" s="62" t="e">
        <f>SUMIF(#REF!,'KEHOACH 2019'!J32,#REF!)</f>
        <v>#REF!</v>
      </c>
      <c r="K36" s="62" t="e">
        <f>SUMIF(#REF!,'KEHOACH 2019'!K32,#REF!)</f>
        <v>#REF!</v>
      </c>
      <c r="L36" s="62" t="e">
        <f>SUMIF(#REF!,'KEHOACH 2019'!L32,#REF!)</f>
        <v>#REF!</v>
      </c>
      <c r="M36" s="62" t="e">
        <f>SUMIF(#REF!,'KEHOACH 2019'!M32,#REF!)</f>
        <v>#REF!</v>
      </c>
      <c r="N36" s="62" t="e">
        <f>SUMIF(#REF!,'KEHOACH 2019'!N32,#REF!)</f>
        <v>#REF!</v>
      </c>
    </row>
    <row r="37" spans="1:51" ht="18.75" hidden="1">
      <c r="A37" s="59" t="s">
        <v>11</v>
      </c>
      <c r="B37" s="63" t="e">
        <f>SUMIF(#REF!,'KEHOACH 2019'!B32,#REF!)</f>
        <v>#REF!</v>
      </c>
      <c r="C37" s="63" t="e">
        <f>SUMIF(#REF!,'KEHOACH 2019'!C32,#REF!)</f>
        <v>#REF!</v>
      </c>
      <c r="D37" s="63" t="e">
        <f>SUMIF(#REF!,'KEHOACH 2019'!D32,#REF!)</f>
        <v>#REF!</v>
      </c>
      <c r="E37" s="63" t="e">
        <f>SUMIF(#REF!,'KEHOACH 2019'!E32,#REF!)</f>
        <v>#REF!</v>
      </c>
      <c r="F37" s="63" t="e">
        <f>SUMIF(#REF!,'KEHOACH 2019'!F32,#REF!)</f>
        <v>#REF!</v>
      </c>
      <c r="G37" s="63" t="e">
        <f>SUMIF(#REF!,'KEHOACH 2019'!G32,#REF!)</f>
        <v>#REF!</v>
      </c>
      <c r="H37" s="63" t="e">
        <f>SUMIF(#REF!,'KEHOACH 2019'!H32,#REF!)</f>
        <v>#REF!</v>
      </c>
      <c r="I37" s="63" t="e">
        <f>SUMIF(#REF!,'KEHOACH 2019'!I32,#REF!)</f>
        <v>#REF!</v>
      </c>
      <c r="J37" s="63" t="e">
        <f>SUMIF(#REF!,'KEHOACH 2019'!J32,#REF!)</f>
        <v>#REF!</v>
      </c>
      <c r="K37" s="63" t="e">
        <f>SUMIF(#REF!,'KEHOACH 2019'!K32,#REF!)</f>
        <v>#REF!</v>
      </c>
      <c r="L37" s="63" t="e">
        <f>SUMIF(#REF!,'KEHOACH 2019'!L32,#REF!)</f>
        <v>#REF!</v>
      </c>
      <c r="M37" s="63" t="e">
        <f>SUMIF(#REF!,'KEHOACH 2019'!M32,#REF!)</f>
        <v>#REF!</v>
      </c>
      <c r="N37" s="63" t="e">
        <f>SUMIF(#REF!,'KEHOACH 2019'!N32,#REF!)</f>
        <v>#REF!</v>
      </c>
    </row>
    <row r="38" spans="1:51" ht="32.25" hidden="1">
      <c r="A38" s="64" t="s">
        <v>12</v>
      </c>
      <c r="B38" s="65" t="e">
        <f>SUM($B$37:B37)</f>
        <v>#REF!</v>
      </c>
      <c r="C38" s="65" t="e">
        <f>SUM($B$37:C37)</f>
        <v>#REF!</v>
      </c>
      <c r="D38" s="65" t="e">
        <f>SUM($B$37:D37)</f>
        <v>#REF!</v>
      </c>
      <c r="E38" s="65" t="e">
        <f>SUM($B$37:E37)</f>
        <v>#REF!</v>
      </c>
      <c r="F38" s="65" t="e">
        <f>SUM($B$37:F37)</f>
        <v>#REF!</v>
      </c>
      <c r="G38" s="65" t="e">
        <f>SUM($B$37:G37)</f>
        <v>#REF!</v>
      </c>
      <c r="H38" s="65" t="e">
        <f>SUM($B$37:H37)</f>
        <v>#REF!</v>
      </c>
      <c r="I38" s="65" t="e">
        <f>SUM($B$37:I37)</f>
        <v>#REF!</v>
      </c>
      <c r="J38" s="65" t="e">
        <f>SUM($B$37:J37)</f>
        <v>#REF!</v>
      </c>
      <c r="K38" s="65" t="e">
        <f>SUM($B$37:K37)</f>
        <v>#REF!</v>
      </c>
      <c r="L38" s="65" t="e">
        <f>SUM($B$37:L37)</f>
        <v>#REF!</v>
      </c>
      <c r="M38" s="65"/>
      <c r="N38" s="65"/>
    </row>
    <row r="39" spans="1:51" ht="15.75" hidden="1">
      <c r="A39" s="59" t="s">
        <v>13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</row>
    <row r="40" spans="1:51" ht="31.5" hidden="1">
      <c r="A40" s="64" t="s">
        <v>14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</row>
    <row r="41" spans="1:51" ht="15.75" hidden="1" thickBot="1">
      <c r="A41" s="68"/>
      <c r="B41" s="69">
        <f t="shared" ref="B41:N41" ca="1" si="0">(B34-TODAY())-(B34-TODAY())/7</f>
        <v>-1414.2857142857142</v>
      </c>
      <c r="C41" s="69">
        <f t="shared" ca="1" si="0"/>
        <v>-1408.2857142857142</v>
      </c>
      <c r="D41" s="69">
        <f t="shared" ca="1" si="0"/>
        <v>-1402.2857142857142</v>
      </c>
      <c r="E41" s="69">
        <f t="shared" ca="1" si="0"/>
        <v>-1396.2857142857142</v>
      </c>
      <c r="F41" s="69">
        <f t="shared" ca="1" si="0"/>
        <v>-1390.2857142857142</v>
      </c>
      <c r="G41" s="69">
        <f t="shared" ca="1" si="0"/>
        <v>-1378.2857142857142</v>
      </c>
      <c r="H41" s="69">
        <f t="shared" ca="1" si="0"/>
        <v>-1372.2857142857142</v>
      </c>
      <c r="I41" s="69">
        <f t="shared" ca="1" si="0"/>
        <v>-1370.5714285714287</v>
      </c>
      <c r="J41" s="69">
        <f t="shared" ca="1" si="0"/>
        <v>-1366.2857142857142</v>
      </c>
      <c r="K41" s="69">
        <f t="shared" ca="1" si="0"/>
        <v>-1360.2857142857142</v>
      </c>
      <c r="L41" s="69">
        <f t="shared" ca="1" si="0"/>
        <v>-1354.2857142857142</v>
      </c>
      <c r="M41" s="69">
        <f t="shared" ca="1" si="0"/>
        <v>-1348.2857142857142</v>
      </c>
      <c r="N41" s="69">
        <f t="shared" ca="1" si="0"/>
        <v>-1342.2857142857142</v>
      </c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1"/>
      <c r="AV41" s="71"/>
      <c r="AW41" s="71"/>
      <c r="AX41" s="71"/>
      <c r="AY41" s="71"/>
    </row>
    <row r="42" spans="1:51" hidden="1">
      <c r="B42" s="72" t="e">
        <f ca="1">B38/B41</f>
        <v>#REF!</v>
      </c>
      <c r="C42" s="72" t="e">
        <f t="shared" ref="C42:N42" ca="1" si="1">C38/C41</f>
        <v>#REF!</v>
      </c>
      <c r="D42" s="72" t="e">
        <f t="shared" ca="1" si="1"/>
        <v>#REF!</v>
      </c>
      <c r="E42" s="72" t="e">
        <f t="shared" ca="1" si="1"/>
        <v>#REF!</v>
      </c>
      <c r="F42" s="72" t="e">
        <f t="shared" ca="1" si="1"/>
        <v>#REF!</v>
      </c>
      <c r="G42" s="72" t="e">
        <f t="shared" ca="1" si="1"/>
        <v>#REF!</v>
      </c>
      <c r="H42" s="72" t="e">
        <f t="shared" ca="1" si="1"/>
        <v>#REF!</v>
      </c>
      <c r="I42" s="72" t="e">
        <f t="shared" ca="1" si="1"/>
        <v>#REF!</v>
      </c>
      <c r="J42" s="72" t="e">
        <f t="shared" ca="1" si="1"/>
        <v>#REF!</v>
      </c>
      <c r="K42" s="72" t="e">
        <f t="shared" ca="1" si="1"/>
        <v>#REF!</v>
      </c>
      <c r="L42" s="72" t="e">
        <f t="shared" ca="1" si="1"/>
        <v>#REF!</v>
      </c>
      <c r="M42" s="72">
        <f t="shared" ca="1" si="1"/>
        <v>0</v>
      </c>
      <c r="N42" s="72">
        <f t="shared" ca="1" si="1"/>
        <v>0</v>
      </c>
    </row>
    <row r="43" spans="1:51" hidden="1">
      <c r="M43" s="73" t="e">
        <f ca="1">MAX(B42:M42)</f>
        <v>#REF!</v>
      </c>
    </row>
    <row r="44" spans="1:51" hidden="1"/>
  </sheetData>
  <mergeCells count="56">
    <mergeCell ref="H28:I28"/>
    <mergeCell ref="B28:C28"/>
    <mergeCell ref="D28:E28"/>
    <mergeCell ref="F28:G28"/>
    <mergeCell ref="B27:C27"/>
    <mergeCell ref="D27:E27"/>
    <mergeCell ref="F27:G27"/>
    <mergeCell ref="H27:I27"/>
    <mergeCell ref="B25:C25"/>
    <mergeCell ref="D25:E25"/>
    <mergeCell ref="F25:G25"/>
    <mergeCell ref="H25:I25"/>
    <mergeCell ref="B26:C26"/>
    <mergeCell ref="D26:E26"/>
    <mergeCell ref="F26:G26"/>
    <mergeCell ref="H26:I26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7:C17"/>
    <mergeCell ref="D17:E17"/>
    <mergeCell ref="F17:G17"/>
    <mergeCell ref="H17:I17"/>
    <mergeCell ref="B18:C18"/>
    <mergeCell ref="D18:E18"/>
    <mergeCell ref="F18:G18"/>
    <mergeCell ref="H18:I18"/>
    <mergeCell ref="B14:C14"/>
    <mergeCell ref="D14:E14"/>
    <mergeCell ref="F14:G14"/>
    <mergeCell ref="H14:I14"/>
    <mergeCell ref="B16:C16"/>
    <mergeCell ref="D16:E16"/>
    <mergeCell ref="F16:G16"/>
    <mergeCell ref="H16:I16"/>
  </mergeCells>
  <pageMargins left="0.45" right="0.2" top="0.75" bottom="0.75" header="0.3" footer="0.3"/>
  <pageSetup paperSize="9" scale="6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</vt:lpstr>
      <vt:lpstr>BAODUONGXM2</vt:lpstr>
      <vt:lpstr>Sheet2</vt:lpstr>
      <vt:lpstr>DUC-BS</vt:lpstr>
      <vt:lpstr>TIEN DO (2019)</vt:lpstr>
      <vt:lpstr>KEHOACH 2019</vt:lpstr>
      <vt:lpstr>BAODUONGXM2!Print_Area</vt:lpstr>
      <vt:lpstr>'TIEN DO (2019)'!Print_Area</vt:lpstr>
      <vt:lpstr>Sheet1!Print_Titles</vt:lpstr>
    </vt:vector>
  </TitlesOfParts>
  <Company>VINH GIA Co.,Ltd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DINHNH_THANG</dc:creator>
  <cp:lastModifiedBy>THIEN THANH</cp:lastModifiedBy>
  <cp:lastPrinted>2022-02-10T03:13:28Z</cp:lastPrinted>
  <dcterms:created xsi:type="dcterms:W3CDTF">2013-07-09T04:04:16Z</dcterms:created>
  <dcterms:modified xsi:type="dcterms:W3CDTF">2023-05-18T01:31:35Z</dcterms:modified>
</cp:coreProperties>
</file>