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CreditModel\credit_model\model\sme_rating\"/>
    </mc:Choice>
  </mc:AlternateContent>
  <xr:revisionPtr revIDLastSave="0" documentId="13_ncr:1_{BE6F5EA9-78E4-4046-A492-5EF11AA7198C}" xr6:coauthVersionLast="47" xr6:coauthVersionMax="47" xr10:uidLastSave="{00000000-0000-0000-0000-000000000000}"/>
  <bookViews>
    <workbookView xWindow="29670" yWindow="2055" windowWidth="21600" windowHeight="11325" firstSheet="1" activeTab="3" xr2:uid="{00000000-000D-0000-FFFF-FFFF00000000}"/>
  </bookViews>
  <sheets>
    <sheet name="CreditRating" sheetId="1" r:id="rId1"/>
    <sheet name="RiskPricing" sheetId="2" r:id="rId2"/>
    <sheet name="Weighting" sheetId="3" r:id="rId3"/>
    <sheet name="InputData" sheetId="4" r:id="rId4"/>
    <sheet name="Variables" sheetId="5" r:id="rId5"/>
    <sheet name="ModelTemplate" sheetId="6" r:id="rId6"/>
    <sheet name="Library" sheetId="7" r:id="rId7"/>
    <sheet name="Credit_Repor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I9" i="1" s="1"/>
  <c r="L30" i="6"/>
  <c r="D30" i="1"/>
  <c r="D29" i="1"/>
  <c r="D26" i="1"/>
  <c r="D20" i="1"/>
  <c r="I20" i="1" s="1"/>
  <c r="D21" i="1"/>
  <c r="H21" i="1" s="1"/>
  <c r="D19" i="1"/>
  <c r="H19" i="1" s="1"/>
  <c r="D16" i="1"/>
  <c r="D25" i="1"/>
  <c r="M25" i="1" s="1"/>
  <c r="D24" i="1"/>
  <c r="M24" i="1" s="1"/>
  <c r="D10" i="1"/>
  <c r="C3" i="8"/>
  <c r="I47" i="5"/>
  <c r="G47" i="5"/>
  <c r="E47" i="5"/>
  <c r="M30" i="1" s="1"/>
  <c r="C47" i="5"/>
  <c r="B47" i="5"/>
  <c r="I46" i="5"/>
  <c r="G46" i="5"/>
  <c r="E46" i="5"/>
  <c r="C46" i="5"/>
  <c r="B46" i="5"/>
  <c r="I45" i="5"/>
  <c r="L32" i="1" s="1"/>
  <c r="G45" i="5"/>
  <c r="E45" i="5"/>
  <c r="C45" i="5"/>
  <c r="B45" i="5"/>
  <c r="I44" i="5"/>
  <c r="G44" i="5"/>
  <c r="E44" i="5"/>
  <c r="C44" i="5"/>
  <c r="J29" i="1" s="1"/>
  <c r="B44" i="5"/>
  <c r="I43" i="5"/>
  <c r="G43" i="5"/>
  <c r="E43" i="5"/>
  <c r="C43" i="5"/>
  <c r="B43" i="5"/>
  <c r="I42" i="5"/>
  <c r="G42" i="5"/>
  <c r="E42" i="5"/>
  <c r="C42" i="5"/>
  <c r="B42" i="5"/>
  <c r="I41" i="5"/>
  <c r="G41" i="5"/>
  <c r="E41" i="5"/>
  <c r="C41" i="5"/>
  <c r="B41" i="5"/>
  <c r="I40" i="5"/>
  <c r="G40" i="5"/>
  <c r="E40" i="5"/>
  <c r="C40" i="5"/>
  <c r="G38" i="5"/>
  <c r="E38" i="5"/>
  <c r="C38" i="5"/>
  <c r="B38" i="5"/>
  <c r="G37" i="5"/>
  <c r="E37" i="5"/>
  <c r="C37" i="5"/>
  <c r="B37" i="5"/>
  <c r="G36" i="5"/>
  <c r="E36" i="5"/>
  <c r="C36" i="5"/>
  <c r="B36" i="5"/>
  <c r="G35" i="5"/>
  <c r="E35" i="5"/>
  <c r="C35" i="5"/>
  <c r="B35" i="5"/>
  <c r="G34" i="5"/>
  <c r="E34" i="5"/>
  <c r="C34" i="5"/>
  <c r="B34" i="5"/>
  <c r="G33" i="5"/>
  <c r="E33" i="5"/>
  <c r="C33" i="5"/>
  <c r="B33" i="5"/>
  <c r="G32" i="5"/>
  <c r="E32" i="5"/>
  <c r="C32" i="5"/>
  <c r="B32" i="5"/>
  <c r="G31" i="5"/>
  <c r="E31" i="5"/>
  <c r="C31" i="5"/>
  <c r="G29" i="5"/>
  <c r="E29" i="5"/>
  <c r="C29" i="5"/>
  <c r="B29" i="5"/>
  <c r="G28" i="5"/>
  <c r="E28" i="5"/>
  <c r="C28" i="5"/>
  <c r="B28" i="5"/>
  <c r="G27" i="5"/>
  <c r="E27" i="5"/>
  <c r="C27" i="5"/>
  <c r="B27" i="5"/>
  <c r="G26" i="5"/>
  <c r="E26" i="5"/>
  <c r="C26" i="5"/>
  <c r="B26" i="5"/>
  <c r="G25" i="5"/>
  <c r="E25" i="5"/>
  <c r="C25" i="5"/>
  <c r="B25" i="5"/>
  <c r="G24" i="5"/>
  <c r="E24" i="5"/>
  <c r="C24" i="5"/>
  <c r="B24" i="5"/>
  <c r="G23" i="5"/>
  <c r="E23" i="5"/>
  <c r="C23" i="5"/>
  <c r="B23" i="5"/>
  <c r="G22" i="5"/>
  <c r="E22" i="5"/>
  <c r="C22" i="5"/>
  <c r="I20" i="5"/>
  <c r="G20" i="5"/>
  <c r="E20" i="5"/>
  <c r="C20" i="5"/>
  <c r="B20" i="5"/>
  <c r="I19" i="5"/>
  <c r="G19" i="5"/>
  <c r="E19" i="5"/>
  <c r="C19" i="5"/>
  <c r="B19" i="5"/>
  <c r="I18" i="5"/>
  <c r="G18" i="5"/>
  <c r="E18" i="5"/>
  <c r="C18" i="5"/>
  <c r="B18" i="5"/>
  <c r="I17" i="5"/>
  <c r="G17" i="5"/>
  <c r="E17" i="5"/>
  <c r="C17" i="5"/>
  <c r="B17" i="5"/>
  <c r="I16" i="5"/>
  <c r="G16" i="5"/>
  <c r="E16" i="5"/>
  <c r="C16" i="5"/>
  <c r="B16" i="5"/>
  <c r="I15" i="5"/>
  <c r="G15" i="5"/>
  <c r="E15" i="5"/>
  <c r="C15" i="5"/>
  <c r="B15" i="5"/>
  <c r="I14" i="5"/>
  <c r="G14" i="5"/>
  <c r="E14" i="5"/>
  <c r="C14" i="5"/>
  <c r="B14" i="5"/>
  <c r="I13" i="5"/>
  <c r="G13" i="5"/>
  <c r="E13" i="5"/>
  <c r="C13" i="5"/>
  <c r="G11" i="5"/>
  <c r="E11" i="5"/>
  <c r="C11" i="5"/>
  <c r="B11" i="5"/>
  <c r="G10" i="5"/>
  <c r="E10" i="5"/>
  <c r="C10" i="5"/>
  <c r="B10" i="5"/>
  <c r="G9" i="5"/>
  <c r="E9" i="5"/>
  <c r="C9" i="5"/>
  <c r="B9" i="5"/>
  <c r="G8" i="5"/>
  <c r="E8" i="5"/>
  <c r="C8" i="5"/>
  <c r="B8" i="5"/>
  <c r="G7" i="5"/>
  <c r="E7" i="5"/>
  <c r="C7" i="5"/>
  <c r="B7" i="5"/>
  <c r="G6" i="5"/>
  <c r="E6" i="5"/>
  <c r="C6" i="5"/>
  <c r="B6" i="5"/>
  <c r="G5" i="5"/>
  <c r="E5" i="5"/>
  <c r="C5" i="5"/>
  <c r="B5" i="5"/>
  <c r="G4" i="5"/>
  <c r="E4" i="5"/>
  <c r="C4" i="5"/>
  <c r="H71" i="4"/>
  <c r="E71" i="4"/>
  <c r="H70" i="4"/>
  <c r="E70" i="4"/>
  <c r="H69" i="4"/>
  <c r="E69" i="4"/>
  <c r="H68" i="4"/>
  <c r="E68" i="4"/>
  <c r="H67" i="4"/>
  <c r="E67" i="4"/>
  <c r="H66" i="4"/>
  <c r="E66" i="4"/>
  <c r="H65" i="4"/>
  <c r="E65" i="4"/>
  <c r="H64" i="4"/>
  <c r="E64" i="4"/>
  <c r="H63" i="4"/>
  <c r="E63" i="4"/>
  <c r="H62" i="4"/>
  <c r="E62" i="4"/>
  <c r="H61" i="4"/>
  <c r="E61" i="4"/>
  <c r="H60" i="4"/>
  <c r="E60" i="4"/>
  <c r="H59" i="4"/>
  <c r="E59" i="4"/>
  <c r="H58" i="4"/>
  <c r="E58" i="4"/>
  <c r="H57" i="4"/>
  <c r="E57" i="4"/>
  <c r="F29" i="3"/>
  <c r="E29" i="3"/>
  <c r="D29" i="3"/>
  <c r="C28" i="3"/>
  <c r="B28" i="3"/>
  <c r="C27" i="3"/>
  <c r="B27" i="3"/>
  <c r="C26" i="3"/>
  <c r="B26" i="3"/>
  <c r="C25" i="3"/>
  <c r="B25" i="3"/>
  <c r="F23" i="3"/>
  <c r="E23" i="3"/>
  <c r="D23" i="3"/>
  <c r="C22" i="3"/>
  <c r="B22" i="3"/>
  <c r="C21" i="3"/>
  <c r="B21" i="3"/>
  <c r="C20" i="3"/>
  <c r="B20" i="3"/>
  <c r="F18" i="3"/>
  <c r="E18" i="3"/>
  <c r="D18" i="3"/>
  <c r="C17" i="3"/>
  <c r="B17" i="3"/>
  <c r="C16" i="3"/>
  <c r="B16" i="3"/>
  <c r="C15" i="3"/>
  <c r="B15" i="3"/>
  <c r="F13" i="3"/>
  <c r="F31" i="3" s="1"/>
  <c r="E13" i="3"/>
  <c r="E31" i="3" s="1"/>
  <c r="D13" i="3"/>
  <c r="D31" i="3" s="1"/>
  <c r="C12" i="3"/>
  <c r="B12" i="3"/>
  <c r="C11" i="3"/>
  <c r="B11" i="3"/>
  <c r="C10" i="3"/>
  <c r="B10" i="3"/>
  <c r="C9" i="3"/>
  <c r="B9" i="3"/>
  <c r="F7" i="3"/>
  <c r="E7" i="3"/>
  <c r="D7" i="3"/>
  <c r="C6" i="3"/>
  <c r="B6" i="3"/>
  <c r="C5" i="3"/>
  <c r="B5" i="3"/>
  <c r="C4" i="3"/>
  <c r="B4" i="3"/>
  <c r="B5" i="2"/>
  <c r="B4" i="2"/>
  <c r="B3" i="2"/>
  <c r="B2" i="2"/>
  <c r="M32" i="1"/>
  <c r="K32" i="1"/>
  <c r="J32" i="1"/>
  <c r="I32" i="1"/>
  <c r="H32" i="1"/>
  <c r="G32" i="1"/>
  <c r="E32" i="1"/>
  <c r="C32" i="1"/>
  <c r="M31" i="1"/>
  <c r="L31" i="1"/>
  <c r="K31" i="1"/>
  <c r="J31" i="1"/>
  <c r="I31" i="1"/>
  <c r="H31" i="1"/>
  <c r="G31" i="1"/>
  <c r="E31" i="1" s="1"/>
  <c r="C31" i="1"/>
  <c r="L30" i="1"/>
  <c r="K30" i="1"/>
  <c r="J30" i="1"/>
  <c r="I30" i="1"/>
  <c r="H30" i="1"/>
  <c r="G30" i="1"/>
  <c r="E30" i="1" s="1"/>
  <c r="C30" i="1"/>
  <c r="M29" i="1"/>
  <c r="L29" i="1"/>
  <c r="K29" i="1"/>
  <c r="I29" i="1"/>
  <c r="H29" i="1"/>
  <c r="G29" i="1"/>
  <c r="E29" i="1" s="1"/>
  <c r="C29" i="1"/>
  <c r="M26" i="1"/>
  <c r="L26" i="1"/>
  <c r="K26" i="1"/>
  <c r="J26" i="1"/>
  <c r="I26" i="1"/>
  <c r="H26" i="1"/>
  <c r="E26" i="1" s="1"/>
  <c r="G26" i="1"/>
  <c r="F26" i="1"/>
  <c r="L24" i="6" s="1"/>
  <c r="C26" i="1"/>
  <c r="K25" i="1"/>
  <c r="J25" i="1"/>
  <c r="H25" i="1"/>
  <c r="G25" i="1"/>
  <c r="E25" i="1" s="1"/>
  <c r="C25" i="1"/>
  <c r="G24" i="1"/>
  <c r="E24" i="1" s="1"/>
  <c r="C24" i="1"/>
  <c r="C21" i="1"/>
  <c r="J20" i="1"/>
  <c r="C20" i="1"/>
  <c r="C19" i="1"/>
  <c r="M16" i="1"/>
  <c r="L16" i="1"/>
  <c r="K16" i="1"/>
  <c r="J16" i="1"/>
  <c r="I16" i="1"/>
  <c r="H16" i="1"/>
  <c r="G16" i="1"/>
  <c r="E16" i="1" s="1"/>
  <c r="F16" i="1"/>
  <c r="L14" i="6" s="1"/>
  <c r="C16" i="1"/>
  <c r="M15" i="1"/>
  <c r="L15" i="1"/>
  <c r="K15" i="1"/>
  <c r="J15" i="1"/>
  <c r="I15" i="1"/>
  <c r="H15" i="1"/>
  <c r="E15" i="1" s="1"/>
  <c r="G15" i="1"/>
  <c r="F15" i="1"/>
  <c r="L13" i="6" s="1"/>
  <c r="C15" i="1"/>
  <c r="M14" i="1"/>
  <c r="L14" i="1"/>
  <c r="K14" i="1"/>
  <c r="J14" i="1"/>
  <c r="I14" i="1"/>
  <c r="H14" i="1"/>
  <c r="G14" i="1"/>
  <c r="E14" i="1" s="1"/>
  <c r="F14" i="1"/>
  <c r="L12" i="6" s="1"/>
  <c r="C14" i="1"/>
  <c r="M13" i="1"/>
  <c r="L13" i="1"/>
  <c r="K13" i="1"/>
  <c r="J13" i="1"/>
  <c r="I13" i="1"/>
  <c r="H13" i="1"/>
  <c r="E13" i="1" s="1"/>
  <c r="G13" i="1"/>
  <c r="F13" i="1"/>
  <c r="L11" i="6" s="1"/>
  <c r="C13" i="1"/>
  <c r="M10" i="1"/>
  <c r="L10" i="1"/>
  <c r="K10" i="1"/>
  <c r="J10" i="1"/>
  <c r="I10" i="1"/>
  <c r="E10" i="1" s="1"/>
  <c r="H10" i="1"/>
  <c r="G10" i="1"/>
  <c r="C10" i="1"/>
  <c r="F9" i="1"/>
  <c r="L7" i="6" s="1"/>
  <c r="C9" i="1"/>
  <c r="M8" i="1"/>
  <c r="L8" i="1"/>
  <c r="K8" i="1"/>
  <c r="J8" i="1"/>
  <c r="I8" i="1"/>
  <c r="H8" i="1"/>
  <c r="G8" i="1"/>
  <c r="F8" i="1"/>
  <c r="E8" i="1"/>
  <c r="C8" i="1"/>
  <c r="D4" i="1"/>
  <c r="F29" i="1" s="1"/>
  <c r="D2" i="2"/>
  <c r="M9" i="1" l="1"/>
  <c r="G9" i="1"/>
  <c r="E9" i="1" s="1"/>
  <c r="E34" i="1" s="1"/>
  <c r="M34" i="1" s="1"/>
  <c r="E36" i="1" s="1"/>
  <c r="H9" i="1"/>
  <c r="L20" i="1"/>
  <c r="K21" i="1"/>
  <c r="K20" i="1"/>
  <c r="J21" i="1"/>
  <c r="M20" i="1"/>
  <c r="L21" i="1"/>
  <c r="I21" i="1"/>
  <c r="M21" i="1"/>
  <c r="G20" i="1"/>
  <c r="E20" i="1" s="1"/>
  <c r="H20" i="1"/>
  <c r="G21" i="1"/>
  <c r="E21" i="1" s="1"/>
  <c r="I19" i="1"/>
  <c r="E19" i="1" s="1"/>
  <c r="J19" i="1"/>
  <c r="K19" i="1"/>
  <c r="M19" i="1"/>
  <c r="L19" i="1"/>
  <c r="G19" i="1"/>
  <c r="I25" i="1"/>
  <c r="L25" i="1"/>
  <c r="H24" i="1"/>
  <c r="I24" i="1"/>
  <c r="J24" i="1"/>
  <c r="K24" i="1"/>
  <c r="L24" i="1"/>
  <c r="J9" i="1"/>
  <c r="K9" i="1"/>
  <c r="L9" i="1"/>
  <c r="L27" i="6"/>
  <c r="N15" i="6"/>
  <c r="F24" i="1"/>
  <c r="B2" i="6"/>
  <c r="F19" i="1"/>
  <c r="F30" i="1"/>
  <c r="L28" i="6" s="1"/>
  <c r="L6" i="6"/>
  <c r="F25" i="1"/>
  <c r="L23" i="6" s="1"/>
  <c r="F20" i="1"/>
  <c r="L18" i="6" s="1"/>
  <c r="F31" i="1"/>
  <c r="L29" i="6" s="1"/>
  <c r="F10" i="1"/>
  <c r="L8" i="6" s="1"/>
  <c r="C12" i="1"/>
  <c r="F21" i="1"/>
  <c r="L19" i="6" s="1"/>
  <c r="F32" i="1"/>
  <c r="C18" i="1" l="1"/>
  <c r="L17" i="6"/>
  <c r="N20" i="6" s="1"/>
  <c r="L22" i="6"/>
  <c r="N25" i="6" s="1"/>
  <c r="C23" i="1"/>
  <c r="C7" i="1"/>
  <c r="N31" i="6"/>
  <c r="N33" i="6"/>
  <c r="N9" i="6"/>
  <c r="C28" i="1"/>
  <c r="D3" i="2" l="1"/>
  <c r="D4" i="2" l="1"/>
  <c r="D9" i="2" s="1"/>
  <c r="D10" i="2" s="1"/>
  <c r="M36" i="1"/>
  <c r="D5" i="2" s="1"/>
</calcChain>
</file>

<file path=xl/sharedStrings.xml><?xml version="1.0" encoding="utf-8"?>
<sst xmlns="http://schemas.openxmlformats.org/spreadsheetml/2006/main" count="531" uniqueCount="313">
  <si>
    <t>Entity Name</t>
  </si>
  <si>
    <t>Registration No</t>
  </si>
  <si>
    <t>Founder</t>
  </si>
  <si>
    <t xml:space="preserve">Shareholders </t>
  </si>
  <si>
    <t>Directors</t>
  </si>
  <si>
    <t>Female Ownership (%)</t>
  </si>
  <si>
    <t>Description</t>
  </si>
  <si>
    <t>Address</t>
  </si>
  <si>
    <t>BEE Rating</t>
  </si>
  <si>
    <t>Relatioship with the Fund</t>
  </si>
  <si>
    <t>Factor No.</t>
  </si>
  <si>
    <t>Factor Description</t>
  </si>
  <si>
    <t>Variable</t>
  </si>
  <si>
    <t>AAA</t>
  </si>
  <si>
    <t>AA</t>
  </si>
  <si>
    <t>A</t>
  </si>
  <si>
    <t>BBB</t>
  </si>
  <si>
    <t>BB</t>
  </si>
  <si>
    <t>B</t>
  </si>
  <si>
    <t>CCC</t>
  </si>
  <si>
    <t>Contract Performance Risk</t>
  </si>
  <si>
    <t>No. similar Transactions</t>
  </si>
  <si>
    <t>The SME has completed 6 or more  transactions of similar type.</t>
  </si>
  <si>
    <t>The SME has completed 5 transactions of similar type.</t>
  </si>
  <si>
    <t>The SME has completed 4 transactions of similar type.</t>
  </si>
  <si>
    <t>The SME has completed 3 transactions of similar type.</t>
  </si>
  <si>
    <t>The SME has completed 2 transactions of similar type.</t>
  </si>
  <si>
    <t>The SME has completed 1 transactions of similar type.</t>
  </si>
  <si>
    <t>The SME has never completed a transactions of similar type</t>
  </si>
  <si>
    <t>Sourcing of  service rendering</t>
  </si>
  <si>
    <t>The service to be rendered by the SME are fully insourced</t>
  </si>
  <si>
    <t>Majority of the  service  rending procesess is insourced</t>
  </si>
  <si>
    <t>Significant portion of the service rending is insorced</t>
  </si>
  <si>
    <t>Partial portion of the service rending is insorced</t>
  </si>
  <si>
    <t>The service to be rendered is partly Outsourced</t>
  </si>
  <si>
    <t>Significant portion of the service to be rendered is outsourced</t>
  </si>
  <si>
    <t>All the service rendering process will all be outsorced4</t>
  </si>
  <si>
    <t>Likelihood of service delivery delay</t>
  </si>
  <si>
    <t>The production process is straight-forward and there is limited chance of production/manufacturing delay.</t>
  </si>
  <si>
    <t>The production process is fairly straight-forward with some level of noticable complexity with limited likelihood of delay</t>
  </si>
  <si>
    <t xml:space="preserve">The production process is has significant level of complexity, with likelihood of production delay. </t>
  </si>
  <si>
    <t xml:space="preserve">The production process is complexi, with high likelihood of production delay. </t>
  </si>
  <si>
    <t>Off-Taker Payment Risk</t>
  </si>
  <si>
    <t>Debt Service Cover Ratio</t>
  </si>
  <si>
    <t>The latest reported operating income covers the interest and principal repayments two times</t>
  </si>
  <si>
    <t>The latest reported operating income covers the interest and principal repayments 1,75 times.</t>
  </si>
  <si>
    <t>The latest reported operating income covers the interest and principal repayments 1,5 times</t>
  </si>
  <si>
    <t>The latest reported operating income fully covers the interest and principal repayments.</t>
  </si>
  <si>
    <t>The latest reported operating income covers the interest and principal repayments 0,75 times.</t>
  </si>
  <si>
    <t>The latest reported operating income covers the interest and principal repayments 0,5 times.</t>
  </si>
  <si>
    <t>The latest reported operating income does not cover the interest and principal repayments.</t>
  </si>
  <si>
    <t>Current Ratio</t>
  </si>
  <si>
    <t>The latest reported current assets cover the current liabilities two times</t>
  </si>
  <si>
    <t>The latest reported current assets cover the current liabilities 1,75 times</t>
  </si>
  <si>
    <t>The latest reported current assets cover the current liabilities 1,5 times</t>
  </si>
  <si>
    <t>The latest reported current assets fully cover the current liabilities.</t>
  </si>
  <si>
    <t>The latest reported current assets cover the current liabilities 0,75 times</t>
  </si>
  <si>
    <t>The latest reported current assets cover the current liabilities 0,5 times</t>
  </si>
  <si>
    <t>There are not enough current assets to cover the current liabilities.</t>
  </si>
  <si>
    <t>Debt ratio (D/A)</t>
  </si>
  <si>
    <t>The latest Debt Ratio is smaller than or equal to 50%</t>
  </si>
  <si>
    <t>The debt ratio is greater than 50 % but less than or equal to 55%</t>
  </si>
  <si>
    <t>The debt ratio is greater than 55 % but less than or equal to 60%</t>
  </si>
  <si>
    <t>The debt ratio is greater than 60% but less than or equal to 65%</t>
  </si>
  <si>
    <t>The debt ratio is greater than 65 % but less than or equal to 70%</t>
  </si>
  <si>
    <t>The debt ratio is greater than 70% but less than or equal to 75%</t>
  </si>
  <si>
    <t>The debt ratio is greater than 75%</t>
  </si>
  <si>
    <t>Number of Cash inflows from off-taker</t>
  </si>
  <si>
    <t xml:space="preserve">Cash inflows from the offtaker in the past six months is greater than or equal to six  </t>
  </si>
  <si>
    <t>Cash inflows from the offtaker in the past six months is equal to 5</t>
  </si>
  <si>
    <t>Cash inflows from the offtaker in the past six months is equal to 4</t>
  </si>
  <si>
    <t>Cash inflows from the offtaker in the past six months is equal to 3</t>
  </si>
  <si>
    <t>Cash inflows from the offtaker in the past six months is equal to 2</t>
  </si>
  <si>
    <t>There is a single cash inflow from the client in the past 6 months.</t>
  </si>
  <si>
    <t>There are no past cash inflows from the end client</t>
  </si>
  <si>
    <t>Off-taker Risk</t>
  </si>
  <si>
    <t>Past disputes with off-taker</t>
  </si>
  <si>
    <t>The SME delivered the service on time and the end client has paid within the agreed payment terms in all previous transactions.</t>
  </si>
  <si>
    <t>There have been previous disputes with the off-taker that were amicably resolved.</t>
  </si>
  <si>
    <t>There has been servere payment and/or service delivery dispute with the off-taker</t>
  </si>
  <si>
    <t>Off-taker reputational Risk</t>
  </si>
  <si>
    <t>The offtaker has intact reputation with national and/or international footprint</t>
  </si>
  <si>
    <t>The off-taker has tainted reputation</t>
  </si>
  <si>
    <t>Not much information about the entity to make objective assessment of reputation.</t>
  </si>
  <si>
    <t>Supplier Risk</t>
  </si>
  <si>
    <t>Reputational risk</t>
  </si>
  <si>
    <t>The supplier has intact reputation with national and/or international footprint</t>
  </si>
  <si>
    <t>The supplier has tainted reputation</t>
  </si>
  <si>
    <t>Not much information about the supplier to make objective assessment of reputation.</t>
  </si>
  <si>
    <t>Variety of supplier base</t>
  </si>
  <si>
    <t xml:space="preserve">The supplier base is highly diverse to provide substitute products. </t>
  </si>
  <si>
    <t>The supplier base is significantly diverse with little difficulty in accessing substitute supplier.</t>
  </si>
  <si>
    <t>The supplier base is fairly diverse with little difficulty in accessing substitute supplier.</t>
  </si>
  <si>
    <t>The supplier base has low diversity with substitute supplier risk moderate.</t>
  </si>
  <si>
    <t>The supplier base has low diversity with substitute supplier risk high.</t>
  </si>
  <si>
    <t xml:space="preserve">No substitute suppliers. </t>
  </si>
  <si>
    <t>Number of times the SME has used the supplier</t>
  </si>
  <si>
    <t>The SME has used the supplier more than five times with no previous disputes</t>
  </si>
  <si>
    <t>The SME has used the supplier five times with no previous disputes</t>
  </si>
  <si>
    <t>The SME has used the supplier four times with no previous disputes</t>
  </si>
  <si>
    <t>The SME has used the supplier three times and all the disputes were amicably resolved</t>
  </si>
  <si>
    <t>The SME has used the supplier two times and all the disputes were amicably resolved</t>
  </si>
  <si>
    <t>The SME has used the supplier once and all the disputes were amicably resolved</t>
  </si>
  <si>
    <t>The SME has never used the supplier before / All the times the SME used the supplier there disputes.</t>
  </si>
  <si>
    <t>Security and Collateral Risk</t>
  </si>
  <si>
    <t>Ratio of the Unencumbered Assets to the Unsecured Debt</t>
  </si>
  <si>
    <t>The unencumbered assets cover the unsecured debt 2 times or more.</t>
  </si>
  <si>
    <t>The ratio of unencumbered assets to unsecured debt is lesser than 2 but greater than or equal to 1,75</t>
  </si>
  <si>
    <t>The ratio of unencumbered assets to unsecured debt is lesser than 1,75 but greater than or equal to 1,5</t>
  </si>
  <si>
    <t>The ratio of unencumbered assets to unsecured debt is lesser than 1,5 but greater than or equal to one.</t>
  </si>
  <si>
    <t>The ratio of unencumbered assest to unsecured debt is lesser than 1 but greater than or equal to 0,75.</t>
  </si>
  <si>
    <t>The ratio of unencumbered assest to unsecured debt is lesser than 0,75 but greater than or equal to 0,5.</t>
  </si>
  <si>
    <t>The ratio of unencumbered assest to unsecured debt is lesser than 0,5</t>
  </si>
  <si>
    <t>Liquid Asset Loan Coverage Ratio</t>
  </si>
  <si>
    <t>The liquid assets cover the unsecured debt 2 times or more.</t>
  </si>
  <si>
    <t>The ratio of liquid assets to unsecured debt is lesser than 2 but greater than or equal to 1,75</t>
  </si>
  <si>
    <t>The ratio of liquid assets to unsecured debt is lesser than 1,75 but greater than or equal to 1,5</t>
  </si>
  <si>
    <t>The ratio of liquid assets to unsecured debt is lesser than 1,5 but greater than or equal to one.</t>
  </si>
  <si>
    <t>The ratio of liquid assest to unsecured debt is lesser than 1 but greater than or equal to 0,75.</t>
  </si>
  <si>
    <t>The ratio of liquid assest to unsecured debt is lesser than 0,75 but greater than or equal to 0,5.</t>
  </si>
  <si>
    <t>The ratio of liquid assest to unsecured debt is lesser than 0,5</t>
  </si>
  <si>
    <t xml:space="preserve">Timing of liquid assets repayment </t>
  </si>
  <si>
    <t>100% of liquid assets are paid after the current contract payment terms.</t>
  </si>
  <si>
    <t>Less than 100% but greater than 80% of liquid assets are paid after the current contract payment terms.</t>
  </si>
  <si>
    <t>Less than 70% but greater than 60% of liquid assets are paid after the current contract payment terms.</t>
  </si>
  <si>
    <t>Less than 60% but greater than 50% of liquid assets are paid after the current contract payment terms.</t>
  </si>
  <si>
    <t>Less than 50% but greater than 40% of liquid assets are paid after the current contract payment terms.</t>
  </si>
  <si>
    <t>Less than 40% but greater than 30% of liquid assets are paid after the current contract payment terms.</t>
  </si>
  <si>
    <t>Less than 30% of liquid assets are paid after the current contract payment terms.</t>
  </si>
  <si>
    <t>Quality of security</t>
  </si>
  <si>
    <t>More than 80% of the liquid security  comes from frequent and reputable clients .</t>
  </si>
  <si>
    <t>More than 70% of the liquid security  comes from frequent and reputable clients .</t>
  </si>
  <si>
    <t>More than 60% of the liquid security  comes from frequent and reputable clients .</t>
  </si>
  <si>
    <t>More than 50% of the liquid security  comes from frequent and reputable clients .</t>
  </si>
  <si>
    <t>More than 40% of the liquid security  comes from frequent and reputable clients .</t>
  </si>
  <si>
    <t>More than 30% of the liquid security  comes from frequent and reputable clients .</t>
  </si>
  <si>
    <t>less than 20% of the security comes from frequent and reputable clients.</t>
  </si>
  <si>
    <t>SME reputation</t>
  </si>
  <si>
    <t>Record of past  services rendered (reference checks)</t>
  </si>
  <si>
    <t xml:space="preserve">References have confirmed reliable and satisfactory service delivery with no previous disputes. </t>
  </si>
  <si>
    <t xml:space="preserve">References have confirmed a reliable and satisfactory service delivery with minor disputes. </t>
  </si>
  <si>
    <t>References have  confirmed some form of  reliable and partially satisfactory service delivery, with minor disputes.</t>
  </si>
  <si>
    <t>References have  confirmed some form of  reliable and partially satisfactory service delivery, with noticable disputes.</t>
  </si>
  <si>
    <t xml:space="preserve">References have confirmed some form of reliable and unsatsifactory service delivery with noticable disputes. </t>
  </si>
  <si>
    <t xml:space="preserve">References have confirmed an unreliable and unsatisfactory service delivery, with many disputes. </t>
  </si>
  <si>
    <t>There is no record of service rendering.</t>
  </si>
  <si>
    <t>Overlay</t>
  </si>
  <si>
    <t>Management Behavioural  Risk</t>
  </si>
  <si>
    <t>Inexco Score</t>
  </si>
  <si>
    <t>Track Record &amp; Reference Checks</t>
  </si>
  <si>
    <t>subjective</t>
  </si>
  <si>
    <t>Aaa</t>
  </si>
  <si>
    <t>Aa</t>
  </si>
  <si>
    <t>Baa</t>
  </si>
  <si>
    <t>Ba</t>
  </si>
  <si>
    <t>Caa</t>
  </si>
  <si>
    <t>Metric</t>
  </si>
  <si>
    <t>Factor #</t>
  </si>
  <si>
    <t>Factor</t>
  </si>
  <si>
    <t>Variable_Name</t>
  </si>
  <si>
    <t>Weighting</t>
  </si>
  <si>
    <t>Factor 1</t>
  </si>
  <si>
    <t>No. similar transactions completed</t>
  </si>
  <si>
    <t>Sourcing of  the Service Rendered</t>
  </si>
  <si>
    <t>Fully Insourced</t>
  </si>
  <si>
    <t>Sufficiently Insourced</t>
  </si>
  <si>
    <t>Significatly Insourced</t>
  </si>
  <si>
    <t>Partially Outsourced</t>
  </si>
  <si>
    <t>Partly Outsourced</t>
  </si>
  <si>
    <t>Significatly Outsourced</t>
  </si>
  <si>
    <t>Fully Outsourced</t>
  </si>
  <si>
    <t>Highly Unlikely</t>
  </si>
  <si>
    <t>Unlikely</t>
  </si>
  <si>
    <t>Limited Chance</t>
  </si>
  <si>
    <t>Partially Likely</t>
  </si>
  <si>
    <t>Partly Likeli</t>
  </si>
  <si>
    <t>Significatly Likeli</t>
  </si>
  <si>
    <t>Highly Likely</t>
  </si>
  <si>
    <t>Factor 2</t>
  </si>
  <si>
    <t>Factor 3</t>
  </si>
  <si>
    <t>None</t>
  </si>
  <si>
    <t>Immaterial</t>
  </si>
  <si>
    <t>Not Significant</t>
  </si>
  <si>
    <t>material but resolved</t>
  </si>
  <si>
    <t>material but not resolved</t>
  </si>
  <si>
    <t>Extreme Conflict</t>
  </si>
  <si>
    <t>Irreconcilable</t>
  </si>
  <si>
    <t>Off-taker reputational risk</t>
  </si>
  <si>
    <t>Solid</t>
  </si>
  <si>
    <t>Intact</t>
  </si>
  <si>
    <t>Partially Tainted</t>
  </si>
  <si>
    <t xml:space="preserve"> Partly Tainted</t>
  </si>
  <si>
    <t>Overly Tainted</t>
  </si>
  <si>
    <t>Totally Tainted</t>
  </si>
  <si>
    <t>Factor 4</t>
  </si>
  <si>
    <t>Term to loan settlement (weeks)</t>
  </si>
  <si>
    <t>Superior</t>
  </si>
  <si>
    <t>Excellent</t>
  </si>
  <si>
    <t>Good</t>
  </si>
  <si>
    <t>Moderate</t>
  </si>
  <si>
    <t>Limited</t>
  </si>
  <si>
    <t>Weak</t>
  </si>
  <si>
    <t>Poor</t>
  </si>
  <si>
    <t>Factor 5</t>
  </si>
  <si>
    <t>Unencumbered Assets to the Unsecured Debt</t>
  </si>
  <si>
    <t>Quality of liquid security loan coverage</t>
  </si>
  <si>
    <t>Reference Check + Inexco</t>
  </si>
  <si>
    <t>Mizz Inc (Pty) Ltd</t>
  </si>
  <si>
    <t>Funding Type</t>
  </si>
  <si>
    <t>Invoice Discounting</t>
  </si>
  <si>
    <t>Track Record with the Fund</t>
  </si>
  <si>
    <t>Management Behavioural Risk</t>
  </si>
  <si>
    <t>Input</t>
  </si>
  <si>
    <t>Value</t>
  </si>
  <si>
    <t>Comment</t>
  </si>
  <si>
    <t>Interger</t>
  </si>
  <si>
    <t>Subjective</t>
  </si>
  <si>
    <t>Off-Taker Net Operating Income</t>
  </si>
  <si>
    <t>ZAR</t>
  </si>
  <si>
    <t>Interest Expense</t>
  </si>
  <si>
    <t>Principal Repayment</t>
  </si>
  <si>
    <t>Current Assets</t>
  </si>
  <si>
    <t>Current Liabilities</t>
  </si>
  <si>
    <t>Total Liabilities</t>
  </si>
  <si>
    <t>Total Assets</t>
  </si>
  <si>
    <t>Number of off-taker cash inflows</t>
  </si>
  <si>
    <t>Off-Taker Payment</t>
  </si>
  <si>
    <t>Term Risk</t>
  </si>
  <si>
    <t>Term to loan settlement</t>
  </si>
  <si>
    <t>Weeks</t>
  </si>
  <si>
    <t>Unencumbered Assets</t>
  </si>
  <si>
    <t>Unsecured Debt</t>
  </si>
  <si>
    <t>Value of All Outstanding Invoices</t>
  </si>
  <si>
    <t>Required Fundiing</t>
  </si>
  <si>
    <t>Amount</t>
  </si>
  <si>
    <t>Payment Date</t>
  </si>
  <si>
    <t>Invoice 1</t>
  </si>
  <si>
    <t>Invoice 2</t>
  </si>
  <si>
    <t>Invoice 3</t>
  </si>
  <si>
    <t>Invoice 4</t>
  </si>
  <si>
    <t>Invoice 5</t>
  </si>
  <si>
    <t>Invoice 6</t>
  </si>
  <si>
    <t>Invoice 7</t>
  </si>
  <si>
    <t>Invoice 8</t>
  </si>
  <si>
    <t>Invoice 9</t>
  </si>
  <si>
    <t>Invoice 10</t>
  </si>
  <si>
    <t>Invoice 11</t>
  </si>
  <si>
    <t>Invoice 12</t>
  </si>
  <si>
    <t>Invoice 13</t>
  </si>
  <si>
    <t>Invoice 14</t>
  </si>
  <si>
    <t>Invoice 15</t>
  </si>
  <si>
    <t>Loan Amount</t>
  </si>
  <si>
    <t>Frequency</t>
  </si>
  <si>
    <t>Reputation</t>
  </si>
  <si>
    <t>Quality</t>
  </si>
  <si>
    <t>Quality of Security</t>
  </si>
  <si>
    <t>Frequent</t>
  </si>
  <si>
    <t>Reputable</t>
  </si>
  <si>
    <t>Client Frequency</t>
  </si>
  <si>
    <t>Infrequent</t>
  </si>
  <si>
    <t>Client Reputation</t>
  </si>
  <si>
    <t>Non-Reputable</t>
  </si>
  <si>
    <t>Quality of the invoice</t>
  </si>
  <si>
    <t>High Quality</t>
  </si>
  <si>
    <t>Low Quality</t>
  </si>
  <si>
    <t>Crede Score</t>
  </si>
  <si>
    <t>Score</t>
  </si>
  <si>
    <t>Rating Score</t>
  </si>
  <si>
    <t>Purchase Order Financing</t>
  </si>
  <si>
    <t>Contract Financing</t>
  </si>
  <si>
    <t>Reference Checks</t>
  </si>
  <si>
    <t>Risk Adjusted Return Multiple (target)</t>
  </si>
  <si>
    <t>Initiation Fee</t>
  </si>
  <si>
    <t>Monthly Interest Rate</t>
  </si>
  <si>
    <t>Target return on Investment</t>
  </si>
  <si>
    <t>Transaction Type</t>
  </si>
  <si>
    <t>Credit Scoring</t>
  </si>
  <si>
    <t>PD Implied Credit Rating Score</t>
  </si>
  <si>
    <t>Rating</t>
  </si>
  <si>
    <t>Min &gt;=</t>
  </si>
  <si>
    <t>Max &lt;</t>
  </si>
  <si>
    <t>pAAA</t>
  </si>
  <si>
    <t>Outcome</t>
  </si>
  <si>
    <t>Weight</t>
  </si>
  <si>
    <t>pAA+</t>
  </si>
  <si>
    <t>Guide (&gt;)</t>
  </si>
  <si>
    <t>pAA</t>
  </si>
  <si>
    <t>Guide (=)</t>
  </si>
  <si>
    <t>pAA-</t>
  </si>
  <si>
    <t>pA+</t>
  </si>
  <si>
    <t>pA</t>
  </si>
  <si>
    <t>pA-</t>
  </si>
  <si>
    <t>pBBB+</t>
  </si>
  <si>
    <t>pBBB</t>
  </si>
  <si>
    <t>Guide (&lt;)</t>
  </si>
  <si>
    <t>pBBB-</t>
  </si>
  <si>
    <t>Investment Grade</t>
  </si>
  <si>
    <t>pBB+</t>
  </si>
  <si>
    <t>pBB</t>
  </si>
  <si>
    <t>pBB-</t>
  </si>
  <si>
    <t>pB+</t>
  </si>
  <si>
    <t>pB</t>
  </si>
  <si>
    <t>pB-</t>
  </si>
  <si>
    <t>pCCC+</t>
  </si>
  <si>
    <t>pCCC</t>
  </si>
  <si>
    <t>pCCC-</t>
  </si>
  <si>
    <t>pC+</t>
  </si>
  <si>
    <t xml:space="preserve"> </t>
  </si>
  <si>
    <t>Stand Alone Credit Score</t>
  </si>
  <si>
    <t>Overall Credit Score</t>
  </si>
  <si>
    <t>Probability of Default</t>
  </si>
  <si>
    <t>Credit Rating</t>
  </si>
  <si>
    <t>C:\CreditModel\SME Rating\company_data.py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</si>
</sst>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R&quot;#,##0.00;\-&quot;R&quot;#,##0.00"/>
    <numFmt numFmtId="164" formatCode="#,##0%"/>
    <numFmt numFmtId="165" formatCode="#,##0.0%"/>
    <numFmt numFmtId="166" formatCode="#,##0.000"/>
    <numFmt numFmtId="167" formatCode="#,##0.0"/>
    <numFmt numFmtId="168" formatCode="#,##0.00%"/>
    <numFmt numFmtId="169" formatCode="#,##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3F3F3F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C00000"/>
      <name val="Calibri"/>
      <family val="2"/>
    </font>
    <font>
      <b/>
      <sz val="16"/>
      <color rgb="FFFFFFFF"/>
      <name val="Calibri"/>
      <family val="2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i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2E75B6"/>
      </patternFill>
    </fill>
    <fill>
      <patternFill patternType="solid">
        <fgColor rgb="FF2F5597"/>
      </patternFill>
    </fill>
    <fill>
      <patternFill patternType="solid">
        <fgColor rgb="FFA5A5A5"/>
      </patternFill>
    </fill>
    <fill>
      <patternFill patternType="solid">
        <fgColor rgb="FFE7E6E6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FE699"/>
      </patternFill>
    </fill>
    <fill>
      <patternFill patternType="solid">
        <fgColor rgb="FFFFFF00"/>
      </patternFill>
    </fill>
    <fill>
      <patternFill patternType="solid">
        <fgColor rgb="FFEDEDED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D0CECE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3" fillId="2" borderId="6" xfId="0" applyNumberFormat="1" applyFont="1" applyFill="1" applyBorder="1" applyAlignment="1">
      <alignment horizontal="center"/>
    </xf>
    <xf numFmtId="3" fontId="3" fillId="3" borderId="7" xfId="0" applyNumberFormat="1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3" fontId="3" fillId="4" borderId="6" xfId="0" applyNumberFormat="1" applyFont="1" applyFill="1" applyBorder="1" applyAlignment="1">
      <alignment horizontal="center"/>
    </xf>
    <xf numFmtId="3" fontId="4" fillId="5" borderId="8" xfId="0" applyNumberFormat="1" applyFont="1" applyFill="1" applyBorder="1" applyAlignment="1">
      <alignment horizontal="center"/>
    </xf>
    <xf numFmtId="0" fontId="4" fillId="5" borderId="8" xfId="0" applyFont="1" applyFill="1" applyBorder="1" applyAlignment="1">
      <alignment horizontal="left"/>
    </xf>
    <xf numFmtId="3" fontId="2" fillId="6" borderId="9" xfId="0" applyNumberFormat="1" applyFont="1" applyFill="1" applyBorder="1" applyAlignment="1">
      <alignment horizontal="left" wrapText="1"/>
    </xf>
    <xf numFmtId="3" fontId="2" fillId="6" borderId="9" xfId="0" applyNumberFormat="1" applyFont="1" applyFill="1" applyBorder="1" applyAlignment="1">
      <alignment horizontal="left"/>
    </xf>
    <xf numFmtId="3" fontId="4" fillId="5" borderId="8" xfId="0" applyNumberFormat="1" applyFont="1" applyFill="1" applyBorder="1" applyAlignment="1">
      <alignment horizontal="left"/>
    </xf>
    <xf numFmtId="3" fontId="2" fillId="6" borderId="9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lef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4" fontId="6" fillId="7" borderId="10" xfId="0" applyNumberFormat="1" applyFont="1" applyFill="1" applyBorder="1" applyAlignment="1">
      <alignment horizontal="center"/>
    </xf>
    <xf numFmtId="164" fontId="6" fillId="7" borderId="11" xfId="0" applyNumberFormat="1" applyFont="1" applyFill="1" applyBorder="1" applyAlignment="1">
      <alignment horizontal="center"/>
    </xf>
    <xf numFmtId="164" fontId="6" fillId="7" borderId="12" xfId="0" applyNumberFormat="1" applyFont="1" applyFill="1" applyBorder="1" applyAlignment="1">
      <alignment horizontal="center"/>
    </xf>
    <xf numFmtId="165" fontId="6" fillId="7" borderId="13" xfId="0" applyNumberFormat="1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165" fontId="2" fillId="7" borderId="7" xfId="0" applyNumberFormat="1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0" fontId="7" fillId="7" borderId="7" xfId="0" applyFont="1" applyFill="1" applyBorder="1" applyAlignment="1">
      <alignment horizontal="left"/>
    </xf>
    <xf numFmtId="4" fontId="6" fillId="7" borderId="14" xfId="0" applyNumberFormat="1" applyFont="1" applyFill="1" applyBorder="1" applyAlignment="1">
      <alignment horizontal="center"/>
    </xf>
    <xf numFmtId="4" fontId="6" fillId="7" borderId="15" xfId="0" applyNumberFormat="1" applyFont="1" applyFill="1" applyBorder="1" applyAlignment="1">
      <alignment horizontal="center"/>
    </xf>
    <xf numFmtId="4" fontId="6" fillId="7" borderId="16" xfId="0" applyNumberFormat="1" applyFont="1" applyFill="1" applyBorder="1" applyAlignment="1">
      <alignment horizontal="center"/>
    </xf>
    <xf numFmtId="165" fontId="6" fillId="7" borderId="17" xfId="0" applyNumberFormat="1" applyFont="1" applyFill="1" applyBorder="1" applyAlignment="1">
      <alignment horizontal="center"/>
    </xf>
    <xf numFmtId="164" fontId="6" fillId="7" borderId="7" xfId="0" applyNumberFormat="1" applyFont="1" applyFill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7" borderId="11" xfId="0" applyFont="1" applyFill="1" applyBorder="1" applyAlignment="1">
      <alignment horizontal="left"/>
    </xf>
    <xf numFmtId="3" fontId="2" fillId="8" borderId="20" xfId="0" applyNumberFormat="1" applyFont="1" applyFill="1" applyBorder="1" applyAlignment="1">
      <alignment horizontal="center"/>
    </xf>
    <xf numFmtId="3" fontId="2" fillId="8" borderId="11" xfId="0" applyNumberFormat="1" applyFont="1" applyFill="1" applyBorder="1" applyAlignment="1">
      <alignment horizontal="center"/>
    </xf>
    <xf numFmtId="3" fontId="2" fillId="8" borderId="21" xfId="0" applyNumberFormat="1" applyFont="1" applyFill="1" applyBorder="1" applyAlignment="1">
      <alignment horizontal="center"/>
    </xf>
    <xf numFmtId="165" fontId="2" fillId="7" borderId="22" xfId="0" applyNumberFormat="1" applyFont="1" applyFill="1" applyBorder="1" applyAlignment="1">
      <alignment horizontal="center"/>
    </xf>
    <xf numFmtId="165" fontId="2" fillId="7" borderId="7" xfId="0" applyNumberFormat="1" applyFont="1" applyFill="1" applyBorder="1" applyAlignment="1">
      <alignment horizontal="right"/>
    </xf>
    <xf numFmtId="0" fontId="2" fillId="0" borderId="23" xfId="0" applyFont="1" applyBorder="1" applyAlignment="1">
      <alignment horizontal="left"/>
    </xf>
    <xf numFmtId="164" fontId="2" fillId="8" borderId="24" xfId="0" applyNumberFormat="1" applyFont="1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164" fontId="2" fillId="8" borderId="25" xfId="0" applyNumberFormat="1" applyFont="1" applyFill="1" applyBorder="1" applyAlignment="1">
      <alignment horizontal="center"/>
    </xf>
    <xf numFmtId="165" fontId="2" fillId="7" borderId="26" xfId="0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164" fontId="2" fillId="8" borderId="29" xfId="0" applyNumberFormat="1" applyFont="1" applyFill="1" applyBorder="1" applyAlignment="1">
      <alignment horizontal="center"/>
    </xf>
    <xf numFmtId="164" fontId="2" fillId="8" borderId="15" xfId="0" applyNumberFormat="1" applyFont="1" applyFill="1" applyBorder="1" applyAlignment="1">
      <alignment horizontal="center"/>
    </xf>
    <xf numFmtId="164" fontId="2" fillId="8" borderId="30" xfId="0" applyNumberFormat="1" applyFont="1" applyFill="1" applyBorder="1" applyAlignment="1">
      <alignment horizontal="center"/>
    </xf>
    <xf numFmtId="165" fontId="2" fillId="7" borderId="31" xfId="0" applyNumberFormat="1" applyFont="1" applyFill="1" applyBorder="1" applyAlignment="1">
      <alignment horizontal="center"/>
    </xf>
    <xf numFmtId="166" fontId="2" fillId="7" borderId="7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32" xfId="0" applyNumberFormat="1" applyFont="1" applyBorder="1" applyAlignment="1">
      <alignment horizontal="right"/>
    </xf>
    <xf numFmtId="4" fontId="2" fillId="8" borderId="11" xfId="0" applyNumberFormat="1" applyFont="1" applyFill="1" applyBorder="1" applyAlignment="1">
      <alignment horizontal="center"/>
    </xf>
    <xf numFmtId="3" fontId="2" fillId="8" borderId="24" xfId="0" applyNumberFormat="1" applyFont="1" applyFill="1" applyBorder="1" applyAlignment="1">
      <alignment horizontal="center"/>
    </xf>
    <xf numFmtId="4" fontId="2" fillId="8" borderId="7" xfId="0" applyNumberFormat="1" applyFont="1" applyFill="1" applyBorder="1" applyAlignment="1">
      <alignment horizontal="center"/>
    </xf>
    <xf numFmtId="3" fontId="2" fillId="8" borderId="7" xfId="0" applyNumberFormat="1" applyFont="1" applyFill="1" applyBorder="1" applyAlignment="1">
      <alignment horizontal="center"/>
    </xf>
    <xf numFmtId="3" fontId="2" fillId="8" borderId="29" xfId="0" applyNumberFormat="1" applyFont="1" applyFill="1" applyBorder="1" applyAlignment="1">
      <alignment horizontal="center"/>
    </xf>
    <xf numFmtId="3" fontId="2" fillId="8" borderId="15" xfId="0" applyNumberFormat="1" applyFont="1" applyFill="1" applyBorder="1" applyAlignment="1">
      <alignment horizontal="center"/>
    </xf>
    <xf numFmtId="164" fontId="2" fillId="8" borderId="20" xfId="0" applyNumberFormat="1" applyFont="1" applyFill="1" applyBorder="1" applyAlignment="1">
      <alignment horizontal="center"/>
    </xf>
    <xf numFmtId="164" fontId="2" fillId="8" borderId="11" xfId="0" applyNumberFormat="1" applyFont="1" applyFill="1" applyBorder="1" applyAlignment="1">
      <alignment horizontal="center"/>
    </xf>
    <xf numFmtId="164" fontId="2" fillId="8" borderId="21" xfId="0" applyNumberFormat="1" applyFont="1" applyFill="1" applyBorder="1" applyAlignment="1">
      <alignment horizontal="center"/>
    </xf>
    <xf numFmtId="165" fontId="2" fillId="7" borderId="33" xfId="0" applyNumberFormat="1" applyFont="1" applyFill="1" applyBorder="1" applyAlignment="1">
      <alignment horizontal="center"/>
    </xf>
    <xf numFmtId="167" fontId="2" fillId="8" borderId="29" xfId="0" applyNumberFormat="1" applyFont="1" applyFill="1" applyBorder="1" applyAlignment="1">
      <alignment horizontal="center"/>
    </xf>
    <xf numFmtId="167" fontId="2" fillId="8" borderId="15" xfId="0" applyNumberFormat="1" applyFont="1" applyFill="1" applyBorder="1" applyAlignment="1">
      <alignment horizontal="center"/>
    </xf>
    <xf numFmtId="167" fontId="2" fillId="8" borderId="30" xfId="0" applyNumberFormat="1" applyFont="1" applyFill="1" applyBorder="1" applyAlignment="1">
      <alignment horizontal="center"/>
    </xf>
    <xf numFmtId="4" fontId="2" fillId="8" borderId="21" xfId="0" applyNumberFormat="1" applyFont="1" applyFill="1" applyBorder="1" applyAlignment="1">
      <alignment horizontal="center"/>
    </xf>
    <xf numFmtId="4" fontId="2" fillId="8" borderId="24" xfId="0" applyNumberFormat="1" applyFont="1" applyFill="1" applyBorder="1" applyAlignment="1">
      <alignment horizontal="center"/>
    </xf>
    <xf numFmtId="4" fontId="2" fillId="8" borderId="25" xfId="0" applyNumberFormat="1" applyFont="1" applyFill="1" applyBorder="1" applyAlignment="1">
      <alignment horizontal="center"/>
    </xf>
    <xf numFmtId="167" fontId="2" fillId="8" borderId="24" xfId="0" applyNumberFormat="1" applyFont="1" applyFill="1" applyBorder="1" applyAlignment="1">
      <alignment horizontal="center"/>
    </xf>
    <xf numFmtId="167" fontId="2" fillId="8" borderId="7" xfId="0" applyNumberFormat="1" applyFont="1" applyFill="1" applyBorder="1" applyAlignment="1">
      <alignment horizontal="center"/>
    </xf>
    <xf numFmtId="167" fontId="2" fillId="8" borderId="25" xfId="0" applyNumberFormat="1" applyFont="1" applyFill="1" applyBorder="1" applyAlignment="1">
      <alignment horizontal="center"/>
    </xf>
    <xf numFmtId="0" fontId="6" fillId="0" borderId="34" xfId="0" applyFont="1" applyBorder="1" applyAlignment="1">
      <alignment horizontal="left"/>
    </xf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4" fontId="6" fillId="0" borderId="1" xfId="0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right"/>
    </xf>
    <xf numFmtId="4" fontId="8" fillId="6" borderId="7" xfId="0" applyNumberFormat="1" applyFont="1" applyFill="1" applyBorder="1" applyAlignment="1">
      <alignment horizontal="center"/>
    </xf>
    <xf numFmtId="4" fontId="6" fillId="6" borderId="7" xfId="0" applyNumberFormat="1" applyFont="1" applyFill="1" applyBorder="1" applyAlignment="1">
      <alignment horizontal="center"/>
    </xf>
    <xf numFmtId="164" fontId="6" fillId="9" borderId="7" xfId="0" applyNumberFormat="1" applyFont="1" applyFill="1" applyBorder="1" applyAlignment="1">
      <alignment horizontal="center"/>
    </xf>
    <xf numFmtId="4" fontId="3" fillId="3" borderId="7" xfId="0" applyNumberFormat="1" applyFont="1" applyFill="1" applyBorder="1" applyAlignment="1">
      <alignment horizontal="left"/>
    </xf>
    <xf numFmtId="4" fontId="3" fillId="3" borderId="7" xfId="0" applyNumberFormat="1" applyFont="1" applyFill="1" applyBorder="1" applyAlignment="1">
      <alignment horizontal="center"/>
    </xf>
    <xf numFmtId="4" fontId="6" fillId="5" borderId="7" xfId="0" applyNumberFormat="1" applyFont="1" applyFill="1" applyBorder="1" applyAlignment="1">
      <alignment horizontal="left"/>
    </xf>
    <xf numFmtId="4" fontId="2" fillId="5" borderId="7" xfId="0" applyNumberFormat="1" applyFont="1" applyFill="1" applyBorder="1" applyAlignment="1">
      <alignment horizontal="left"/>
    </xf>
    <xf numFmtId="4" fontId="2" fillId="9" borderId="7" xfId="0" applyNumberFormat="1" applyFont="1" applyFill="1" applyBorder="1" applyAlignment="1">
      <alignment horizontal="center"/>
    </xf>
    <xf numFmtId="4" fontId="2" fillId="10" borderId="7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left"/>
    </xf>
    <xf numFmtId="4" fontId="6" fillId="6" borderId="7" xfId="0" applyNumberFormat="1" applyFont="1" applyFill="1" applyBorder="1" applyAlignment="1">
      <alignment horizontal="left"/>
    </xf>
    <xf numFmtId="4" fontId="2" fillId="6" borderId="7" xfId="0" applyNumberFormat="1" applyFont="1" applyFill="1" applyBorder="1" applyAlignment="1">
      <alignment horizontal="left"/>
    </xf>
    <xf numFmtId="4" fontId="2" fillId="6" borderId="7" xfId="0" applyNumberFormat="1" applyFont="1" applyFill="1" applyBorder="1" applyAlignment="1">
      <alignment horizontal="center"/>
    </xf>
    <xf numFmtId="0" fontId="6" fillId="5" borderId="7" xfId="0" applyFont="1" applyFill="1" applyBorder="1" applyAlignment="1">
      <alignment horizontal="left"/>
    </xf>
    <xf numFmtId="7" fontId="2" fillId="9" borderId="7" xfId="0" applyNumberFormat="1" applyFont="1" applyFill="1" applyBorder="1" applyAlignment="1">
      <alignment horizontal="center"/>
    </xf>
    <xf numFmtId="4" fontId="2" fillId="0" borderId="37" xfId="0" applyNumberFormat="1" applyFont="1" applyBorder="1" applyAlignment="1">
      <alignment horizontal="center"/>
    </xf>
    <xf numFmtId="7" fontId="2" fillId="0" borderId="1" xfId="0" applyNumberFormat="1" applyFont="1" applyBorder="1" applyAlignment="1">
      <alignment horizontal="center"/>
    </xf>
    <xf numFmtId="15" fontId="2" fillId="9" borderId="7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left"/>
    </xf>
    <xf numFmtId="0" fontId="2" fillId="9" borderId="7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right"/>
    </xf>
    <xf numFmtId="0" fontId="2" fillId="10" borderId="7" xfId="0" applyFont="1" applyFill="1" applyBorder="1" applyAlignment="1">
      <alignment horizontal="left"/>
    </xf>
    <xf numFmtId="4" fontId="2" fillId="10" borderId="7" xfId="0" applyNumberFormat="1" applyFon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4" fontId="0" fillId="0" borderId="0" xfId="0" applyNumberFormat="1" applyAlignment="1">
      <alignment horizontal="left"/>
    </xf>
    <xf numFmtId="168" fontId="2" fillId="0" borderId="1" xfId="0" applyNumberFormat="1" applyFont="1" applyBorder="1" applyAlignment="1">
      <alignment horizontal="center"/>
    </xf>
    <xf numFmtId="168" fontId="3" fillId="11" borderId="7" xfId="0" applyNumberFormat="1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168" fontId="2" fillId="9" borderId="7" xfId="0" applyNumberFormat="1" applyFont="1" applyFill="1" applyBorder="1" applyAlignment="1">
      <alignment horizontal="center"/>
    </xf>
    <xf numFmtId="0" fontId="2" fillId="6" borderId="7" xfId="0" applyFont="1" applyFill="1" applyBorder="1" applyAlignment="1">
      <alignment horizontal="left"/>
    </xf>
    <xf numFmtId="168" fontId="2" fillId="6" borderId="38" xfId="0" applyNumberFormat="1" applyFont="1" applyFill="1" applyBorder="1" applyAlignment="1">
      <alignment horizontal="center"/>
    </xf>
    <xf numFmtId="168" fontId="2" fillId="6" borderId="7" xfId="0" applyNumberFormat="1" applyFont="1" applyFill="1" applyBorder="1" applyAlignment="1">
      <alignment horizontal="center"/>
    </xf>
    <xf numFmtId="168" fontId="2" fillId="0" borderId="1" xfId="0" applyNumberFormat="1" applyFont="1" applyBorder="1" applyAlignment="1">
      <alignment horizontal="right"/>
    </xf>
    <xf numFmtId="0" fontId="2" fillId="5" borderId="7" xfId="0" applyFont="1" applyFill="1" applyBorder="1" applyAlignment="1">
      <alignment horizontal="left"/>
    </xf>
    <xf numFmtId="168" fontId="6" fillId="5" borderId="7" xfId="0" applyNumberFormat="1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right"/>
    </xf>
    <xf numFmtId="0" fontId="3" fillId="3" borderId="39" xfId="0" applyFont="1" applyFill="1" applyBorder="1" applyAlignment="1">
      <alignment horizontal="left"/>
    </xf>
    <xf numFmtId="4" fontId="3" fillId="3" borderId="40" xfId="0" applyNumberFormat="1" applyFont="1" applyFill="1" applyBorder="1" applyAlignment="1">
      <alignment horizontal="left"/>
    </xf>
    <xf numFmtId="168" fontId="10" fillId="5" borderId="2" xfId="0" applyNumberFormat="1" applyFont="1" applyFill="1" applyBorder="1" applyAlignment="1">
      <alignment horizontal="center"/>
    </xf>
    <xf numFmtId="166" fontId="2" fillId="6" borderId="41" xfId="0" applyNumberFormat="1" applyFont="1" applyFill="1" applyBorder="1" applyAlignment="1">
      <alignment horizontal="center"/>
    </xf>
    <xf numFmtId="168" fontId="2" fillId="6" borderId="42" xfId="0" applyNumberFormat="1" applyFont="1" applyFill="1" applyBorder="1" applyAlignment="1">
      <alignment horizontal="center"/>
    </xf>
    <xf numFmtId="168" fontId="2" fillId="6" borderId="43" xfId="0" applyNumberFormat="1" applyFont="1" applyFill="1" applyBorder="1" applyAlignment="1">
      <alignment horizontal="center"/>
    </xf>
    <xf numFmtId="4" fontId="2" fillId="9" borderId="41" xfId="0" applyNumberFormat="1" applyFont="1" applyFill="1" applyBorder="1" applyAlignment="1">
      <alignment horizontal="center"/>
    </xf>
    <xf numFmtId="168" fontId="2" fillId="9" borderId="42" xfId="0" applyNumberFormat="1" applyFont="1" applyFill="1" applyBorder="1" applyAlignment="1">
      <alignment horizontal="center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right"/>
    </xf>
    <xf numFmtId="0" fontId="3" fillId="3" borderId="41" xfId="0" applyFont="1" applyFill="1" applyBorder="1" applyAlignment="1">
      <alignment horizontal="left"/>
    </xf>
    <xf numFmtId="164" fontId="11" fillId="6" borderId="44" xfId="0" applyNumberFormat="1" applyFon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164" fontId="6" fillId="6" borderId="45" xfId="0" applyNumberFormat="1" applyFont="1" applyFill="1" applyBorder="1" applyAlignment="1">
      <alignment horizontal="center"/>
    </xf>
    <xf numFmtId="165" fontId="2" fillId="0" borderId="50" xfId="0" applyNumberFormat="1" applyFont="1" applyBorder="1" applyAlignment="1">
      <alignment horizontal="left"/>
    </xf>
    <xf numFmtId="4" fontId="6" fillId="0" borderId="18" xfId="0" applyNumberFormat="1" applyFont="1" applyBorder="1" applyAlignment="1">
      <alignment horizontal="center"/>
    </xf>
    <xf numFmtId="4" fontId="6" fillId="0" borderId="19" xfId="0" applyNumberFormat="1" applyFont="1" applyBorder="1" applyAlignment="1">
      <alignment horizontal="center"/>
    </xf>
    <xf numFmtId="4" fontId="6" fillId="0" borderId="51" xfId="0" applyNumberFormat="1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168" fontId="12" fillId="0" borderId="35" xfId="0" applyNumberFormat="1" applyFont="1" applyBorder="1" applyAlignment="1">
      <alignment horizontal="center"/>
    </xf>
    <xf numFmtId="169" fontId="12" fillId="0" borderId="36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4" fontId="2" fillId="0" borderId="27" xfId="0" applyNumberFormat="1" applyFont="1" applyBorder="1" applyAlignment="1">
      <alignment horizontal="center"/>
    </xf>
    <xf numFmtId="4" fontId="2" fillId="0" borderId="50" xfId="0" applyNumberFormat="1" applyFont="1" applyBorder="1" applyAlignment="1">
      <alignment horizontal="center"/>
    </xf>
    <xf numFmtId="0" fontId="13" fillId="0" borderId="18" xfId="0" applyFont="1" applyBorder="1" applyAlignment="1">
      <alignment horizontal="left"/>
    </xf>
    <xf numFmtId="169" fontId="13" fillId="13" borderId="11" xfId="0" applyNumberFormat="1" applyFont="1" applyFill="1" applyBorder="1" applyAlignment="1">
      <alignment horizontal="center"/>
    </xf>
    <xf numFmtId="169" fontId="13" fillId="0" borderId="51" xfId="0" applyNumberFormat="1" applyFont="1" applyBorder="1" applyAlignment="1">
      <alignment horizontal="center"/>
    </xf>
    <xf numFmtId="0" fontId="6" fillId="0" borderId="34" xfId="0" applyFont="1" applyBorder="1" applyAlignment="1">
      <alignment horizontal="left"/>
    </xf>
    <xf numFmtId="164" fontId="6" fillId="0" borderId="34" xfId="0" applyNumberFormat="1" applyFont="1" applyBorder="1" applyAlignment="1">
      <alignment horizontal="center"/>
    </xf>
    <xf numFmtId="165" fontId="6" fillId="0" borderId="35" xfId="0" applyNumberFormat="1" applyFont="1" applyBorder="1" applyAlignment="1">
      <alignment horizontal="center"/>
    </xf>
    <xf numFmtId="165" fontId="6" fillId="0" borderId="36" xfId="0" applyNumberFormat="1" applyFont="1" applyBorder="1" applyAlignment="1">
      <alignment horizontal="center"/>
    </xf>
    <xf numFmtId="4" fontId="2" fillId="0" borderId="35" xfId="0" applyNumberFormat="1" applyFont="1" applyBorder="1" applyAlignment="1">
      <alignment horizontal="left"/>
    </xf>
    <xf numFmtId="3" fontId="2" fillId="0" borderId="35" xfId="0" applyNumberFormat="1" applyFont="1" applyBorder="1" applyAlignment="1">
      <alignment horizontal="left"/>
    </xf>
    <xf numFmtId="4" fontId="2" fillId="0" borderId="19" xfId="0" applyNumberFormat="1" applyFont="1" applyBorder="1" applyAlignment="1">
      <alignment horizontal="left"/>
    </xf>
    <xf numFmtId="166" fontId="2" fillId="0" borderId="36" xfId="0" applyNumberFormat="1" applyFont="1" applyBorder="1" applyAlignment="1">
      <alignment horizontal="left"/>
    </xf>
    <xf numFmtId="168" fontId="13" fillId="13" borderId="11" xfId="0" applyNumberFormat="1" applyFont="1" applyFill="1" applyBorder="1" applyAlignment="1">
      <alignment horizontal="center"/>
    </xf>
    <xf numFmtId="0" fontId="8" fillId="0" borderId="5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3" fontId="2" fillId="0" borderId="37" xfId="0" applyNumberFormat="1" applyFont="1" applyBorder="1" applyAlignment="1">
      <alignment horizontal="center"/>
    </xf>
    <xf numFmtId="165" fontId="2" fillId="0" borderId="37" xfId="0" applyNumberFormat="1" applyFont="1" applyBorder="1" applyAlignment="1">
      <alignment horizontal="center"/>
    </xf>
    <xf numFmtId="4" fontId="2" fillId="0" borderId="19" xfId="0" applyNumberFormat="1" applyFont="1" applyBorder="1" applyAlignment="1">
      <alignment horizontal="center"/>
    </xf>
    <xf numFmtId="166" fontId="2" fillId="0" borderId="50" xfId="0" applyNumberFormat="1" applyFont="1" applyBorder="1" applyAlignment="1">
      <alignment horizontal="center"/>
    </xf>
    <xf numFmtId="0" fontId="13" fillId="0" borderId="23" xfId="0" applyFont="1" applyBorder="1" applyAlignment="1">
      <alignment horizontal="left"/>
    </xf>
    <xf numFmtId="168" fontId="13" fillId="13" borderId="7" xfId="0" applyNumberFormat="1" applyFont="1" applyFill="1" applyBorder="1" applyAlignment="1">
      <alignment horizontal="center"/>
    </xf>
    <xf numFmtId="169" fontId="13" fillId="0" borderId="50" xfId="0" applyNumberFormat="1" applyFont="1" applyBorder="1" applyAlignment="1">
      <alignment horizontal="center"/>
    </xf>
    <xf numFmtId="0" fontId="8" fillId="0" borderId="37" xfId="0" applyFont="1" applyBorder="1" applyAlignment="1">
      <alignment horizontal="left"/>
    </xf>
    <xf numFmtId="164" fontId="2" fillId="0" borderId="37" xfId="0" applyNumberFormat="1" applyFont="1" applyBorder="1" applyAlignment="1">
      <alignment horizontal="center"/>
    </xf>
    <xf numFmtId="0" fontId="13" fillId="0" borderId="27" xfId="0" applyFont="1" applyBorder="1" applyAlignment="1">
      <alignment horizontal="left"/>
    </xf>
    <xf numFmtId="168" fontId="13" fillId="13" borderId="15" xfId="0" applyNumberFormat="1" applyFont="1" applyFill="1" applyBorder="1" applyAlignment="1">
      <alignment horizontal="center"/>
    </xf>
    <xf numFmtId="169" fontId="13" fillId="0" borderId="53" xfId="0" applyNumberFormat="1" applyFont="1" applyBorder="1" applyAlignment="1">
      <alignment horizontal="center"/>
    </xf>
    <xf numFmtId="0" fontId="8" fillId="0" borderId="54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164" fontId="2" fillId="0" borderId="54" xfId="0" applyNumberFormat="1" applyFont="1" applyBorder="1" applyAlignment="1">
      <alignment horizontal="center"/>
    </xf>
    <xf numFmtId="4" fontId="2" fillId="0" borderId="54" xfId="0" applyNumberFormat="1" applyFont="1" applyBorder="1" applyAlignment="1">
      <alignment horizontal="center"/>
    </xf>
    <xf numFmtId="165" fontId="2" fillId="0" borderId="54" xfId="0" applyNumberFormat="1" applyFont="1" applyBorder="1" applyAlignment="1">
      <alignment horizontal="center"/>
    </xf>
    <xf numFmtId="4" fontId="2" fillId="0" borderId="28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/>
    </xf>
    <xf numFmtId="166" fontId="2" fillId="0" borderId="53" xfId="0" applyNumberFormat="1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4" fontId="2" fillId="0" borderId="28" xfId="0" applyNumberFormat="1" applyFont="1" applyBorder="1" applyAlignment="1">
      <alignment horizontal="left"/>
    </xf>
    <xf numFmtId="3" fontId="2" fillId="0" borderId="28" xfId="0" applyNumberFormat="1" applyFont="1" applyBorder="1" applyAlignment="1">
      <alignment horizontal="left"/>
    </xf>
    <xf numFmtId="166" fontId="2" fillId="0" borderId="28" xfId="0" applyNumberFormat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3" fontId="2" fillId="0" borderId="54" xfId="0" applyNumberFormat="1" applyFont="1" applyBorder="1" applyAlignment="1">
      <alignment horizontal="center"/>
    </xf>
    <xf numFmtId="166" fontId="2" fillId="0" borderId="5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34" xfId="0" applyFont="1" applyBorder="1" applyAlignment="1">
      <alignment horizontal="left"/>
    </xf>
    <xf numFmtId="168" fontId="13" fillId="13" borderId="47" xfId="0" applyNumberFormat="1" applyFont="1" applyFill="1" applyBorder="1" applyAlignment="1">
      <alignment horizontal="center"/>
    </xf>
    <xf numFmtId="169" fontId="2" fillId="0" borderId="36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66" fontId="6" fillId="0" borderId="55" xfId="0" applyNumberFormat="1" applyFont="1" applyBorder="1" applyAlignment="1">
      <alignment horizontal="center"/>
    </xf>
    <xf numFmtId="166" fontId="6" fillId="0" borderId="56" xfId="0" applyNumberFormat="1" applyFont="1" applyBorder="1" applyAlignment="1">
      <alignment horizontal="right"/>
    </xf>
    <xf numFmtId="4" fontId="8" fillId="0" borderId="2" xfId="0" applyNumberFormat="1" applyFont="1" applyBorder="1" applyAlignment="1">
      <alignment horizontal="left"/>
    </xf>
    <xf numFmtId="166" fontId="6" fillId="0" borderId="2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right"/>
    </xf>
    <xf numFmtId="165" fontId="6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0" fontId="2" fillId="0" borderId="58" xfId="0" applyNumberFormat="1" applyFont="1" applyBorder="1" applyAlignment="1">
      <alignment horizontal="center"/>
    </xf>
    <xf numFmtId="4" fontId="3" fillId="11" borderId="46" xfId="0" applyNumberFormat="1" applyFont="1" applyFill="1" applyBorder="1" applyAlignment="1">
      <alignment horizontal="center"/>
    </xf>
    <xf numFmtId="4" fontId="3" fillId="11" borderId="47" xfId="0" applyNumberFormat="1" applyFont="1" applyFill="1" applyBorder="1" applyAlignment="1">
      <alignment horizontal="center"/>
    </xf>
    <xf numFmtId="3" fontId="3" fillId="11" borderId="47" xfId="0" applyNumberFormat="1" applyFont="1" applyFill="1" applyBorder="1" applyAlignment="1">
      <alignment horizontal="center"/>
    </xf>
    <xf numFmtId="166" fontId="3" fillId="11" borderId="48" xfId="0" applyNumberFormat="1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168" fontId="12" fillId="5" borderId="47" xfId="0" applyNumberFormat="1" applyFont="1" applyFill="1" applyBorder="1" applyAlignment="1">
      <alignment horizontal="center"/>
    </xf>
    <xf numFmtId="169" fontId="12" fillId="5" borderId="49" xfId="0" applyNumberFormat="1" applyFont="1" applyFill="1" applyBorder="1" applyAlignment="1">
      <alignment horizontal="center"/>
    </xf>
    <xf numFmtId="0" fontId="6" fillId="12" borderId="39" xfId="0" applyFont="1" applyFill="1" applyBorder="1" applyAlignment="1">
      <alignment horizontal="center"/>
    </xf>
    <xf numFmtId="164" fontId="6" fillId="12" borderId="40" xfId="0" applyNumberFormat="1" applyFont="1" applyFill="1" applyBorder="1" applyAlignment="1">
      <alignment horizontal="center"/>
    </xf>
    <xf numFmtId="4" fontId="6" fillId="12" borderId="39" xfId="0" applyNumberFormat="1" applyFont="1" applyFill="1" applyBorder="1" applyAlignment="1">
      <alignment horizontal="center"/>
    </xf>
    <xf numFmtId="4" fontId="6" fillId="12" borderId="57" xfId="0" applyNumberFormat="1" applyFont="1" applyFill="1" applyBorder="1" applyAlignment="1">
      <alignment horizontal="center"/>
    </xf>
    <xf numFmtId="3" fontId="6" fillId="12" borderId="57" xfId="0" applyNumberFormat="1" applyFont="1" applyFill="1" applyBorder="1" applyAlignment="1">
      <alignment horizontal="center"/>
    </xf>
    <xf numFmtId="4" fontId="6" fillId="12" borderId="40" xfId="0" applyNumberFormat="1" applyFont="1" applyFill="1" applyBorder="1" applyAlignment="1">
      <alignment horizontal="center"/>
    </xf>
    <xf numFmtId="0" fontId="6" fillId="12" borderId="2" xfId="0" applyFont="1" applyFill="1" applyBorder="1" applyAlignment="1">
      <alignment horizontal="left"/>
    </xf>
    <xf numFmtId="4" fontId="6" fillId="12" borderId="2" xfId="0" applyNumberFormat="1" applyFont="1" applyFill="1" applyBorder="1" applyAlignment="1">
      <alignment horizontal="left"/>
    </xf>
    <xf numFmtId="168" fontId="9" fillId="3" borderId="7" xfId="0" applyNumberFormat="1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0" fontId="6" fillId="5" borderId="7" xfId="0" applyFont="1" applyFill="1" applyBorder="1" applyAlignment="1">
      <alignment horizontal="left" vertical="top"/>
    </xf>
    <xf numFmtId="0" fontId="6" fillId="5" borderId="7" xfId="0" applyFont="1" applyFill="1" applyBorder="1" applyAlignment="1">
      <alignment horizontal="left"/>
    </xf>
    <xf numFmtId="4" fontId="6" fillId="5" borderId="7" xfId="0" applyNumberFormat="1" applyFont="1" applyFill="1" applyBorder="1" applyAlignment="1">
      <alignment horizontal="left" vertical="top"/>
    </xf>
    <xf numFmtId="4" fontId="6" fillId="5" borderId="7" xfId="0" applyNumberFormat="1" applyFont="1" applyFill="1" applyBorder="1" applyAlignment="1">
      <alignment horizontal="left"/>
    </xf>
    <xf numFmtId="0" fontId="6" fillId="5" borderId="7" xfId="0" applyFont="1" applyFill="1" applyBorder="1" applyAlignment="1">
      <alignment horizontal="center" vertical="top"/>
    </xf>
    <xf numFmtId="0" fontId="6" fillId="5" borderId="7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36"/>
  <sheetViews>
    <sheetView topLeftCell="C19" workbookViewId="0">
      <selection activeCell="E36" sqref="E36"/>
    </sheetView>
  </sheetViews>
  <sheetFormatPr defaultRowHeight="15" x14ac:dyDescent="0.25"/>
  <cols>
    <col min="1" max="1" width="3" style="7" bestFit="1" customWidth="1"/>
    <col min="2" max="2" width="9.85546875" style="8" bestFit="1" customWidth="1"/>
    <col min="3" max="3" width="44" style="219" bestFit="1" customWidth="1"/>
    <col min="4" max="4" width="30.140625" style="220" bestFit="1" customWidth="1"/>
    <col min="5" max="5" width="13" style="221" bestFit="1" customWidth="1"/>
    <col min="6" max="6" width="11.85546875" style="82" bestFit="1" customWidth="1"/>
    <col min="7" max="7" width="10.5703125" style="124" bestFit="1" customWidth="1"/>
    <col min="8" max="13" width="10.5703125" style="222" bestFit="1" customWidth="1"/>
    <col min="14" max="14" width="11.5703125" style="7" bestFit="1" customWidth="1"/>
    <col min="15" max="15" width="11.140625" style="7" bestFit="1" customWidth="1"/>
    <col min="16" max="16" width="13" style="145" bestFit="1" customWidth="1"/>
    <col min="17" max="17" width="13" style="223" bestFit="1" customWidth="1"/>
    <col min="18" max="18" width="13.5703125" style="7" bestFit="1" customWidth="1"/>
  </cols>
  <sheetData>
    <row r="1" spans="1:18" ht="18.75" customHeight="1" x14ac:dyDescent="0.25">
      <c r="A1" s="1"/>
      <c r="B1" s="2"/>
      <c r="C1" s="118"/>
      <c r="D1" s="57"/>
      <c r="E1" s="147"/>
      <c r="F1" s="22"/>
      <c r="G1" s="83"/>
      <c r="H1" s="91"/>
      <c r="I1" s="91"/>
      <c r="J1" s="148"/>
      <c r="K1" s="91"/>
      <c r="L1" s="91"/>
      <c r="M1" s="149"/>
      <c r="N1" s="1"/>
      <c r="O1" s="1"/>
      <c r="P1" s="132"/>
      <c r="Q1" s="150"/>
      <c r="R1" s="1"/>
    </row>
    <row r="2" spans="1:18" ht="18.75" customHeight="1" x14ac:dyDescent="0.25">
      <c r="A2" s="1"/>
      <c r="B2" s="2"/>
      <c r="C2" s="118"/>
      <c r="D2" s="57"/>
      <c r="E2" s="147"/>
      <c r="F2" s="22"/>
      <c r="G2" s="83"/>
      <c r="H2" s="91"/>
      <c r="I2" s="91"/>
      <c r="J2" s="148"/>
      <c r="K2" s="91"/>
      <c r="L2" s="91"/>
      <c r="M2" s="149"/>
      <c r="N2" s="1"/>
      <c r="O2" s="1"/>
      <c r="P2" s="132"/>
      <c r="Q2" s="150"/>
      <c r="R2" s="1"/>
    </row>
    <row r="3" spans="1:18" ht="21" customHeight="1" x14ac:dyDescent="0.25">
      <c r="A3" s="1"/>
      <c r="B3" s="2"/>
      <c r="C3" s="151" t="s">
        <v>0</v>
      </c>
      <c r="D3" s="152" t="s">
        <v>312</v>
      </c>
      <c r="E3" s="147"/>
      <c r="F3" s="22"/>
      <c r="G3" s="83"/>
      <c r="H3" s="91"/>
      <c r="I3" s="91"/>
      <c r="J3" s="148"/>
      <c r="K3" s="91"/>
      <c r="L3" s="91"/>
      <c r="M3" s="149"/>
      <c r="N3" s="1"/>
      <c r="O3" s="1"/>
      <c r="P3" s="132"/>
      <c r="Q3" s="150"/>
      <c r="R3" s="1"/>
    </row>
    <row r="4" spans="1:18" ht="20.25" customHeight="1" x14ac:dyDescent="0.25">
      <c r="A4" s="1"/>
      <c r="B4" s="2"/>
      <c r="C4" s="153" t="s">
        <v>275</v>
      </c>
      <c r="D4" s="154" t="str">
        <f>InputData!C3</f>
        <v>Invoice Discounting</v>
      </c>
      <c r="E4" s="147"/>
      <c r="F4" s="22"/>
      <c r="G4" s="225" t="s">
        <v>276</v>
      </c>
      <c r="H4" s="226"/>
      <c r="I4" s="226"/>
      <c r="J4" s="227"/>
      <c r="K4" s="226"/>
      <c r="L4" s="226"/>
      <c r="M4" s="228"/>
      <c r="N4" s="1"/>
      <c r="O4" s="229" t="s">
        <v>277</v>
      </c>
      <c r="P4" s="230"/>
      <c r="Q4" s="231"/>
      <c r="R4" s="1"/>
    </row>
    <row r="5" spans="1:18" ht="20.25" customHeight="1" x14ac:dyDescent="0.25">
      <c r="A5" s="1"/>
      <c r="B5" s="2"/>
      <c r="C5" s="118"/>
      <c r="D5" s="57"/>
      <c r="E5" s="147"/>
      <c r="F5" s="155"/>
      <c r="G5" s="156" t="s">
        <v>13</v>
      </c>
      <c r="H5" s="157" t="s">
        <v>14</v>
      </c>
      <c r="I5" s="157" t="s">
        <v>15</v>
      </c>
      <c r="J5" s="157" t="s">
        <v>16</v>
      </c>
      <c r="K5" s="157" t="s">
        <v>17</v>
      </c>
      <c r="L5" s="157" t="s">
        <v>18</v>
      </c>
      <c r="M5" s="158" t="s">
        <v>19</v>
      </c>
      <c r="N5" s="1"/>
      <c r="O5" s="159" t="s">
        <v>278</v>
      </c>
      <c r="P5" s="160" t="s">
        <v>279</v>
      </c>
      <c r="Q5" s="161" t="s">
        <v>280</v>
      </c>
      <c r="R5" s="1"/>
    </row>
    <row r="6" spans="1:18" ht="19.5" customHeight="1" x14ac:dyDescent="0.25">
      <c r="A6" s="1"/>
      <c r="B6" s="162"/>
      <c r="C6" s="118"/>
      <c r="D6" s="86"/>
      <c r="E6" s="163"/>
      <c r="F6" s="163"/>
      <c r="G6" s="164">
        <v>4.6500000000000004</v>
      </c>
      <c r="H6" s="91">
        <v>3.8</v>
      </c>
      <c r="I6" s="91">
        <v>3.15</v>
      </c>
      <c r="J6" s="91">
        <v>2.6</v>
      </c>
      <c r="K6" s="91">
        <v>2.15</v>
      </c>
      <c r="L6" s="91">
        <v>1.79</v>
      </c>
      <c r="M6" s="165">
        <v>1.3</v>
      </c>
      <c r="N6" s="1"/>
      <c r="O6" s="166" t="s">
        <v>281</v>
      </c>
      <c r="P6" s="167">
        <v>0</v>
      </c>
      <c r="Q6" s="168">
        <v>9.5616019305435705E-3</v>
      </c>
      <c r="R6" s="132"/>
    </row>
    <row r="7" spans="1:18" ht="20.25" customHeight="1" x14ac:dyDescent="0.25">
      <c r="A7" s="1"/>
      <c r="B7" s="2"/>
      <c r="C7" s="169" t="str">
        <f>ModelTemplate!B6&amp;": "&amp;ModelTemplate!C6&amp;" ["&amp; SUM(F8:F10)*100&amp;"%]"</f>
        <v>Factor 1: Contract Performance Risk [0%]</v>
      </c>
      <c r="D7" s="170" t="s">
        <v>282</v>
      </c>
      <c r="E7" s="171" t="s">
        <v>266</v>
      </c>
      <c r="F7" s="172" t="s">
        <v>283</v>
      </c>
      <c r="G7" s="173"/>
      <c r="H7" s="173"/>
      <c r="I7" s="173"/>
      <c r="J7" s="174"/>
      <c r="K7" s="173"/>
      <c r="L7" s="175"/>
      <c r="M7" s="176"/>
      <c r="N7" s="1"/>
      <c r="O7" s="166" t="s">
        <v>284</v>
      </c>
      <c r="P7" s="177">
        <v>9.5616019305435705E-3</v>
      </c>
      <c r="Q7" s="168">
        <v>1.38313252390844E-2</v>
      </c>
      <c r="R7" s="150"/>
    </row>
    <row r="8" spans="1:18" ht="20.25" customHeight="1" x14ac:dyDescent="0.25">
      <c r="A8" s="1"/>
      <c r="B8" s="178" t="s">
        <v>285</v>
      </c>
      <c r="C8" s="179" t="str">
        <f>ModelTemplate!D6</f>
        <v>No. similar transactions completed</v>
      </c>
      <c r="D8" s="180">
        <v>3</v>
      </c>
      <c r="E8" s="91">
        <f>IFERROR(INDEX($G$6:$M$6,,MATCH(1,G8:M8,0)),"")</f>
        <v>2.6</v>
      </c>
      <c r="F8" s="181">
        <f>INDEX(Weighting!$D4:$F4,,MATCH($D$4,Weighting!$D$3:$F$3,0))</f>
        <v>0</v>
      </c>
      <c r="G8" s="91" t="str">
        <f>IF(D8&gt;=Variables!C5,1,"")</f>
        <v/>
      </c>
      <c r="H8" s="91" t="str">
        <f>IF(AND($D$8&lt;Variables!$C5,$D$8&gt;=Variables!$C6),1,"")</f>
        <v/>
      </c>
      <c r="I8" s="91" t="str">
        <f>IF(AND($D$8&lt;Variables!$C6,$D$8&gt;=Variables!$C7),1,"")</f>
        <v/>
      </c>
      <c r="J8" s="148">
        <f>IF(AND($D$8&lt;Variables!$C7,$D$8&gt;=Variables!$C8),1,"")</f>
        <v>1</v>
      </c>
      <c r="K8" s="91" t="str">
        <f>IF(AND($D$8&lt;Variables!$C8,$D$8&gt;=Variables!$C9),1,"")</f>
        <v/>
      </c>
      <c r="L8" s="182" t="str">
        <f>IF(AND($D$8&lt;Variables!$C9,$D$8&gt;=Variables!$C10),1,"")</f>
        <v/>
      </c>
      <c r="M8" s="183" t="str">
        <f>IF($D$8&lt;=Variables!$C11,1,"")</f>
        <v/>
      </c>
      <c r="N8" s="1"/>
      <c r="O8" s="184" t="s">
        <v>286</v>
      </c>
      <c r="P8" s="185">
        <v>1.38313252390844E-2</v>
      </c>
      <c r="Q8" s="186">
        <v>1.8101048547626002E-2</v>
      </c>
      <c r="R8" s="150"/>
    </row>
    <row r="9" spans="1:18" ht="19.5" customHeight="1" x14ac:dyDescent="0.25">
      <c r="A9" s="1"/>
      <c r="B9" s="187" t="s">
        <v>287</v>
      </c>
      <c r="C9" s="179" t="str">
        <f>ModelTemplate!D7</f>
        <v>Sourcing of  the Service Rendered</v>
      </c>
      <c r="D9" s="188" t="str">
        <f>InputData!E9</f>
        <v>Fully Insourced</v>
      </c>
      <c r="E9" s="91">
        <f>IFERROR(INDEX($G$6:$M$6,,MATCH(1,G9:M9,0)),"")</f>
        <v>4.6500000000000004</v>
      </c>
      <c r="F9" s="181">
        <f>INDEX(Weighting!$D5:$F5,,MATCH($D$4,Weighting!$D$3:$F$3,0))</f>
        <v>0</v>
      </c>
      <c r="G9" s="91">
        <f>IF($D$9=Variables!$E5,1,"")</f>
        <v>1</v>
      </c>
      <c r="H9" s="91" t="str">
        <f>IF($D$9=Variables!$E6,1,"")</f>
        <v/>
      </c>
      <c r="I9" s="91" t="str">
        <f>IF($D$9=Variables!$E7,1,"")</f>
        <v/>
      </c>
      <c r="J9" s="148" t="str">
        <f>IF($D$9=Variables!$E8,1,"")</f>
        <v/>
      </c>
      <c r="K9" s="91" t="str">
        <f>IF($D$9=Variables!$E9,1,"")</f>
        <v/>
      </c>
      <c r="L9" s="91" t="str">
        <f>IF($D$9=Variables!$E10,1,"")</f>
        <v/>
      </c>
      <c r="M9" s="183" t="str">
        <f>IF($D$9=Variables!$E11,1,"")</f>
        <v/>
      </c>
      <c r="N9" s="1"/>
      <c r="O9" s="189" t="s">
        <v>288</v>
      </c>
      <c r="P9" s="190">
        <v>1.8101048547626002E-2</v>
      </c>
      <c r="Q9" s="191">
        <v>2.2370771856165698E-2</v>
      </c>
      <c r="R9" s="150"/>
    </row>
    <row r="10" spans="1:18" ht="19.5" customHeight="1" x14ac:dyDescent="0.25">
      <c r="A10" s="1"/>
      <c r="B10" s="192" t="s">
        <v>287</v>
      </c>
      <c r="C10" s="193" t="str">
        <f>ModelTemplate!D8</f>
        <v>Likelihood of service delivery delay</v>
      </c>
      <c r="D10" s="194" t="str">
        <f>InputData!E10</f>
        <v>Highly Unlikely</v>
      </c>
      <c r="E10" s="195">
        <f>IFERROR(INDEX($G$6:$M$6,,MATCH(1,G10:M10,0)),"")</f>
        <v>4.6500000000000004</v>
      </c>
      <c r="F10" s="196">
        <f>INDEX(Weighting!$D6:$F6,,MATCH($D$4,Weighting!$D$3:$F$3,0))</f>
        <v>0</v>
      </c>
      <c r="G10" s="197">
        <f>IF($D$10=Variables!$G5,1,"")</f>
        <v>1</v>
      </c>
      <c r="H10" s="197" t="str">
        <f>IF($D$10=Variables!G6,1,"")</f>
        <v/>
      </c>
      <c r="I10" s="197" t="str">
        <f>IF($D$10=Variables!G7,1,"")</f>
        <v/>
      </c>
      <c r="J10" s="198" t="str">
        <f>IF($D$10=Variables!$G8,1,"")</f>
        <v/>
      </c>
      <c r="K10" s="197" t="str">
        <f>IF($D$10=Variables!$G9,1,"")</f>
        <v/>
      </c>
      <c r="L10" s="197" t="str">
        <f>IF($D$10=Variables!$G10,1,"")</f>
        <v/>
      </c>
      <c r="M10" s="199" t="str">
        <f>IF($D$10=Variables!$G11,1,"")</f>
        <v/>
      </c>
      <c r="N10" s="1"/>
      <c r="O10" s="166" t="s">
        <v>289</v>
      </c>
      <c r="P10" s="177">
        <v>2.2370771856165698E-2</v>
      </c>
      <c r="Q10" s="168">
        <v>2.9197890193123899E-2</v>
      </c>
      <c r="R10" s="150"/>
    </row>
    <row r="11" spans="1:18" ht="19.5" customHeight="1" x14ac:dyDescent="0.25">
      <c r="A11" s="1"/>
      <c r="B11" s="2"/>
      <c r="C11" s="118"/>
      <c r="D11" s="57"/>
      <c r="E11" s="147"/>
      <c r="F11" s="22"/>
      <c r="G11" s="83"/>
      <c r="H11" s="91"/>
      <c r="I11" s="91"/>
      <c r="J11" s="148"/>
      <c r="K11" s="91"/>
      <c r="L11" s="91"/>
      <c r="M11" s="149"/>
      <c r="N11" s="1"/>
      <c r="O11" s="184" t="s">
        <v>290</v>
      </c>
      <c r="P11" s="185">
        <v>2.9197890193123899E-2</v>
      </c>
      <c r="Q11" s="186">
        <v>3.6025008530082003E-2</v>
      </c>
      <c r="R11" s="150"/>
    </row>
    <row r="12" spans="1:18" ht="20.25" customHeight="1" x14ac:dyDescent="0.25">
      <c r="A12" s="1"/>
      <c r="B12" s="2"/>
      <c r="C12" s="169" t="str">
        <f>ModelTemplate!B11&amp;": "&amp;ModelTemplate!C11&amp;" [ "&amp; SUM(F13:F16)*100&amp;"%]"</f>
        <v>Factor 2: Off-Taker Payment Risk [ 30%]</v>
      </c>
      <c r="D12" s="200"/>
      <c r="E12" s="201"/>
      <c r="F12" s="201"/>
      <c r="G12" s="202"/>
      <c r="H12" s="202"/>
      <c r="I12" s="202"/>
      <c r="J12" s="203"/>
      <c r="K12" s="202"/>
      <c r="L12" s="202"/>
      <c r="M12" s="204"/>
      <c r="N12" s="1"/>
      <c r="O12" s="189" t="s">
        <v>291</v>
      </c>
      <c r="P12" s="190">
        <v>3.6025008530082003E-2</v>
      </c>
      <c r="Q12" s="191">
        <v>4.2852126867040201E-2</v>
      </c>
      <c r="R12" s="150"/>
    </row>
    <row r="13" spans="1:18" ht="20.25" customHeight="1" x14ac:dyDescent="0.25">
      <c r="A13" s="1"/>
      <c r="B13" s="178" t="s">
        <v>285</v>
      </c>
      <c r="C13" s="179" t="str">
        <f>ModelTemplate!D11</f>
        <v>Debt Service Cover Ratio</v>
      </c>
      <c r="D13" s="108">
        <v>1.25</v>
      </c>
      <c r="E13" s="91">
        <f>IFERROR(INDEX($G$6:$M$6,,MATCH(1,G13:M13,0)),"")</f>
        <v>2.6</v>
      </c>
      <c r="F13" s="181">
        <f>INDEX(Weighting!$D9:$F9,,MATCH($D$4,Weighting!$D$3:$F$3,0))</f>
        <v>7.4999999999999997E-2</v>
      </c>
      <c r="G13" s="91" t="str">
        <f>IF(D13&gt;=Variables!C14,1,"")</f>
        <v/>
      </c>
      <c r="H13" s="91" t="str">
        <f>IF(AND($D$13&lt;Variables!$C$14,$D$13&gt;=Variables!$C$15),1,"")</f>
        <v/>
      </c>
      <c r="I13" s="91" t="str">
        <f>IF(AND($D$13&lt;Variables!$C$15,$D$13&gt;=Variables!$C$16),1,"")</f>
        <v/>
      </c>
      <c r="J13" s="148">
        <f>IF(AND($D$13&lt;Variables!$C$16,$D$13&gt;=Variables!$C$17),1,"")</f>
        <v>1</v>
      </c>
      <c r="K13" s="91" t="str">
        <f>IF(AND($D$13&lt;Variables!$C$17,$D$13&gt;=Variables!$C$18),1,"")</f>
        <v/>
      </c>
      <c r="L13" s="91" t="str">
        <f>IF(AND($D$13&lt;Variables!$C$18,$D$13&gt;=Variables!$C$19),1,"")</f>
        <v/>
      </c>
      <c r="M13" s="183" t="str">
        <f>IF(D13&lt;Variables!C19,1,"")</f>
        <v/>
      </c>
      <c r="N13" s="1"/>
      <c r="O13" s="166" t="s">
        <v>292</v>
      </c>
      <c r="P13" s="177">
        <v>4.2852126867040201E-2</v>
      </c>
      <c r="Q13" s="168">
        <v>5.3325943982804797E-2</v>
      </c>
      <c r="R13" s="150"/>
    </row>
    <row r="14" spans="1:18" ht="19.5" customHeight="1" x14ac:dyDescent="0.25">
      <c r="A14" s="1"/>
      <c r="B14" s="187" t="s">
        <v>285</v>
      </c>
      <c r="C14" s="179" t="str">
        <f>ModelTemplate!D12</f>
        <v>Current Ratio</v>
      </c>
      <c r="D14" s="108">
        <v>1.25</v>
      </c>
      <c r="E14" s="91">
        <f>IFERROR(INDEX($G$6:$M$6,,MATCH(1,G14:M14,0)),"")</f>
        <v>2.6</v>
      </c>
      <c r="F14" s="181">
        <f>INDEX(Weighting!$D10:$F10,,MATCH($D$4,Weighting!$D$3:$F$3,0))</f>
        <v>7.4999999999999997E-2</v>
      </c>
      <c r="G14" s="91" t="str">
        <f>IF($D$14&gt;=Variables!E14,1,"")</f>
        <v/>
      </c>
      <c r="H14" s="91" t="str">
        <f>IF(AND($D$14&lt;Variables!$E$14,$D$14&gt;=Variables!$E$15),1,"")</f>
        <v/>
      </c>
      <c r="I14" s="91" t="str">
        <f>IF(AND($D$14&lt;Variables!$E$15,$D$14&gt;=Variables!$E$16),1,"")</f>
        <v/>
      </c>
      <c r="J14" s="148">
        <f>IF(AND($D$14&lt;Variables!$E$16,$D$14&gt;=Variables!$E$17),1,"")</f>
        <v>1</v>
      </c>
      <c r="K14" s="91" t="str">
        <f>IF(AND($D$14&lt;Variables!$E$17,$D$14&gt;=Variables!$E$18),1,"")</f>
        <v/>
      </c>
      <c r="L14" s="91" t="str">
        <f>IF(AND($D$14&lt;Variables!$E$18,$D$14&gt;=Variables!$E$19),1,"")</f>
        <v/>
      </c>
      <c r="M14" s="183" t="str">
        <f>IF(D14&lt;Variables!E19,1,"")</f>
        <v/>
      </c>
      <c r="N14" s="1"/>
      <c r="O14" s="184" t="s">
        <v>293</v>
      </c>
      <c r="P14" s="185">
        <v>5.3325943982804797E-2</v>
      </c>
      <c r="Q14" s="186">
        <v>6.3799761098569302E-2</v>
      </c>
      <c r="R14" s="150"/>
    </row>
    <row r="15" spans="1:18" ht="19.5" customHeight="1" x14ac:dyDescent="0.25">
      <c r="A15" s="1"/>
      <c r="B15" s="187" t="s">
        <v>294</v>
      </c>
      <c r="C15" s="179" t="str">
        <f>ModelTemplate!D13</f>
        <v>Debt ratio (D/A)</v>
      </c>
      <c r="D15" s="188">
        <v>0.65</v>
      </c>
      <c r="E15" s="91">
        <f>IFERROR(INDEX($G$6:$M$6,,MATCH(1,G15:M15,0)),"")</f>
        <v>2.6</v>
      </c>
      <c r="F15" s="181">
        <f>INDEX(Weighting!$D11:$F11,,MATCH($D$4,Weighting!$D$3:$F$3,0))</f>
        <v>0.05</v>
      </c>
      <c r="G15" s="91" t="str">
        <f>IF($D$15&lt;=Variables!G14,1,"")</f>
        <v/>
      </c>
      <c r="H15" s="91" t="str">
        <f>IF(AND($D$15&gt;Variables!$G14,$D$15&lt;=Variables!$G15),1,"")</f>
        <v/>
      </c>
      <c r="I15" s="91" t="str">
        <f>IF(AND($D$15&gt;Variables!G15,$D$15&lt;=Variables!G16),1,"")</f>
        <v/>
      </c>
      <c r="J15" s="148">
        <f>IF(AND($D$15&gt;Variables!G16,$D$15&lt;=Variables!G17),1,"")</f>
        <v>1</v>
      </c>
      <c r="K15" s="91" t="str">
        <f>IF(AND($D$15&gt;Variables!G17,$D$15&lt;=Variables!G18),1,"")</f>
        <v/>
      </c>
      <c r="L15" s="91" t="str">
        <f>IF(AND($D$15&gt;Variables!G18,$D$15&lt;=Variables!G19),1,"")</f>
        <v/>
      </c>
      <c r="M15" s="183" t="str">
        <f>IF($D$15&gt;Variables!G19,1,"")</f>
        <v/>
      </c>
      <c r="N15" s="1"/>
      <c r="O15" s="189" t="s">
        <v>295</v>
      </c>
      <c r="P15" s="190">
        <v>6.3799761098569302E-2</v>
      </c>
      <c r="Q15" s="191">
        <v>7.4273578214333905E-2</v>
      </c>
      <c r="R15" s="205" t="s">
        <v>296</v>
      </c>
    </row>
    <row r="16" spans="1:18" ht="19.5" customHeight="1" x14ac:dyDescent="0.25">
      <c r="A16" s="1"/>
      <c r="B16" s="192" t="s">
        <v>285</v>
      </c>
      <c r="C16" s="193" t="str">
        <f>ModelTemplate!D14</f>
        <v>Number of Cash inflows from off-taker</v>
      </c>
      <c r="D16" s="206">
        <f>InputData!E22</f>
        <v>3</v>
      </c>
      <c r="E16" s="195">
        <f>IFERROR(INDEX($G$6:$M$6,,MATCH(1,G16:M16,0)),"")</f>
        <v>2.6</v>
      </c>
      <c r="F16" s="196">
        <f>INDEX(Weighting!$D12:$F12,,MATCH($D$4,Weighting!$D$3:$F$3,0))</f>
        <v>0.1</v>
      </c>
      <c r="G16" s="197" t="str">
        <f>IF($D$16&gt;=Variables!I14,1,"")</f>
        <v/>
      </c>
      <c r="H16" s="197" t="str">
        <f>IF(AND($D$16&lt;Variables!$I14,$D$16&gt;=Variables!$I15),1,"")</f>
        <v/>
      </c>
      <c r="I16" s="197" t="str">
        <f>IF(AND($D$16&lt;Variables!$I15,$D$16&gt;=Variables!$I16),1,"")</f>
        <v/>
      </c>
      <c r="J16" s="198">
        <f>IF(AND($D$16&lt;Variables!$I16,$D$16&gt;=Variables!$I17),1,"")</f>
        <v>1</v>
      </c>
      <c r="K16" s="197" t="str">
        <f>IF(AND($D$16&lt;Variables!$I17,$D$16&gt;=Variables!$I18),1,"")</f>
        <v/>
      </c>
      <c r="L16" s="197" t="str">
        <f>IF(AND($D$16&lt;Variables!$I18,$D$16&gt;=Variables!$I19),1,"")</f>
        <v/>
      </c>
      <c r="M16" s="199" t="str">
        <f>IF(AND($D$16&lt;Variables!$I19,$D$16&gt;=Variables!$I20),1,"")</f>
        <v/>
      </c>
      <c r="N16" s="1"/>
      <c r="O16" s="166" t="s">
        <v>297</v>
      </c>
      <c r="P16" s="177">
        <v>7.4273578214333905E-2</v>
      </c>
      <c r="Q16" s="168">
        <v>8.8343771400721596E-2</v>
      </c>
      <c r="R16" s="150"/>
    </row>
    <row r="17" spans="1:18" ht="19.5" customHeight="1" x14ac:dyDescent="0.25">
      <c r="A17" s="1"/>
      <c r="B17" s="2"/>
      <c r="C17" s="118"/>
      <c r="D17" s="57"/>
      <c r="E17" s="147"/>
      <c r="F17" s="22"/>
      <c r="G17" s="83"/>
      <c r="H17" s="91"/>
      <c r="I17" s="91"/>
      <c r="J17" s="148"/>
      <c r="K17" s="91"/>
      <c r="L17" s="91"/>
      <c r="M17" s="149"/>
      <c r="N17" s="1"/>
      <c r="O17" s="184" t="s">
        <v>298</v>
      </c>
      <c r="P17" s="185">
        <v>8.8343771400721596E-2</v>
      </c>
      <c r="Q17" s="186">
        <v>0.10241396458711</v>
      </c>
      <c r="R17" s="150"/>
    </row>
    <row r="18" spans="1:18" ht="20.25" customHeight="1" x14ac:dyDescent="0.25">
      <c r="A18" s="1"/>
      <c r="B18" s="2"/>
      <c r="C18" s="169" t="str">
        <f>ModelTemplate!B17&amp;": "&amp;ModelTemplate!C17&amp;" [ "&amp; SUM(F19:F21)*100&amp;"%]"</f>
        <v>Factor 3: Off-taker Risk [ 20%]</v>
      </c>
      <c r="D18" s="200"/>
      <c r="E18" s="201"/>
      <c r="F18" s="201"/>
      <c r="G18" s="202"/>
      <c r="H18" s="202"/>
      <c r="I18" s="202"/>
      <c r="J18" s="203"/>
      <c r="K18" s="202"/>
      <c r="L18" s="202"/>
      <c r="M18" s="204"/>
      <c r="N18" s="1"/>
      <c r="O18" s="189" t="s">
        <v>299</v>
      </c>
      <c r="P18" s="190">
        <v>0.10241396458711</v>
      </c>
      <c r="Q18" s="191">
        <v>0.11648415777349801</v>
      </c>
      <c r="R18" s="150"/>
    </row>
    <row r="19" spans="1:18" ht="20.25" customHeight="1" x14ac:dyDescent="0.25">
      <c r="A19" s="1"/>
      <c r="B19" s="178" t="s">
        <v>287</v>
      </c>
      <c r="C19" s="179" t="str">
        <f>ModelTemplate!D17</f>
        <v>Past disputes with off-taker</v>
      </c>
      <c r="D19" s="188" t="str">
        <f>InputData!E24</f>
        <v>material but resolved</v>
      </c>
      <c r="E19" s="91">
        <f>IFERROR(INDEX($G$6:$M$6,,MATCH(1,G19:M19,0)),"")</f>
        <v>2.6</v>
      </c>
      <c r="F19" s="181">
        <f>INDEX(Weighting!$D15:$F15,,MATCH($D$4,Weighting!$D$3:$F$3,0))</f>
        <v>7.4999999999999997E-2</v>
      </c>
      <c r="G19" s="91" t="str">
        <f>IF($D$19=Variables!$C23,1,"")</f>
        <v/>
      </c>
      <c r="H19" s="91" t="str">
        <f>IF($D$19=Variables!$C24,1,"")</f>
        <v/>
      </c>
      <c r="I19" s="91" t="str">
        <f>IF($D$19=Variables!$C25,1,"")</f>
        <v/>
      </c>
      <c r="J19" s="148">
        <f>IF($D$19=Variables!$C26,1,"")</f>
        <v>1</v>
      </c>
      <c r="K19" s="91" t="str">
        <f>IF($D$19=Variables!$C27,1,"")</f>
        <v/>
      </c>
      <c r="L19" s="91" t="str">
        <f>IF($D$19=Variables!$C28,1,"")</f>
        <v/>
      </c>
      <c r="M19" s="207" t="str">
        <f>IF($D$19=Variables!$C29,1,"")</f>
        <v/>
      </c>
      <c r="N19" s="1"/>
      <c r="O19" s="166" t="s">
        <v>300</v>
      </c>
      <c r="P19" s="177">
        <v>0.11648415777349801</v>
      </c>
      <c r="Q19" s="168">
        <v>0.13330949507134601</v>
      </c>
      <c r="R19" s="150"/>
    </row>
    <row r="20" spans="1:18" ht="19.5" customHeight="1" x14ac:dyDescent="0.25">
      <c r="A20" s="1"/>
      <c r="B20" s="187" t="s">
        <v>287</v>
      </c>
      <c r="C20" s="208" t="str">
        <f>ModelTemplate!D18</f>
        <v>Off-taker reputational risk</v>
      </c>
      <c r="D20" s="188" t="str">
        <f>InputData!E25</f>
        <v>Partially Tainted</v>
      </c>
      <c r="E20" s="91">
        <f>IFERROR(INDEX($G$6:$M$6,,MATCH(1,G20:M20,0)),"")</f>
        <v>2.6</v>
      </c>
      <c r="F20" s="181">
        <f>INDEX(Weighting!$D16:$F16,,MATCH($D$4,Weighting!$D$3:$F$3,0))</f>
        <v>7.4999999999999997E-2</v>
      </c>
      <c r="G20" s="91" t="str">
        <f>IF($D$20=Variables!$E23,1,"")</f>
        <v/>
      </c>
      <c r="H20" s="91" t="str">
        <f>IF($D$20=Variables!$E24,1,"")</f>
        <v/>
      </c>
      <c r="I20" s="91" t="str">
        <f>IF($D$20=Variables!$E25,1,"")</f>
        <v/>
      </c>
      <c r="J20" s="148">
        <f>IF($D$20=Variables!$E26,1,"")</f>
        <v>1</v>
      </c>
      <c r="K20" s="91" t="str">
        <f>IF($D$20=Variables!$E27,1,"")</f>
        <v/>
      </c>
      <c r="L20" s="91" t="str">
        <f>IF($D$20=Variables!$E28,1,"")</f>
        <v/>
      </c>
      <c r="M20" s="183" t="str">
        <f>IF($D$20=Variables!$E29,1,"")</f>
        <v/>
      </c>
      <c r="N20" s="1"/>
      <c r="O20" s="184" t="s">
        <v>301</v>
      </c>
      <c r="P20" s="185">
        <v>0.13330949507134601</v>
      </c>
      <c r="Q20" s="186">
        <v>0.150134832369194</v>
      </c>
      <c r="R20" s="150"/>
    </row>
    <row r="21" spans="1:18" ht="19.5" customHeight="1" x14ac:dyDescent="0.25">
      <c r="A21" s="1"/>
      <c r="B21" s="192" t="s">
        <v>294</v>
      </c>
      <c r="C21" s="193" t="str">
        <f>ModelTemplate!D19</f>
        <v>Term to loan settlement (weeks)</v>
      </c>
      <c r="D21" s="224">
        <f>InputData!E26</f>
        <v>5</v>
      </c>
      <c r="E21" s="195">
        <f>IFERROR(INDEX($G$6:$M$6,,MATCH(1,G21:M21,0)),"")</f>
        <v>2.6</v>
      </c>
      <c r="F21" s="196">
        <f>INDEX(Weighting!$D17:$F17,,MATCH($D$4,Weighting!$D$3:$F$3,0))</f>
        <v>0.05</v>
      </c>
      <c r="G21" s="197" t="str">
        <f>IF($D$21&lt;=Variables!G23,1,"")</f>
        <v/>
      </c>
      <c r="H21" s="197" t="str">
        <f>IF(AND($D$21&gt;Variables!$G23,$D$21&lt;=Variables!$G24),1,"")</f>
        <v/>
      </c>
      <c r="I21" s="197" t="str">
        <f>IF(AND($D$21&gt;Variables!$G24,$D$21&lt;=Variables!$G25),1,"")</f>
        <v/>
      </c>
      <c r="J21" s="198">
        <f>IF(AND($D$21&gt;Variables!$G25,$D$21&lt;=Variables!$G26),1,"")</f>
        <v>1</v>
      </c>
      <c r="K21" s="197" t="str">
        <f>IF(AND($D$21&gt;Variables!$G26,$D$21&lt;=Variables!$G27),1,"")</f>
        <v/>
      </c>
      <c r="L21" s="197" t="str">
        <f>IF(AND($D$21&gt;Variables!$G27,$D$21&lt;=Variables!$G28),1,"")</f>
        <v/>
      </c>
      <c r="M21" s="199" t="str">
        <f>IF($D$21&gt;Variables!$G28,1,"")</f>
        <v/>
      </c>
      <c r="N21" s="1"/>
      <c r="O21" s="189" t="s">
        <v>302</v>
      </c>
      <c r="P21" s="190">
        <v>0.150134832369194</v>
      </c>
      <c r="Q21" s="191">
        <v>0.166960169667042</v>
      </c>
      <c r="R21" s="150"/>
    </row>
    <row r="22" spans="1:18" ht="19.5" customHeight="1" x14ac:dyDescent="0.25">
      <c r="A22" s="1"/>
      <c r="B22" s="2"/>
      <c r="C22" s="118"/>
      <c r="D22" s="57"/>
      <c r="E22" s="147"/>
      <c r="F22" s="22"/>
      <c r="G22" s="83"/>
      <c r="H22" s="91"/>
      <c r="I22" s="91"/>
      <c r="J22" s="148"/>
      <c r="K22" s="91"/>
      <c r="L22" s="91"/>
      <c r="M22" s="149"/>
      <c r="N22" s="1"/>
      <c r="O22" s="166" t="s">
        <v>303</v>
      </c>
      <c r="P22" s="177">
        <v>0.16696016966704064</v>
      </c>
      <c r="Q22" s="168">
        <v>0.202150710789366</v>
      </c>
      <c r="R22" s="150"/>
    </row>
    <row r="23" spans="1:18" ht="20.25" customHeight="1" x14ac:dyDescent="0.25">
      <c r="A23" s="1"/>
      <c r="B23" s="2"/>
      <c r="C23" s="169" t="str">
        <f>ModelTemplate!B22&amp;": "&amp;ModelTemplate!C22&amp;" [ "&amp; SUM(F24:F26)*100&amp;"%]"</f>
        <v>Factor 4: Supplier Risk [ 0%]</v>
      </c>
      <c r="D23" s="200"/>
      <c r="E23" s="201"/>
      <c r="F23" s="201"/>
      <c r="G23" s="202"/>
      <c r="H23" s="202"/>
      <c r="I23" s="202"/>
      <c r="J23" s="203"/>
      <c r="K23" s="202"/>
      <c r="L23" s="202"/>
      <c r="M23" s="204"/>
      <c r="N23" s="1"/>
      <c r="O23" s="184" t="s">
        <v>304</v>
      </c>
      <c r="P23" s="185">
        <v>0.202150710789366</v>
      </c>
      <c r="Q23" s="186">
        <v>0.23734125191169</v>
      </c>
      <c r="R23" s="150"/>
    </row>
    <row r="24" spans="1:18" ht="18.75" customHeight="1" x14ac:dyDescent="0.25">
      <c r="A24" s="1"/>
      <c r="B24" s="178" t="s">
        <v>287</v>
      </c>
      <c r="C24" s="179" t="str">
        <f>ModelTemplate!D22</f>
        <v>Reputational risk</v>
      </c>
      <c r="D24" s="188" t="str">
        <f>InputData!E28</f>
        <v>Solid</v>
      </c>
      <c r="E24" s="91">
        <f>IFERROR(INDEX($G$6:$M$6,,MATCH(1,G24:M24,0)),"")</f>
        <v>4.6500000000000004</v>
      </c>
      <c r="F24" s="181">
        <f>INDEX(Weighting!$D20:$F20,,MATCH($D$4,Weighting!$D$3:$F$3,0))</f>
        <v>0</v>
      </c>
      <c r="G24" s="91">
        <f>IF($D$24=Variables!$C32,1,"")</f>
        <v>1</v>
      </c>
      <c r="H24" s="91" t="str">
        <f>IF($D$24=Variables!$C33,1,"")</f>
        <v/>
      </c>
      <c r="I24" s="91" t="str">
        <f>IF($D$24=Variables!$C34,1,"")</f>
        <v/>
      </c>
      <c r="J24" s="148" t="str">
        <f>IF($D$24=Variables!$C35,1,"")</f>
        <v/>
      </c>
      <c r="K24" s="91" t="str">
        <f>IF($D$24=Variables!$C36,1,"")</f>
        <v/>
      </c>
      <c r="L24" s="91" t="str">
        <f>IF($D$24=Variables!$C37,1,"")</f>
        <v/>
      </c>
      <c r="M24" s="183" t="str">
        <f>IF($D$24=Variables!$C38,1,"")</f>
        <v/>
      </c>
      <c r="N24" s="1"/>
      <c r="O24" s="189" t="s">
        <v>305</v>
      </c>
      <c r="P24" s="190">
        <v>0.23734125191169</v>
      </c>
      <c r="Q24" s="191">
        <v>0.27253179303401398</v>
      </c>
      <c r="R24" s="150"/>
    </row>
    <row r="25" spans="1:18" ht="18.75" customHeight="1" x14ac:dyDescent="0.25">
      <c r="A25" s="1"/>
      <c r="B25" s="187" t="s">
        <v>287</v>
      </c>
      <c r="C25" s="179" t="str">
        <f>ModelTemplate!D23</f>
        <v>Variety of supplier base</v>
      </c>
      <c r="D25" s="188" t="str">
        <f>InputData!E29</f>
        <v>Superior</v>
      </c>
      <c r="E25" s="91">
        <f>IFERROR(INDEX($G$6:$M$6,,MATCH(1,G25:M25,0)),"")</f>
        <v>4.6500000000000004</v>
      </c>
      <c r="F25" s="181">
        <f>INDEX(Weighting!$D21:$F21,,MATCH($D$4,Weighting!$D$3:$F$3,0))</f>
        <v>0</v>
      </c>
      <c r="G25" s="91">
        <f>IF($D$25=Variables!$E32,1,"")</f>
        <v>1</v>
      </c>
      <c r="H25" s="91" t="str">
        <f>IF($D$25=Variables!$E33,1,"")</f>
        <v/>
      </c>
      <c r="I25" s="91" t="str">
        <f>IF($D$25=Variables!$E34,1,"")</f>
        <v/>
      </c>
      <c r="J25" s="148" t="str">
        <f>IF($D$25=Variables!$E35,1,"")</f>
        <v/>
      </c>
      <c r="K25" s="91" t="str">
        <f>IF($D$25=Variables!$E36,1,"")</f>
        <v/>
      </c>
      <c r="L25" s="91" t="str">
        <f>IF($D$25=Variables!$E37,1,"")</f>
        <v/>
      </c>
      <c r="M25" s="183" t="str">
        <f>IF($D$25=Variables!$E38,1,"")</f>
        <v/>
      </c>
      <c r="N25" s="1"/>
      <c r="O25" s="209" t="s">
        <v>306</v>
      </c>
      <c r="P25" s="210">
        <v>0.27253179303401398</v>
      </c>
      <c r="Q25" s="211"/>
      <c r="R25" s="1"/>
    </row>
    <row r="26" spans="1:18" ht="18.75" customHeight="1" x14ac:dyDescent="0.25">
      <c r="A26" s="1"/>
      <c r="B26" s="192" t="s">
        <v>285</v>
      </c>
      <c r="C26" s="193" t="str">
        <f>ModelTemplate!D24</f>
        <v>Number of times the SME has used the supplier</v>
      </c>
      <c r="D26" s="206">
        <f>InputData!E30</f>
        <v>3</v>
      </c>
      <c r="E26" s="195">
        <f>IFERROR(INDEX($G$6:$M$6,,MATCH(1,G26:M26,0)),"")</f>
        <v>2.6</v>
      </c>
      <c r="F26" s="196">
        <f>INDEX(Weighting!$D22:$F22,,MATCH($D$4,Weighting!$D$3:$F$3,0))</f>
        <v>0</v>
      </c>
      <c r="G26" s="197" t="str">
        <f>IF($D$26&gt;=Variables!G32,1,"")</f>
        <v/>
      </c>
      <c r="H26" s="197" t="str">
        <f>IF(AND($D$26&lt;Variables!$G32,$D$26&gt;=Variables!$G33),1,"")</f>
        <v/>
      </c>
      <c r="I26" s="197" t="str">
        <f>IF(AND($D$26&lt;Variables!$G33,$D$26&gt;=Variables!$G34),1,"")</f>
        <v/>
      </c>
      <c r="J26" s="198">
        <f>IF(AND($D$26&lt;Variables!$G34,$D$26&gt;=Variables!$G35),1,"")</f>
        <v>1</v>
      </c>
      <c r="K26" s="197" t="str">
        <f>IF(AND($D$26&lt;Variables!$G35,$D$26&gt;=Variables!$G36),1,"")</f>
        <v/>
      </c>
      <c r="L26" s="197" t="str">
        <f>IF(AND($D$26&lt;Variables!$G36,$D$26&gt;=Variables!$G37),1,"")</f>
        <v/>
      </c>
      <c r="M26" s="199" t="str">
        <f>IF(AND($D$26&lt;Variables!$G37,$D$26&gt;=Variables!$G38),1,"")</f>
        <v/>
      </c>
      <c r="N26" s="1"/>
      <c r="O26" s="1"/>
      <c r="P26" s="132"/>
      <c r="Q26" s="150"/>
      <c r="R26" s="1"/>
    </row>
    <row r="27" spans="1:18" ht="18.75" customHeight="1" x14ac:dyDescent="0.25">
      <c r="A27" s="1"/>
      <c r="B27" s="2"/>
      <c r="C27" s="118"/>
      <c r="D27" s="57"/>
      <c r="E27" s="147"/>
      <c r="F27" s="22"/>
      <c r="G27" s="83"/>
      <c r="H27" s="91"/>
      <c r="I27" s="91"/>
      <c r="J27" s="148"/>
      <c r="K27" s="91"/>
      <c r="L27" s="91"/>
      <c r="M27" s="149"/>
      <c r="N27" s="1"/>
      <c r="O27" s="1"/>
      <c r="P27" s="132"/>
      <c r="Q27" s="150"/>
      <c r="R27" s="1"/>
    </row>
    <row r="28" spans="1:18" ht="18.75" customHeight="1" x14ac:dyDescent="0.25">
      <c r="A28" s="1"/>
      <c r="B28" s="2"/>
      <c r="C28" s="169" t="str">
        <f>ModelTemplate!B27&amp;": "&amp;ModelTemplate!C27&amp;" [ "&amp; SUM(F29:F32)*100&amp;"%]"</f>
        <v>Factor 5: Security and Collateral Risk [ 50%]</v>
      </c>
      <c r="D28" s="200"/>
      <c r="E28" s="201"/>
      <c r="F28" s="201"/>
      <c r="G28" s="202"/>
      <c r="H28" s="202"/>
      <c r="I28" s="202"/>
      <c r="J28" s="203"/>
      <c r="K28" s="202"/>
      <c r="L28" s="202"/>
      <c r="M28" s="204"/>
      <c r="N28" s="1"/>
      <c r="O28" s="1"/>
      <c r="P28" s="132"/>
      <c r="Q28" s="150"/>
      <c r="R28" s="1"/>
    </row>
    <row r="29" spans="1:18" ht="18.75" customHeight="1" x14ac:dyDescent="0.25">
      <c r="A29" s="1"/>
      <c r="B29" s="178" t="s">
        <v>285</v>
      </c>
      <c r="C29" s="179" t="str">
        <f>ModelTemplate!D27</f>
        <v>Unencumbered Assets to the Unsecured Debt</v>
      </c>
      <c r="D29" s="108">
        <f>InputData!E32/InputData!E33</f>
        <v>1.25</v>
      </c>
      <c r="E29" s="91">
        <f>IFERROR(INDEX($G$6:$M$6,,MATCH(1,G29:M29,0)),"")</f>
        <v>2.6</v>
      </c>
      <c r="F29" s="181">
        <f>INDEX(Weighting!$D25:$F25,,MATCH($D$4,Weighting!$D$3:$F$3,0))</f>
        <v>0.125</v>
      </c>
      <c r="G29" s="91" t="str">
        <f>IF(D29&gt;=Variables!C41,1,"")</f>
        <v/>
      </c>
      <c r="H29" s="91" t="str">
        <f>IF(AND($D$29&lt;Variables!$C41,$D$29&gt;=Variables!$C42),1,"")</f>
        <v/>
      </c>
      <c r="I29" s="91" t="str">
        <f>IF(AND($D$29&lt;Variables!$C42,$D$29&gt;=Variables!$C43),1,"")</f>
        <v/>
      </c>
      <c r="J29" s="148">
        <f>IF(AND($D$29&lt;Variables!$C43,$D$29&gt;=Variables!$C44),1,"")</f>
        <v>1</v>
      </c>
      <c r="K29" s="91" t="str">
        <f>IF(AND($D$29&lt;Variables!$C44,$D$29&gt;=Variables!$C45),1,"")</f>
        <v/>
      </c>
      <c r="L29" s="91" t="str">
        <f>IF(AND($D$29&lt;Variables!$C45,$D$29&gt;=Variables!$C46),1,"")</f>
        <v/>
      </c>
      <c r="M29" s="183" t="str">
        <f>IF(D29&lt;=Variables!$C$47, 1, "")</f>
        <v/>
      </c>
      <c r="N29" s="1" t="s">
        <v>307</v>
      </c>
      <c r="O29" s="1"/>
      <c r="P29" s="132"/>
      <c r="Q29" s="150"/>
      <c r="R29" s="1"/>
    </row>
    <row r="30" spans="1:18" ht="18.75" customHeight="1" x14ac:dyDescent="0.25">
      <c r="A30" s="1"/>
      <c r="B30" s="187" t="s">
        <v>285</v>
      </c>
      <c r="C30" s="179" t="str">
        <f>ModelTemplate!D28</f>
        <v>Liquid Asset Loan Coverage Ratio</v>
      </c>
      <c r="D30" s="108">
        <f>InputData!E35/InputData!E36</f>
        <v>0.75</v>
      </c>
      <c r="E30" s="91">
        <f>IFERROR(INDEX($G$6:$M$6,,MATCH(1,G30:M30,0)),"")</f>
        <v>2.6</v>
      </c>
      <c r="F30" s="181">
        <f>INDEX(Weighting!$D26:$F26,,MATCH($D$4,Weighting!$D$3:$F$3,0))</f>
        <v>0.125</v>
      </c>
      <c r="G30" s="91" t="str">
        <f>IF(D30&gt;=Variables!E41,1,"")</f>
        <v/>
      </c>
      <c r="H30" s="91" t="str">
        <f>IF(AND($D$30&lt;Variables!$E41,$D$30&gt;=Variables!$E42),1,"")</f>
        <v/>
      </c>
      <c r="I30" s="91" t="str">
        <f>IF(AND($D$30&lt;Variables!$E42,$D$30&gt;=Variables!$E43),1,"")</f>
        <v/>
      </c>
      <c r="J30" s="148">
        <f>IF(AND($D$30&lt;Variables!$E43,$D$30&gt;=Variables!$E44),1,"")</f>
        <v>1</v>
      </c>
      <c r="K30" s="91" t="str">
        <f>IF(AND($D$30&lt;Variables!$E44,$D$30&gt;=Variables!$E45),1,"")</f>
        <v/>
      </c>
      <c r="L30" s="91" t="str">
        <f>IF(AND($D$30&lt;Variables!$E45,$D$30&gt;=Variables!$E46),1,"")</f>
        <v/>
      </c>
      <c r="M30" s="183" t="str">
        <f>IF($D$30&lt;=Variables!$E$47,1,"")</f>
        <v/>
      </c>
      <c r="N30" s="1"/>
      <c r="O30" s="1"/>
      <c r="P30" s="132"/>
      <c r="Q30" s="150"/>
      <c r="R30" s="1"/>
    </row>
    <row r="31" spans="1:18" ht="18.75" customHeight="1" x14ac:dyDescent="0.25">
      <c r="A31" s="1"/>
      <c r="B31" s="187" t="s">
        <v>285</v>
      </c>
      <c r="C31" s="179" t="str">
        <f>ModelTemplate!D29</f>
        <v xml:space="preserve">Timing of liquid assets repayment </v>
      </c>
      <c r="D31" s="188">
        <v>0.7</v>
      </c>
      <c r="E31" s="108">
        <f>IFERROR(INDEX($G$6:$M$6,,MATCH(1,G31:M31,0)),"")</f>
        <v>2.6</v>
      </c>
      <c r="F31" s="181">
        <f>INDEX(Weighting!$D27:$F27,,MATCH($D$4,Weighting!$D$3:$F$3,0))</f>
        <v>0.125</v>
      </c>
      <c r="G31" s="91" t="str">
        <f>IF($D$31&gt;=Variables!$G41,1,"")</f>
        <v/>
      </c>
      <c r="H31" s="91" t="str">
        <f>IF(AND($D$31&lt;Variables!$G41,$D$31&gt;=Variables!$G42),1,"")</f>
        <v/>
      </c>
      <c r="I31" s="91" t="str">
        <f>IF(AND($D$31&lt;Variables!$G42,$D$31&gt;=Variables!$G43),1,"")</f>
        <v/>
      </c>
      <c r="J31" s="148">
        <f>IF(AND($D$31&lt;Variables!$G43,$D$31&gt;=Variables!$G44),1,"")</f>
        <v>1</v>
      </c>
      <c r="K31" s="91" t="str">
        <f>IF(AND($D$31&lt;Variables!$G44,$D$31&gt;=Variables!$G45),1,"")</f>
        <v/>
      </c>
      <c r="L31" s="91" t="str">
        <f>IF(AND($D$31&lt;Variables!$G45,$D$31&gt;=Variables!$G46),1,"")</f>
        <v/>
      </c>
      <c r="M31" s="183" t="str">
        <f>IF($D$31&lt;Variables!$G46,1,"")</f>
        <v/>
      </c>
      <c r="N31" s="1"/>
      <c r="O31" s="1"/>
      <c r="P31" s="132"/>
      <c r="Q31" s="150"/>
      <c r="R31" s="1"/>
    </row>
    <row r="32" spans="1:18" ht="18.75" customHeight="1" x14ac:dyDescent="0.25">
      <c r="A32" s="1"/>
      <c r="B32" s="192" t="s">
        <v>285</v>
      </c>
      <c r="C32" s="193" t="str">
        <f>ModelTemplate!D30</f>
        <v>Quality of liquid security loan coverage</v>
      </c>
      <c r="D32" s="194">
        <v>0.5</v>
      </c>
      <c r="E32" s="195">
        <f>IFERROR(INDEX($G$6:$M$6,,MATCH(1,G32:M32,0)),"")</f>
        <v>2.6</v>
      </c>
      <c r="F32" s="196">
        <f>INDEX(Weighting!$D28:$F28,,MATCH($D$4,Weighting!$D$3:$F$3,0))</f>
        <v>0.125</v>
      </c>
      <c r="G32" s="197" t="str">
        <f>IF($D$32&gt;=Variables!I41,1,"")</f>
        <v/>
      </c>
      <c r="H32" s="197" t="str">
        <f>IF(AND($D$32&lt;Variables!$I41,$D$32&gt;=Variables!$I42),1,"")</f>
        <v/>
      </c>
      <c r="I32" s="197" t="str">
        <f>IF(AND($D$32&lt;Variables!$I42,$D$32&gt;=Variables!$I43),1,"")</f>
        <v/>
      </c>
      <c r="J32" s="198">
        <f>IF(AND($D$32&lt;Variables!$I43,$D$32&gt;=Variables!$I44),1,"")</f>
        <v>1</v>
      </c>
      <c r="K32" s="197" t="str">
        <f>IF(AND($D$32&lt;Variables!$I44,$D$32&gt;=Variables!$I45),1,"")</f>
        <v/>
      </c>
      <c r="L32" s="197" t="str">
        <f>IF(AND($D$32&lt;Variables!$I45,$D$32&gt;=Variables!$I46),1,"")</f>
        <v/>
      </c>
      <c r="M32" s="199" t="str">
        <f>IF($D$32&lt;=Variables!$I$47,1,"")</f>
        <v/>
      </c>
      <c r="N32" s="1"/>
      <c r="O32" s="1"/>
      <c r="P32" s="132"/>
      <c r="Q32" s="150"/>
      <c r="R32" s="1"/>
    </row>
    <row r="33" spans="1:18" ht="18.75" customHeight="1" x14ac:dyDescent="0.25">
      <c r="A33" s="1"/>
      <c r="B33" s="2"/>
      <c r="C33" s="118"/>
      <c r="D33" s="57"/>
      <c r="E33" s="147"/>
      <c r="F33" s="22"/>
      <c r="G33" s="91"/>
      <c r="H33" s="91"/>
      <c r="I33" s="91"/>
      <c r="J33" s="148"/>
      <c r="K33" s="91"/>
      <c r="L33" s="91"/>
      <c r="M33" s="149"/>
      <c r="N33" s="1"/>
      <c r="O33" s="1"/>
      <c r="P33" s="132"/>
      <c r="Q33" s="150"/>
      <c r="R33" s="1"/>
    </row>
    <row r="34" spans="1:18" ht="18.75" customHeight="1" x14ac:dyDescent="0.25">
      <c r="A34" s="1"/>
      <c r="B34" s="212" t="s">
        <v>285</v>
      </c>
      <c r="C34" s="232" t="s">
        <v>308</v>
      </c>
      <c r="D34" s="233"/>
      <c r="E34" s="213">
        <f>SUMPRODUCT($E$8:$E$32,$F$8:$F$32)</f>
        <v>2.6000000000000005</v>
      </c>
      <c r="F34" s="214"/>
      <c r="G34" s="215" t="s">
        <v>285</v>
      </c>
      <c r="H34" s="234" t="s">
        <v>309</v>
      </c>
      <c r="I34" s="235"/>
      <c r="J34" s="236"/>
      <c r="K34" s="235"/>
      <c r="L34" s="237"/>
      <c r="M34" s="216">
        <f>$E$34*(1-SUM(InputData!$C$4:$C$5))+InputData!$C$5*InputData!$E$77+InputData!$E$79*InputData!$C$4</f>
        <v>2.6710000000000003</v>
      </c>
      <c r="N34" s="1"/>
      <c r="O34" s="1"/>
      <c r="P34" s="132"/>
      <c r="Q34" s="150"/>
      <c r="R34" s="1"/>
    </row>
    <row r="35" spans="1:18" ht="18.75" customHeight="1" x14ac:dyDescent="0.25">
      <c r="A35" s="1"/>
      <c r="B35" s="2"/>
      <c r="C35" s="118"/>
      <c r="D35" s="57"/>
      <c r="E35" s="147"/>
      <c r="F35" s="22"/>
      <c r="G35" s="83"/>
      <c r="H35" s="91"/>
      <c r="I35" s="91"/>
      <c r="J35" s="148"/>
      <c r="K35" s="91"/>
      <c r="L35" s="91"/>
      <c r="M35" s="149"/>
      <c r="N35" s="217"/>
      <c r="O35" s="1"/>
      <c r="P35" s="132"/>
      <c r="Q35" s="150"/>
      <c r="R35" s="1"/>
    </row>
    <row r="36" spans="1:18" ht="18.75" customHeight="1" x14ac:dyDescent="0.25">
      <c r="A36" s="1"/>
      <c r="B36" s="212" t="s">
        <v>294</v>
      </c>
      <c r="C36" s="232" t="s">
        <v>310</v>
      </c>
      <c r="D36" s="233"/>
      <c r="E36" s="218">
        <f>(1+EXP(M34)^(-1))-1</f>
        <v>6.9183007698610188E-2</v>
      </c>
      <c r="F36" s="22"/>
      <c r="G36" s="215" t="s">
        <v>287</v>
      </c>
      <c r="H36" s="234" t="s">
        <v>311</v>
      </c>
      <c r="I36" s="235"/>
      <c r="J36" s="236"/>
      <c r="K36" s="235"/>
      <c r="L36" s="237"/>
      <c r="M36" s="216" t="str">
        <f>IF(AND($E$36&gt;=$P$6,$E$36&lt;$Q$6),$O$6,IF(AND($E$36&gt;=$P$7,$E$36&lt;$Q$7),$O$7,IF(AND($E$36&gt;=$P$8,$E$36&lt;$Q$8),$O$8,IF(AND($E$36&gt;=$P$9,$E$36&lt;$Q$9),$O$9,IF(AND($E$36&gt;=$P$10,$E$36&lt;$Q$10),$O$10,IF(AND($E$36&gt;=$P$11,$E$36&lt;$Q$11),$O$11,IF(AND($E$36&gt;=$P$12,$E$36&lt;$Q$12),$O$12,IF(AND($E$36&gt;=$P$13,$E$36&lt;$Q$13),$O$13,IF(AND($E$36&gt;=$P$14,$E$36&lt;$Q$14),$O$14,IF(AND($E$36&gt;=$P$15,$E$36&lt;$Q$15),$O$15,IF(AND($E$36&gt;=$P$16,$E$36&lt;$Q$16),$O$16,IF(AND($E$36&gt;=$P$17,$E$36&lt;$Q$17),$O$17,IF(AND($E$36&gt;=$P$18,$E$36&lt;$Q$18),$O$18,IF(AND($E$36&gt;=$P$19,$E$36&lt;$Q$19),$O$19,IF(AND($E$36&gt;=$P$20,$E$36&lt;$Q$20),$O$20,IF(AND($E$36&gt;=$P$21,$E$36&lt;$Q$21),$O$21,IF(AND($E$36&gt;=$P$22,$E$36&lt;$Q$22),$O$22,IF(AND($E$36&gt;=$P$23,$E$36&lt;$Q$23),$O$23,IF(AND($E$36&gt;=$P$24,$E$36&lt;$Q$24),$O$24,$O$25)))))))))))))))))))</f>
        <v>pBBB-</v>
      </c>
      <c r="N36" s="1"/>
      <c r="O36" s="1"/>
      <c r="P36" s="132"/>
      <c r="Q36" s="150"/>
      <c r="R36" s="1"/>
    </row>
  </sheetData>
  <mergeCells count="6">
    <mergeCell ref="G4:M4"/>
    <mergeCell ref="O4:Q4"/>
    <mergeCell ref="C34:D34"/>
    <mergeCell ref="H34:L34"/>
    <mergeCell ref="C36:D36"/>
    <mergeCell ref="H36:L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1"/>
  <sheetViews>
    <sheetView workbookViewId="0">
      <selection activeCell="D9" sqref="D9"/>
    </sheetView>
  </sheetViews>
  <sheetFormatPr defaultRowHeight="15" x14ac:dyDescent="0.25"/>
  <cols>
    <col min="1" max="1" width="2.28515625" style="7" bestFit="1" customWidth="1"/>
    <col min="2" max="2" width="30.42578125" style="7" bestFit="1" customWidth="1"/>
    <col min="3" max="3" width="13.5703125" style="92" bestFit="1" customWidth="1"/>
    <col min="4" max="4" width="28.5703125" style="145" bestFit="1" customWidth="1"/>
    <col min="5" max="7" width="13.5703125" style="7" bestFit="1" customWidth="1"/>
    <col min="8" max="8" width="13.5703125" style="146" bestFit="1" customWidth="1"/>
  </cols>
  <sheetData>
    <row r="1" spans="1:8" ht="18" customHeight="1" x14ac:dyDescent="0.25">
      <c r="A1" s="1"/>
      <c r="B1" s="1"/>
      <c r="C1" s="83"/>
      <c r="D1" s="132"/>
      <c r="E1" s="1"/>
      <c r="F1" s="1"/>
      <c r="G1" s="1"/>
      <c r="H1" s="136"/>
    </row>
    <row r="2" spans="1:8" ht="18.75" customHeight="1" x14ac:dyDescent="0.25">
      <c r="A2" s="1"/>
      <c r="B2" s="137" t="str">
        <f>CreditRating!C3</f>
        <v>Entity Name</v>
      </c>
      <c r="C2" s="138"/>
      <c r="D2" s="139" t="str">
        <f>CreditRating!D3</f>
        <v>C:\CreditModel\SME Rating\company_data.py</v>
      </c>
      <c r="E2" s="1"/>
      <c r="F2" s="1"/>
      <c r="G2" s="1"/>
      <c r="H2" s="136"/>
    </row>
    <row r="3" spans="1:8" ht="18.75" customHeight="1" x14ac:dyDescent="0.25">
      <c r="A3" s="1"/>
      <c r="B3" s="238" t="str">
        <f>CreditRating!C34</f>
        <v>Stand Alone Credit Score</v>
      </c>
      <c r="C3" s="239"/>
      <c r="D3" s="140">
        <f>CreditRating!$E$34</f>
        <v>2.6000000000000005</v>
      </c>
      <c r="E3" s="1"/>
      <c r="F3" s="1"/>
      <c r="G3" s="1"/>
      <c r="H3" s="136"/>
    </row>
    <row r="4" spans="1:8" ht="18.75" customHeight="1" x14ac:dyDescent="0.25">
      <c r="A4" s="1"/>
      <c r="B4" s="238" t="str">
        <f>CreditRating!C36</f>
        <v>Probability of Default</v>
      </c>
      <c r="C4" s="239"/>
      <c r="D4" s="141">
        <f>CreditRating!E36</f>
        <v>6.9183007698610188E-2</v>
      </c>
      <c r="E4" s="1"/>
      <c r="F4" s="1"/>
      <c r="G4" s="1"/>
      <c r="H4" s="136"/>
    </row>
    <row r="5" spans="1:8" ht="18.75" customHeight="1" x14ac:dyDescent="0.25">
      <c r="A5" s="1"/>
      <c r="B5" s="238" t="str">
        <f>CreditRating!$H$36</f>
        <v>Credit Rating</v>
      </c>
      <c r="C5" s="239"/>
      <c r="D5" s="142" t="str">
        <f>CreditRating!M36</f>
        <v>pBBB-</v>
      </c>
      <c r="E5" s="1"/>
      <c r="F5" s="1"/>
      <c r="G5" s="1"/>
      <c r="H5" s="136"/>
    </row>
    <row r="6" spans="1:8" ht="18.75" customHeight="1" x14ac:dyDescent="0.25">
      <c r="A6" s="1"/>
      <c r="B6" s="1"/>
      <c r="C6" s="83"/>
      <c r="D6" s="132"/>
      <c r="E6" s="1"/>
      <c r="F6" s="1"/>
      <c r="G6" s="1"/>
      <c r="H6" s="136"/>
    </row>
    <row r="7" spans="1:8" ht="18.75" customHeight="1" x14ac:dyDescent="0.25">
      <c r="A7" s="1"/>
      <c r="B7" s="238" t="s">
        <v>271</v>
      </c>
      <c r="C7" s="239"/>
      <c r="D7" s="143">
        <v>1.25</v>
      </c>
      <c r="E7" s="1"/>
      <c r="F7" s="1"/>
      <c r="G7" s="1"/>
      <c r="H7" s="136"/>
    </row>
    <row r="8" spans="1:8" ht="18.75" customHeight="1" x14ac:dyDescent="0.25">
      <c r="A8" s="1"/>
      <c r="B8" s="238" t="s">
        <v>272</v>
      </c>
      <c r="C8" s="239"/>
      <c r="D8" s="144">
        <v>0.03</v>
      </c>
      <c r="E8" s="1"/>
      <c r="F8" s="1"/>
      <c r="G8" s="1"/>
      <c r="H8" s="136"/>
    </row>
    <row r="9" spans="1:8" ht="18.75" customHeight="1" x14ac:dyDescent="0.25">
      <c r="A9" s="1"/>
      <c r="B9" s="238" t="s">
        <v>273</v>
      </c>
      <c r="C9" s="239"/>
      <c r="D9" s="141">
        <f>D4*D7</f>
        <v>8.6478759623262735E-2</v>
      </c>
      <c r="E9" s="1"/>
      <c r="F9" s="1"/>
      <c r="G9" s="1"/>
      <c r="H9" s="21"/>
    </row>
    <row r="10" spans="1:8" ht="18.75" customHeight="1" x14ac:dyDescent="0.25">
      <c r="A10" s="1"/>
      <c r="B10" s="238" t="s">
        <v>274</v>
      </c>
      <c r="C10" s="239"/>
      <c r="D10" s="142">
        <f>D8+D9</f>
        <v>0.11647875962326273</v>
      </c>
      <c r="E10" s="1"/>
      <c r="F10" s="1"/>
      <c r="G10" s="1"/>
      <c r="H10" s="21"/>
    </row>
    <row r="11" spans="1:8" ht="18.75" customHeight="1" x14ac:dyDescent="0.25">
      <c r="A11" s="1"/>
      <c r="B11" s="1"/>
      <c r="C11" s="83"/>
      <c r="D11" s="132"/>
      <c r="E11" s="1"/>
      <c r="F11" s="1"/>
      <c r="G11" s="1"/>
      <c r="H11" s="21"/>
    </row>
  </sheetData>
  <mergeCells count="7">
    <mergeCell ref="B9:C9"/>
    <mergeCell ref="B10:C10"/>
    <mergeCell ref="B3:C3"/>
    <mergeCell ref="B4:C4"/>
    <mergeCell ref="B5:C5"/>
    <mergeCell ref="B7:C7"/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31"/>
  <sheetViews>
    <sheetView workbookViewId="0"/>
  </sheetViews>
  <sheetFormatPr defaultRowHeight="15" x14ac:dyDescent="0.25"/>
  <cols>
    <col min="1" max="1" width="13.5703125" style="7" bestFit="1" customWidth="1"/>
    <col min="2" max="2" width="25.28515625" style="8" bestFit="1" customWidth="1"/>
    <col min="3" max="3" width="44" style="8" bestFit="1" customWidth="1"/>
    <col min="4" max="6" width="21.42578125" style="135" bestFit="1" customWidth="1"/>
    <col min="7" max="10" width="13.5703125" style="7" bestFit="1" customWidth="1"/>
  </cols>
  <sheetData>
    <row r="1" spans="1:10" ht="18.75" customHeight="1" x14ac:dyDescent="0.25">
      <c r="A1" s="1"/>
      <c r="B1" s="2"/>
      <c r="C1" s="2"/>
      <c r="D1" s="125"/>
      <c r="E1" s="125"/>
      <c r="F1" s="125"/>
      <c r="G1" s="1"/>
      <c r="H1" s="1"/>
      <c r="I1" s="1"/>
      <c r="J1" s="1"/>
    </row>
    <row r="2" spans="1:10" ht="18.75" customHeight="1" x14ac:dyDescent="0.25">
      <c r="A2" s="1"/>
      <c r="B2" s="2"/>
      <c r="C2" s="2"/>
      <c r="D2" s="240" t="s">
        <v>208</v>
      </c>
      <c r="E2" s="240"/>
      <c r="F2" s="240"/>
      <c r="G2" s="1"/>
      <c r="H2" s="1"/>
      <c r="I2" s="1"/>
      <c r="J2" s="1"/>
    </row>
    <row r="3" spans="1:10" ht="18.75" customHeight="1" x14ac:dyDescent="0.25">
      <c r="A3" s="1"/>
      <c r="B3" s="116" t="s">
        <v>158</v>
      </c>
      <c r="C3" s="116" t="s">
        <v>12</v>
      </c>
      <c r="D3" s="126" t="s">
        <v>268</v>
      </c>
      <c r="E3" s="126" t="s">
        <v>209</v>
      </c>
      <c r="F3" s="126" t="s">
        <v>269</v>
      </c>
      <c r="G3" s="1"/>
      <c r="H3" s="1"/>
      <c r="I3" s="1"/>
      <c r="J3" s="1"/>
    </row>
    <row r="4" spans="1:10" ht="18.75" customHeight="1" x14ac:dyDescent="0.25">
      <c r="A4" s="1"/>
      <c r="B4" s="127" t="str">
        <f>ModelTemplate!C6</f>
        <v>Contract Performance Risk</v>
      </c>
      <c r="C4" s="127" t="str">
        <f>ModelTemplate!D6</f>
        <v>No. similar transactions completed</v>
      </c>
      <c r="D4" s="128">
        <v>0.15</v>
      </c>
      <c r="E4" s="128">
        <v>0</v>
      </c>
      <c r="F4" s="128">
        <v>0.15</v>
      </c>
      <c r="G4" s="1"/>
      <c r="H4" s="1"/>
      <c r="I4" s="1"/>
      <c r="J4" s="1"/>
    </row>
    <row r="5" spans="1:10" ht="18.75" customHeight="1" x14ac:dyDescent="0.25">
      <c r="A5" s="1"/>
      <c r="B5" s="127" t="str">
        <f>ModelTemplate!C7</f>
        <v>Contract Performance Risk</v>
      </c>
      <c r="C5" s="127" t="str">
        <f>ModelTemplate!D7</f>
        <v>Sourcing of  the Service Rendered</v>
      </c>
      <c r="D5" s="128">
        <v>0.05</v>
      </c>
      <c r="E5" s="128">
        <v>0</v>
      </c>
      <c r="F5" s="128">
        <v>0.05</v>
      </c>
      <c r="G5" s="1"/>
      <c r="H5" s="1"/>
      <c r="I5" s="1"/>
      <c r="J5" s="1"/>
    </row>
    <row r="6" spans="1:10" ht="18.75" customHeight="1" x14ac:dyDescent="0.25">
      <c r="A6" s="1"/>
      <c r="B6" s="127" t="str">
        <f>ModelTemplate!C8</f>
        <v>Contract Performance Risk</v>
      </c>
      <c r="C6" s="127" t="str">
        <f>ModelTemplate!D8</f>
        <v>Likelihood of service delivery delay</v>
      </c>
      <c r="D6" s="128">
        <v>0.125</v>
      </c>
      <c r="E6" s="128">
        <v>0</v>
      </c>
      <c r="F6" s="128">
        <v>0.125</v>
      </c>
      <c r="G6" s="1"/>
      <c r="H6" s="1"/>
      <c r="I6" s="1"/>
      <c r="J6" s="1"/>
    </row>
    <row r="7" spans="1:10" ht="15" customHeight="1" x14ac:dyDescent="0.25">
      <c r="A7" s="1"/>
      <c r="B7" s="129"/>
      <c r="C7" s="129"/>
      <c r="D7" s="130">
        <f>SUM(D4:D6)</f>
        <v>0.32500000000000001</v>
      </c>
      <c r="E7" s="130">
        <f>SUM(E4:E6)</f>
        <v>0</v>
      </c>
      <c r="F7" s="130">
        <f>SUM(F4:F6)</f>
        <v>0.32500000000000001</v>
      </c>
      <c r="G7" s="1"/>
      <c r="H7" s="1"/>
      <c r="I7" s="1"/>
      <c r="J7" s="1"/>
    </row>
    <row r="8" spans="1:10" ht="15" customHeight="1" x14ac:dyDescent="0.25">
      <c r="A8" s="1"/>
      <c r="B8" s="129"/>
      <c r="C8" s="129"/>
      <c r="D8" s="131"/>
      <c r="E8" s="131"/>
      <c r="F8" s="131"/>
      <c r="G8" s="1"/>
      <c r="H8" s="1"/>
      <c r="I8" s="1"/>
      <c r="J8" s="1"/>
    </row>
    <row r="9" spans="1:10" ht="18.75" customHeight="1" x14ac:dyDescent="0.25">
      <c r="A9" s="1"/>
      <c r="B9" s="127" t="str">
        <f>ModelTemplate!C11</f>
        <v>Off-Taker Payment Risk</v>
      </c>
      <c r="C9" s="127" t="str">
        <f>ModelTemplate!D11</f>
        <v>Debt Service Cover Ratio</v>
      </c>
      <c r="D9" s="128">
        <v>0.05</v>
      </c>
      <c r="E9" s="128">
        <v>7.4999999999999997E-2</v>
      </c>
      <c r="F9" s="128">
        <v>0.05</v>
      </c>
      <c r="G9" s="1"/>
      <c r="H9" s="1"/>
      <c r="I9" s="1"/>
      <c r="J9" s="1"/>
    </row>
    <row r="10" spans="1:10" ht="18.75" customHeight="1" x14ac:dyDescent="0.25">
      <c r="A10" s="1"/>
      <c r="B10" s="127" t="str">
        <f>ModelTemplate!C12</f>
        <v>Off-Taker Payment Risk</v>
      </c>
      <c r="C10" s="127" t="str">
        <f>ModelTemplate!D12</f>
        <v>Current Ratio</v>
      </c>
      <c r="D10" s="128">
        <v>2.5000000000000001E-2</v>
      </c>
      <c r="E10" s="128">
        <v>7.4999999999999997E-2</v>
      </c>
      <c r="F10" s="128">
        <v>2.5000000000000001E-2</v>
      </c>
      <c r="G10" s="1"/>
      <c r="H10" s="1"/>
      <c r="I10" s="1"/>
      <c r="J10" s="1"/>
    </row>
    <row r="11" spans="1:10" ht="18.75" customHeight="1" x14ac:dyDescent="0.25">
      <c r="A11" s="1"/>
      <c r="B11" s="127" t="str">
        <f>ModelTemplate!C13</f>
        <v>Off-Taker Payment Risk</v>
      </c>
      <c r="C11" s="127" t="str">
        <f>ModelTemplate!D13</f>
        <v>Debt ratio (D/A)</v>
      </c>
      <c r="D11" s="128">
        <v>2.5000000000000001E-2</v>
      </c>
      <c r="E11" s="128">
        <v>0.05</v>
      </c>
      <c r="F11" s="128">
        <v>2.5000000000000001E-2</v>
      </c>
      <c r="G11" s="1"/>
      <c r="H11" s="1"/>
      <c r="I11" s="1"/>
      <c r="J11" s="1"/>
    </row>
    <row r="12" spans="1:10" ht="18.75" customHeight="1" x14ac:dyDescent="0.25">
      <c r="A12" s="1"/>
      <c r="B12" s="127" t="str">
        <f>ModelTemplate!C14</f>
        <v>Off-Taker Payment Risk</v>
      </c>
      <c r="C12" s="127" t="str">
        <f>ModelTemplate!D14</f>
        <v>Number of Cash inflows from off-taker</v>
      </c>
      <c r="D12" s="128">
        <v>0.05</v>
      </c>
      <c r="E12" s="128">
        <v>0.1</v>
      </c>
      <c r="F12" s="128">
        <v>0.05</v>
      </c>
      <c r="G12" s="1"/>
      <c r="H12" s="1"/>
      <c r="I12" s="1"/>
      <c r="J12" s="1"/>
    </row>
    <row r="13" spans="1:10" ht="14.25" customHeight="1" x14ac:dyDescent="0.25">
      <c r="A13" s="1"/>
      <c r="B13" s="129"/>
      <c r="C13" s="129"/>
      <c r="D13" s="130">
        <f>SUM(D9:D12)</f>
        <v>0.15000000000000002</v>
      </c>
      <c r="E13" s="130">
        <f>SUM(E9:E12)</f>
        <v>0.30000000000000004</v>
      </c>
      <c r="F13" s="130">
        <f>SUM(F9:F12)</f>
        <v>0.15000000000000002</v>
      </c>
      <c r="G13" s="1"/>
      <c r="H13" s="1"/>
      <c r="I13" s="1"/>
      <c r="J13" s="1"/>
    </row>
    <row r="14" spans="1:10" ht="14.25" customHeight="1" x14ac:dyDescent="0.25">
      <c r="A14" s="1"/>
      <c r="B14" s="129"/>
      <c r="C14" s="129"/>
      <c r="D14" s="131"/>
      <c r="E14" s="131"/>
      <c r="F14" s="131"/>
      <c r="G14" s="1"/>
      <c r="H14" s="1"/>
      <c r="I14" s="1"/>
      <c r="J14" s="1"/>
    </row>
    <row r="15" spans="1:10" ht="18.75" customHeight="1" x14ac:dyDescent="0.25">
      <c r="A15" s="1"/>
      <c r="B15" s="127" t="str">
        <f>ModelTemplate!C17</f>
        <v>Off-taker Risk</v>
      </c>
      <c r="C15" s="127" t="str">
        <f>ModelTemplate!D17</f>
        <v>Past disputes with off-taker</v>
      </c>
      <c r="D15" s="128">
        <v>0.05</v>
      </c>
      <c r="E15" s="128">
        <v>7.4999999999999997E-2</v>
      </c>
      <c r="F15" s="128">
        <v>0.05</v>
      </c>
      <c r="G15" s="1"/>
      <c r="H15" s="1"/>
      <c r="I15" s="1"/>
      <c r="J15" s="1"/>
    </row>
    <row r="16" spans="1:10" ht="18.75" customHeight="1" x14ac:dyDescent="0.25">
      <c r="A16" s="1"/>
      <c r="B16" s="127" t="str">
        <f>ModelTemplate!C18</f>
        <v>Off-taker Risk</v>
      </c>
      <c r="C16" s="127" t="str">
        <f>ModelTemplate!D18</f>
        <v>Off-taker reputational risk</v>
      </c>
      <c r="D16" s="128">
        <v>0.05</v>
      </c>
      <c r="E16" s="128">
        <v>7.4999999999999997E-2</v>
      </c>
      <c r="F16" s="128">
        <v>0.05</v>
      </c>
      <c r="G16" s="1"/>
      <c r="H16" s="1"/>
      <c r="I16" s="1"/>
      <c r="J16" s="1"/>
    </row>
    <row r="17" spans="1:10" ht="18.75" customHeight="1" x14ac:dyDescent="0.25">
      <c r="A17" s="1"/>
      <c r="B17" s="127" t="str">
        <f>ModelTemplate!C19</f>
        <v>Off-taker Risk</v>
      </c>
      <c r="C17" s="127" t="str">
        <f>ModelTemplate!D19</f>
        <v>Term to loan settlement (weeks)</v>
      </c>
      <c r="D17" s="128">
        <v>0.05</v>
      </c>
      <c r="E17" s="128">
        <v>0.05</v>
      </c>
      <c r="F17" s="128">
        <v>0.05</v>
      </c>
      <c r="G17" s="1"/>
      <c r="H17" s="1"/>
      <c r="I17" s="1"/>
      <c r="J17" s="1"/>
    </row>
    <row r="18" spans="1:10" ht="17.25" customHeight="1" x14ac:dyDescent="0.25">
      <c r="A18" s="1"/>
      <c r="B18" s="129"/>
      <c r="C18" s="129"/>
      <c r="D18" s="130">
        <f>SUM(D15:D17)</f>
        <v>0.15000000000000002</v>
      </c>
      <c r="E18" s="130">
        <f>SUM(E15:E17)</f>
        <v>0.2</v>
      </c>
      <c r="F18" s="130">
        <f>SUM(F15:F17)</f>
        <v>0.15000000000000002</v>
      </c>
      <c r="G18" s="132"/>
      <c r="H18" s="132"/>
      <c r="I18" s="132"/>
      <c r="J18" s="132"/>
    </row>
    <row r="19" spans="1:10" ht="8.25" customHeight="1" x14ac:dyDescent="0.25">
      <c r="A19" s="1"/>
      <c r="B19" s="129"/>
      <c r="C19" s="129"/>
      <c r="D19" s="131"/>
      <c r="E19" s="131"/>
      <c r="F19" s="131"/>
      <c r="G19" s="1"/>
      <c r="H19" s="1"/>
      <c r="I19" s="1"/>
      <c r="J19" s="1"/>
    </row>
    <row r="20" spans="1:10" ht="18.75" customHeight="1" x14ac:dyDescent="0.25">
      <c r="A20" s="1"/>
      <c r="B20" s="127" t="str">
        <f>ModelTemplate!C22</f>
        <v>Supplier Risk</v>
      </c>
      <c r="C20" s="127" t="str">
        <f>ModelTemplate!D22</f>
        <v>Reputational risk</v>
      </c>
      <c r="D20" s="128">
        <v>2.5000000000000001E-2</v>
      </c>
      <c r="E20" s="128">
        <v>0</v>
      </c>
      <c r="F20" s="128">
        <v>2.5000000000000001E-2</v>
      </c>
      <c r="G20" s="1"/>
      <c r="H20" s="1"/>
      <c r="I20" s="1"/>
      <c r="J20" s="1"/>
    </row>
    <row r="21" spans="1:10" ht="18.75" customHeight="1" x14ac:dyDescent="0.25">
      <c r="A21" s="1"/>
      <c r="B21" s="127" t="str">
        <f>ModelTemplate!C23</f>
        <v>Supplier Risk</v>
      </c>
      <c r="C21" s="127" t="str">
        <f>ModelTemplate!D23</f>
        <v>Variety of supplier base</v>
      </c>
      <c r="D21" s="128">
        <v>2.5000000000000001E-2</v>
      </c>
      <c r="E21" s="128">
        <v>0</v>
      </c>
      <c r="F21" s="128">
        <v>2.5000000000000001E-2</v>
      </c>
      <c r="G21" s="1"/>
      <c r="H21" s="1"/>
      <c r="I21" s="1"/>
      <c r="J21" s="1"/>
    </row>
    <row r="22" spans="1:10" ht="18.75" customHeight="1" x14ac:dyDescent="0.25">
      <c r="A22" s="1"/>
      <c r="B22" s="127" t="str">
        <f>ModelTemplate!C24</f>
        <v>Supplier Risk</v>
      </c>
      <c r="C22" s="127" t="str">
        <f>ModelTemplate!D24</f>
        <v>Number of times the SME has used the supplier</v>
      </c>
      <c r="D22" s="128">
        <v>2.5000000000000001E-2</v>
      </c>
      <c r="E22" s="128">
        <v>0</v>
      </c>
      <c r="F22" s="128">
        <v>2.5000000000000001E-2</v>
      </c>
      <c r="G22" s="1"/>
      <c r="H22" s="1"/>
      <c r="I22" s="1"/>
      <c r="J22" s="1"/>
    </row>
    <row r="23" spans="1:10" ht="17.25" customHeight="1" x14ac:dyDescent="0.25">
      <c r="A23" s="1"/>
      <c r="B23" s="129"/>
      <c r="C23" s="129"/>
      <c r="D23" s="130">
        <f>SUM(D20:D22)</f>
        <v>7.5000000000000011E-2</v>
      </c>
      <c r="E23" s="130">
        <f>SUM(E20:E22)</f>
        <v>0</v>
      </c>
      <c r="F23" s="130">
        <f>SUM(F20:F22)</f>
        <v>7.5000000000000011E-2</v>
      </c>
      <c r="G23" s="1"/>
      <c r="H23" s="1"/>
      <c r="I23" s="1"/>
      <c r="J23" s="1"/>
    </row>
    <row r="24" spans="1:10" ht="13.5" customHeight="1" x14ac:dyDescent="0.25">
      <c r="A24" s="1"/>
      <c r="B24" s="129"/>
      <c r="C24" s="129"/>
      <c r="D24" s="131"/>
      <c r="E24" s="131"/>
      <c r="F24" s="131"/>
      <c r="G24" s="1"/>
      <c r="H24" s="1"/>
      <c r="I24" s="1"/>
      <c r="J24" s="1"/>
    </row>
    <row r="25" spans="1:10" ht="18.75" customHeight="1" x14ac:dyDescent="0.25">
      <c r="A25" s="1"/>
      <c r="B25" s="127" t="str">
        <f>ModelTemplate!C27</f>
        <v>Security and Collateral Risk</v>
      </c>
      <c r="C25" s="127" t="str">
        <f>ModelTemplate!D27</f>
        <v>Unencumbered Assets to the Unsecured Debt</v>
      </c>
      <c r="D25" s="128">
        <v>7.4999999999999997E-2</v>
      </c>
      <c r="E25" s="128">
        <v>0.125</v>
      </c>
      <c r="F25" s="128">
        <v>7.4999999999999997E-2</v>
      </c>
      <c r="G25" s="1"/>
      <c r="H25" s="1"/>
      <c r="I25" s="1"/>
      <c r="J25" s="1"/>
    </row>
    <row r="26" spans="1:10" ht="18.75" customHeight="1" x14ac:dyDescent="0.25">
      <c r="A26" s="1"/>
      <c r="B26" s="127" t="str">
        <f>ModelTemplate!C28</f>
        <v>Security and Collateral Risk</v>
      </c>
      <c r="C26" s="127" t="str">
        <f>ModelTemplate!D28</f>
        <v>Liquid Asset Loan Coverage Ratio</v>
      </c>
      <c r="D26" s="128">
        <v>7.4999999999999997E-2</v>
      </c>
      <c r="E26" s="128">
        <v>0.125</v>
      </c>
      <c r="F26" s="128">
        <v>7.4999999999999997E-2</v>
      </c>
      <c r="G26" s="21"/>
      <c r="H26" s="1"/>
      <c r="I26" s="1"/>
      <c r="J26" s="1"/>
    </row>
    <row r="27" spans="1:10" ht="18.75" customHeight="1" x14ac:dyDescent="0.25">
      <c r="A27" s="1"/>
      <c r="B27" s="127" t="str">
        <f>ModelTemplate!C29</f>
        <v>Security and Collateral Risk</v>
      </c>
      <c r="C27" s="127" t="str">
        <f>ModelTemplate!D29</f>
        <v xml:space="preserve">Timing of liquid assets repayment </v>
      </c>
      <c r="D27" s="128">
        <v>7.4999999999999997E-2</v>
      </c>
      <c r="E27" s="128">
        <v>0.125</v>
      </c>
      <c r="F27" s="128">
        <v>7.4999999999999997E-2</v>
      </c>
      <c r="G27" s="1"/>
      <c r="H27" s="1"/>
      <c r="I27" s="1"/>
      <c r="J27" s="1"/>
    </row>
    <row r="28" spans="1:10" ht="18.75" customHeight="1" x14ac:dyDescent="0.25">
      <c r="A28" s="1"/>
      <c r="B28" s="127" t="str">
        <f>ModelTemplate!C30</f>
        <v>Security and Collateral Risk</v>
      </c>
      <c r="C28" s="127" t="str">
        <f>ModelTemplate!D30</f>
        <v>Quality of liquid security loan coverage</v>
      </c>
      <c r="D28" s="128">
        <v>7.4999999999999997E-2</v>
      </c>
      <c r="E28" s="128">
        <v>0.125</v>
      </c>
      <c r="F28" s="128">
        <v>7.4999999999999997E-2</v>
      </c>
      <c r="G28" s="1"/>
      <c r="H28" s="1"/>
      <c r="I28" s="1"/>
      <c r="J28" s="1"/>
    </row>
    <row r="29" spans="1:10" ht="18.75" customHeight="1" x14ac:dyDescent="0.25">
      <c r="A29" s="1"/>
      <c r="B29" s="102"/>
      <c r="C29" s="102"/>
      <c r="D29" s="130">
        <f>SUM(D25:D28)</f>
        <v>0.3</v>
      </c>
      <c r="E29" s="130">
        <f>SUM(E25:E28)</f>
        <v>0.5</v>
      </c>
      <c r="F29" s="130">
        <f>SUM(F25:F28)</f>
        <v>0.3</v>
      </c>
      <c r="G29" s="1"/>
      <c r="H29" s="1"/>
      <c r="I29" s="1"/>
      <c r="J29" s="1"/>
    </row>
    <row r="30" spans="1:10" ht="18.75" customHeight="1" x14ac:dyDescent="0.25">
      <c r="A30" s="1"/>
      <c r="B30" s="102" t="s">
        <v>270</v>
      </c>
      <c r="C30" s="102" t="s">
        <v>137</v>
      </c>
      <c r="D30" s="131"/>
      <c r="E30" s="131"/>
      <c r="F30" s="131"/>
      <c r="G30" s="1"/>
      <c r="H30" s="1"/>
      <c r="I30" s="1"/>
      <c r="J30" s="1"/>
    </row>
    <row r="31" spans="1:10" ht="18.75" customHeight="1" x14ac:dyDescent="0.25">
      <c r="A31" s="1"/>
      <c r="B31" s="133"/>
      <c r="C31" s="133"/>
      <c r="D31" s="134">
        <f>SUM(D7,D13,D18,D23,D29)</f>
        <v>1</v>
      </c>
      <c r="E31" s="134">
        <f>SUM(E7,E13,E18,E23,E29)</f>
        <v>1</v>
      </c>
      <c r="F31" s="134">
        <f>SUM(F7,F13,F18,F23,F29)</f>
        <v>1</v>
      </c>
      <c r="G31" s="1"/>
      <c r="H31" s="1"/>
      <c r="I31" s="1"/>
      <c r="J31" s="1"/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80"/>
  <sheetViews>
    <sheetView tabSelected="1" topLeftCell="A61" workbookViewId="0">
      <selection activeCell="E76" sqref="E76"/>
    </sheetView>
  </sheetViews>
  <sheetFormatPr defaultRowHeight="15" x14ac:dyDescent="0.25"/>
  <cols>
    <col min="1" max="1" width="2.7109375" style="7" bestFit="1" customWidth="1"/>
    <col min="2" max="2" width="36.42578125" style="8" bestFit="1" customWidth="1"/>
    <col min="3" max="3" width="44" style="124" bestFit="1" customWidth="1"/>
    <col min="4" max="4" width="48.7109375" style="124" bestFit="1" customWidth="1"/>
    <col min="5" max="5" width="20.140625" style="124" bestFit="1" customWidth="1"/>
    <col min="6" max="6" width="14.7109375" style="124" bestFit="1" customWidth="1"/>
    <col min="7" max="7" width="14.7109375" style="92" bestFit="1" customWidth="1"/>
    <col min="8" max="8" width="14.7109375" style="7" bestFit="1" customWidth="1"/>
    <col min="9" max="9" width="12.5703125" style="92" bestFit="1" customWidth="1"/>
    <col min="10" max="10" width="20.28515625" style="7" bestFit="1" customWidth="1"/>
    <col min="11" max="11" width="11.85546875" style="7" bestFit="1" customWidth="1"/>
    <col min="12" max="12" width="14.7109375" style="7" bestFit="1" customWidth="1"/>
  </cols>
  <sheetData>
    <row r="1" spans="1:12" ht="18.75" customHeight="1" x14ac:dyDescent="0.25">
      <c r="A1" s="1"/>
      <c r="B1" s="2"/>
      <c r="C1" s="83"/>
      <c r="D1" s="83"/>
      <c r="E1" s="83"/>
      <c r="F1" s="83"/>
      <c r="G1" s="83"/>
      <c r="H1" s="1"/>
      <c r="I1" s="83"/>
      <c r="J1" s="1"/>
      <c r="K1" s="1"/>
      <c r="L1" s="1"/>
    </row>
    <row r="2" spans="1:12" ht="18.75" customHeight="1" x14ac:dyDescent="0.25">
      <c r="A2" s="1"/>
      <c r="B2" s="12" t="s">
        <v>0</v>
      </c>
      <c r="C2" s="93" t="s">
        <v>207</v>
      </c>
      <c r="D2" s="83"/>
      <c r="E2" s="83"/>
      <c r="F2" s="83"/>
      <c r="G2" s="83"/>
      <c r="H2" s="1"/>
      <c r="I2" s="83"/>
      <c r="J2" s="1"/>
      <c r="K2" s="1"/>
      <c r="L2" s="1"/>
    </row>
    <row r="3" spans="1:12" ht="18.75" customHeight="1" x14ac:dyDescent="0.25">
      <c r="A3" s="1"/>
      <c r="B3" s="12" t="s">
        <v>208</v>
      </c>
      <c r="C3" s="94" t="s">
        <v>209</v>
      </c>
      <c r="D3" s="83"/>
      <c r="E3" s="83"/>
      <c r="F3" s="83"/>
      <c r="G3" s="83"/>
      <c r="H3" s="1"/>
      <c r="I3" s="83"/>
      <c r="J3" s="1"/>
      <c r="K3" s="1"/>
      <c r="L3" s="1"/>
    </row>
    <row r="4" spans="1:12" ht="18.75" customHeight="1" x14ac:dyDescent="0.25">
      <c r="A4" s="1"/>
      <c r="B4" s="12" t="s">
        <v>210</v>
      </c>
      <c r="C4" s="95">
        <v>0.05</v>
      </c>
      <c r="D4" s="83"/>
      <c r="E4" s="83"/>
      <c r="F4" s="83"/>
      <c r="G4" s="83"/>
      <c r="H4" s="1"/>
      <c r="I4" s="83"/>
      <c r="J4" s="1"/>
      <c r="K4" s="1"/>
      <c r="L4" s="1"/>
    </row>
    <row r="5" spans="1:12" ht="18.75" customHeight="1" x14ac:dyDescent="0.25">
      <c r="A5" s="1"/>
      <c r="B5" s="12" t="s">
        <v>211</v>
      </c>
      <c r="C5" s="95">
        <v>0.1</v>
      </c>
      <c r="D5" s="83"/>
      <c r="E5" s="83"/>
      <c r="F5" s="83"/>
      <c r="G5" s="83"/>
      <c r="H5" s="1"/>
      <c r="I5" s="83"/>
      <c r="J5" s="1"/>
      <c r="K5" s="1"/>
      <c r="L5" s="1"/>
    </row>
    <row r="6" spans="1:12" ht="9" customHeight="1" x14ac:dyDescent="0.25">
      <c r="A6" s="1"/>
      <c r="B6" s="2"/>
      <c r="C6" s="83"/>
      <c r="D6" s="83"/>
      <c r="E6" s="83"/>
      <c r="F6" s="83"/>
      <c r="G6" s="83"/>
      <c r="H6" s="1"/>
      <c r="I6" s="83"/>
      <c r="J6" s="1"/>
      <c r="K6" s="1"/>
      <c r="L6" s="1"/>
    </row>
    <row r="7" spans="1:12" ht="18.75" customHeight="1" x14ac:dyDescent="0.25">
      <c r="A7" s="1"/>
      <c r="B7" s="12" t="s">
        <v>158</v>
      </c>
      <c r="C7" s="96" t="s">
        <v>12</v>
      </c>
      <c r="D7" s="96" t="s">
        <v>212</v>
      </c>
      <c r="E7" s="97" t="s">
        <v>213</v>
      </c>
      <c r="F7" s="97" t="s">
        <v>214</v>
      </c>
      <c r="G7" s="83"/>
      <c r="H7" s="1"/>
      <c r="I7" s="83"/>
      <c r="J7" s="1"/>
      <c r="K7" s="1"/>
      <c r="L7" s="1"/>
    </row>
    <row r="8" spans="1:12" ht="18" customHeight="1" x14ac:dyDescent="0.25">
      <c r="A8" s="1"/>
      <c r="B8" s="241" t="s">
        <v>20</v>
      </c>
      <c r="C8" s="98" t="s">
        <v>162</v>
      </c>
      <c r="D8" s="99" t="s">
        <v>162</v>
      </c>
      <c r="E8" s="100">
        <v>3</v>
      </c>
      <c r="F8" s="101" t="s">
        <v>215</v>
      </c>
      <c r="G8" s="83"/>
      <c r="H8" s="1"/>
      <c r="I8" s="83"/>
      <c r="J8" s="1"/>
      <c r="K8" s="1"/>
      <c r="L8" s="1"/>
    </row>
    <row r="9" spans="1:12" ht="19.5" customHeight="1" x14ac:dyDescent="0.25">
      <c r="A9" s="1"/>
      <c r="B9" s="242"/>
      <c r="C9" s="98" t="s">
        <v>29</v>
      </c>
      <c r="D9" s="99" t="s">
        <v>29</v>
      </c>
      <c r="E9" s="100" t="s">
        <v>164</v>
      </c>
      <c r="F9" s="101" t="s">
        <v>216</v>
      </c>
      <c r="G9" s="83"/>
      <c r="H9" s="1"/>
      <c r="I9" s="83"/>
      <c r="J9" s="1"/>
      <c r="K9" s="1"/>
      <c r="L9" s="1"/>
    </row>
    <row r="10" spans="1:12" ht="19.5" customHeight="1" x14ac:dyDescent="0.25">
      <c r="A10" s="1"/>
      <c r="B10" s="242"/>
      <c r="C10" s="98" t="s">
        <v>37</v>
      </c>
      <c r="D10" s="99" t="s">
        <v>37</v>
      </c>
      <c r="E10" s="100" t="s">
        <v>171</v>
      </c>
      <c r="F10" s="101" t="s">
        <v>216</v>
      </c>
      <c r="G10" s="83"/>
      <c r="H10" s="1"/>
      <c r="I10" s="83"/>
      <c r="J10" s="1"/>
      <c r="K10" s="1"/>
      <c r="L10" s="1"/>
    </row>
    <row r="11" spans="1:12" ht="19.5" customHeight="1" x14ac:dyDescent="0.25">
      <c r="A11" s="1"/>
      <c r="B11" s="102"/>
      <c r="C11" s="103"/>
      <c r="D11" s="104"/>
      <c r="E11" s="105"/>
      <c r="F11" s="105"/>
      <c r="G11" s="83"/>
      <c r="H11" s="1"/>
      <c r="I11" s="83"/>
      <c r="J11" s="1"/>
      <c r="K11" s="1"/>
      <c r="L11" s="1"/>
    </row>
    <row r="12" spans="1:12" ht="19.5" customHeight="1" x14ac:dyDescent="0.25">
      <c r="A12" s="1"/>
      <c r="B12" s="243" t="s">
        <v>42</v>
      </c>
      <c r="C12" s="245" t="s">
        <v>43</v>
      </c>
      <c r="D12" s="99" t="s">
        <v>217</v>
      </c>
      <c r="E12" s="100">
        <v>500</v>
      </c>
      <c r="F12" s="101" t="s">
        <v>218</v>
      </c>
      <c r="G12" s="83"/>
      <c r="H12" s="1"/>
      <c r="I12" s="83"/>
      <c r="J12" s="1"/>
      <c r="K12" s="1"/>
      <c r="L12" s="1"/>
    </row>
    <row r="13" spans="1:12" ht="19.5" customHeight="1" x14ac:dyDescent="0.25">
      <c r="A13" s="1"/>
      <c r="B13" s="244"/>
      <c r="C13" s="246"/>
      <c r="D13" s="99" t="s">
        <v>219</v>
      </c>
      <c r="E13" s="100">
        <v>200</v>
      </c>
      <c r="F13" s="101" t="s">
        <v>218</v>
      </c>
      <c r="G13" s="83"/>
      <c r="H13" s="1"/>
      <c r="I13" s="83"/>
      <c r="J13" s="1"/>
      <c r="K13" s="1"/>
      <c r="L13" s="1"/>
    </row>
    <row r="14" spans="1:12" ht="19.5" customHeight="1" x14ac:dyDescent="0.25">
      <c r="A14" s="1"/>
      <c r="B14" s="244"/>
      <c r="C14" s="246"/>
      <c r="D14" s="99" t="s">
        <v>220</v>
      </c>
      <c r="E14" s="100">
        <v>200</v>
      </c>
      <c r="F14" s="101" t="s">
        <v>218</v>
      </c>
      <c r="G14" s="83"/>
      <c r="H14" s="1"/>
      <c r="I14" s="83"/>
      <c r="J14" s="1"/>
      <c r="K14" s="1"/>
      <c r="L14" s="1"/>
    </row>
    <row r="15" spans="1:12" ht="19.5" customHeight="1" x14ac:dyDescent="0.25">
      <c r="A15" s="1"/>
      <c r="B15" s="102"/>
      <c r="C15" s="103"/>
      <c r="D15" s="104"/>
      <c r="E15" s="105"/>
      <c r="F15" s="105"/>
      <c r="G15" s="83"/>
      <c r="H15" s="1"/>
      <c r="I15" s="83"/>
      <c r="J15" s="1"/>
      <c r="K15" s="1"/>
      <c r="L15" s="1"/>
    </row>
    <row r="16" spans="1:12" ht="18.75" customHeight="1" x14ac:dyDescent="0.25">
      <c r="A16" s="1"/>
      <c r="B16" s="243" t="s">
        <v>42</v>
      </c>
      <c r="C16" s="245" t="s">
        <v>51</v>
      </c>
      <c r="D16" s="99" t="s">
        <v>221</v>
      </c>
      <c r="E16" s="107">
        <v>3750</v>
      </c>
      <c r="F16" s="101" t="s">
        <v>218</v>
      </c>
      <c r="G16" s="83"/>
      <c r="H16" s="1"/>
      <c r="I16" s="83"/>
      <c r="J16" s="1"/>
      <c r="K16" s="1"/>
      <c r="L16" s="1"/>
    </row>
    <row r="17" spans="1:12" ht="18.75" customHeight="1" x14ac:dyDescent="0.25">
      <c r="A17" s="1"/>
      <c r="B17" s="244"/>
      <c r="C17" s="246"/>
      <c r="D17" s="99" t="s">
        <v>222</v>
      </c>
      <c r="E17" s="107">
        <v>3000</v>
      </c>
      <c r="F17" s="101" t="s">
        <v>218</v>
      </c>
      <c r="G17" s="83"/>
      <c r="H17" s="1"/>
      <c r="I17" s="83"/>
      <c r="J17" s="1"/>
      <c r="K17" s="1"/>
      <c r="L17" s="1"/>
    </row>
    <row r="18" spans="1:12" ht="18.75" customHeight="1" x14ac:dyDescent="0.25">
      <c r="A18" s="1"/>
      <c r="B18" s="102"/>
      <c r="C18" s="103"/>
      <c r="D18" s="104"/>
      <c r="E18" s="105"/>
      <c r="F18" s="105"/>
      <c r="G18" s="83"/>
      <c r="H18" s="1"/>
      <c r="I18" s="83"/>
      <c r="J18" s="1"/>
      <c r="K18" s="1"/>
      <c r="L18" s="1"/>
    </row>
    <row r="19" spans="1:12" ht="18.75" customHeight="1" x14ac:dyDescent="0.25">
      <c r="A19" s="1"/>
      <c r="B19" s="243" t="s">
        <v>42</v>
      </c>
      <c r="C19" s="245" t="s">
        <v>59</v>
      </c>
      <c r="D19" s="99" t="s">
        <v>223</v>
      </c>
      <c r="E19" s="107">
        <v>26000</v>
      </c>
      <c r="F19" s="101" t="s">
        <v>218</v>
      </c>
      <c r="G19" s="83"/>
      <c r="H19" s="1"/>
      <c r="I19" s="83"/>
      <c r="J19" s="1"/>
      <c r="K19" s="1"/>
      <c r="L19" s="1"/>
    </row>
    <row r="20" spans="1:12" ht="18.75" customHeight="1" x14ac:dyDescent="0.25">
      <c r="A20" s="1"/>
      <c r="B20" s="244"/>
      <c r="C20" s="246"/>
      <c r="D20" s="99" t="s">
        <v>224</v>
      </c>
      <c r="E20" s="107">
        <v>40000</v>
      </c>
      <c r="F20" s="101" t="s">
        <v>218</v>
      </c>
      <c r="G20" s="83"/>
      <c r="H20" s="1"/>
      <c r="I20" s="83"/>
      <c r="J20" s="1"/>
      <c r="K20" s="1"/>
      <c r="L20" s="1"/>
    </row>
    <row r="21" spans="1:12" ht="18.75" customHeight="1" x14ac:dyDescent="0.25">
      <c r="A21" s="1"/>
      <c r="B21" s="102"/>
      <c r="C21" s="103"/>
      <c r="D21" s="104"/>
      <c r="E21" s="105"/>
      <c r="F21" s="105"/>
      <c r="G21" s="83"/>
      <c r="H21" s="1"/>
      <c r="I21" s="83"/>
      <c r="J21" s="1"/>
      <c r="K21" s="1"/>
      <c r="L21" s="1"/>
    </row>
    <row r="22" spans="1:12" ht="18.75" customHeight="1" x14ac:dyDescent="0.25">
      <c r="A22" s="1"/>
      <c r="B22" s="106" t="s">
        <v>42</v>
      </c>
      <c r="C22" s="98" t="s">
        <v>225</v>
      </c>
      <c r="D22" s="99" t="s">
        <v>225</v>
      </c>
      <c r="E22" s="100">
        <v>3</v>
      </c>
      <c r="F22" s="101" t="s">
        <v>215</v>
      </c>
      <c r="G22" s="83"/>
      <c r="H22" s="1"/>
      <c r="I22" s="83"/>
      <c r="J22" s="1"/>
      <c r="K22" s="1"/>
      <c r="L22" s="1"/>
    </row>
    <row r="23" spans="1:12" ht="18.75" customHeight="1" x14ac:dyDescent="0.25">
      <c r="A23" s="1"/>
      <c r="B23" s="102"/>
      <c r="C23" s="103"/>
      <c r="D23" s="104"/>
      <c r="E23" s="105"/>
      <c r="F23" s="105"/>
      <c r="G23" s="83"/>
      <c r="H23" s="1"/>
      <c r="I23" s="83"/>
      <c r="J23" s="1"/>
      <c r="K23" s="1"/>
      <c r="L23" s="1"/>
    </row>
    <row r="24" spans="1:12" ht="18.75" customHeight="1" x14ac:dyDescent="0.25">
      <c r="A24" s="1"/>
      <c r="B24" s="243" t="s">
        <v>226</v>
      </c>
      <c r="C24" s="98" t="s">
        <v>76</v>
      </c>
      <c r="D24" s="99" t="s">
        <v>76</v>
      </c>
      <c r="E24" s="108" t="s">
        <v>183</v>
      </c>
      <c r="F24" s="101" t="s">
        <v>216</v>
      </c>
      <c r="G24" s="83"/>
      <c r="H24" s="1"/>
      <c r="I24" s="83"/>
      <c r="J24" s="1"/>
      <c r="K24" s="1"/>
      <c r="L24" s="1"/>
    </row>
    <row r="25" spans="1:12" ht="18.75" customHeight="1" x14ac:dyDescent="0.25">
      <c r="A25" s="1"/>
      <c r="B25" s="244"/>
      <c r="C25" s="98" t="s">
        <v>187</v>
      </c>
      <c r="D25" s="99" t="s">
        <v>187</v>
      </c>
      <c r="E25" s="108" t="s">
        <v>190</v>
      </c>
      <c r="F25" s="101" t="s">
        <v>216</v>
      </c>
      <c r="G25" s="83"/>
      <c r="H25" s="1"/>
      <c r="I25" s="83"/>
      <c r="J25" s="1"/>
      <c r="K25" s="1"/>
      <c r="L25" s="1"/>
    </row>
    <row r="26" spans="1:12" ht="18.75" customHeight="1" x14ac:dyDescent="0.25">
      <c r="A26" s="1"/>
      <c r="B26" s="244"/>
      <c r="C26" s="98" t="s">
        <v>227</v>
      </c>
      <c r="D26" s="99" t="s">
        <v>228</v>
      </c>
      <c r="E26" s="100">
        <v>5</v>
      </c>
      <c r="F26" s="101" t="s">
        <v>229</v>
      </c>
      <c r="G26" s="83"/>
      <c r="H26" s="1"/>
      <c r="I26" s="83"/>
      <c r="J26" s="1"/>
      <c r="K26" s="1"/>
      <c r="L26" s="1"/>
    </row>
    <row r="27" spans="1:12" ht="18.75" customHeight="1" x14ac:dyDescent="0.25">
      <c r="A27" s="1"/>
      <c r="B27" s="102"/>
      <c r="C27" s="103"/>
      <c r="D27" s="104"/>
      <c r="E27" s="105"/>
      <c r="F27" s="105"/>
      <c r="G27" s="83"/>
      <c r="H27" s="1"/>
      <c r="I27" s="83"/>
      <c r="J27" s="1"/>
      <c r="K27" s="1"/>
      <c r="L27" s="1"/>
    </row>
    <row r="28" spans="1:12" ht="18.75" customHeight="1" x14ac:dyDescent="0.25">
      <c r="A28" s="1"/>
      <c r="B28" s="243" t="s">
        <v>84</v>
      </c>
      <c r="C28" s="98" t="s">
        <v>85</v>
      </c>
      <c r="D28" s="99" t="s">
        <v>85</v>
      </c>
      <c r="E28" s="100" t="s">
        <v>188</v>
      </c>
      <c r="F28" s="101" t="s">
        <v>216</v>
      </c>
      <c r="G28" s="83"/>
      <c r="H28" s="1"/>
      <c r="I28" s="83"/>
      <c r="J28" s="1"/>
      <c r="K28" s="1"/>
      <c r="L28" s="1"/>
    </row>
    <row r="29" spans="1:12" ht="18.75" customHeight="1" x14ac:dyDescent="0.25">
      <c r="A29" s="1"/>
      <c r="B29" s="244"/>
      <c r="C29" s="98" t="s">
        <v>89</v>
      </c>
      <c r="D29" s="99" t="s">
        <v>89</v>
      </c>
      <c r="E29" s="100" t="s">
        <v>196</v>
      </c>
      <c r="F29" s="101" t="s">
        <v>216</v>
      </c>
      <c r="G29" s="83"/>
      <c r="H29" s="1"/>
      <c r="I29" s="83"/>
      <c r="J29" s="1"/>
      <c r="K29" s="1"/>
      <c r="L29" s="1"/>
    </row>
    <row r="30" spans="1:12" ht="18.75" customHeight="1" x14ac:dyDescent="0.25">
      <c r="A30" s="1"/>
      <c r="B30" s="244"/>
      <c r="C30" s="98" t="s">
        <v>96</v>
      </c>
      <c r="D30" s="99" t="s">
        <v>96</v>
      </c>
      <c r="E30" s="100">
        <v>3</v>
      </c>
      <c r="F30" s="101" t="s">
        <v>215</v>
      </c>
      <c r="G30" s="83"/>
      <c r="H30" s="1"/>
      <c r="I30" s="83"/>
      <c r="J30" s="1"/>
      <c r="K30" s="1"/>
      <c r="L30" s="1"/>
    </row>
    <row r="31" spans="1:12" ht="18.75" customHeight="1" x14ac:dyDescent="0.25">
      <c r="A31" s="1"/>
      <c r="B31" s="102"/>
      <c r="C31" s="103"/>
      <c r="D31" s="104"/>
      <c r="E31" s="105"/>
      <c r="F31" s="105"/>
      <c r="G31" s="83"/>
      <c r="H31" s="1"/>
      <c r="I31" s="83"/>
      <c r="J31" s="1"/>
      <c r="K31" s="1"/>
      <c r="L31" s="1"/>
    </row>
    <row r="32" spans="1:12" ht="18.75" customHeight="1" x14ac:dyDescent="0.25">
      <c r="A32" s="1"/>
      <c r="B32" s="243" t="s">
        <v>104</v>
      </c>
      <c r="C32" s="245" t="s">
        <v>204</v>
      </c>
      <c r="D32" s="99" t="s">
        <v>230</v>
      </c>
      <c r="E32" s="107">
        <v>1250</v>
      </c>
      <c r="F32" s="101" t="s">
        <v>218</v>
      </c>
      <c r="G32" s="83"/>
      <c r="H32" s="1"/>
      <c r="I32" s="83"/>
      <c r="J32" s="1"/>
      <c r="K32" s="1"/>
      <c r="L32" s="1"/>
    </row>
    <row r="33" spans="1:12" ht="18.75" customHeight="1" x14ac:dyDescent="0.25">
      <c r="A33" s="1"/>
      <c r="B33" s="244"/>
      <c r="C33" s="246"/>
      <c r="D33" s="99" t="s">
        <v>231</v>
      </c>
      <c r="E33" s="100">
        <v>1000</v>
      </c>
      <c r="F33" s="101" t="s">
        <v>218</v>
      </c>
      <c r="G33" s="83"/>
      <c r="H33" s="1"/>
      <c r="I33" s="83"/>
      <c r="J33" s="1"/>
      <c r="K33" s="1"/>
      <c r="L33" s="1"/>
    </row>
    <row r="34" spans="1:12" ht="18.75" customHeight="1" x14ac:dyDescent="0.25">
      <c r="A34" s="1"/>
      <c r="B34" s="102"/>
      <c r="C34" s="103"/>
      <c r="D34" s="104"/>
      <c r="E34" s="105"/>
      <c r="F34" s="105"/>
      <c r="G34" s="83"/>
      <c r="H34" s="1"/>
      <c r="I34" s="83"/>
      <c r="J34" s="1"/>
      <c r="K34" s="1"/>
      <c r="L34" s="1"/>
    </row>
    <row r="35" spans="1:12" ht="18.75" customHeight="1" x14ac:dyDescent="0.25">
      <c r="A35" s="1"/>
      <c r="B35" s="243" t="s">
        <v>104</v>
      </c>
      <c r="C35" s="245" t="s">
        <v>113</v>
      </c>
      <c r="D35" s="99" t="s">
        <v>232</v>
      </c>
      <c r="E35" s="107">
        <v>7500</v>
      </c>
      <c r="F35" s="101" t="s">
        <v>218</v>
      </c>
      <c r="G35" s="83"/>
      <c r="H35" s="1"/>
      <c r="I35" s="83"/>
      <c r="J35" s="1"/>
      <c r="K35" s="1"/>
      <c r="L35" s="1"/>
    </row>
    <row r="36" spans="1:12" ht="18.75" customHeight="1" x14ac:dyDescent="0.25">
      <c r="A36" s="1"/>
      <c r="B36" s="244"/>
      <c r="C36" s="246"/>
      <c r="D36" s="99" t="s">
        <v>233</v>
      </c>
      <c r="E36" s="107">
        <v>10000</v>
      </c>
      <c r="F36" s="101" t="s">
        <v>218</v>
      </c>
      <c r="G36" s="83"/>
      <c r="H36" s="1"/>
      <c r="I36" s="83"/>
      <c r="J36" s="1"/>
      <c r="K36" s="1"/>
      <c r="L36" s="1"/>
    </row>
    <row r="37" spans="1:12" ht="18.75" customHeight="1" x14ac:dyDescent="0.25">
      <c r="A37" s="1"/>
      <c r="B37" s="84"/>
      <c r="C37" s="85"/>
      <c r="D37" s="83"/>
      <c r="E37" s="109"/>
      <c r="F37" s="91"/>
      <c r="G37" s="83"/>
      <c r="H37" s="1"/>
      <c r="I37" s="83"/>
      <c r="J37" s="1"/>
      <c r="K37" s="1"/>
      <c r="L37" s="1"/>
    </row>
    <row r="38" spans="1:12" ht="18.75" customHeight="1" x14ac:dyDescent="0.25">
      <c r="A38" s="1"/>
      <c r="B38" s="84"/>
      <c r="C38" s="85"/>
      <c r="D38" s="83"/>
      <c r="E38" s="94" t="s">
        <v>234</v>
      </c>
      <c r="F38" s="94" t="s">
        <v>235</v>
      </c>
      <c r="G38" s="83"/>
      <c r="H38" s="1"/>
      <c r="I38" s="83"/>
      <c r="J38" s="1"/>
      <c r="K38" s="1"/>
      <c r="L38" s="1"/>
    </row>
    <row r="39" spans="1:12" ht="18.75" customHeight="1" x14ac:dyDescent="0.25">
      <c r="A39" s="1"/>
      <c r="B39" s="243" t="s">
        <v>104</v>
      </c>
      <c r="C39" s="245" t="s">
        <v>121</v>
      </c>
      <c r="D39" s="99" t="s">
        <v>236</v>
      </c>
      <c r="E39" s="107"/>
      <c r="F39" s="110"/>
      <c r="G39" s="83"/>
      <c r="H39" s="1"/>
      <c r="I39" s="83"/>
      <c r="J39" s="1"/>
      <c r="K39" s="1"/>
      <c r="L39" s="1"/>
    </row>
    <row r="40" spans="1:12" ht="18.75" customHeight="1" x14ac:dyDescent="0.25">
      <c r="A40" s="1"/>
      <c r="B40" s="244"/>
      <c r="C40" s="246"/>
      <c r="D40" s="99" t="s">
        <v>237</v>
      </c>
      <c r="E40" s="107"/>
      <c r="F40" s="110"/>
      <c r="G40" s="83"/>
      <c r="H40" s="1"/>
      <c r="I40" s="83"/>
      <c r="J40" s="1"/>
      <c r="K40" s="1"/>
      <c r="L40" s="1"/>
    </row>
    <row r="41" spans="1:12" ht="18.75" customHeight="1" x14ac:dyDescent="0.25">
      <c r="A41" s="1"/>
      <c r="B41" s="244"/>
      <c r="C41" s="246"/>
      <c r="D41" s="99" t="s">
        <v>238</v>
      </c>
      <c r="E41" s="107"/>
      <c r="F41" s="110"/>
      <c r="G41" s="83"/>
      <c r="H41" s="1"/>
      <c r="I41" s="83"/>
      <c r="J41" s="1"/>
      <c r="K41" s="1"/>
      <c r="L41" s="1"/>
    </row>
    <row r="42" spans="1:12" ht="18.75" customHeight="1" x14ac:dyDescent="0.25">
      <c r="A42" s="1"/>
      <c r="B42" s="244"/>
      <c r="C42" s="246"/>
      <c r="D42" s="99" t="s">
        <v>239</v>
      </c>
      <c r="E42" s="107"/>
      <c r="F42" s="110"/>
      <c r="G42" s="83"/>
      <c r="H42" s="1"/>
      <c r="I42" s="83"/>
      <c r="J42" s="1"/>
      <c r="K42" s="1"/>
      <c r="L42" s="1"/>
    </row>
    <row r="43" spans="1:12" ht="18.75" customHeight="1" x14ac:dyDescent="0.25">
      <c r="A43" s="1"/>
      <c r="B43" s="244"/>
      <c r="C43" s="246"/>
      <c r="D43" s="99" t="s">
        <v>240</v>
      </c>
      <c r="E43" s="107"/>
      <c r="F43" s="110"/>
      <c r="G43" s="83"/>
      <c r="H43" s="1"/>
      <c r="I43" s="83"/>
      <c r="J43" s="1"/>
      <c r="K43" s="1"/>
      <c r="L43" s="1"/>
    </row>
    <row r="44" spans="1:12" ht="18.75" customHeight="1" x14ac:dyDescent="0.25">
      <c r="A44" s="1"/>
      <c r="B44" s="244"/>
      <c r="C44" s="246"/>
      <c r="D44" s="99" t="s">
        <v>241</v>
      </c>
      <c r="E44" s="107"/>
      <c r="F44" s="110"/>
      <c r="G44" s="83"/>
      <c r="H44" s="1"/>
      <c r="I44" s="83"/>
      <c r="J44" s="1"/>
      <c r="K44" s="1"/>
      <c r="L44" s="1"/>
    </row>
    <row r="45" spans="1:12" ht="18.75" customHeight="1" x14ac:dyDescent="0.25">
      <c r="A45" s="1"/>
      <c r="B45" s="244"/>
      <c r="C45" s="246"/>
      <c r="D45" s="99" t="s">
        <v>242</v>
      </c>
      <c r="E45" s="107"/>
      <c r="F45" s="110"/>
      <c r="G45" s="83"/>
      <c r="H45" s="1"/>
      <c r="I45" s="83"/>
      <c r="J45" s="1"/>
      <c r="K45" s="1"/>
      <c r="L45" s="1"/>
    </row>
    <row r="46" spans="1:12" ht="18.75" customHeight="1" x14ac:dyDescent="0.25">
      <c r="A46" s="1"/>
      <c r="B46" s="244"/>
      <c r="C46" s="246"/>
      <c r="D46" s="99" t="s">
        <v>243</v>
      </c>
      <c r="E46" s="107"/>
      <c r="F46" s="110"/>
      <c r="G46" s="83"/>
      <c r="H46" s="1"/>
      <c r="I46" s="83"/>
      <c r="J46" s="1"/>
      <c r="K46" s="1"/>
      <c r="L46" s="1"/>
    </row>
    <row r="47" spans="1:12" ht="18.75" customHeight="1" x14ac:dyDescent="0.25">
      <c r="A47" s="1"/>
      <c r="B47" s="244"/>
      <c r="C47" s="246"/>
      <c r="D47" s="99" t="s">
        <v>244</v>
      </c>
      <c r="E47" s="107"/>
      <c r="F47" s="110"/>
      <c r="G47" s="83"/>
      <c r="H47" s="1"/>
      <c r="I47" s="83"/>
      <c r="J47" s="1"/>
      <c r="K47" s="1"/>
      <c r="L47" s="1"/>
    </row>
    <row r="48" spans="1:12" ht="18.75" customHeight="1" x14ac:dyDescent="0.25">
      <c r="A48" s="1"/>
      <c r="B48" s="244"/>
      <c r="C48" s="246"/>
      <c r="D48" s="99" t="s">
        <v>245</v>
      </c>
      <c r="E48" s="107"/>
      <c r="F48" s="110"/>
      <c r="G48" s="83"/>
      <c r="H48" s="1"/>
      <c r="I48" s="83"/>
      <c r="J48" s="1"/>
      <c r="K48" s="1"/>
      <c r="L48" s="1"/>
    </row>
    <row r="49" spans="1:12" ht="18.75" customHeight="1" x14ac:dyDescent="0.25">
      <c r="A49" s="1"/>
      <c r="B49" s="244"/>
      <c r="C49" s="246"/>
      <c r="D49" s="99" t="s">
        <v>246</v>
      </c>
      <c r="E49" s="107"/>
      <c r="F49" s="110"/>
      <c r="G49" s="83"/>
      <c r="H49" s="1"/>
      <c r="I49" s="83"/>
      <c r="J49" s="1"/>
      <c r="K49" s="1"/>
      <c r="L49" s="1"/>
    </row>
    <row r="50" spans="1:12" ht="18.75" customHeight="1" x14ac:dyDescent="0.25">
      <c r="A50" s="1"/>
      <c r="B50" s="244"/>
      <c r="C50" s="246"/>
      <c r="D50" s="99" t="s">
        <v>247</v>
      </c>
      <c r="E50" s="107"/>
      <c r="F50" s="110"/>
      <c r="G50" s="83"/>
      <c r="H50" s="1"/>
      <c r="I50" s="83"/>
      <c r="J50" s="1"/>
      <c r="K50" s="1"/>
      <c r="L50" s="1"/>
    </row>
    <row r="51" spans="1:12" ht="18.75" customHeight="1" x14ac:dyDescent="0.25">
      <c r="A51" s="1"/>
      <c r="B51" s="244"/>
      <c r="C51" s="246"/>
      <c r="D51" s="99" t="s">
        <v>248</v>
      </c>
      <c r="E51" s="107"/>
      <c r="F51" s="110"/>
      <c r="G51" s="83"/>
      <c r="H51" s="1"/>
      <c r="I51" s="83"/>
      <c r="J51" s="1"/>
      <c r="K51" s="1"/>
      <c r="L51" s="1"/>
    </row>
    <row r="52" spans="1:12" ht="18.75" customHeight="1" x14ac:dyDescent="0.25">
      <c r="A52" s="1"/>
      <c r="B52" s="244"/>
      <c r="C52" s="246"/>
      <c r="D52" s="99" t="s">
        <v>249</v>
      </c>
      <c r="E52" s="107"/>
      <c r="F52" s="110"/>
      <c r="G52" s="83"/>
      <c r="H52" s="1"/>
      <c r="I52" s="83"/>
      <c r="J52" s="1"/>
      <c r="K52" s="1"/>
      <c r="L52" s="1"/>
    </row>
    <row r="53" spans="1:12" ht="18.75" customHeight="1" x14ac:dyDescent="0.25">
      <c r="A53" s="1"/>
      <c r="B53" s="244"/>
      <c r="C53" s="246"/>
      <c r="D53" s="99" t="s">
        <v>250</v>
      </c>
      <c r="E53" s="107"/>
      <c r="F53" s="110"/>
      <c r="G53" s="83"/>
      <c r="H53" s="1"/>
      <c r="I53" s="83"/>
      <c r="J53" s="1"/>
      <c r="K53" s="1"/>
      <c r="L53" s="1"/>
    </row>
    <row r="54" spans="1:12" ht="18.75" customHeight="1" x14ac:dyDescent="0.25">
      <c r="A54" s="1"/>
      <c r="B54" s="244"/>
      <c r="C54" s="246"/>
      <c r="D54" s="99" t="s">
        <v>251</v>
      </c>
      <c r="E54" s="107"/>
      <c r="F54" s="110"/>
      <c r="G54" s="83"/>
      <c r="H54" s="1"/>
      <c r="I54" s="83"/>
      <c r="J54" s="1"/>
      <c r="K54" s="1"/>
      <c r="L54" s="1"/>
    </row>
    <row r="55" spans="1:12" ht="18.75" customHeight="1" x14ac:dyDescent="0.25">
      <c r="A55" s="1"/>
      <c r="B55" s="111"/>
      <c r="C55" s="112"/>
      <c r="D55" s="83"/>
      <c r="E55" s="109"/>
      <c r="F55" s="113"/>
      <c r="G55" s="83"/>
      <c r="H55" s="1"/>
      <c r="I55" s="83"/>
      <c r="J55" s="1"/>
      <c r="K55" s="1"/>
      <c r="L55" s="1"/>
    </row>
    <row r="56" spans="1:12" ht="18.75" customHeight="1" x14ac:dyDescent="0.25">
      <c r="A56" s="1"/>
      <c r="B56" s="111"/>
      <c r="C56" s="112"/>
      <c r="D56" s="83"/>
      <c r="E56" s="94" t="s">
        <v>234</v>
      </c>
      <c r="F56" s="94" t="s">
        <v>252</v>
      </c>
      <c r="G56" s="94" t="s">
        <v>253</v>
      </c>
      <c r="H56" s="114" t="s">
        <v>254</v>
      </c>
      <c r="I56" s="83"/>
      <c r="J56" s="1"/>
      <c r="K56" s="1"/>
      <c r="L56" s="1"/>
    </row>
    <row r="57" spans="1:12" ht="18.75" customHeight="1" x14ac:dyDescent="0.25">
      <c r="A57" s="1"/>
      <c r="B57" s="243" t="s">
        <v>104</v>
      </c>
      <c r="C57" s="245" t="s">
        <v>255</v>
      </c>
      <c r="D57" s="99" t="s">
        <v>236</v>
      </c>
      <c r="E57" s="107">
        <f t="shared" ref="E57:E71" si="0">E39</f>
        <v>0</v>
      </c>
      <c r="F57" s="100" t="s">
        <v>256</v>
      </c>
      <c r="G57" s="100" t="s">
        <v>257</v>
      </c>
      <c r="H57" s="115" t="str">
        <f t="shared" ref="H57:H71" si="1">IF(AND(F57=$K$57,G57=$K$58),$K$59,$L$59)</f>
        <v>High Quality</v>
      </c>
      <c r="I57" s="83"/>
      <c r="J57" s="116" t="s">
        <v>258</v>
      </c>
      <c r="K57" s="117" t="s">
        <v>256</v>
      </c>
      <c r="L57" s="117" t="s">
        <v>259</v>
      </c>
    </row>
    <row r="58" spans="1:12" ht="18.75" customHeight="1" x14ac:dyDescent="0.25">
      <c r="A58" s="1"/>
      <c r="B58" s="244"/>
      <c r="C58" s="246"/>
      <c r="D58" s="99" t="s">
        <v>237</v>
      </c>
      <c r="E58" s="107">
        <f t="shared" si="0"/>
        <v>0</v>
      </c>
      <c r="F58" s="100" t="s">
        <v>256</v>
      </c>
      <c r="G58" s="100" t="s">
        <v>257</v>
      </c>
      <c r="H58" s="115" t="str">
        <f t="shared" si="1"/>
        <v>High Quality</v>
      </c>
      <c r="I58" s="83"/>
      <c r="J58" s="116" t="s">
        <v>260</v>
      </c>
      <c r="K58" s="117" t="s">
        <v>257</v>
      </c>
      <c r="L58" s="117" t="s">
        <v>261</v>
      </c>
    </row>
    <row r="59" spans="1:12" ht="18.75" customHeight="1" x14ac:dyDescent="0.25">
      <c r="A59" s="1"/>
      <c r="B59" s="244"/>
      <c r="C59" s="246"/>
      <c r="D59" s="99" t="s">
        <v>238</v>
      </c>
      <c r="E59" s="107">
        <f t="shared" si="0"/>
        <v>0</v>
      </c>
      <c r="F59" s="100" t="s">
        <v>256</v>
      </c>
      <c r="G59" s="100" t="s">
        <v>257</v>
      </c>
      <c r="H59" s="115" t="str">
        <f t="shared" si="1"/>
        <v>High Quality</v>
      </c>
      <c r="I59" s="83"/>
      <c r="J59" s="116" t="s">
        <v>262</v>
      </c>
      <c r="K59" s="117" t="s">
        <v>263</v>
      </c>
      <c r="L59" s="117" t="s">
        <v>264</v>
      </c>
    </row>
    <row r="60" spans="1:12" ht="18.75" customHeight="1" x14ac:dyDescent="0.25">
      <c r="A60" s="1"/>
      <c r="B60" s="244"/>
      <c r="C60" s="246"/>
      <c r="D60" s="99" t="s">
        <v>239</v>
      </c>
      <c r="E60" s="107">
        <f t="shared" si="0"/>
        <v>0</v>
      </c>
      <c r="F60" s="100" t="s">
        <v>256</v>
      </c>
      <c r="G60" s="100" t="s">
        <v>257</v>
      </c>
      <c r="H60" s="115" t="str">
        <f t="shared" si="1"/>
        <v>High Quality</v>
      </c>
      <c r="I60" s="83"/>
      <c r="J60" s="1"/>
      <c r="K60" s="1"/>
      <c r="L60" s="1"/>
    </row>
    <row r="61" spans="1:12" ht="18.75" customHeight="1" x14ac:dyDescent="0.25">
      <c r="A61" s="1"/>
      <c r="B61" s="244"/>
      <c r="C61" s="246"/>
      <c r="D61" s="99" t="s">
        <v>240</v>
      </c>
      <c r="E61" s="107">
        <f t="shared" si="0"/>
        <v>0</v>
      </c>
      <c r="F61" s="100" t="s">
        <v>256</v>
      </c>
      <c r="G61" s="100" t="s">
        <v>257</v>
      </c>
      <c r="H61" s="115" t="str">
        <f t="shared" si="1"/>
        <v>High Quality</v>
      </c>
      <c r="I61" s="83"/>
      <c r="J61" s="1"/>
      <c r="K61" s="1"/>
      <c r="L61" s="1"/>
    </row>
    <row r="62" spans="1:12" ht="18.75" customHeight="1" x14ac:dyDescent="0.25">
      <c r="A62" s="1"/>
      <c r="B62" s="244"/>
      <c r="C62" s="246"/>
      <c r="D62" s="99" t="s">
        <v>241</v>
      </c>
      <c r="E62" s="107">
        <f t="shared" si="0"/>
        <v>0</v>
      </c>
      <c r="F62" s="100" t="s">
        <v>256</v>
      </c>
      <c r="G62" s="100" t="s">
        <v>257</v>
      </c>
      <c r="H62" s="115" t="str">
        <f t="shared" si="1"/>
        <v>High Quality</v>
      </c>
      <c r="I62" s="83"/>
      <c r="J62" s="1"/>
      <c r="K62" s="1"/>
      <c r="L62" s="1"/>
    </row>
    <row r="63" spans="1:12" ht="18.75" customHeight="1" x14ac:dyDescent="0.25">
      <c r="A63" s="1"/>
      <c r="B63" s="244"/>
      <c r="C63" s="246"/>
      <c r="D63" s="99" t="s">
        <v>242</v>
      </c>
      <c r="E63" s="107">
        <f t="shared" si="0"/>
        <v>0</v>
      </c>
      <c r="F63" s="100" t="s">
        <v>256</v>
      </c>
      <c r="G63" s="100" t="s">
        <v>257</v>
      </c>
      <c r="H63" s="115" t="str">
        <f t="shared" si="1"/>
        <v>High Quality</v>
      </c>
      <c r="I63" s="83"/>
      <c r="J63" s="1"/>
      <c r="K63" s="1"/>
      <c r="L63" s="1"/>
    </row>
    <row r="64" spans="1:12" ht="18.75" customHeight="1" x14ac:dyDescent="0.25">
      <c r="A64" s="1"/>
      <c r="B64" s="244"/>
      <c r="C64" s="246"/>
      <c r="D64" s="99" t="s">
        <v>243</v>
      </c>
      <c r="E64" s="107">
        <f t="shared" si="0"/>
        <v>0</v>
      </c>
      <c r="F64" s="100" t="s">
        <v>256</v>
      </c>
      <c r="G64" s="100" t="s">
        <v>257</v>
      </c>
      <c r="H64" s="115" t="str">
        <f t="shared" si="1"/>
        <v>High Quality</v>
      </c>
      <c r="I64" s="83"/>
      <c r="J64" s="1"/>
      <c r="K64" s="1"/>
      <c r="L64" s="1"/>
    </row>
    <row r="65" spans="1:12" ht="18.75" customHeight="1" x14ac:dyDescent="0.25">
      <c r="A65" s="1"/>
      <c r="B65" s="244"/>
      <c r="C65" s="246"/>
      <c r="D65" s="99" t="s">
        <v>244</v>
      </c>
      <c r="E65" s="107">
        <f t="shared" si="0"/>
        <v>0</v>
      </c>
      <c r="F65" s="100" t="s">
        <v>256</v>
      </c>
      <c r="G65" s="100" t="s">
        <v>257</v>
      </c>
      <c r="H65" s="115" t="str">
        <f t="shared" si="1"/>
        <v>High Quality</v>
      </c>
      <c r="I65" s="83"/>
      <c r="J65" s="1"/>
      <c r="K65" s="1"/>
      <c r="L65" s="1"/>
    </row>
    <row r="66" spans="1:12" ht="18.75" customHeight="1" x14ac:dyDescent="0.25">
      <c r="A66" s="1"/>
      <c r="B66" s="244"/>
      <c r="C66" s="246"/>
      <c r="D66" s="99" t="s">
        <v>245</v>
      </c>
      <c r="E66" s="107">
        <f t="shared" si="0"/>
        <v>0</v>
      </c>
      <c r="F66" s="100" t="s">
        <v>256</v>
      </c>
      <c r="G66" s="100" t="s">
        <v>257</v>
      </c>
      <c r="H66" s="115" t="str">
        <f t="shared" si="1"/>
        <v>High Quality</v>
      </c>
      <c r="I66" s="83"/>
      <c r="J66" s="1"/>
      <c r="K66" s="1"/>
      <c r="L66" s="1"/>
    </row>
    <row r="67" spans="1:12" ht="18.75" customHeight="1" x14ac:dyDescent="0.25">
      <c r="A67" s="1"/>
      <c r="B67" s="106"/>
      <c r="C67" s="98"/>
      <c r="D67" s="99" t="s">
        <v>246</v>
      </c>
      <c r="E67" s="107">
        <f t="shared" si="0"/>
        <v>0</v>
      </c>
      <c r="F67" s="100" t="s">
        <v>256</v>
      </c>
      <c r="G67" s="100" t="s">
        <v>257</v>
      </c>
      <c r="H67" s="115" t="str">
        <f t="shared" si="1"/>
        <v>High Quality</v>
      </c>
      <c r="I67" s="83"/>
      <c r="J67" s="1"/>
      <c r="K67" s="1"/>
      <c r="L67" s="1"/>
    </row>
    <row r="68" spans="1:12" ht="18.75" customHeight="1" x14ac:dyDescent="0.25">
      <c r="A68" s="1"/>
      <c r="B68" s="106"/>
      <c r="C68" s="98"/>
      <c r="D68" s="99" t="s">
        <v>247</v>
      </c>
      <c r="E68" s="107">
        <f t="shared" si="0"/>
        <v>0</v>
      </c>
      <c r="F68" s="100" t="s">
        <v>256</v>
      </c>
      <c r="G68" s="100" t="s">
        <v>257</v>
      </c>
      <c r="H68" s="115" t="str">
        <f t="shared" si="1"/>
        <v>High Quality</v>
      </c>
      <c r="I68" s="83"/>
      <c r="J68" s="1"/>
      <c r="K68" s="1"/>
      <c r="L68" s="1"/>
    </row>
    <row r="69" spans="1:12" ht="18.75" customHeight="1" x14ac:dyDescent="0.25">
      <c r="A69" s="1"/>
      <c r="B69" s="106"/>
      <c r="C69" s="98"/>
      <c r="D69" s="99" t="s">
        <v>248</v>
      </c>
      <c r="E69" s="107">
        <f t="shared" si="0"/>
        <v>0</v>
      </c>
      <c r="F69" s="100" t="s">
        <v>256</v>
      </c>
      <c r="G69" s="100" t="s">
        <v>257</v>
      </c>
      <c r="H69" s="115" t="str">
        <f t="shared" si="1"/>
        <v>High Quality</v>
      </c>
      <c r="I69" s="83"/>
      <c r="J69" s="1"/>
      <c r="K69" s="1"/>
      <c r="L69" s="1"/>
    </row>
    <row r="70" spans="1:12" ht="18.75" customHeight="1" x14ac:dyDescent="0.25">
      <c r="A70" s="1"/>
      <c r="B70" s="106"/>
      <c r="C70" s="98"/>
      <c r="D70" s="99" t="s">
        <v>249</v>
      </c>
      <c r="E70" s="107">
        <f t="shared" si="0"/>
        <v>0</v>
      </c>
      <c r="F70" s="100" t="s">
        <v>256</v>
      </c>
      <c r="G70" s="100" t="s">
        <v>257</v>
      </c>
      <c r="H70" s="115" t="str">
        <f t="shared" si="1"/>
        <v>High Quality</v>
      </c>
      <c r="I70" s="83"/>
      <c r="J70" s="1"/>
      <c r="K70" s="1"/>
      <c r="L70" s="1"/>
    </row>
    <row r="71" spans="1:12" ht="18.75" customHeight="1" x14ac:dyDescent="0.25">
      <c r="A71" s="1"/>
      <c r="B71" s="106"/>
      <c r="C71" s="98"/>
      <c r="D71" s="99" t="s">
        <v>250</v>
      </c>
      <c r="E71" s="107">
        <f t="shared" si="0"/>
        <v>0</v>
      </c>
      <c r="F71" s="100" t="s">
        <v>256</v>
      </c>
      <c r="G71" s="100" t="s">
        <v>257</v>
      </c>
      <c r="H71" s="115" t="str">
        <f t="shared" si="1"/>
        <v>High Quality</v>
      </c>
      <c r="I71" s="83"/>
      <c r="J71" s="1"/>
      <c r="K71" s="1"/>
      <c r="L71" s="1"/>
    </row>
    <row r="72" spans="1:12" ht="18.75" customHeight="1" x14ac:dyDescent="0.25">
      <c r="A72" s="1"/>
      <c r="B72" s="84"/>
      <c r="C72" s="85"/>
      <c r="D72" s="83"/>
      <c r="E72" s="109"/>
      <c r="F72" s="113"/>
      <c r="G72" s="113"/>
      <c r="H72" s="118"/>
      <c r="I72" s="83"/>
      <c r="J72" s="1"/>
      <c r="K72" s="1"/>
      <c r="L72" s="1"/>
    </row>
    <row r="73" spans="1:12" ht="18.75" customHeight="1" x14ac:dyDescent="0.25">
      <c r="A73" s="1"/>
      <c r="B73" s="12" t="s">
        <v>148</v>
      </c>
      <c r="C73" s="119">
        <v>1</v>
      </c>
      <c r="D73" s="119">
        <v>2</v>
      </c>
      <c r="E73" s="119">
        <v>3</v>
      </c>
      <c r="F73" s="119">
        <v>4</v>
      </c>
      <c r="G73" s="119">
        <v>5</v>
      </c>
      <c r="H73" s="120"/>
      <c r="I73" s="119">
        <v>6</v>
      </c>
      <c r="J73" s="1"/>
      <c r="K73" s="1"/>
      <c r="L73" s="1"/>
    </row>
    <row r="74" spans="1:12" ht="18.75" customHeight="1" x14ac:dyDescent="0.25">
      <c r="A74" s="1"/>
      <c r="B74" s="12" t="s">
        <v>265</v>
      </c>
      <c r="C74" s="121">
        <v>4.6500000000000004</v>
      </c>
      <c r="D74" s="121">
        <v>3.9800000000000004</v>
      </c>
      <c r="E74" s="121">
        <v>3.3100000000000005</v>
      </c>
      <c r="F74" s="121">
        <v>2.6400000000000006</v>
      </c>
      <c r="G74" s="121">
        <v>1.9700000000000004</v>
      </c>
      <c r="H74" s="120"/>
      <c r="I74" s="121">
        <v>1.3000000000000003</v>
      </c>
      <c r="J74" s="1"/>
      <c r="K74" s="1"/>
      <c r="L74" s="1"/>
    </row>
    <row r="75" spans="1:12" ht="18.75" customHeight="1" x14ac:dyDescent="0.25">
      <c r="A75" s="1"/>
      <c r="B75" s="111"/>
      <c r="C75" s="83"/>
      <c r="D75" s="83"/>
      <c r="E75" s="83"/>
      <c r="F75" s="91"/>
      <c r="G75" s="83"/>
      <c r="H75" s="1"/>
      <c r="I75" s="83"/>
      <c r="J75" s="1"/>
      <c r="K75" s="1"/>
      <c r="L75" s="1"/>
    </row>
    <row r="76" spans="1:12" ht="18.75" customHeight="1" x14ac:dyDescent="0.25">
      <c r="A76" s="1"/>
      <c r="B76" s="247" t="s">
        <v>146</v>
      </c>
      <c r="C76" s="245" t="s">
        <v>147</v>
      </c>
      <c r="D76" s="99" t="s">
        <v>148</v>
      </c>
      <c r="E76" s="122">
        <v>3</v>
      </c>
      <c r="F76" s="101" t="s">
        <v>266</v>
      </c>
      <c r="G76" s="83"/>
      <c r="H76" s="1"/>
      <c r="I76" s="83"/>
      <c r="J76" s="1"/>
      <c r="K76" s="1"/>
      <c r="L76" s="1"/>
    </row>
    <row r="77" spans="1:12" ht="18.75" customHeight="1" x14ac:dyDescent="0.25">
      <c r="A77" s="1"/>
      <c r="B77" s="248"/>
      <c r="C77" s="246"/>
      <c r="D77" s="99" t="s">
        <v>267</v>
      </c>
      <c r="E77" s="100">
        <v>3.31</v>
      </c>
      <c r="F77" s="101" t="s">
        <v>266</v>
      </c>
      <c r="G77" s="83"/>
      <c r="H77" s="1"/>
      <c r="I77" s="83"/>
      <c r="J77" s="1"/>
      <c r="K77" s="1"/>
      <c r="L77" s="1"/>
    </row>
    <row r="78" spans="1:12" ht="18.75" customHeight="1" x14ac:dyDescent="0.25">
      <c r="A78" s="1"/>
      <c r="B78" s="2"/>
      <c r="C78" s="83"/>
      <c r="D78" s="83"/>
      <c r="E78" s="83"/>
      <c r="F78" s="83"/>
      <c r="G78" s="83"/>
      <c r="H78" s="1"/>
      <c r="I78" s="83"/>
      <c r="J78" s="1"/>
      <c r="K78" s="1"/>
      <c r="L78" s="1"/>
    </row>
    <row r="79" spans="1:12" ht="18.75" customHeight="1" x14ac:dyDescent="0.25">
      <c r="A79" s="1"/>
      <c r="B79" s="123" t="s">
        <v>146</v>
      </c>
      <c r="C79" s="98" t="s">
        <v>147</v>
      </c>
      <c r="D79" s="99" t="s">
        <v>149</v>
      </c>
      <c r="E79" s="100">
        <v>2.6</v>
      </c>
      <c r="F79" s="101" t="s">
        <v>266</v>
      </c>
      <c r="G79" s="83"/>
      <c r="H79" s="1"/>
      <c r="I79" s="83"/>
      <c r="J79" s="1"/>
      <c r="K79" s="1"/>
      <c r="L79" s="1"/>
    </row>
    <row r="80" spans="1:12" ht="18.75" customHeight="1" x14ac:dyDescent="0.25">
      <c r="A80" s="1"/>
      <c r="B80" s="102"/>
      <c r="C80" s="103"/>
      <c r="D80" s="103"/>
      <c r="E80" s="103"/>
      <c r="F80" s="103"/>
      <c r="G80" s="83"/>
      <c r="H80" s="1"/>
      <c r="I80" s="83"/>
      <c r="J80" s="1"/>
      <c r="K80" s="1"/>
      <c r="L80" s="1"/>
    </row>
  </sheetData>
  <mergeCells count="19">
    <mergeCell ref="B76:B77"/>
    <mergeCell ref="C76:C77"/>
    <mergeCell ref="B35:B36"/>
    <mergeCell ref="C35:C36"/>
    <mergeCell ref="B39:B54"/>
    <mergeCell ref="C39:C54"/>
    <mergeCell ref="B57:B66"/>
    <mergeCell ref="C57:C66"/>
    <mergeCell ref="B19:B20"/>
    <mergeCell ref="C19:C20"/>
    <mergeCell ref="B24:B26"/>
    <mergeCell ref="B28:B30"/>
    <mergeCell ref="B32:B33"/>
    <mergeCell ref="C32:C33"/>
    <mergeCell ref="B8:B10"/>
    <mergeCell ref="B12:B14"/>
    <mergeCell ref="C12:C14"/>
    <mergeCell ref="B16:B17"/>
    <mergeCell ref="C16:C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47"/>
  <sheetViews>
    <sheetView topLeftCell="A16" workbookViewId="0">
      <selection activeCell="E23" sqref="E23"/>
    </sheetView>
  </sheetViews>
  <sheetFormatPr defaultRowHeight="15" x14ac:dyDescent="0.25"/>
  <cols>
    <col min="1" max="1" width="13.5703125" style="7" bestFit="1" customWidth="1"/>
    <col min="2" max="2" width="9.140625" style="8" bestFit="1" customWidth="1"/>
    <col min="3" max="3" width="42.5703125" style="92" bestFit="1" customWidth="1"/>
    <col min="4" max="4" width="4.5703125" style="7" bestFit="1" customWidth="1"/>
    <col min="5" max="5" width="30.7109375" style="92" bestFit="1" customWidth="1"/>
    <col min="6" max="6" width="4.5703125" style="7" bestFit="1" customWidth="1"/>
    <col min="7" max="7" width="44.140625" style="81" bestFit="1" customWidth="1"/>
    <col min="8" max="8" width="4.5703125" style="7" bestFit="1" customWidth="1"/>
    <col min="9" max="9" width="30.85546875" style="81" bestFit="1" customWidth="1"/>
  </cols>
  <sheetData>
    <row r="1" spans="1:9" ht="18.75" customHeight="1" x14ac:dyDescent="0.25">
      <c r="A1" s="1"/>
      <c r="B1" s="2"/>
      <c r="C1" s="83"/>
      <c r="D1" s="1"/>
      <c r="E1" s="83"/>
      <c r="F1" s="1"/>
      <c r="G1" s="21"/>
      <c r="H1" s="1"/>
      <c r="I1" s="21"/>
    </row>
    <row r="2" spans="1:9" ht="18.75" customHeight="1" x14ac:dyDescent="0.25">
      <c r="A2" s="1"/>
      <c r="B2" s="2"/>
      <c r="C2" s="83"/>
      <c r="D2" s="1"/>
      <c r="E2" s="83"/>
      <c r="F2" s="1"/>
      <c r="G2" s="21"/>
      <c r="H2" s="1"/>
      <c r="I2" s="21"/>
    </row>
    <row r="3" spans="1:9" ht="18.75" customHeight="1" x14ac:dyDescent="0.25">
      <c r="A3" s="1"/>
      <c r="B3" s="84"/>
      <c r="C3" s="83"/>
      <c r="D3" s="1"/>
      <c r="E3" s="83"/>
      <c r="F3" s="1"/>
      <c r="G3" s="21"/>
      <c r="H3" s="1"/>
      <c r="I3" s="21"/>
    </row>
    <row r="4" spans="1:9" ht="18.75" customHeight="1" x14ac:dyDescent="0.25">
      <c r="A4" s="1"/>
      <c r="B4" s="84"/>
      <c r="C4" s="85" t="str">
        <f>ModelTemplate!$D$6</f>
        <v>No. similar transactions completed</v>
      </c>
      <c r="D4" s="1"/>
      <c r="E4" s="85" t="str">
        <f>ModelTemplate!$D$7</f>
        <v>Sourcing of  the Service Rendered</v>
      </c>
      <c r="F4" s="1"/>
      <c r="G4" s="86" t="str">
        <f>ModelTemplate!$D$8</f>
        <v>Likelihood of service delivery delay</v>
      </c>
      <c r="H4" s="1"/>
      <c r="I4" s="21"/>
    </row>
    <row r="5" spans="1:9" ht="18.75" customHeight="1" x14ac:dyDescent="0.25">
      <c r="A5" s="1"/>
      <c r="B5" s="87" t="str">
        <f>ModelTemplate!$B$6</f>
        <v>Factor 1</v>
      </c>
      <c r="C5" s="88">
        <f>ModelTemplate!E$6</f>
        <v>6</v>
      </c>
      <c r="D5" s="1"/>
      <c r="E5" s="89" t="str">
        <f>ModelTemplate!E$7</f>
        <v>Fully Insourced</v>
      </c>
      <c r="F5" s="1"/>
      <c r="G5" s="21" t="str">
        <f>ModelTemplate!E$8</f>
        <v>Highly Unlikely</v>
      </c>
      <c r="H5" s="1"/>
      <c r="I5" s="21"/>
    </row>
    <row r="6" spans="1:9" ht="18.75" customHeight="1" x14ac:dyDescent="0.25">
      <c r="A6" s="1"/>
      <c r="B6" s="87" t="str">
        <f>ModelTemplate!$B$6</f>
        <v>Factor 1</v>
      </c>
      <c r="C6" s="88">
        <f>ModelTemplate!F$6</f>
        <v>5</v>
      </c>
      <c r="D6" s="1"/>
      <c r="E6" s="89" t="str">
        <f>ModelTemplate!G$7</f>
        <v>Significatly Insourced</v>
      </c>
      <c r="F6" s="1"/>
      <c r="G6" s="21" t="str">
        <f>ModelTemplate!F$8</f>
        <v>Unlikely</v>
      </c>
      <c r="H6" s="1"/>
      <c r="I6" s="21"/>
    </row>
    <row r="7" spans="1:9" ht="18.75" customHeight="1" x14ac:dyDescent="0.25">
      <c r="A7" s="1"/>
      <c r="B7" s="87" t="str">
        <f>ModelTemplate!$B$6</f>
        <v>Factor 1</v>
      </c>
      <c r="C7" s="88">
        <f>ModelTemplate!G$6</f>
        <v>4</v>
      </c>
      <c r="D7" s="1"/>
      <c r="E7" s="89" t="str">
        <f>ModelTemplate!F$7</f>
        <v>Sufficiently Insourced</v>
      </c>
      <c r="F7" s="1"/>
      <c r="G7" s="21" t="str">
        <f>ModelTemplate!G$8</f>
        <v>Limited Chance</v>
      </c>
      <c r="H7" s="1"/>
      <c r="I7" s="21"/>
    </row>
    <row r="8" spans="1:9" ht="18.75" customHeight="1" x14ac:dyDescent="0.25">
      <c r="A8" s="1"/>
      <c r="B8" s="87" t="str">
        <f>ModelTemplate!$B$6</f>
        <v>Factor 1</v>
      </c>
      <c r="C8" s="88">
        <f>ModelTemplate!H$6</f>
        <v>3</v>
      </c>
      <c r="D8" s="1"/>
      <c r="E8" s="89" t="str">
        <f>ModelTemplate!H$7</f>
        <v>Partially Outsourced</v>
      </c>
      <c r="F8" s="1"/>
      <c r="G8" s="21" t="str">
        <f>ModelTemplate!H$8</f>
        <v>Partially Likely</v>
      </c>
      <c r="H8" s="1"/>
      <c r="I8" s="21"/>
    </row>
    <row r="9" spans="1:9" ht="18.75" customHeight="1" x14ac:dyDescent="0.25">
      <c r="A9" s="1"/>
      <c r="B9" s="87" t="str">
        <f>ModelTemplate!$B$6</f>
        <v>Factor 1</v>
      </c>
      <c r="C9" s="88">
        <f>ModelTemplate!I$6</f>
        <v>2</v>
      </c>
      <c r="D9" s="1"/>
      <c r="E9" s="89" t="str">
        <f>ModelTemplate!I$7</f>
        <v>Partly Outsourced</v>
      </c>
      <c r="F9" s="1"/>
      <c r="G9" s="21" t="str">
        <f>ModelTemplate!I$8</f>
        <v>Partly Likeli</v>
      </c>
      <c r="H9" s="1"/>
      <c r="I9" s="21"/>
    </row>
    <row r="10" spans="1:9" ht="18.75" customHeight="1" x14ac:dyDescent="0.25">
      <c r="A10" s="1"/>
      <c r="B10" s="87" t="str">
        <f>ModelTemplate!$B$6</f>
        <v>Factor 1</v>
      </c>
      <c r="C10" s="88">
        <f>ModelTemplate!J$6</f>
        <v>1</v>
      </c>
      <c r="D10" s="1"/>
      <c r="E10" s="89" t="str">
        <f>ModelTemplate!J$7</f>
        <v>Significatly Outsourced</v>
      </c>
      <c r="F10" s="1"/>
      <c r="G10" s="21" t="str">
        <f>ModelTemplate!J$8</f>
        <v>Significatly Likeli</v>
      </c>
      <c r="H10" s="1"/>
      <c r="I10" s="21"/>
    </row>
    <row r="11" spans="1:9" ht="18.75" customHeight="1" x14ac:dyDescent="0.25">
      <c r="A11" s="1"/>
      <c r="B11" s="87" t="str">
        <f>ModelTemplate!$B$6</f>
        <v>Factor 1</v>
      </c>
      <c r="C11" s="88">
        <f>ModelTemplate!K$6</f>
        <v>0</v>
      </c>
      <c r="D11" s="1"/>
      <c r="E11" s="89" t="str">
        <f>ModelTemplate!K$7</f>
        <v>Fully Outsourced</v>
      </c>
      <c r="F11" s="1"/>
      <c r="G11" s="21" t="str">
        <f>ModelTemplate!K$8</f>
        <v>Highly Likely</v>
      </c>
      <c r="H11" s="1"/>
      <c r="I11" s="21"/>
    </row>
    <row r="12" spans="1:9" ht="18.75" customHeight="1" x14ac:dyDescent="0.25">
      <c r="A12" s="1"/>
      <c r="B12" s="84"/>
      <c r="C12" s="89"/>
      <c r="D12" s="1"/>
      <c r="E12" s="83"/>
      <c r="F12" s="1"/>
      <c r="G12" s="21"/>
      <c r="H12" s="1"/>
      <c r="I12" s="21"/>
    </row>
    <row r="13" spans="1:9" ht="18.75" customHeight="1" x14ac:dyDescent="0.25">
      <c r="A13" s="1"/>
      <c r="B13" s="84"/>
      <c r="C13" s="85" t="str">
        <f>ModelTemplate!D11</f>
        <v>Debt Service Cover Ratio</v>
      </c>
      <c r="D13" s="84"/>
      <c r="E13" s="85" t="str">
        <f>ModelTemplate!D12</f>
        <v>Current Ratio</v>
      </c>
      <c r="F13" s="84"/>
      <c r="G13" s="86" t="str">
        <f>ModelTemplate!D13</f>
        <v>Debt ratio (D/A)</v>
      </c>
      <c r="H13" s="84"/>
      <c r="I13" s="86" t="str">
        <f>ModelTemplate!D14</f>
        <v>Number of Cash inflows from off-taker</v>
      </c>
    </row>
    <row r="14" spans="1:9" ht="18.75" customHeight="1" x14ac:dyDescent="0.25">
      <c r="A14" s="1"/>
      <c r="B14" s="87" t="str">
        <f>ModelTemplate!$B$11</f>
        <v>Factor 2</v>
      </c>
      <c r="C14" s="88">
        <f>ModelTemplate!E$11</f>
        <v>2</v>
      </c>
      <c r="D14" s="1"/>
      <c r="E14" s="88">
        <f>ModelTemplate!E$12</f>
        <v>2</v>
      </c>
      <c r="F14" s="1"/>
      <c r="G14" s="90">
        <f>ModelTemplate!E$13</f>
        <v>0.5</v>
      </c>
      <c r="H14" s="1"/>
      <c r="I14" s="91">
        <f>ModelTemplate!E$14</f>
        <v>6</v>
      </c>
    </row>
    <row r="15" spans="1:9" ht="18.75" customHeight="1" x14ac:dyDescent="0.25">
      <c r="A15" s="1"/>
      <c r="B15" s="87" t="str">
        <f>ModelTemplate!$B$11</f>
        <v>Factor 2</v>
      </c>
      <c r="C15" s="89">
        <f>ModelTemplate!F$11</f>
        <v>1.75</v>
      </c>
      <c r="D15" s="1"/>
      <c r="E15" s="89">
        <f>ModelTemplate!F$12</f>
        <v>1.75</v>
      </c>
      <c r="F15" s="1"/>
      <c r="G15" s="90">
        <f>ModelTemplate!F$13</f>
        <v>0.55000000000000004</v>
      </c>
      <c r="H15" s="1"/>
      <c r="I15" s="91">
        <f>ModelTemplate!F$14</f>
        <v>5</v>
      </c>
    </row>
    <row r="16" spans="1:9" ht="18.75" customHeight="1" x14ac:dyDescent="0.25">
      <c r="A16" s="1"/>
      <c r="B16" s="87" t="str">
        <f>ModelTemplate!$B$11</f>
        <v>Factor 2</v>
      </c>
      <c r="C16" s="89">
        <f>ModelTemplate!G$11</f>
        <v>1.5</v>
      </c>
      <c r="D16" s="1"/>
      <c r="E16" s="89">
        <f>ModelTemplate!G$12</f>
        <v>1.5</v>
      </c>
      <c r="F16" s="1"/>
      <c r="G16" s="90">
        <f>ModelTemplate!G$13</f>
        <v>0.6</v>
      </c>
      <c r="H16" s="1"/>
      <c r="I16" s="91">
        <f>ModelTemplate!G$14</f>
        <v>4</v>
      </c>
    </row>
    <row r="17" spans="1:9" ht="18.75" customHeight="1" x14ac:dyDescent="0.25">
      <c r="A17" s="1"/>
      <c r="B17" s="87" t="str">
        <f>ModelTemplate!$B$11</f>
        <v>Factor 2</v>
      </c>
      <c r="C17" s="89">
        <f>ModelTemplate!H$11</f>
        <v>1.25</v>
      </c>
      <c r="D17" s="1"/>
      <c r="E17" s="89">
        <f>ModelTemplate!H$12</f>
        <v>1.25</v>
      </c>
      <c r="F17" s="1"/>
      <c r="G17" s="90">
        <f>ModelTemplate!H$13</f>
        <v>0.65</v>
      </c>
      <c r="H17" s="1"/>
      <c r="I17" s="91">
        <f>ModelTemplate!H$14</f>
        <v>3</v>
      </c>
    </row>
    <row r="18" spans="1:9" ht="18.75" customHeight="1" x14ac:dyDescent="0.25">
      <c r="A18" s="1"/>
      <c r="B18" s="87" t="str">
        <f>ModelTemplate!$B$11</f>
        <v>Factor 2</v>
      </c>
      <c r="C18" s="88">
        <f>ModelTemplate!I$11</f>
        <v>1</v>
      </c>
      <c r="D18" s="1"/>
      <c r="E18" s="88">
        <f>ModelTemplate!I$12</f>
        <v>1</v>
      </c>
      <c r="F18" s="1"/>
      <c r="G18" s="90">
        <f>ModelTemplate!I$13</f>
        <v>0.7</v>
      </c>
      <c r="H18" s="1"/>
      <c r="I18" s="91">
        <f>ModelTemplate!I$14</f>
        <v>2</v>
      </c>
    </row>
    <row r="19" spans="1:9" ht="18.75" customHeight="1" x14ac:dyDescent="0.25">
      <c r="A19" s="1"/>
      <c r="B19" s="87" t="str">
        <f>ModelTemplate!$B$11</f>
        <v>Factor 2</v>
      </c>
      <c r="C19" s="89">
        <f>ModelTemplate!J$11</f>
        <v>0.75</v>
      </c>
      <c r="D19" s="1"/>
      <c r="E19" s="89">
        <f>ModelTemplate!J$12</f>
        <v>0.75</v>
      </c>
      <c r="F19" s="1"/>
      <c r="G19" s="90">
        <f>ModelTemplate!J$13</f>
        <v>0.75</v>
      </c>
      <c r="H19" s="1"/>
      <c r="I19" s="91">
        <f>ModelTemplate!J$14</f>
        <v>1</v>
      </c>
    </row>
    <row r="20" spans="1:9" ht="18.75" customHeight="1" x14ac:dyDescent="0.25">
      <c r="A20" s="1"/>
      <c r="B20" s="87" t="str">
        <f>ModelTemplate!$B$11</f>
        <v>Factor 2</v>
      </c>
      <c r="C20" s="89">
        <f>ModelTemplate!K$11</f>
        <v>0.5</v>
      </c>
      <c r="D20" s="1"/>
      <c r="E20" s="89">
        <f>ModelTemplate!K$12</f>
        <v>0.5</v>
      </c>
      <c r="F20" s="1"/>
      <c r="G20" s="90">
        <f>ModelTemplate!K$13</f>
        <v>0.8</v>
      </c>
      <c r="H20" s="1"/>
      <c r="I20" s="91">
        <f>ModelTemplate!K$14</f>
        <v>0</v>
      </c>
    </row>
    <row r="21" spans="1:9" ht="18.75" customHeight="1" x14ac:dyDescent="0.25">
      <c r="A21" s="1"/>
      <c r="B21" s="2"/>
      <c r="C21" s="83"/>
      <c r="D21" s="1"/>
      <c r="E21" s="83"/>
      <c r="F21" s="1"/>
      <c r="G21" s="21"/>
      <c r="H21" s="1"/>
      <c r="I21" s="21"/>
    </row>
    <row r="22" spans="1:9" ht="18.75" customHeight="1" x14ac:dyDescent="0.25">
      <c r="A22" s="1"/>
      <c r="B22" s="2"/>
      <c r="C22" s="85" t="str">
        <f>ModelTemplate!$D$17</f>
        <v>Past disputes with off-taker</v>
      </c>
      <c r="D22" s="1"/>
      <c r="E22" s="85" t="str">
        <f>ModelTemplate!$D$18</f>
        <v>Off-taker reputational risk</v>
      </c>
      <c r="F22" s="1"/>
      <c r="G22" s="86" t="str">
        <f>ModelTemplate!D19</f>
        <v>Term to loan settlement (weeks)</v>
      </c>
      <c r="H22" s="1"/>
      <c r="I22" s="21"/>
    </row>
    <row r="23" spans="1:9" ht="18.75" customHeight="1" x14ac:dyDescent="0.25">
      <c r="A23" s="1"/>
      <c r="B23" s="87" t="str">
        <f>ModelTemplate!$B$17</f>
        <v>Factor 3</v>
      </c>
      <c r="C23" s="89" t="str">
        <f>ModelTemplate!E17</f>
        <v>None</v>
      </c>
      <c r="D23" s="1"/>
      <c r="E23" s="83" t="str">
        <f>ModelTemplate!E18</f>
        <v>Solid</v>
      </c>
      <c r="F23" s="1"/>
      <c r="G23" s="9">
        <f>ModelTemplate!E19</f>
        <v>2</v>
      </c>
      <c r="H23" s="1"/>
      <c r="I23" s="21"/>
    </row>
    <row r="24" spans="1:9" ht="18.75" customHeight="1" x14ac:dyDescent="0.25">
      <c r="A24" s="1"/>
      <c r="B24" s="87" t="str">
        <f>ModelTemplate!$B$17</f>
        <v>Factor 3</v>
      </c>
      <c r="C24" s="89" t="str">
        <f>ModelTemplate!F17</f>
        <v>Immaterial</v>
      </c>
      <c r="D24" s="1"/>
      <c r="E24" s="83" t="str">
        <f>ModelTemplate!F18</f>
        <v>Intact</v>
      </c>
      <c r="F24" s="1"/>
      <c r="G24" s="9">
        <f>ModelTemplate!F19</f>
        <v>3</v>
      </c>
      <c r="H24" s="1"/>
      <c r="I24" s="21"/>
    </row>
    <row r="25" spans="1:9" ht="18.75" customHeight="1" x14ac:dyDescent="0.25">
      <c r="A25" s="1"/>
      <c r="B25" s="87" t="str">
        <f>ModelTemplate!$B$17</f>
        <v>Factor 3</v>
      </c>
      <c r="C25" s="89" t="str">
        <f>ModelTemplate!G17</f>
        <v>Not Significant</v>
      </c>
      <c r="D25" s="1"/>
      <c r="E25" s="83" t="str">
        <f>ModelTemplate!G18</f>
        <v>Immaterial</v>
      </c>
      <c r="F25" s="1"/>
      <c r="G25" s="9">
        <f>ModelTemplate!G19</f>
        <v>4</v>
      </c>
      <c r="H25" s="1"/>
      <c r="I25" s="21"/>
    </row>
    <row r="26" spans="1:9" ht="18.75" customHeight="1" x14ac:dyDescent="0.25">
      <c r="A26" s="1"/>
      <c r="B26" s="87" t="str">
        <f>ModelTemplate!$B$17</f>
        <v>Factor 3</v>
      </c>
      <c r="C26" s="89" t="str">
        <f>ModelTemplate!H17</f>
        <v>material but resolved</v>
      </c>
      <c r="D26" s="1"/>
      <c r="E26" s="83" t="str">
        <f>ModelTemplate!H18</f>
        <v>Partially Tainted</v>
      </c>
      <c r="F26" s="1"/>
      <c r="G26" s="9">
        <f>ModelTemplate!H19</f>
        <v>5</v>
      </c>
      <c r="H26" s="1"/>
      <c r="I26" s="21"/>
    </row>
    <row r="27" spans="1:9" ht="18.75" customHeight="1" x14ac:dyDescent="0.25">
      <c r="A27" s="1"/>
      <c r="B27" s="87" t="str">
        <f>ModelTemplate!$B$17</f>
        <v>Factor 3</v>
      </c>
      <c r="C27" s="89" t="str">
        <f>ModelTemplate!I17</f>
        <v>material but not resolved</v>
      </c>
      <c r="D27" s="1"/>
      <c r="E27" s="83" t="str">
        <f>ModelTemplate!I18</f>
        <v xml:space="preserve"> Partly Tainted</v>
      </c>
      <c r="F27" s="1"/>
      <c r="G27" s="9">
        <f>ModelTemplate!I19</f>
        <v>6</v>
      </c>
      <c r="H27" s="1"/>
      <c r="I27" s="21"/>
    </row>
    <row r="28" spans="1:9" ht="18.75" customHeight="1" x14ac:dyDescent="0.25">
      <c r="A28" s="1"/>
      <c r="B28" s="87" t="str">
        <f>ModelTemplate!$B$17</f>
        <v>Factor 3</v>
      </c>
      <c r="C28" s="89" t="str">
        <f>ModelTemplate!J17</f>
        <v>Extreme Conflict</v>
      </c>
      <c r="D28" s="1"/>
      <c r="E28" s="83" t="str">
        <f>ModelTemplate!J18</f>
        <v>Overly Tainted</v>
      </c>
      <c r="F28" s="1"/>
      <c r="G28" s="9">
        <f>ModelTemplate!J19</f>
        <v>7</v>
      </c>
      <c r="H28" s="1"/>
      <c r="I28" s="21"/>
    </row>
    <row r="29" spans="1:9" ht="18.75" customHeight="1" x14ac:dyDescent="0.25">
      <c r="A29" s="1"/>
      <c r="B29" s="87" t="str">
        <f>ModelTemplate!$B$17</f>
        <v>Factor 3</v>
      </c>
      <c r="C29" s="89" t="str">
        <f>ModelTemplate!K17</f>
        <v>Irreconcilable</v>
      </c>
      <c r="D29" s="1"/>
      <c r="E29" s="83" t="str">
        <f>ModelTemplate!K18</f>
        <v>Totally Tainted</v>
      </c>
      <c r="F29" s="1"/>
      <c r="G29" s="9">
        <f>ModelTemplate!K19</f>
        <v>8</v>
      </c>
      <c r="H29" s="1"/>
      <c r="I29" s="21"/>
    </row>
    <row r="30" spans="1:9" ht="18.75" customHeight="1" x14ac:dyDescent="0.25">
      <c r="A30" s="1"/>
      <c r="B30" s="84"/>
      <c r="C30" s="83"/>
      <c r="D30" s="1"/>
      <c r="E30" s="83"/>
      <c r="F30" s="1"/>
      <c r="G30" s="21"/>
      <c r="H30" s="1"/>
      <c r="I30" s="21"/>
    </row>
    <row r="31" spans="1:9" ht="18.75" customHeight="1" x14ac:dyDescent="0.25">
      <c r="A31" s="1"/>
      <c r="B31" s="2"/>
      <c r="C31" s="85" t="str">
        <f>ModelTemplate!D22</f>
        <v>Reputational risk</v>
      </c>
      <c r="D31" s="84"/>
      <c r="E31" s="85" t="str">
        <f>ModelTemplate!D23</f>
        <v>Variety of supplier base</v>
      </c>
      <c r="F31" s="84"/>
      <c r="G31" s="86" t="str">
        <f>ModelTemplate!D24</f>
        <v>Number of times the SME has used the supplier</v>
      </c>
      <c r="H31" s="1"/>
      <c r="I31" s="21"/>
    </row>
    <row r="32" spans="1:9" ht="18.75" customHeight="1" x14ac:dyDescent="0.25">
      <c r="A32" s="1"/>
      <c r="B32" s="87" t="str">
        <f>ModelTemplate!$B$22</f>
        <v>Factor 4</v>
      </c>
      <c r="C32" s="83" t="str">
        <f>ModelTemplate!E22</f>
        <v>Solid</v>
      </c>
      <c r="D32" s="1"/>
      <c r="E32" s="83" t="str">
        <f>ModelTemplate!E23</f>
        <v>Superior</v>
      </c>
      <c r="F32" s="1"/>
      <c r="G32" s="9">
        <f>ModelTemplate!E24</f>
        <v>6</v>
      </c>
      <c r="H32" s="1"/>
      <c r="I32" s="21"/>
    </row>
    <row r="33" spans="1:9" ht="18.75" customHeight="1" x14ac:dyDescent="0.25">
      <c r="A33" s="1"/>
      <c r="B33" s="87" t="str">
        <f>ModelTemplate!$B$22</f>
        <v>Factor 4</v>
      </c>
      <c r="C33" s="83" t="str">
        <f>ModelTemplate!F22</f>
        <v>Intact</v>
      </c>
      <c r="D33" s="1"/>
      <c r="E33" s="83" t="str">
        <f>ModelTemplate!F23</f>
        <v>Excellent</v>
      </c>
      <c r="F33" s="1"/>
      <c r="G33" s="9">
        <f>ModelTemplate!F24</f>
        <v>5</v>
      </c>
      <c r="H33" s="1"/>
      <c r="I33" s="21"/>
    </row>
    <row r="34" spans="1:9" ht="18.75" customHeight="1" x14ac:dyDescent="0.25">
      <c r="A34" s="1"/>
      <c r="B34" s="87" t="str">
        <f>ModelTemplate!$B$22</f>
        <v>Factor 4</v>
      </c>
      <c r="C34" s="83" t="str">
        <f>ModelTemplate!G22</f>
        <v>Immaterial</v>
      </c>
      <c r="D34" s="1"/>
      <c r="E34" s="83" t="str">
        <f>ModelTemplate!G23</f>
        <v>Good</v>
      </c>
      <c r="F34" s="1"/>
      <c r="G34" s="9">
        <f>ModelTemplate!G24</f>
        <v>4</v>
      </c>
      <c r="H34" s="1"/>
      <c r="I34" s="21"/>
    </row>
    <row r="35" spans="1:9" ht="18.75" customHeight="1" x14ac:dyDescent="0.25">
      <c r="A35" s="1"/>
      <c r="B35" s="87" t="str">
        <f>ModelTemplate!$B$22</f>
        <v>Factor 4</v>
      </c>
      <c r="C35" s="83" t="str">
        <f>ModelTemplate!H22</f>
        <v>Partially Tainted</v>
      </c>
      <c r="D35" s="1"/>
      <c r="E35" s="83" t="str">
        <f>ModelTemplate!H23</f>
        <v>Moderate</v>
      </c>
      <c r="F35" s="1"/>
      <c r="G35" s="9">
        <f>ModelTemplate!H24</f>
        <v>3</v>
      </c>
      <c r="H35" s="1"/>
      <c r="I35" s="21"/>
    </row>
    <row r="36" spans="1:9" ht="18.75" customHeight="1" x14ac:dyDescent="0.25">
      <c r="A36" s="1"/>
      <c r="B36" s="87" t="str">
        <f>ModelTemplate!$B$22</f>
        <v>Factor 4</v>
      </c>
      <c r="C36" s="83" t="str">
        <f>ModelTemplate!I22</f>
        <v xml:space="preserve"> Partly Tainted</v>
      </c>
      <c r="D36" s="1"/>
      <c r="E36" s="83" t="str">
        <f>ModelTemplate!I23</f>
        <v>Limited</v>
      </c>
      <c r="F36" s="1"/>
      <c r="G36" s="9">
        <f>ModelTemplate!I24</f>
        <v>2</v>
      </c>
      <c r="H36" s="1"/>
      <c r="I36" s="21"/>
    </row>
    <row r="37" spans="1:9" ht="18.75" customHeight="1" x14ac:dyDescent="0.25">
      <c r="A37" s="1"/>
      <c r="B37" s="87" t="str">
        <f>ModelTemplate!$B$22</f>
        <v>Factor 4</v>
      </c>
      <c r="C37" s="83" t="str">
        <f>ModelTemplate!J22</f>
        <v>Overly Tainted</v>
      </c>
      <c r="D37" s="1"/>
      <c r="E37" s="83" t="str">
        <f>ModelTemplate!J23</f>
        <v>Weak</v>
      </c>
      <c r="F37" s="1"/>
      <c r="G37" s="9">
        <f>ModelTemplate!J24</f>
        <v>1</v>
      </c>
      <c r="H37" s="1"/>
      <c r="I37" s="21"/>
    </row>
    <row r="38" spans="1:9" ht="18.75" customHeight="1" x14ac:dyDescent="0.25">
      <c r="A38" s="1"/>
      <c r="B38" s="87" t="str">
        <f>ModelTemplate!$B$22</f>
        <v>Factor 4</v>
      </c>
      <c r="C38" s="83" t="str">
        <f>ModelTemplate!K22</f>
        <v>Totally Tainted</v>
      </c>
      <c r="D38" s="1"/>
      <c r="E38" s="83" t="str">
        <f>ModelTemplate!K23</f>
        <v>Poor</v>
      </c>
      <c r="F38" s="1"/>
      <c r="G38" s="9">
        <f>ModelTemplate!K24</f>
        <v>0</v>
      </c>
      <c r="H38" s="1"/>
      <c r="I38" s="21"/>
    </row>
    <row r="39" spans="1:9" ht="18.75" customHeight="1" x14ac:dyDescent="0.25">
      <c r="A39" s="1"/>
      <c r="B39" s="2"/>
      <c r="C39" s="83"/>
      <c r="D39" s="1"/>
      <c r="E39" s="83"/>
      <c r="F39" s="1"/>
      <c r="G39" s="21"/>
      <c r="H39" s="1"/>
      <c r="I39" s="21"/>
    </row>
    <row r="40" spans="1:9" ht="18.75" customHeight="1" x14ac:dyDescent="0.25">
      <c r="A40" s="1"/>
      <c r="B40" s="2"/>
      <c r="C40" s="85" t="str">
        <f>ModelTemplate!D27</f>
        <v>Unencumbered Assets to the Unsecured Debt</v>
      </c>
      <c r="D40" s="84"/>
      <c r="E40" s="85" t="str">
        <f>ModelTemplate!D28</f>
        <v>Liquid Asset Loan Coverage Ratio</v>
      </c>
      <c r="F40" s="84"/>
      <c r="G40" s="86" t="str">
        <f>ModelTemplate!D29</f>
        <v xml:space="preserve">Timing of liquid assets repayment </v>
      </c>
      <c r="H40" s="1"/>
      <c r="I40" s="86" t="str">
        <f>ModelTemplate!D30</f>
        <v>Quality of liquid security loan coverage</v>
      </c>
    </row>
    <row r="41" spans="1:9" ht="18.75" customHeight="1" x14ac:dyDescent="0.25">
      <c r="A41" s="1"/>
      <c r="B41" s="87" t="str">
        <f>ModelTemplate!$B$27</f>
        <v>Factor 5</v>
      </c>
      <c r="C41" s="83">
        <f>ModelTemplate!E27</f>
        <v>2</v>
      </c>
      <c r="D41" s="1"/>
      <c r="E41" s="83">
        <f>ModelTemplate!E28</f>
        <v>1.5</v>
      </c>
      <c r="F41" s="1"/>
      <c r="G41" s="21">
        <f>ModelTemplate!E29</f>
        <v>1</v>
      </c>
      <c r="H41" s="1"/>
      <c r="I41" s="21">
        <f>ModelTemplate!E30</f>
        <v>0.8</v>
      </c>
    </row>
    <row r="42" spans="1:9" ht="18.75" customHeight="1" x14ac:dyDescent="0.25">
      <c r="A42" s="1"/>
      <c r="B42" s="87" t="str">
        <f>ModelTemplate!$B$27</f>
        <v>Factor 5</v>
      </c>
      <c r="C42" s="83">
        <f>ModelTemplate!F27</f>
        <v>1.75</v>
      </c>
      <c r="D42" s="1"/>
      <c r="E42" s="83">
        <f>ModelTemplate!F28</f>
        <v>1.25</v>
      </c>
      <c r="F42" s="1"/>
      <c r="G42" s="21">
        <f>ModelTemplate!F29</f>
        <v>0.9</v>
      </c>
      <c r="H42" s="1"/>
      <c r="I42" s="21">
        <f>ModelTemplate!F30</f>
        <v>0.7</v>
      </c>
    </row>
    <row r="43" spans="1:9" ht="18.75" customHeight="1" x14ac:dyDescent="0.25">
      <c r="A43" s="1"/>
      <c r="B43" s="87" t="str">
        <f>ModelTemplate!$B$27</f>
        <v>Factor 5</v>
      </c>
      <c r="C43" s="83">
        <f>ModelTemplate!G27</f>
        <v>1.5</v>
      </c>
      <c r="D43" s="1"/>
      <c r="E43" s="83">
        <f>ModelTemplate!G28</f>
        <v>1</v>
      </c>
      <c r="F43" s="1"/>
      <c r="G43" s="21">
        <f>ModelTemplate!G29</f>
        <v>0.8</v>
      </c>
      <c r="H43" s="1"/>
      <c r="I43" s="21">
        <f>ModelTemplate!G30</f>
        <v>0.6</v>
      </c>
    </row>
    <row r="44" spans="1:9" ht="18.75" customHeight="1" x14ac:dyDescent="0.25">
      <c r="A44" s="1"/>
      <c r="B44" s="87" t="str">
        <f>ModelTemplate!$B$27</f>
        <v>Factor 5</v>
      </c>
      <c r="C44" s="83">
        <f>ModelTemplate!H27</f>
        <v>1.25</v>
      </c>
      <c r="D44" s="1"/>
      <c r="E44" s="83">
        <f>ModelTemplate!H28</f>
        <v>0.75</v>
      </c>
      <c r="F44" s="1"/>
      <c r="G44" s="21">
        <f>ModelTemplate!H29</f>
        <v>0.7</v>
      </c>
      <c r="H44" s="1"/>
      <c r="I44" s="21">
        <f>ModelTemplate!H30</f>
        <v>0.5</v>
      </c>
    </row>
    <row r="45" spans="1:9" ht="18.75" customHeight="1" x14ac:dyDescent="0.25">
      <c r="A45" s="1"/>
      <c r="B45" s="87" t="str">
        <f>ModelTemplate!$B$27</f>
        <v>Factor 5</v>
      </c>
      <c r="C45" s="83">
        <f>ModelTemplate!I27</f>
        <v>1</v>
      </c>
      <c r="D45" s="1"/>
      <c r="E45" s="83">
        <f>ModelTemplate!I28</f>
        <v>0.5</v>
      </c>
      <c r="F45" s="1"/>
      <c r="G45" s="21">
        <f>ModelTemplate!I29</f>
        <v>0.6</v>
      </c>
      <c r="H45" s="1"/>
      <c r="I45" s="21">
        <f>ModelTemplate!I30</f>
        <v>0.4</v>
      </c>
    </row>
    <row r="46" spans="1:9" ht="18.75" customHeight="1" x14ac:dyDescent="0.25">
      <c r="A46" s="1"/>
      <c r="B46" s="87" t="str">
        <f>ModelTemplate!$B$27</f>
        <v>Factor 5</v>
      </c>
      <c r="C46" s="83">
        <f>ModelTemplate!J27</f>
        <v>0.75</v>
      </c>
      <c r="D46" s="1"/>
      <c r="E46" s="83">
        <f>ModelTemplate!J28</f>
        <v>0.25</v>
      </c>
      <c r="F46" s="1"/>
      <c r="G46" s="21">
        <f>ModelTemplate!J29</f>
        <v>0.5</v>
      </c>
      <c r="H46" s="1"/>
      <c r="I46" s="21">
        <f>ModelTemplate!J30</f>
        <v>0.3</v>
      </c>
    </row>
    <row r="47" spans="1:9" ht="18.75" customHeight="1" x14ac:dyDescent="0.25">
      <c r="A47" s="1"/>
      <c r="B47" s="87" t="str">
        <f>ModelTemplate!$B$27</f>
        <v>Factor 5</v>
      </c>
      <c r="C47" s="83">
        <f>ModelTemplate!K27</f>
        <v>0.5</v>
      </c>
      <c r="D47" s="1"/>
      <c r="E47" s="83">
        <f>ModelTemplate!K28</f>
        <v>0.2</v>
      </c>
      <c r="F47" s="1"/>
      <c r="G47" s="21">
        <f>ModelTemplate!K29</f>
        <v>0.4</v>
      </c>
      <c r="H47" s="1"/>
      <c r="I47" s="21">
        <f>ModelTemplate!K30</f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O33"/>
  <sheetViews>
    <sheetView topLeftCell="A7" workbookViewId="0">
      <selection activeCell="E17" sqref="E17"/>
    </sheetView>
  </sheetViews>
  <sheetFormatPr defaultRowHeight="15" x14ac:dyDescent="0.25"/>
  <cols>
    <col min="1" max="1" width="13.5703125" style="7" bestFit="1" customWidth="1"/>
    <col min="2" max="2" width="10.7109375" style="8" bestFit="1" customWidth="1"/>
    <col min="3" max="3" width="27" style="8" bestFit="1" customWidth="1"/>
    <col min="4" max="4" width="40.7109375" style="8" bestFit="1" customWidth="1"/>
    <col min="5" max="5" width="18.7109375" style="81" bestFit="1" customWidth="1"/>
    <col min="6" max="6" width="27.28515625" style="81" bestFit="1" customWidth="1"/>
    <col min="7" max="7" width="20.140625" style="81" bestFit="1" customWidth="1"/>
    <col min="8" max="8" width="20.28515625" style="81" bestFit="1" customWidth="1"/>
    <col min="9" max="10" width="23.85546875" style="81" bestFit="1" customWidth="1"/>
    <col min="11" max="11" width="17.42578125" style="81" bestFit="1" customWidth="1"/>
    <col min="12" max="12" width="10.28515625" style="82" bestFit="1" customWidth="1"/>
    <col min="13" max="13" width="1.85546875" style="7" bestFit="1" customWidth="1"/>
    <col min="14" max="14" width="13.5703125" style="82" bestFit="1" customWidth="1"/>
    <col min="15" max="15" width="13.5703125" style="7" bestFit="1" customWidth="1"/>
  </cols>
  <sheetData>
    <row r="1" spans="1:15" ht="18.75" customHeight="1" x14ac:dyDescent="0.25">
      <c r="A1" s="1"/>
      <c r="B1" s="2"/>
      <c r="C1" s="2"/>
      <c r="D1" s="2"/>
      <c r="E1" s="21"/>
      <c r="F1" s="21"/>
      <c r="G1" s="21"/>
      <c r="H1" s="21"/>
      <c r="I1" s="21"/>
      <c r="J1" s="21"/>
      <c r="K1" s="21"/>
      <c r="L1" s="22"/>
      <c r="M1" s="1"/>
      <c r="N1" s="22"/>
      <c r="O1" s="1"/>
    </row>
    <row r="2" spans="1:15" ht="22.5" customHeight="1" x14ac:dyDescent="0.25">
      <c r="A2" s="1"/>
      <c r="B2" s="249" t="str">
        <f>CreditRating!D4</f>
        <v>Invoice Discounting</v>
      </c>
      <c r="C2" s="249"/>
      <c r="D2" s="2"/>
      <c r="E2" s="21"/>
      <c r="F2" s="21"/>
      <c r="G2" s="21"/>
      <c r="H2" s="21"/>
      <c r="I2" s="21"/>
      <c r="J2" s="21"/>
      <c r="K2" s="21"/>
      <c r="L2" s="22"/>
      <c r="M2" s="1"/>
      <c r="N2" s="22"/>
      <c r="O2" s="1"/>
    </row>
    <row r="3" spans="1:15" ht="18.75" customHeight="1" x14ac:dyDescent="0.25">
      <c r="A3" s="1"/>
      <c r="B3" s="2"/>
      <c r="C3" s="2"/>
      <c r="D3" s="2"/>
      <c r="E3" s="23" t="s">
        <v>151</v>
      </c>
      <c r="F3" s="24" t="s">
        <v>152</v>
      </c>
      <c r="G3" s="24" t="s">
        <v>15</v>
      </c>
      <c r="H3" s="24" t="s">
        <v>153</v>
      </c>
      <c r="I3" s="24" t="s">
        <v>154</v>
      </c>
      <c r="J3" s="24" t="s">
        <v>18</v>
      </c>
      <c r="K3" s="25" t="s">
        <v>155</v>
      </c>
      <c r="L3" s="26" t="s">
        <v>156</v>
      </c>
      <c r="M3" s="27"/>
      <c r="N3" s="28"/>
      <c r="O3" s="29"/>
    </row>
    <row r="4" spans="1:15" ht="18.75" customHeight="1" x14ac:dyDescent="0.25">
      <c r="A4" s="1"/>
      <c r="B4" s="30" t="s">
        <v>157</v>
      </c>
      <c r="C4" s="30" t="s">
        <v>158</v>
      </c>
      <c r="D4" s="30" t="s">
        <v>159</v>
      </c>
      <c r="E4" s="31">
        <v>4.6500000000000004</v>
      </c>
      <c r="F4" s="32">
        <v>3.8</v>
      </c>
      <c r="G4" s="32">
        <v>3.15</v>
      </c>
      <c r="H4" s="32">
        <v>2.6</v>
      </c>
      <c r="I4" s="32">
        <v>2.15</v>
      </c>
      <c r="J4" s="32">
        <v>1.75</v>
      </c>
      <c r="K4" s="33">
        <v>1.3</v>
      </c>
      <c r="L4" s="34" t="s">
        <v>160</v>
      </c>
      <c r="M4" s="27"/>
      <c r="N4" s="28"/>
      <c r="O4" s="29"/>
    </row>
    <row r="5" spans="1:15" ht="18.75" customHeight="1" x14ac:dyDescent="0.25">
      <c r="A5" s="1"/>
      <c r="B5" s="2"/>
      <c r="C5" s="29"/>
      <c r="D5" s="29"/>
      <c r="E5" s="35"/>
      <c r="F5" s="21"/>
      <c r="G5" s="35"/>
      <c r="H5" s="35"/>
      <c r="I5" s="35"/>
      <c r="J5" s="35"/>
      <c r="K5" s="35"/>
      <c r="L5" s="28"/>
      <c r="M5" s="29"/>
      <c r="N5" s="28"/>
      <c r="O5" s="29"/>
    </row>
    <row r="6" spans="1:15" ht="21" customHeight="1" x14ac:dyDescent="0.25">
      <c r="A6" s="1"/>
      <c r="B6" s="36" t="s">
        <v>161</v>
      </c>
      <c r="C6" s="37" t="s">
        <v>20</v>
      </c>
      <c r="D6" s="38" t="s">
        <v>162</v>
      </c>
      <c r="E6" s="39">
        <v>6</v>
      </c>
      <c r="F6" s="40">
        <v>5</v>
      </c>
      <c r="G6" s="40">
        <v>4</v>
      </c>
      <c r="H6" s="40">
        <v>3</v>
      </c>
      <c r="I6" s="40">
        <v>2</v>
      </c>
      <c r="J6" s="40">
        <v>1</v>
      </c>
      <c r="K6" s="41">
        <v>0</v>
      </c>
      <c r="L6" s="42">
        <f>CreditRating!F8</f>
        <v>0</v>
      </c>
      <c r="M6" s="43"/>
      <c r="N6" s="28"/>
      <c r="O6" s="29"/>
    </row>
    <row r="7" spans="1:15" ht="21" customHeight="1" x14ac:dyDescent="0.25">
      <c r="A7" s="1"/>
      <c r="B7" s="44" t="s">
        <v>161</v>
      </c>
      <c r="C7" s="2" t="s">
        <v>20</v>
      </c>
      <c r="D7" s="29" t="s">
        <v>163</v>
      </c>
      <c r="E7" s="45" t="s">
        <v>164</v>
      </c>
      <c r="F7" s="46" t="s">
        <v>165</v>
      </c>
      <c r="G7" s="46" t="s">
        <v>166</v>
      </c>
      <c r="H7" s="46" t="s">
        <v>167</v>
      </c>
      <c r="I7" s="46" t="s">
        <v>168</v>
      </c>
      <c r="J7" s="46" t="s">
        <v>169</v>
      </c>
      <c r="K7" s="47" t="s">
        <v>170</v>
      </c>
      <c r="L7" s="48">
        <f>CreditRating!F9</f>
        <v>0</v>
      </c>
      <c r="M7" s="43"/>
      <c r="N7" s="28"/>
      <c r="O7" s="29"/>
    </row>
    <row r="8" spans="1:15" ht="21" customHeight="1" x14ac:dyDescent="0.25">
      <c r="A8" s="1"/>
      <c r="B8" s="49" t="s">
        <v>161</v>
      </c>
      <c r="C8" s="50" t="s">
        <v>20</v>
      </c>
      <c r="D8" s="51" t="s">
        <v>37</v>
      </c>
      <c r="E8" s="52" t="s">
        <v>171</v>
      </c>
      <c r="F8" s="53" t="s">
        <v>172</v>
      </c>
      <c r="G8" s="53" t="s">
        <v>173</v>
      </c>
      <c r="H8" s="53" t="s">
        <v>174</v>
      </c>
      <c r="I8" s="53" t="s">
        <v>175</v>
      </c>
      <c r="J8" s="53" t="s">
        <v>176</v>
      </c>
      <c r="K8" s="54" t="s">
        <v>177</v>
      </c>
      <c r="L8" s="55">
        <f>CreditRating!F10</f>
        <v>0</v>
      </c>
      <c r="M8" s="43"/>
      <c r="N8" s="22"/>
      <c r="O8" s="29"/>
    </row>
    <row r="9" spans="1:15" ht="21" customHeight="1" x14ac:dyDescent="0.25">
      <c r="A9" s="1"/>
      <c r="B9" s="2"/>
      <c r="C9" s="2"/>
      <c r="D9" s="29"/>
      <c r="E9" s="56"/>
      <c r="F9" s="56"/>
      <c r="G9" s="56"/>
      <c r="H9" s="56"/>
      <c r="I9" s="56"/>
      <c r="J9" s="57"/>
      <c r="K9" s="56"/>
      <c r="L9" s="43"/>
      <c r="M9" s="43"/>
      <c r="N9" s="58">
        <f>SUM(L6:L8)</f>
        <v>0</v>
      </c>
      <c r="O9" s="29"/>
    </row>
    <row r="10" spans="1:15" ht="21" customHeight="1" x14ac:dyDescent="0.25">
      <c r="A10" s="1"/>
      <c r="B10" s="2"/>
      <c r="C10" s="2"/>
      <c r="D10" s="2"/>
      <c r="E10" s="57"/>
      <c r="F10" s="57"/>
      <c r="G10" s="57"/>
      <c r="H10" s="57"/>
      <c r="I10" s="57"/>
      <c r="J10" s="57"/>
      <c r="K10" s="57"/>
      <c r="L10" s="22"/>
      <c r="M10" s="1"/>
      <c r="N10" s="22"/>
      <c r="O10" s="29"/>
    </row>
    <row r="11" spans="1:15" ht="21" customHeight="1" x14ac:dyDescent="0.25">
      <c r="A11" s="1"/>
      <c r="B11" s="36" t="s">
        <v>178</v>
      </c>
      <c r="C11" s="37" t="s">
        <v>42</v>
      </c>
      <c r="D11" s="38" t="s">
        <v>43</v>
      </c>
      <c r="E11" s="39">
        <v>2</v>
      </c>
      <c r="F11" s="59">
        <v>1.75</v>
      </c>
      <c r="G11" s="59">
        <v>1.5</v>
      </c>
      <c r="H11" s="59">
        <v>1.25</v>
      </c>
      <c r="I11" s="40">
        <v>1</v>
      </c>
      <c r="J11" s="59">
        <v>0.75</v>
      </c>
      <c r="K11" s="59">
        <v>0.5</v>
      </c>
      <c r="L11" s="42">
        <f>CreditRating!F13</f>
        <v>7.4999999999999997E-2</v>
      </c>
      <c r="M11" s="43"/>
      <c r="N11" s="28"/>
      <c r="O11" s="29"/>
    </row>
    <row r="12" spans="1:15" ht="21" customHeight="1" x14ac:dyDescent="0.25">
      <c r="A12" s="1"/>
      <c r="B12" s="44" t="s">
        <v>178</v>
      </c>
      <c r="C12" s="2" t="s">
        <v>42</v>
      </c>
      <c r="D12" s="29" t="s">
        <v>51</v>
      </c>
      <c r="E12" s="60">
        <v>2</v>
      </c>
      <c r="F12" s="61">
        <v>1.75</v>
      </c>
      <c r="G12" s="61">
        <v>1.5</v>
      </c>
      <c r="H12" s="61">
        <v>1.25</v>
      </c>
      <c r="I12" s="62">
        <v>1</v>
      </c>
      <c r="J12" s="61">
        <v>0.75</v>
      </c>
      <c r="K12" s="61">
        <v>0.5</v>
      </c>
      <c r="L12" s="48">
        <f>CreditRating!F14</f>
        <v>7.4999999999999997E-2</v>
      </c>
      <c r="M12" s="43"/>
      <c r="N12" s="28"/>
      <c r="O12" s="29"/>
    </row>
    <row r="13" spans="1:15" ht="21" customHeight="1" x14ac:dyDescent="0.25">
      <c r="A13" s="1"/>
      <c r="B13" s="44" t="s">
        <v>178</v>
      </c>
      <c r="C13" s="2" t="s">
        <v>42</v>
      </c>
      <c r="D13" s="29" t="s">
        <v>59</v>
      </c>
      <c r="E13" s="45">
        <v>0.5</v>
      </c>
      <c r="F13" s="46">
        <v>0.55000000000000004</v>
      </c>
      <c r="G13" s="46">
        <v>0.6</v>
      </c>
      <c r="H13" s="46">
        <v>0.65</v>
      </c>
      <c r="I13" s="46">
        <v>0.7</v>
      </c>
      <c r="J13" s="46">
        <v>0.75</v>
      </c>
      <c r="K13" s="46">
        <v>0.8</v>
      </c>
      <c r="L13" s="48">
        <f>CreditRating!F15</f>
        <v>0.05</v>
      </c>
      <c r="M13" s="43"/>
      <c r="N13" s="28"/>
      <c r="O13" s="29"/>
    </row>
    <row r="14" spans="1:15" ht="21" customHeight="1" x14ac:dyDescent="0.25">
      <c r="A14" s="1"/>
      <c r="B14" s="49" t="s">
        <v>178</v>
      </c>
      <c r="C14" s="50" t="s">
        <v>42</v>
      </c>
      <c r="D14" s="51" t="s">
        <v>67</v>
      </c>
      <c r="E14" s="63">
        <v>6</v>
      </c>
      <c r="F14" s="64">
        <v>5</v>
      </c>
      <c r="G14" s="64">
        <v>4</v>
      </c>
      <c r="H14" s="64">
        <v>3</v>
      </c>
      <c r="I14" s="64">
        <v>2</v>
      </c>
      <c r="J14" s="64">
        <v>1</v>
      </c>
      <c r="K14" s="64">
        <v>0</v>
      </c>
      <c r="L14" s="55">
        <f>CreditRating!F16</f>
        <v>0.1</v>
      </c>
      <c r="M14" s="43"/>
      <c r="N14" s="28"/>
      <c r="O14" s="29"/>
    </row>
    <row r="15" spans="1:15" ht="21" customHeight="1" x14ac:dyDescent="0.25">
      <c r="A15" s="1"/>
      <c r="B15" s="2"/>
      <c r="C15" s="2"/>
      <c r="D15" s="2"/>
      <c r="E15" s="57"/>
      <c r="F15" s="57"/>
      <c r="G15" s="57"/>
      <c r="H15" s="57"/>
      <c r="I15" s="57"/>
      <c r="J15" s="57"/>
      <c r="K15" s="57"/>
      <c r="L15" s="22"/>
      <c r="M15" s="22"/>
      <c r="N15" s="58">
        <f>SUM(L11:L14)</f>
        <v>0.30000000000000004</v>
      </c>
      <c r="O15" s="29"/>
    </row>
    <row r="16" spans="1:15" ht="21" customHeight="1" x14ac:dyDescent="0.25">
      <c r="A16" s="1"/>
      <c r="B16" s="2"/>
      <c r="C16" s="2"/>
      <c r="D16" s="2"/>
      <c r="E16" s="57"/>
      <c r="F16" s="57"/>
      <c r="G16" s="57"/>
      <c r="H16" s="57"/>
      <c r="I16" s="57"/>
      <c r="J16" s="57"/>
      <c r="K16" s="57"/>
      <c r="L16" s="22"/>
      <c r="M16" s="1"/>
      <c r="N16" s="22"/>
      <c r="O16" s="29"/>
    </row>
    <row r="17" spans="1:15" ht="21" customHeight="1" x14ac:dyDescent="0.25">
      <c r="A17" s="1"/>
      <c r="B17" s="36" t="s">
        <v>179</v>
      </c>
      <c r="C17" s="37" t="s">
        <v>75</v>
      </c>
      <c r="D17" s="38" t="s">
        <v>76</v>
      </c>
      <c r="E17" s="65" t="s">
        <v>180</v>
      </c>
      <c r="F17" s="66" t="s">
        <v>181</v>
      </c>
      <c r="G17" s="66" t="s">
        <v>182</v>
      </c>
      <c r="H17" s="66" t="s">
        <v>183</v>
      </c>
      <c r="I17" s="66" t="s">
        <v>184</v>
      </c>
      <c r="J17" s="66" t="s">
        <v>185</v>
      </c>
      <c r="K17" s="67" t="s">
        <v>186</v>
      </c>
      <c r="L17" s="42">
        <f>CreditRating!F19</f>
        <v>7.4999999999999997E-2</v>
      </c>
      <c r="M17" s="43"/>
      <c r="N17" s="28"/>
      <c r="O17" s="29"/>
    </row>
    <row r="18" spans="1:15" ht="21" customHeight="1" x14ac:dyDescent="0.25">
      <c r="A18" s="1"/>
      <c r="B18" s="44" t="s">
        <v>179</v>
      </c>
      <c r="C18" s="2" t="s">
        <v>75</v>
      </c>
      <c r="D18" s="29" t="s">
        <v>187</v>
      </c>
      <c r="E18" s="45" t="s">
        <v>188</v>
      </c>
      <c r="F18" s="46" t="s">
        <v>189</v>
      </c>
      <c r="G18" s="46" t="s">
        <v>181</v>
      </c>
      <c r="H18" s="46" t="s">
        <v>190</v>
      </c>
      <c r="I18" s="46" t="s">
        <v>191</v>
      </c>
      <c r="J18" s="46" t="s">
        <v>192</v>
      </c>
      <c r="K18" s="47" t="s">
        <v>193</v>
      </c>
      <c r="L18" s="68">
        <f>CreditRating!F20</f>
        <v>7.4999999999999997E-2</v>
      </c>
      <c r="M18" s="43"/>
      <c r="N18" s="28"/>
      <c r="O18" s="29"/>
    </row>
    <row r="19" spans="1:15" ht="21" customHeight="1" x14ac:dyDescent="0.25">
      <c r="A19" s="1"/>
      <c r="B19" s="49" t="s">
        <v>194</v>
      </c>
      <c r="C19" s="50" t="s">
        <v>75</v>
      </c>
      <c r="D19" s="51" t="s">
        <v>195</v>
      </c>
      <c r="E19" s="63">
        <v>2</v>
      </c>
      <c r="F19" s="64">
        <v>3</v>
      </c>
      <c r="G19" s="64">
        <v>4</v>
      </c>
      <c r="H19" s="64">
        <v>5</v>
      </c>
      <c r="I19" s="64">
        <v>6</v>
      </c>
      <c r="J19" s="64">
        <v>7</v>
      </c>
      <c r="K19" s="64">
        <v>8</v>
      </c>
      <c r="L19" s="55">
        <f>CreditRating!F21</f>
        <v>0.05</v>
      </c>
      <c r="M19" s="43"/>
      <c r="N19" s="28"/>
      <c r="O19" s="29"/>
    </row>
    <row r="20" spans="1:15" ht="21" customHeight="1" x14ac:dyDescent="0.25">
      <c r="A20" s="1"/>
      <c r="B20" s="2"/>
      <c r="C20" s="2"/>
      <c r="D20" s="29"/>
      <c r="E20" s="56"/>
      <c r="F20" s="56"/>
      <c r="G20" s="56"/>
      <c r="H20" s="56"/>
      <c r="I20" s="56"/>
      <c r="J20" s="56"/>
      <c r="K20" s="56"/>
      <c r="L20" s="43"/>
      <c r="M20" s="43"/>
      <c r="N20" s="58">
        <f>SUM(L17:L19)</f>
        <v>0.2</v>
      </c>
      <c r="O20" s="29"/>
    </row>
    <row r="21" spans="1:15" ht="21" customHeight="1" x14ac:dyDescent="0.25">
      <c r="A21" s="1"/>
      <c r="B21" s="2"/>
      <c r="C21" s="2"/>
      <c r="D21" s="2"/>
      <c r="E21" s="57"/>
      <c r="F21" s="57"/>
      <c r="G21" s="57"/>
      <c r="H21" s="57"/>
      <c r="I21" s="57"/>
      <c r="J21" s="57"/>
      <c r="K21" s="57"/>
      <c r="L21" s="22"/>
      <c r="M21" s="1"/>
      <c r="N21" s="22"/>
      <c r="O21" s="29"/>
    </row>
    <row r="22" spans="1:15" ht="21" customHeight="1" x14ac:dyDescent="0.25">
      <c r="A22" s="1"/>
      <c r="B22" s="36" t="s">
        <v>194</v>
      </c>
      <c r="C22" s="37" t="s">
        <v>84</v>
      </c>
      <c r="D22" s="38" t="s">
        <v>85</v>
      </c>
      <c r="E22" s="65" t="s">
        <v>188</v>
      </c>
      <c r="F22" s="66" t="s">
        <v>189</v>
      </c>
      <c r="G22" s="66" t="s">
        <v>181</v>
      </c>
      <c r="H22" s="66" t="s">
        <v>190</v>
      </c>
      <c r="I22" s="66" t="s">
        <v>191</v>
      </c>
      <c r="J22" s="66" t="s">
        <v>192</v>
      </c>
      <c r="K22" s="67" t="s">
        <v>193</v>
      </c>
      <c r="L22" s="42">
        <f>CreditRating!F24</f>
        <v>0</v>
      </c>
      <c r="M22" s="43"/>
      <c r="N22" s="28"/>
      <c r="O22" s="29"/>
    </row>
    <row r="23" spans="1:15" ht="21" customHeight="1" x14ac:dyDescent="0.25">
      <c r="A23" s="1"/>
      <c r="B23" s="44" t="s">
        <v>194</v>
      </c>
      <c r="C23" s="2" t="s">
        <v>84</v>
      </c>
      <c r="D23" s="29" t="s">
        <v>89</v>
      </c>
      <c r="E23" s="45" t="s">
        <v>196</v>
      </c>
      <c r="F23" s="46" t="s">
        <v>197</v>
      </c>
      <c r="G23" s="46" t="s">
        <v>198</v>
      </c>
      <c r="H23" s="46" t="s">
        <v>199</v>
      </c>
      <c r="I23" s="46" t="s">
        <v>200</v>
      </c>
      <c r="J23" s="46" t="s">
        <v>201</v>
      </c>
      <c r="K23" s="47" t="s">
        <v>202</v>
      </c>
      <c r="L23" s="48">
        <f>CreditRating!F25</f>
        <v>0</v>
      </c>
      <c r="M23" s="43"/>
      <c r="N23" s="28"/>
      <c r="O23" s="29"/>
    </row>
    <row r="24" spans="1:15" ht="21" customHeight="1" x14ac:dyDescent="0.25">
      <c r="A24" s="1"/>
      <c r="B24" s="49" t="s">
        <v>194</v>
      </c>
      <c r="C24" s="50" t="s">
        <v>84</v>
      </c>
      <c r="D24" s="51" t="s">
        <v>96</v>
      </c>
      <c r="E24" s="69">
        <v>6</v>
      </c>
      <c r="F24" s="70">
        <v>5</v>
      </c>
      <c r="G24" s="64">
        <v>4</v>
      </c>
      <c r="H24" s="70">
        <v>3</v>
      </c>
      <c r="I24" s="70">
        <v>2</v>
      </c>
      <c r="J24" s="64">
        <v>1</v>
      </c>
      <c r="K24" s="71">
        <v>0</v>
      </c>
      <c r="L24" s="55">
        <f>CreditRating!F26</f>
        <v>0</v>
      </c>
      <c r="M24" s="43"/>
      <c r="N24" s="28"/>
      <c r="O24" s="29"/>
    </row>
    <row r="25" spans="1:15" ht="21" customHeight="1" x14ac:dyDescent="0.25">
      <c r="A25" s="1"/>
      <c r="B25" s="2"/>
      <c r="C25" s="2"/>
      <c r="D25" s="29"/>
      <c r="E25" s="56"/>
      <c r="F25" s="56"/>
      <c r="G25" s="56"/>
      <c r="H25" s="56"/>
      <c r="I25" s="56"/>
      <c r="J25" s="56"/>
      <c r="K25" s="56"/>
      <c r="L25" s="43"/>
      <c r="M25" s="43"/>
      <c r="N25" s="58">
        <f>SUM(L22:L24)</f>
        <v>0</v>
      </c>
      <c r="O25" s="29"/>
    </row>
    <row r="26" spans="1:15" ht="21" customHeight="1" x14ac:dyDescent="0.25">
      <c r="A26" s="1"/>
      <c r="B26" s="2"/>
      <c r="C26" s="2"/>
      <c r="D26" s="2"/>
      <c r="E26" s="57"/>
      <c r="F26" s="57"/>
      <c r="G26" s="57"/>
      <c r="H26" s="57"/>
      <c r="I26" s="57"/>
      <c r="J26" s="57"/>
      <c r="K26" s="57"/>
      <c r="L26" s="22"/>
      <c r="M26" s="1"/>
      <c r="N26" s="22"/>
      <c r="O26" s="29"/>
    </row>
    <row r="27" spans="1:15" ht="21" customHeight="1" x14ac:dyDescent="0.25">
      <c r="A27" s="1"/>
      <c r="B27" s="36" t="s">
        <v>203</v>
      </c>
      <c r="C27" s="37" t="s">
        <v>104</v>
      </c>
      <c r="D27" s="38" t="s">
        <v>204</v>
      </c>
      <c r="E27" s="39">
        <v>2</v>
      </c>
      <c r="F27" s="59">
        <v>1.75</v>
      </c>
      <c r="G27" s="59">
        <v>1.5</v>
      </c>
      <c r="H27" s="59">
        <v>1.25</v>
      </c>
      <c r="I27" s="40">
        <v>1</v>
      </c>
      <c r="J27" s="59">
        <v>0.75</v>
      </c>
      <c r="K27" s="72">
        <v>0.5</v>
      </c>
      <c r="L27" s="42">
        <f>CreditRating!F29</f>
        <v>0.125</v>
      </c>
      <c r="M27" s="43"/>
      <c r="N27" s="28"/>
      <c r="O27" s="29"/>
    </row>
    <row r="28" spans="1:15" ht="21" customHeight="1" x14ac:dyDescent="0.25">
      <c r="A28" s="1"/>
      <c r="B28" s="44" t="s">
        <v>203</v>
      </c>
      <c r="C28" s="2" t="s">
        <v>104</v>
      </c>
      <c r="D28" s="29" t="s">
        <v>113</v>
      </c>
      <c r="E28" s="73">
        <v>1.5</v>
      </c>
      <c r="F28" s="61">
        <v>1.25</v>
      </c>
      <c r="G28" s="62">
        <v>1</v>
      </c>
      <c r="H28" s="61">
        <v>0.75</v>
      </c>
      <c r="I28" s="61">
        <v>0.5</v>
      </c>
      <c r="J28" s="61">
        <v>0.25</v>
      </c>
      <c r="K28" s="74">
        <v>0.2</v>
      </c>
      <c r="L28" s="48">
        <f>CreditRating!F30</f>
        <v>0.125</v>
      </c>
      <c r="M28" s="43"/>
      <c r="N28" s="28"/>
      <c r="O28" s="29"/>
    </row>
    <row r="29" spans="1:15" ht="21" customHeight="1" x14ac:dyDescent="0.25">
      <c r="A29" s="1"/>
      <c r="B29" s="44" t="s">
        <v>203</v>
      </c>
      <c r="C29" s="2" t="s">
        <v>104</v>
      </c>
      <c r="D29" s="29" t="s">
        <v>121</v>
      </c>
      <c r="E29" s="75">
        <v>1</v>
      </c>
      <c r="F29" s="76">
        <v>0.9</v>
      </c>
      <c r="G29" s="61">
        <v>0.8</v>
      </c>
      <c r="H29" s="76">
        <v>0.7</v>
      </c>
      <c r="I29" s="76">
        <v>0.6</v>
      </c>
      <c r="J29" s="61">
        <v>0.5</v>
      </c>
      <c r="K29" s="77">
        <v>0.4</v>
      </c>
      <c r="L29" s="48">
        <f>CreditRating!F31</f>
        <v>0.125</v>
      </c>
      <c r="M29" s="43"/>
      <c r="N29" s="22"/>
      <c r="O29" s="1"/>
    </row>
    <row r="30" spans="1:15" ht="21" customHeight="1" x14ac:dyDescent="0.25">
      <c r="A30" s="1"/>
      <c r="B30" s="49" t="s">
        <v>203</v>
      </c>
      <c r="C30" s="50" t="s">
        <v>104</v>
      </c>
      <c r="D30" s="51" t="s">
        <v>205</v>
      </c>
      <c r="E30" s="52">
        <v>0.8</v>
      </c>
      <c r="F30" s="53">
        <v>0.7</v>
      </c>
      <c r="G30" s="53">
        <v>0.6</v>
      </c>
      <c r="H30" s="53">
        <v>0.5</v>
      </c>
      <c r="I30" s="53">
        <v>0.4</v>
      </c>
      <c r="J30" s="53">
        <v>0.3</v>
      </c>
      <c r="K30" s="54">
        <v>0.2</v>
      </c>
      <c r="L30" s="48">
        <f>CreditRating!F32</f>
        <v>0.125</v>
      </c>
      <c r="M30" s="43"/>
      <c r="N30" s="22"/>
      <c r="O30" s="1"/>
    </row>
    <row r="31" spans="1:15" ht="18.75" customHeight="1" x14ac:dyDescent="0.25">
      <c r="A31" s="1"/>
      <c r="B31" s="2"/>
      <c r="C31" s="2"/>
      <c r="D31" s="2"/>
      <c r="E31" s="21"/>
      <c r="F31" s="21"/>
      <c r="G31" s="21"/>
      <c r="H31" s="21"/>
      <c r="I31" s="21"/>
      <c r="J31" s="21"/>
      <c r="K31" s="21"/>
      <c r="L31" s="22"/>
      <c r="M31" s="1"/>
      <c r="N31" s="58">
        <f>SUM(L27:L29)</f>
        <v>0.375</v>
      </c>
      <c r="O31" s="1"/>
    </row>
    <row r="32" spans="1:15" ht="18.75" customHeight="1" x14ac:dyDescent="0.25">
      <c r="A32" s="1"/>
      <c r="B32" s="2"/>
      <c r="C32" s="2"/>
      <c r="D32" s="2"/>
      <c r="E32" s="21"/>
      <c r="F32" s="21"/>
      <c r="G32" s="21"/>
      <c r="H32" s="21"/>
      <c r="I32" s="21"/>
      <c r="J32" s="21"/>
      <c r="K32" s="21"/>
      <c r="L32" s="22"/>
      <c r="M32" s="1"/>
      <c r="N32" s="28"/>
      <c r="O32" s="1"/>
    </row>
    <row r="33" spans="1:15" ht="18.75" customHeight="1" x14ac:dyDescent="0.25">
      <c r="A33" s="1"/>
      <c r="B33" s="78" t="s">
        <v>146</v>
      </c>
      <c r="C33" s="79" t="s">
        <v>137</v>
      </c>
      <c r="D33" s="80" t="s">
        <v>206</v>
      </c>
      <c r="E33" s="21"/>
      <c r="F33" s="21"/>
      <c r="G33" s="21"/>
      <c r="H33" s="21"/>
      <c r="I33" s="21"/>
      <c r="J33" s="21"/>
      <c r="K33" s="21"/>
      <c r="L33" s="22"/>
      <c r="M33" s="1"/>
      <c r="N33" s="58">
        <f>SUM(L6:L29)</f>
        <v>0.87500000000000011</v>
      </c>
      <c r="O33" s="1"/>
    </row>
  </sheetData>
  <mergeCells count="1"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K22"/>
  <sheetViews>
    <sheetView topLeftCell="B1" zoomScale="55" zoomScaleNormal="55" workbookViewId="0">
      <pane ySplit="3" topLeftCell="A4" activePane="bottomLeft" state="frozen"/>
      <selection pane="bottomLeft" activeCell="F11" sqref="F11"/>
    </sheetView>
  </sheetViews>
  <sheetFormatPr defaultRowHeight="15" x14ac:dyDescent="0.25"/>
  <cols>
    <col min="1" max="1" width="1.85546875" style="7" bestFit="1" customWidth="1"/>
    <col min="2" max="2" width="15" style="20" bestFit="1" customWidth="1"/>
    <col min="3" max="3" width="39.140625" style="8" bestFit="1" customWidth="1"/>
    <col min="4" max="4" width="73.140625" style="8" bestFit="1" customWidth="1"/>
    <col min="5" max="5" width="30.5703125" style="20" bestFit="1" customWidth="1"/>
    <col min="6" max="6" width="26.85546875" style="20" bestFit="1" customWidth="1"/>
    <col min="7" max="8" width="27.7109375" style="20" bestFit="1" customWidth="1"/>
    <col min="9" max="9" width="27.140625" style="20" bestFit="1" customWidth="1"/>
    <col min="10" max="10" width="27.7109375" style="20" bestFit="1" customWidth="1"/>
    <col min="11" max="11" width="27.42578125" style="20" bestFit="1" customWidth="1"/>
  </cols>
  <sheetData>
    <row r="1" spans="1:11" x14ac:dyDescent="0.25">
      <c r="A1" s="1"/>
      <c r="B1" s="9"/>
      <c r="C1" s="2"/>
      <c r="D1" s="2"/>
      <c r="E1" s="9"/>
      <c r="F1" s="9"/>
      <c r="G1" s="9"/>
      <c r="H1" s="9"/>
      <c r="I1" s="9"/>
      <c r="J1" s="9"/>
      <c r="K1" s="9"/>
    </row>
    <row r="2" spans="1:11" x14ac:dyDescent="0.25">
      <c r="A2" s="1"/>
      <c r="B2" s="9"/>
      <c r="C2" s="2"/>
      <c r="D2" s="2"/>
      <c r="E2" s="10">
        <v>4.6500000000000004</v>
      </c>
      <c r="F2" s="10">
        <v>3.8</v>
      </c>
      <c r="G2" s="10">
        <v>3.15</v>
      </c>
      <c r="H2" s="10">
        <v>2.6</v>
      </c>
      <c r="I2" s="10">
        <v>2.15</v>
      </c>
      <c r="J2" s="10">
        <v>1.75</v>
      </c>
      <c r="K2" s="10">
        <v>1.3</v>
      </c>
    </row>
    <row r="3" spans="1:11" x14ac:dyDescent="0.25">
      <c r="A3" s="1"/>
      <c r="B3" s="11" t="s">
        <v>10</v>
      </c>
      <c r="C3" s="12" t="s">
        <v>11</v>
      </c>
      <c r="D3" s="12" t="s">
        <v>12</v>
      </c>
      <c r="E3" s="13" t="s">
        <v>13</v>
      </c>
      <c r="F3" s="13" t="s">
        <v>14</v>
      </c>
      <c r="G3" s="13" t="s">
        <v>15</v>
      </c>
      <c r="H3" s="13" t="s">
        <v>16</v>
      </c>
      <c r="I3" s="13" t="s">
        <v>17</v>
      </c>
      <c r="J3" s="13" t="s">
        <v>18</v>
      </c>
      <c r="K3" s="13" t="s">
        <v>19</v>
      </c>
    </row>
    <row r="4" spans="1:11" ht="45" x14ac:dyDescent="0.25">
      <c r="A4" s="1"/>
      <c r="B4" s="14">
        <v>1</v>
      </c>
      <c r="C4" s="15" t="s">
        <v>20</v>
      </c>
      <c r="D4" s="15" t="s">
        <v>21</v>
      </c>
      <c r="E4" s="16" t="s">
        <v>22</v>
      </c>
      <c r="F4" s="16" t="s">
        <v>23</v>
      </c>
      <c r="G4" s="16" t="s">
        <v>24</v>
      </c>
      <c r="H4" s="16" t="s">
        <v>25</v>
      </c>
      <c r="I4" s="16" t="s">
        <v>26</v>
      </c>
      <c r="J4" s="16" t="s">
        <v>27</v>
      </c>
      <c r="K4" s="16" t="s">
        <v>28</v>
      </c>
    </row>
    <row r="5" spans="1:11" ht="45" x14ac:dyDescent="0.25">
      <c r="A5" s="1"/>
      <c r="B5" s="14">
        <v>1</v>
      </c>
      <c r="C5" s="15" t="s">
        <v>20</v>
      </c>
      <c r="D5" s="15" t="s">
        <v>29</v>
      </c>
      <c r="E5" s="16" t="s">
        <v>30</v>
      </c>
      <c r="F5" s="16" t="s">
        <v>31</v>
      </c>
      <c r="G5" s="16" t="s">
        <v>32</v>
      </c>
      <c r="H5" s="16" t="s">
        <v>33</v>
      </c>
      <c r="I5" s="16" t="s">
        <v>34</v>
      </c>
      <c r="J5" s="16" t="s">
        <v>35</v>
      </c>
      <c r="K5" s="16" t="s">
        <v>36</v>
      </c>
    </row>
    <row r="6" spans="1:11" ht="75" x14ac:dyDescent="0.25">
      <c r="A6" s="1"/>
      <c r="B6" s="14">
        <v>1</v>
      </c>
      <c r="C6" s="15" t="s">
        <v>20</v>
      </c>
      <c r="D6" s="15" t="s">
        <v>37</v>
      </c>
      <c r="E6" s="16" t="s">
        <v>38</v>
      </c>
      <c r="F6" s="16"/>
      <c r="G6" s="16" t="s">
        <v>39</v>
      </c>
      <c r="H6" s="16"/>
      <c r="I6" s="16" t="s">
        <v>40</v>
      </c>
      <c r="J6" s="16"/>
      <c r="K6" s="16" t="s">
        <v>41</v>
      </c>
    </row>
    <row r="7" spans="1:11" ht="60" x14ac:dyDescent="0.25">
      <c r="A7" s="1"/>
      <c r="B7" s="14">
        <v>2</v>
      </c>
      <c r="C7" s="15" t="s">
        <v>42</v>
      </c>
      <c r="D7" s="15" t="s">
        <v>43</v>
      </c>
      <c r="E7" s="16" t="s">
        <v>44</v>
      </c>
      <c r="F7" s="16" t="s">
        <v>45</v>
      </c>
      <c r="G7" s="16" t="s">
        <v>46</v>
      </c>
      <c r="H7" s="16" t="s">
        <v>47</v>
      </c>
      <c r="I7" s="16" t="s">
        <v>48</v>
      </c>
      <c r="J7" s="16" t="s">
        <v>49</v>
      </c>
      <c r="K7" s="16" t="s">
        <v>50</v>
      </c>
    </row>
    <row r="8" spans="1:11" ht="45" x14ac:dyDescent="0.25">
      <c r="A8" s="1"/>
      <c r="B8" s="14">
        <v>2</v>
      </c>
      <c r="C8" s="15" t="s">
        <v>42</v>
      </c>
      <c r="D8" s="15" t="s">
        <v>51</v>
      </c>
      <c r="E8" s="16" t="s">
        <v>52</v>
      </c>
      <c r="F8" s="16" t="s">
        <v>53</v>
      </c>
      <c r="G8" s="16" t="s">
        <v>54</v>
      </c>
      <c r="H8" s="16" t="s">
        <v>55</v>
      </c>
      <c r="I8" s="16" t="s">
        <v>56</v>
      </c>
      <c r="J8" s="16" t="s">
        <v>57</v>
      </c>
      <c r="K8" s="16" t="s">
        <v>58</v>
      </c>
    </row>
    <row r="9" spans="1:11" ht="45" x14ac:dyDescent="0.25">
      <c r="A9" s="1"/>
      <c r="B9" s="14">
        <v>2</v>
      </c>
      <c r="C9" s="15" t="s">
        <v>42</v>
      </c>
      <c r="D9" s="15" t="s">
        <v>59</v>
      </c>
      <c r="E9" s="16" t="s">
        <v>60</v>
      </c>
      <c r="F9" s="16" t="s">
        <v>61</v>
      </c>
      <c r="G9" s="16" t="s">
        <v>62</v>
      </c>
      <c r="H9" s="16" t="s">
        <v>63</v>
      </c>
      <c r="I9" s="16" t="s">
        <v>64</v>
      </c>
      <c r="J9" s="16" t="s">
        <v>65</v>
      </c>
      <c r="K9" s="16" t="s">
        <v>66</v>
      </c>
    </row>
    <row r="10" spans="1:11" ht="45" x14ac:dyDescent="0.25">
      <c r="A10" s="1"/>
      <c r="B10" s="14">
        <v>2</v>
      </c>
      <c r="C10" s="15" t="s">
        <v>42</v>
      </c>
      <c r="D10" s="15" t="s">
        <v>67</v>
      </c>
      <c r="E10" s="16" t="s">
        <v>68</v>
      </c>
      <c r="F10" s="16" t="s">
        <v>69</v>
      </c>
      <c r="G10" s="16" t="s">
        <v>70</v>
      </c>
      <c r="H10" s="16" t="s">
        <v>71</v>
      </c>
      <c r="I10" s="16" t="s">
        <v>72</v>
      </c>
      <c r="J10" s="16" t="s">
        <v>73</v>
      </c>
      <c r="K10" s="16" t="s">
        <v>74</v>
      </c>
    </row>
    <row r="11" spans="1:11" ht="75" x14ac:dyDescent="0.25">
      <c r="A11" s="1"/>
      <c r="B11" s="14">
        <v>3</v>
      </c>
      <c r="C11" s="15" t="s">
        <v>75</v>
      </c>
      <c r="D11" s="15" t="s">
        <v>76</v>
      </c>
      <c r="E11" s="16" t="s">
        <v>77</v>
      </c>
      <c r="F11" s="16"/>
      <c r="G11" s="16" t="s">
        <v>78</v>
      </c>
      <c r="H11" s="17"/>
      <c r="I11" s="16"/>
      <c r="J11" s="16"/>
      <c r="K11" s="16" t="s">
        <v>79</v>
      </c>
    </row>
    <row r="12" spans="1:11" ht="60" x14ac:dyDescent="0.25">
      <c r="A12" s="1"/>
      <c r="B12" s="14">
        <v>3</v>
      </c>
      <c r="C12" s="15" t="s">
        <v>75</v>
      </c>
      <c r="D12" s="15" t="s">
        <v>80</v>
      </c>
      <c r="E12" s="16" t="s">
        <v>81</v>
      </c>
      <c r="F12" s="16"/>
      <c r="G12" s="16"/>
      <c r="H12" s="16"/>
      <c r="I12" s="16"/>
      <c r="J12" s="16" t="s">
        <v>82</v>
      </c>
      <c r="K12" s="16" t="s">
        <v>83</v>
      </c>
    </row>
    <row r="13" spans="1:11" ht="60" x14ac:dyDescent="0.25">
      <c r="A13" s="1"/>
      <c r="B13" s="14">
        <v>4</v>
      </c>
      <c r="C13" s="15" t="s">
        <v>84</v>
      </c>
      <c r="D13" s="15" t="s">
        <v>85</v>
      </c>
      <c r="E13" s="16" t="s">
        <v>86</v>
      </c>
      <c r="F13" s="16"/>
      <c r="G13" s="16"/>
      <c r="H13" s="16"/>
      <c r="I13" s="16"/>
      <c r="J13" s="16" t="s">
        <v>87</v>
      </c>
      <c r="K13" s="16" t="s">
        <v>88</v>
      </c>
    </row>
    <row r="14" spans="1:11" ht="60" x14ac:dyDescent="0.25">
      <c r="A14" s="1"/>
      <c r="B14" s="14">
        <v>4</v>
      </c>
      <c r="C14" s="15" t="s">
        <v>84</v>
      </c>
      <c r="D14" s="15" t="s">
        <v>89</v>
      </c>
      <c r="E14" s="16" t="s">
        <v>90</v>
      </c>
      <c r="F14" s="16" t="s">
        <v>91</v>
      </c>
      <c r="G14" s="16" t="s">
        <v>92</v>
      </c>
      <c r="H14" s="16" t="s">
        <v>92</v>
      </c>
      <c r="I14" s="16" t="s">
        <v>93</v>
      </c>
      <c r="J14" s="16" t="s">
        <v>94</v>
      </c>
      <c r="K14" s="16" t="s">
        <v>95</v>
      </c>
    </row>
    <row r="15" spans="1:11" ht="60" x14ac:dyDescent="0.25">
      <c r="A15" s="1"/>
      <c r="B15" s="14">
        <v>4</v>
      </c>
      <c r="C15" s="15" t="s">
        <v>84</v>
      </c>
      <c r="D15" s="15" t="s">
        <v>96</v>
      </c>
      <c r="E15" s="16" t="s">
        <v>97</v>
      </c>
      <c r="F15" s="16" t="s">
        <v>98</v>
      </c>
      <c r="G15" s="16" t="s">
        <v>99</v>
      </c>
      <c r="H15" s="16" t="s">
        <v>100</v>
      </c>
      <c r="I15" s="16" t="s">
        <v>101</v>
      </c>
      <c r="J15" s="16" t="s">
        <v>102</v>
      </c>
      <c r="K15" s="16" t="s">
        <v>103</v>
      </c>
    </row>
    <row r="16" spans="1:11" ht="60" x14ac:dyDescent="0.25">
      <c r="A16" s="1"/>
      <c r="B16" s="14">
        <v>5</v>
      </c>
      <c r="C16" s="15" t="s">
        <v>104</v>
      </c>
      <c r="D16" s="15" t="s">
        <v>105</v>
      </c>
      <c r="E16" s="16" t="s">
        <v>106</v>
      </c>
      <c r="F16" s="16" t="s">
        <v>107</v>
      </c>
      <c r="G16" s="16" t="s">
        <v>108</v>
      </c>
      <c r="H16" s="16" t="s">
        <v>109</v>
      </c>
      <c r="I16" s="16" t="s">
        <v>110</v>
      </c>
      <c r="J16" s="16" t="s">
        <v>111</v>
      </c>
      <c r="K16" s="16" t="s">
        <v>112</v>
      </c>
    </row>
    <row r="17" spans="1:11" ht="60" x14ac:dyDescent="0.25">
      <c r="A17" s="1"/>
      <c r="B17" s="14">
        <v>5</v>
      </c>
      <c r="C17" s="15" t="s">
        <v>104</v>
      </c>
      <c r="D17" s="15" t="s">
        <v>113</v>
      </c>
      <c r="E17" s="16" t="s">
        <v>114</v>
      </c>
      <c r="F17" s="16" t="s">
        <v>115</v>
      </c>
      <c r="G17" s="16" t="s">
        <v>116</v>
      </c>
      <c r="H17" s="16" t="s">
        <v>117</v>
      </c>
      <c r="I17" s="16" t="s">
        <v>118</v>
      </c>
      <c r="J17" s="16" t="s">
        <v>119</v>
      </c>
      <c r="K17" s="16" t="s">
        <v>120</v>
      </c>
    </row>
    <row r="18" spans="1:11" ht="60" x14ac:dyDescent="0.25">
      <c r="A18" s="1"/>
      <c r="B18" s="14">
        <v>5</v>
      </c>
      <c r="C18" s="15" t="s">
        <v>104</v>
      </c>
      <c r="D18" s="15" t="s">
        <v>121</v>
      </c>
      <c r="E18" s="16" t="s">
        <v>122</v>
      </c>
      <c r="F18" s="16" t="s">
        <v>123</v>
      </c>
      <c r="G18" s="16" t="s">
        <v>124</v>
      </c>
      <c r="H18" s="16" t="s">
        <v>125</v>
      </c>
      <c r="I18" s="16" t="s">
        <v>126</v>
      </c>
      <c r="J18" s="16" t="s">
        <v>127</v>
      </c>
      <c r="K18" s="16" t="s">
        <v>128</v>
      </c>
    </row>
    <row r="19" spans="1:11" ht="60" x14ac:dyDescent="0.25">
      <c r="A19" s="1"/>
      <c r="B19" s="14">
        <v>5</v>
      </c>
      <c r="C19" s="15" t="s">
        <v>104</v>
      </c>
      <c r="D19" s="15" t="s">
        <v>129</v>
      </c>
      <c r="E19" s="16" t="s">
        <v>130</v>
      </c>
      <c r="F19" s="16" t="s">
        <v>131</v>
      </c>
      <c r="G19" s="16" t="s">
        <v>132</v>
      </c>
      <c r="H19" s="16" t="s">
        <v>133</v>
      </c>
      <c r="I19" s="16" t="s">
        <v>134</v>
      </c>
      <c r="J19" s="16" t="s">
        <v>135</v>
      </c>
      <c r="K19" s="16" t="s">
        <v>136</v>
      </c>
    </row>
    <row r="20" spans="1:11" ht="75" x14ac:dyDescent="0.25">
      <c r="A20" s="1"/>
      <c r="B20" s="14">
        <v>6</v>
      </c>
      <c r="C20" s="15" t="s">
        <v>137</v>
      </c>
      <c r="D20" s="15" t="s">
        <v>138</v>
      </c>
      <c r="E20" s="16" t="s">
        <v>139</v>
      </c>
      <c r="F20" s="16" t="s">
        <v>140</v>
      </c>
      <c r="G20" s="16" t="s">
        <v>141</v>
      </c>
      <c r="H20" s="16" t="s">
        <v>142</v>
      </c>
      <c r="I20" s="16" t="s">
        <v>143</v>
      </c>
      <c r="J20" s="16" t="s">
        <v>144</v>
      </c>
      <c r="K20" s="16" t="s">
        <v>145</v>
      </c>
    </row>
    <row r="21" spans="1:11" x14ac:dyDescent="0.25">
      <c r="A21" s="1"/>
      <c r="B21" s="18" t="s">
        <v>146</v>
      </c>
      <c r="C21" s="15" t="s">
        <v>147</v>
      </c>
      <c r="D21" s="15" t="s">
        <v>148</v>
      </c>
      <c r="E21" s="19">
        <v>1</v>
      </c>
      <c r="F21" s="19">
        <v>2</v>
      </c>
      <c r="G21" s="19">
        <v>3</v>
      </c>
      <c r="H21" s="19">
        <v>4</v>
      </c>
      <c r="I21" s="19">
        <v>5</v>
      </c>
      <c r="J21" s="19">
        <v>6</v>
      </c>
      <c r="K21" s="19">
        <v>6</v>
      </c>
    </row>
    <row r="22" spans="1:11" x14ac:dyDescent="0.25">
      <c r="A22" s="1"/>
      <c r="B22" s="18" t="s">
        <v>146</v>
      </c>
      <c r="C22" s="15" t="s">
        <v>147</v>
      </c>
      <c r="D22" s="15" t="s">
        <v>149</v>
      </c>
      <c r="E22" s="16" t="s">
        <v>150</v>
      </c>
      <c r="F22" s="16" t="s">
        <v>150</v>
      </c>
      <c r="G22" s="16" t="s">
        <v>150</v>
      </c>
      <c r="H22" s="16" t="s">
        <v>150</v>
      </c>
      <c r="I22" s="16" t="s">
        <v>150</v>
      </c>
      <c r="J22" s="16" t="s">
        <v>150</v>
      </c>
      <c r="K22" s="16" t="s"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12"/>
  <sheetViews>
    <sheetView workbookViewId="0"/>
  </sheetViews>
  <sheetFormatPr defaultRowHeight="15" x14ac:dyDescent="0.25"/>
  <cols>
    <col min="1" max="1" width="13.5703125" style="7" bestFit="1" customWidth="1"/>
    <col min="2" max="2" width="24.140625" style="8" bestFit="1" customWidth="1"/>
    <col min="3" max="3" width="96.7109375" style="8" bestFit="1" customWidth="1"/>
  </cols>
  <sheetData>
    <row r="1" spans="1:3" ht="18.75" customHeight="1" x14ac:dyDescent="0.25">
      <c r="A1" s="1"/>
      <c r="B1" s="2"/>
      <c r="C1" s="2"/>
    </row>
    <row r="2" spans="1:3" ht="18.75" customHeight="1" x14ac:dyDescent="0.25">
      <c r="A2" s="1"/>
      <c r="B2" s="2"/>
      <c r="C2" s="2"/>
    </row>
    <row r="3" spans="1:3" ht="18.75" customHeight="1" x14ac:dyDescent="0.25">
      <c r="A3" s="1"/>
      <c r="B3" s="3" t="s">
        <v>0</v>
      </c>
      <c r="C3" s="4" t="str">
        <f>InputData!C2</f>
        <v>Mizz Inc (Pty) Ltd</v>
      </c>
    </row>
    <row r="4" spans="1:3" ht="18.75" customHeight="1" x14ac:dyDescent="0.25">
      <c r="A4" s="1"/>
      <c r="B4" s="3" t="s">
        <v>1</v>
      </c>
      <c r="C4" s="5"/>
    </row>
    <row r="5" spans="1:3" ht="18.75" customHeight="1" x14ac:dyDescent="0.25">
      <c r="A5" s="1"/>
      <c r="B5" s="3" t="s">
        <v>2</v>
      </c>
      <c r="C5" s="5"/>
    </row>
    <row r="6" spans="1:3" ht="18.75" customHeight="1" x14ac:dyDescent="0.25">
      <c r="A6" s="1"/>
      <c r="B6" s="3" t="s">
        <v>3</v>
      </c>
      <c r="C6" s="5"/>
    </row>
    <row r="7" spans="1:3" ht="18.75" customHeight="1" x14ac:dyDescent="0.25">
      <c r="A7" s="1"/>
      <c r="B7" s="3" t="s">
        <v>4</v>
      </c>
      <c r="C7" s="5"/>
    </row>
    <row r="8" spans="1:3" ht="18.75" customHeight="1" x14ac:dyDescent="0.25">
      <c r="A8" s="1"/>
      <c r="B8" s="3" t="s">
        <v>5</v>
      </c>
      <c r="C8" s="5"/>
    </row>
    <row r="9" spans="1:3" ht="18.75" customHeight="1" x14ac:dyDescent="0.25">
      <c r="A9" s="1"/>
      <c r="B9" s="3" t="s">
        <v>6</v>
      </c>
      <c r="C9" s="5"/>
    </row>
    <row r="10" spans="1:3" ht="18.75" customHeight="1" x14ac:dyDescent="0.25">
      <c r="A10" s="1"/>
      <c r="B10" s="3" t="s">
        <v>7</v>
      </c>
      <c r="C10" s="5"/>
    </row>
    <row r="11" spans="1:3" ht="18.75" customHeight="1" x14ac:dyDescent="0.25">
      <c r="A11" s="1"/>
      <c r="B11" s="3" t="s">
        <v>8</v>
      </c>
      <c r="C11" s="5"/>
    </row>
    <row r="12" spans="1:3" ht="18.75" customHeight="1" x14ac:dyDescent="0.25">
      <c r="A12" s="1"/>
      <c r="B12" s="3" t="s">
        <v>9</v>
      </c>
      <c r="C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CreditRating</vt:lpstr>
      <vt:lpstr>RiskPricing</vt:lpstr>
      <vt:lpstr>Weighting</vt:lpstr>
      <vt:lpstr>InputData</vt:lpstr>
      <vt:lpstr>Variables</vt:lpstr>
      <vt:lpstr>ModelTemplate</vt:lpstr>
      <vt:lpstr>Library</vt:lpstr>
      <vt:lpstr>Credit_Report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Ziphozinhle Luvuno</cp:lastModifiedBy>
  <dcterms:created xsi:type="dcterms:W3CDTF">2022-04-11T17:26:41Z</dcterms:created>
  <dcterms:modified xsi:type="dcterms:W3CDTF">2022-05-26T11:52:02Z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3f6681-6027-45ac-a9c2-14713e76fe9d_Enabled">
    <vt:lpwstr>true</vt:lpwstr>
  </property>
  <property fmtid="{D5CDD505-2E9C-101B-9397-08002B2CF9AE}" pid="3" name="MSIP_Label_b63f6681-6027-45ac-a9c2-14713e76fe9d_SetDate">
    <vt:lpwstr>2022-05-23T17:04:30Z</vt:lpwstr>
  </property>
  <property fmtid="{D5CDD505-2E9C-101B-9397-08002B2CF9AE}" pid="4" name="MSIP_Label_b63f6681-6027-45ac-a9c2-14713e76fe9d_Method">
    <vt:lpwstr>Privileged</vt:lpwstr>
  </property>
  <property fmtid="{D5CDD505-2E9C-101B-9397-08002B2CF9AE}" pid="5" name="MSIP_Label_b63f6681-6027-45ac-a9c2-14713e76fe9d_Name">
    <vt:lpwstr>Confidential</vt:lpwstr>
  </property>
  <property fmtid="{D5CDD505-2E9C-101B-9397-08002B2CF9AE}" pid="6" name="MSIP_Label_b63f6681-6027-45ac-a9c2-14713e76fe9d_SiteId">
    <vt:lpwstr>f28e5d44-45ee-477d-953a-728a7c537813</vt:lpwstr>
  </property>
  <property fmtid="{D5CDD505-2E9C-101B-9397-08002B2CF9AE}" pid="7" name="MSIP_Label_b63f6681-6027-45ac-a9c2-14713e76fe9d_ActionId">
    <vt:lpwstr>3c1abb3b-98af-4f92-8755-adc175d4bd9e</vt:lpwstr>
  </property>
  <property fmtid="{D5CDD505-2E9C-101B-9397-08002B2CF9AE}" pid="8" name="MSIP_Label_b63f6681-6027-45ac-a9c2-14713e76fe9d_ContentBits">
    <vt:lpwstr>0</vt:lpwstr>
  </property>
</Properties>
</file>