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lucas\Desktop\MLfall\ufc\"/>
    </mc:Choice>
  </mc:AlternateContent>
  <xr:revisionPtr revIDLastSave="307" documentId="13_ncr:1_{9B1146B6-CAFC-48C8-9B82-21248758BAE8}" xr6:coauthVersionLast="47" xr6:coauthVersionMax="47" xr10:uidLastSave="{31F7DA16-153B-4319-B733-AE740F66EABC}"/>
  <bookViews>
    <workbookView xWindow="-108" yWindow="-108" windowWidth="23256" windowHeight="12456" xr2:uid="{00000000-000D-0000-FFFF-FFFF00000000}"/>
  </bookViews>
  <sheets>
    <sheet name="upcoming" sheetId="2" r:id="rId1"/>
    <sheet name="ol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H3" i="2"/>
  <c r="AI3" i="2"/>
  <c r="AL3" i="2"/>
  <c r="AM3" i="2"/>
  <c r="AR3" i="2"/>
  <c r="AS3" i="2"/>
  <c r="AH4" i="2"/>
  <c r="AI4" i="2"/>
  <c r="AL4" i="2"/>
  <c r="AM4" i="2"/>
  <c r="AQ4" i="2" s="1"/>
  <c r="AR4" i="2"/>
  <c r="AS4" i="2"/>
  <c r="V3" i="2"/>
  <c r="W3" i="2"/>
  <c r="AG3" i="2" s="1"/>
  <c r="X3" i="2"/>
  <c r="Y3" i="2"/>
  <c r="Z3" i="2"/>
  <c r="AA3" i="2"/>
  <c r="AE3" i="2" s="1"/>
  <c r="AB3" i="2"/>
  <c r="AC3" i="2"/>
  <c r="V4" i="2"/>
  <c r="W4" i="2"/>
  <c r="X4" i="2"/>
  <c r="Y4" i="2"/>
  <c r="Z4" i="2"/>
  <c r="AA4" i="2"/>
  <c r="AB4" i="2"/>
  <c r="AC4" i="2"/>
  <c r="AS2" i="2"/>
  <c r="AR2" i="2"/>
  <c r="AM2" i="2"/>
  <c r="AL2" i="2"/>
  <c r="AP2" i="2" s="1"/>
  <c r="AC2" i="2"/>
  <c r="AB2" i="2"/>
  <c r="AN2" i="2" s="1"/>
  <c r="AI2" i="2"/>
  <c r="AH2" i="2"/>
  <c r="AA2" i="2"/>
  <c r="Y2" i="2"/>
  <c r="W2" i="2"/>
  <c r="Z2" i="2"/>
  <c r="AD2" i="2" s="1"/>
  <c r="I2" i="1"/>
  <c r="X2" i="2"/>
  <c r="V2" i="2"/>
  <c r="AF2" i="2" s="1"/>
  <c r="J51" i="1"/>
  <c r="I51" i="1"/>
  <c r="J50" i="1"/>
  <c r="R50" i="1" s="1"/>
  <c r="I50" i="1"/>
  <c r="J49" i="1"/>
  <c r="Q49" i="1"/>
  <c r="I49" i="1"/>
  <c r="J48" i="1"/>
  <c r="I48" i="1"/>
  <c r="R48" i="1" s="1"/>
  <c r="J47" i="1"/>
  <c r="I47" i="1"/>
  <c r="Q47" i="1" s="1"/>
  <c r="J46" i="1"/>
  <c r="Q46" i="1" s="1"/>
  <c r="I46" i="1"/>
  <c r="J45" i="1"/>
  <c r="R45" i="1" s="1"/>
  <c r="I45" i="1"/>
  <c r="J44" i="1"/>
  <c r="I44" i="1"/>
  <c r="J43" i="1"/>
  <c r="I43" i="1"/>
  <c r="Q43" i="1" s="1"/>
  <c r="J42" i="1"/>
  <c r="I42" i="1"/>
  <c r="J41" i="1"/>
  <c r="Q41" i="1"/>
  <c r="R41" i="1"/>
  <c r="S41" i="1"/>
  <c r="T41" i="1"/>
  <c r="U41" i="1"/>
  <c r="V41" i="1"/>
  <c r="W41" i="1"/>
  <c r="X41" i="1"/>
  <c r="Y41" i="1"/>
  <c r="Z41" i="1"/>
  <c r="AA41" i="1"/>
  <c r="AB41" i="1"/>
  <c r="AE41" i="1" s="1"/>
  <c r="AC41" i="1"/>
  <c r="AD41" i="1"/>
  <c r="AF41" i="1"/>
  <c r="AG41" i="1"/>
  <c r="AH41" i="1"/>
  <c r="Q42" i="1"/>
  <c r="R42" i="1"/>
  <c r="S42" i="1"/>
  <c r="T42" i="1"/>
  <c r="U42" i="1"/>
  <c r="V42" i="1"/>
  <c r="W42" i="1"/>
  <c r="X42" i="1"/>
  <c r="Y42" i="1"/>
  <c r="Z42" i="1"/>
  <c r="AA42" i="1"/>
  <c r="AB42" i="1"/>
  <c r="AE42" i="1" s="1"/>
  <c r="AC42" i="1"/>
  <c r="AD42" i="1"/>
  <c r="AG42" i="1"/>
  <c r="AH42" i="1"/>
  <c r="S43" i="1"/>
  <c r="T43" i="1"/>
  <c r="U43" i="1"/>
  <c r="V43" i="1"/>
  <c r="W43" i="1"/>
  <c r="X43" i="1"/>
  <c r="Y43" i="1"/>
  <c r="Z43" i="1"/>
  <c r="AA43" i="1"/>
  <c r="AB43" i="1"/>
  <c r="AF43" i="1" s="1"/>
  <c r="AC43" i="1"/>
  <c r="AD43" i="1"/>
  <c r="AG43" i="1"/>
  <c r="AH43" i="1"/>
  <c r="S44" i="1"/>
  <c r="T44" i="1"/>
  <c r="U44" i="1"/>
  <c r="V44" i="1"/>
  <c r="W44" i="1"/>
  <c r="X44" i="1"/>
  <c r="Y44" i="1"/>
  <c r="Z44" i="1"/>
  <c r="AA44" i="1"/>
  <c r="AB44" i="1"/>
  <c r="AE44" i="1" s="1"/>
  <c r="AC44" i="1"/>
  <c r="AD44" i="1"/>
  <c r="AG44" i="1"/>
  <c r="AH44" i="1"/>
  <c r="S45" i="1"/>
  <c r="T45" i="1"/>
  <c r="U45" i="1"/>
  <c r="V45" i="1"/>
  <c r="W45" i="1"/>
  <c r="X45" i="1"/>
  <c r="Y45" i="1"/>
  <c r="Z45" i="1"/>
  <c r="AA45" i="1"/>
  <c r="AB45" i="1"/>
  <c r="AC45" i="1"/>
  <c r="AD45" i="1"/>
  <c r="AF45" i="1"/>
  <c r="AG45" i="1"/>
  <c r="AH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S47" i="1"/>
  <c r="T47" i="1"/>
  <c r="U47" i="1"/>
  <c r="V47" i="1"/>
  <c r="W47" i="1"/>
  <c r="X47" i="1"/>
  <c r="Y47" i="1"/>
  <c r="Z47" i="1"/>
  <c r="AA47" i="1"/>
  <c r="AB47" i="1"/>
  <c r="AE47" i="1" s="1"/>
  <c r="AC47" i="1"/>
  <c r="AD47" i="1"/>
  <c r="AG47" i="1"/>
  <c r="AH47" i="1"/>
  <c r="S48" i="1"/>
  <c r="T48" i="1"/>
  <c r="U48" i="1"/>
  <c r="V48" i="1"/>
  <c r="W48" i="1"/>
  <c r="X48" i="1"/>
  <c r="Y48" i="1"/>
  <c r="Z48" i="1"/>
  <c r="AA48" i="1"/>
  <c r="AB48" i="1"/>
  <c r="AC48" i="1"/>
  <c r="AD48" i="1"/>
  <c r="AG48" i="1"/>
  <c r="AH48" i="1"/>
  <c r="S49" i="1"/>
  <c r="T49" i="1"/>
  <c r="U49" i="1"/>
  <c r="V49" i="1"/>
  <c r="W49" i="1"/>
  <c r="X49" i="1"/>
  <c r="Y49" i="1"/>
  <c r="Z49" i="1"/>
  <c r="AA49" i="1"/>
  <c r="AB49" i="1"/>
  <c r="AF49" i="1" s="1"/>
  <c r="AC49" i="1"/>
  <c r="AD49" i="1"/>
  <c r="AE49" i="1"/>
  <c r="AG49" i="1"/>
  <c r="AH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G51" i="1"/>
  <c r="AH51" i="1"/>
  <c r="I41" i="1"/>
  <c r="I6" i="1"/>
  <c r="AH40" i="1"/>
  <c r="AG40" i="1"/>
  <c r="Z40" i="1"/>
  <c r="Y40" i="1"/>
  <c r="AB40" i="1"/>
  <c r="AA40" i="1"/>
  <c r="AE40" i="1" s="1"/>
  <c r="AD40" i="1"/>
  <c r="AC40" i="1"/>
  <c r="X40" i="1"/>
  <c r="W40" i="1"/>
  <c r="V40" i="1"/>
  <c r="U40" i="1"/>
  <c r="T40" i="1"/>
  <c r="S40" i="1"/>
  <c r="R40" i="1"/>
  <c r="Q40" i="1"/>
  <c r="AH39" i="1"/>
  <c r="AG39" i="1"/>
  <c r="Z39" i="1"/>
  <c r="Y39" i="1"/>
  <c r="AB39" i="1"/>
  <c r="AA39" i="1"/>
  <c r="AE39" i="1" s="1"/>
  <c r="AD39" i="1"/>
  <c r="AC39" i="1"/>
  <c r="X39" i="1"/>
  <c r="W39" i="1"/>
  <c r="V39" i="1"/>
  <c r="U39" i="1"/>
  <c r="T39" i="1"/>
  <c r="S39" i="1"/>
  <c r="R39" i="1"/>
  <c r="Q39" i="1"/>
  <c r="AH38" i="1"/>
  <c r="AG38" i="1"/>
  <c r="Z38" i="1"/>
  <c r="Y38" i="1"/>
  <c r="AB38" i="1"/>
  <c r="AA38" i="1"/>
  <c r="AE38" i="1" s="1"/>
  <c r="AD38" i="1"/>
  <c r="AC38" i="1"/>
  <c r="X38" i="1"/>
  <c r="W38" i="1"/>
  <c r="V38" i="1"/>
  <c r="U38" i="1"/>
  <c r="T38" i="1"/>
  <c r="S38" i="1"/>
  <c r="R38" i="1"/>
  <c r="Q38" i="1"/>
  <c r="AH37" i="1"/>
  <c r="AG37" i="1"/>
  <c r="Z37" i="1"/>
  <c r="Y37" i="1"/>
  <c r="AB37" i="1"/>
  <c r="AA37" i="1"/>
  <c r="AE37" i="1" s="1"/>
  <c r="AD37" i="1"/>
  <c r="AC37" i="1"/>
  <c r="X37" i="1"/>
  <c r="W37" i="1"/>
  <c r="V37" i="1"/>
  <c r="U37" i="1"/>
  <c r="T37" i="1"/>
  <c r="S37" i="1"/>
  <c r="R37" i="1"/>
  <c r="Q37" i="1"/>
  <c r="AH36" i="1"/>
  <c r="AG36" i="1"/>
  <c r="Z36" i="1"/>
  <c r="Y36" i="1"/>
  <c r="AB36" i="1"/>
  <c r="AA36" i="1"/>
  <c r="AE36" i="1" s="1"/>
  <c r="AD36" i="1"/>
  <c r="AC36" i="1"/>
  <c r="X36" i="1"/>
  <c r="W36" i="1"/>
  <c r="V36" i="1"/>
  <c r="U36" i="1"/>
  <c r="T36" i="1"/>
  <c r="S36" i="1"/>
  <c r="R36" i="1"/>
  <c r="Q36" i="1"/>
  <c r="AH35" i="1"/>
  <c r="AG35" i="1"/>
  <c r="Z35" i="1"/>
  <c r="Y35" i="1"/>
  <c r="AB35" i="1"/>
  <c r="AA35" i="1"/>
  <c r="AE35" i="1" s="1"/>
  <c r="AD35" i="1"/>
  <c r="AC35" i="1"/>
  <c r="X35" i="1"/>
  <c r="W35" i="1"/>
  <c r="V35" i="1"/>
  <c r="U35" i="1"/>
  <c r="T35" i="1"/>
  <c r="S35" i="1"/>
  <c r="R35" i="1"/>
  <c r="Q35" i="1"/>
  <c r="AH34" i="1"/>
  <c r="AG34" i="1"/>
  <c r="Z34" i="1"/>
  <c r="Y34" i="1"/>
  <c r="AB34" i="1"/>
  <c r="AF34" i="1" s="1"/>
  <c r="AA34" i="1"/>
  <c r="AD34" i="1"/>
  <c r="AC34" i="1"/>
  <c r="X34" i="1"/>
  <c r="W34" i="1"/>
  <c r="V34" i="1"/>
  <c r="U34" i="1"/>
  <c r="T34" i="1"/>
  <c r="S34" i="1"/>
  <c r="R34" i="1"/>
  <c r="Q34" i="1"/>
  <c r="AH33" i="1"/>
  <c r="AG33" i="1"/>
  <c r="Z33" i="1"/>
  <c r="Y33" i="1"/>
  <c r="AB33" i="1"/>
  <c r="AA33" i="1"/>
  <c r="AD33" i="1"/>
  <c r="AC33" i="1"/>
  <c r="X33" i="1"/>
  <c r="W33" i="1"/>
  <c r="V33" i="1"/>
  <c r="U33" i="1"/>
  <c r="T33" i="1"/>
  <c r="S33" i="1"/>
  <c r="R33" i="1"/>
  <c r="Q33" i="1"/>
  <c r="AH32" i="1"/>
  <c r="AG32" i="1"/>
  <c r="Z32" i="1"/>
  <c r="Y32" i="1"/>
  <c r="AB32" i="1"/>
  <c r="AF32" i="1" s="1"/>
  <c r="AA32" i="1"/>
  <c r="AE32" i="1" s="1"/>
  <c r="AD32" i="1"/>
  <c r="AC32" i="1"/>
  <c r="X32" i="1"/>
  <c r="W32" i="1"/>
  <c r="V32" i="1"/>
  <c r="U32" i="1"/>
  <c r="T32" i="1"/>
  <c r="S32" i="1"/>
  <c r="R32" i="1"/>
  <c r="Q32" i="1"/>
  <c r="AH31" i="1"/>
  <c r="AG31" i="1"/>
  <c r="Z31" i="1"/>
  <c r="Y31" i="1"/>
  <c r="AB31" i="1"/>
  <c r="AA31" i="1"/>
  <c r="AE31" i="1" s="1"/>
  <c r="AD31" i="1"/>
  <c r="AC31" i="1"/>
  <c r="X31" i="1"/>
  <c r="W31" i="1"/>
  <c r="V31" i="1"/>
  <c r="U31" i="1"/>
  <c r="T31" i="1"/>
  <c r="S31" i="1"/>
  <c r="R31" i="1"/>
  <c r="Q31" i="1"/>
  <c r="AH30" i="1"/>
  <c r="AG30" i="1"/>
  <c r="Z30" i="1"/>
  <c r="Y30" i="1"/>
  <c r="AB30" i="1"/>
  <c r="AA30" i="1"/>
  <c r="AD30" i="1"/>
  <c r="AC30" i="1"/>
  <c r="X30" i="1"/>
  <c r="W30" i="1"/>
  <c r="V30" i="1"/>
  <c r="U30" i="1"/>
  <c r="T30" i="1"/>
  <c r="S30" i="1"/>
  <c r="R30" i="1"/>
  <c r="Q30" i="1"/>
  <c r="AH29" i="1"/>
  <c r="AG29" i="1"/>
  <c r="Z29" i="1"/>
  <c r="Y29" i="1"/>
  <c r="AB29" i="1"/>
  <c r="AA29" i="1"/>
  <c r="AE29" i="1" s="1"/>
  <c r="AD29" i="1"/>
  <c r="AC29" i="1"/>
  <c r="X29" i="1"/>
  <c r="W29" i="1"/>
  <c r="V29" i="1"/>
  <c r="U29" i="1"/>
  <c r="T29" i="1"/>
  <c r="S29" i="1"/>
  <c r="R29" i="1"/>
  <c r="Q29" i="1"/>
  <c r="AH28" i="1"/>
  <c r="AG28" i="1"/>
  <c r="Z28" i="1"/>
  <c r="Y28" i="1"/>
  <c r="AB28" i="1"/>
  <c r="AA28" i="1"/>
  <c r="AD28" i="1"/>
  <c r="AC28" i="1"/>
  <c r="X28" i="1"/>
  <c r="W28" i="1"/>
  <c r="V28" i="1"/>
  <c r="U28" i="1"/>
  <c r="T28" i="1"/>
  <c r="S28" i="1"/>
  <c r="R28" i="1"/>
  <c r="Q28" i="1"/>
  <c r="H28" i="1"/>
  <c r="G28" i="1"/>
  <c r="AH27" i="1"/>
  <c r="AG27" i="1"/>
  <c r="Z27" i="1"/>
  <c r="Y27" i="1"/>
  <c r="AB27" i="1"/>
  <c r="AA27" i="1"/>
  <c r="AE27" i="1" s="1"/>
  <c r="AD27" i="1"/>
  <c r="AC27" i="1"/>
  <c r="X27" i="1"/>
  <c r="W27" i="1"/>
  <c r="V27" i="1"/>
  <c r="U27" i="1"/>
  <c r="T27" i="1"/>
  <c r="S27" i="1"/>
  <c r="R27" i="1"/>
  <c r="Q27" i="1"/>
  <c r="AG2" i="2" l="1"/>
  <c r="AE2" i="2"/>
  <c r="AO2" i="2"/>
  <c r="AQ2" i="2"/>
  <c r="AF3" i="2"/>
  <c r="AK2" i="2"/>
  <c r="AJ2" i="2"/>
  <c r="AP4" i="2"/>
  <c r="AN4" i="2"/>
  <c r="AO4" i="2"/>
  <c r="AD4" i="2"/>
  <c r="AE4" i="2"/>
  <c r="AJ4" i="2"/>
  <c r="AK4" i="2"/>
  <c r="AF4" i="2"/>
  <c r="AG4" i="2"/>
  <c r="AP3" i="2"/>
  <c r="AN3" i="2"/>
  <c r="AD3" i="2"/>
  <c r="AJ3" i="2"/>
  <c r="AQ3" i="2"/>
  <c r="AO3" i="2"/>
  <c r="AK3" i="2"/>
  <c r="AE51" i="1"/>
  <c r="AF51" i="1"/>
  <c r="Q50" i="1"/>
  <c r="R49" i="1"/>
  <c r="AE48" i="1"/>
  <c r="Q48" i="1"/>
  <c r="AF47" i="1"/>
  <c r="R47" i="1"/>
  <c r="R46" i="1"/>
  <c r="AE45" i="1"/>
  <c r="Q45" i="1"/>
  <c r="AF44" i="1"/>
  <c r="Q44" i="1"/>
  <c r="R44" i="1"/>
  <c r="AE43" i="1"/>
  <c r="R43" i="1"/>
  <c r="AF42" i="1"/>
  <c r="AF48" i="1"/>
  <c r="AF31" i="1"/>
  <c r="AF35" i="1"/>
  <c r="AE30" i="1"/>
  <c r="AE34" i="1"/>
  <c r="AF28" i="1"/>
  <c r="AF27" i="1"/>
  <c r="AF40" i="1"/>
  <c r="AF36" i="1"/>
  <c r="AF30" i="1"/>
  <c r="AF38" i="1"/>
  <c r="AF33" i="1"/>
  <c r="AF37" i="1"/>
  <c r="AF39" i="1"/>
  <c r="AF29" i="1"/>
  <c r="AE28" i="1"/>
  <c r="AE33" i="1"/>
  <c r="J26" i="1"/>
  <c r="I26" i="1"/>
  <c r="Q26" i="1"/>
  <c r="J25" i="1"/>
  <c r="Q25" i="1"/>
  <c r="I25" i="1"/>
  <c r="J24" i="1"/>
  <c r="Q24" i="1" s="1"/>
  <c r="I24" i="1"/>
  <c r="J23" i="1"/>
  <c r="I23" i="1"/>
  <c r="J22" i="1"/>
  <c r="J21" i="1"/>
  <c r="Q22" i="1"/>
  <c r="I22" i="1"/>
  <c r="Q21" i="1"/>
  <c r="I21" i="1"/>
  <c r="J20" i="1"/>
  <c r="Q20" i="1" s="1"/>
  <c r="I20" i="1"/>
  <c r="J19" i="1"/>
  <c r="I19" i="1"/>
  <c r="S19" i="1"/>
  <c r="T19" i="1"/>
  <c r="U19" i="1"/>
  <c r="V19" i="1"/>
  <c r="W19" i="1"/>
  <c r="X19" i="1"/>
  <c r="Y19" i="1"/>
  <c r="AC19" i="1" s="1"/>
  <c r="Z19" i="1"/>
  <c r="AD19" i="1" s="1"/>
  <c r="AA19" i="1"/>
  <c r="AB19" i="1"/>
  <c r="AE19" i="1"/>
  <c r="AF19" i="1"/>
  <c r="AG19" i="1"/>
  <c r="AH19" i="1"/>
  <c r="S20" i="1"/>
  <c r="T20" i="1"/>
  <c r="U20" i="1"/>
  <c r="V20" i="1"/>
  <c r="W20" i="1"/>
  <c r="X20" i="1"/>
  <c r="Y20" i="1"/>
  <c r="Z20" i="1"/>
  <c r="AD20" i="1" s="1"/>
  <c r="AA20" i="1"/>
  <c r="AB20" i="1"/>
  <c r="AG20" i="1"/>
  <c r="AH20" i="1"/>
  <c r="S21" i="1"/>
  <c r="T21" i="1"/>
  <c r="U21" i="1"/>
  <c r="V21" i="1"/>
  <c r="W21" i="1"/>
  <c r="X21" i="1"/>
  <c r="Y21" i="1"/>
  <c r="Z21" i="1"/>
  <c r="AA21" i="1"/>
  <c r="AB21" i="1"/>
  <c r="AG21" i="1"/>
  <c r="AH21" i="1"/>
  <c r="S22" i="1"/>
  <c r="T22" i="1"/>
  <c r="U22" i="1"/>
  <c r="V22" i="1"/>
  <c r="W22" i="1"/>
  <c r="X22" i="1"/>
  <c r="Y22" i="1"/>
  <c r="Z22" i="1"/>
  <c r="AA22" i="1"/>
  <c r="AB22" i="1"/>
  <c r="AF22" i="1" s="1"/>
  <c r="AC22" i="1"/>
  <c r="AD22" i="1"/>
  <c r="AG22" i="1"/>
  <c r="AH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R24" i="1"/>
  <c r="S24" i="1"/>
  <c r="T24" i="1"/>
  <c r="U24" i="1"/>
  <c r="V24" i="1"/>
  <c r="W24" i="1"/>
  <c r="X24" i="1"/>
  <c r="Y24" i="1"/>
  <c r="AC24" i="1" s="1"/>
  <c r="Z24" i="1"/>
  <c r="AD24" i="1" s="1"/>
  <c r="AA24" i="1"/>
  <c r="AE24" i="1" s="1"/>
  <c r="AB24" i="1"/>
  <c r="AF24" i="1" s="1"/>
  <c r="AG24" i="1"/>
  <c r="AH24" i="1"/>
  <c r="S25" i="1"/>
  <c r="T25" i="1"/>
  <c r="U25" i="1"/>
  <c r="V25" i="1"/>
  <c r="W25" i="1"/>
  <c r="X25" i="1"/>
  <c r="Y25" i="1"/>
  <c r="Z25" i="1"/>
  <c r="AA25" i="1"/>
  <c r="AB25" i="1"/>
  <c r="AE25" i="1"/>
  <c r="AF25" i="1"/>
  <c r="AG25" i="1"/>
  <c r="AH25" i="1"/>
  <c r="S26" i="1"/>
  <c r="T26" i="1"/>
  <c r="U26" i="1"/>
  <c r="V26" i="1"/>
  <c r="W26" i="1"/>
  <c r="X26" i="1"/>
  <c r="Y26" i="1"/>
  <c r="Z26" i="1"/>
  <c r="AC26" i="1" s="1"/>
  <c r="AA26" i="1"/>
  <c r="AB26" i="1"/>
  <c r="AG26" i="1"/>
  <c r="AH26" i="1"/>
  <c r="Q18" i="1"/>
  <c r="R18" i="1"/>
  <c r="AG18" i="1"/>
  <c r="AH18" i="1"/>
  <c r="Z18" i="1"/>
  <c r="AC18" i="1"/>
  <c r="AD18" i="1"/>
  <c r="AB18" i="1"/>
  <c r="AE18" i="1"/>
  <c r="AF18" i="1"/>
  <c r="J18" i="1"/>
  <c r="W18" i="1"/>
  <c r="X18" i="1"/>
  <c r="U18" i="1"/>
  <c r="V18" i="1"/>
  <c r="S18" i="1"/>
  <c r="T18" i="1"/>
  <c r="Y18" i="1"/>
  <c r="AA18" i="1"/>
  <c r="I18" i="1"/>
  <c r="Q17" i="1"/>
  <c r="R17" i="1"/>
  <c r="AG17" i="1"/>
  <c r="AH17" i="1"/>
  <c r="Z17" i="1"/>
  <c r="AC17" i="1"/>
  <c r="AD17" i="1"/>
  <c r="AB17" i="1"/>
  <c r="AE17" i="1"/>
  <c r="AF17" i="1"/>
  <c r="J17" i="1"/>
  <c r="W17" i="1"/>
  <c r="X17" i="1"/>
  <c r="U17" i="1"/>
  <c r="V17" i="1"/>
  <c r="S17" i="1"/>
  <c r="T17" i="1"/>
  <c r="Y17" i="1"/>
  <c r="AA17" i="1"/>
  <c r="I17" i="1"/>
  <c r="J16" i="1"/>
  <c r="I16" i="1"/>
  <c r="Q16" i="1" s="1"/>
  <c r="J15" i="1"/>
  <c r="R15" i="1"/>
  <c r="I15" i="1"/>
  <c r="J14" i="1"/>
  <c r="I14" i="1"/>
  <c r="R14" i="1" s="1"/>
  <c r="J13" i="1"/>
  <c r="I13" i="1"/>
  <c r="R13" i="1"/>
  <c r="J12" i="1"/>
  <c r="I12" i="1"/>
  <c r="J11" i="1"/>
  <c r="I11" i="1"/>
  <c r="J10" i="1"/>
  <c r="R10" i="1" s="1"/>
  <c r="I10" i="1"/>
  <c r="J9" i="1"/>
  <c r="R9" i="1"/>
  <c r="I9" i="1"/>
  <c r="J8" i="1"/>
  <c r="Q8" i="1"/>
  <c r="I8" i="1"/>
  <c r="J7" i="1"/>
  <c r="I7" i="1"/>
  <c r="J6" i="1"/>
  <c r="Q6" i="1"/>
  <c r="J5" i="1"/>
  <c r="I5" i="1"/>
  <c r="I4" i="1"/>
  <c r="AA6" i="1"/>
  <c r="AA7" i="1"/>
  <c r="AA8" i="1"/>
  <c r="AA9" i="1"/>
  <c r="AE9" i="1" s="1"/>
  <c r="AA10" i="1"/>
  <c r="AE10" i="1" s="1"/>
  <c r="AA11" i="1"/>
  <c r="AA12" i="1"/>
  <c r="AA13" i="1"/>
  <c r="AA14" i="1"/>
  <c r="AA15" i="1"/>
  <c r="AE15" i="1" s="1"/>
  <c r="AA16" i="1"/>
  <c r="AE16" i="1" s="1"/>
  <c r="AA5" i="1"/>
  <c r="AF5" i="1" s="1"/>
  <c r="AA4" i="1"/>
  <c r="J4" i="1"/>
  <c r="J3" i="1"/>
  <c r="J2" i="1"/>
  <c r="I3" i="1"/>
  <c r="S13" i="1"/>
  <c r="T13" i="1"/>
  <c r="U13" i="1"/>
  <c r="V13" i="1"/>
  <c r="W13" i="1"/>
  <c r="X13" i="1"/>
  <c r="Y13" i="1"/>
  <c r="Z13" i="1"/>
  <c r="AB13" i="1"/>
  <c r="AE13" i="1"/>
  <c r="AF13" i="1"/>
  <c r="AG13" i="1"/>
  <c r="AH13" i="1"/>
  <c r="S14" i="1"/>
  <c r="T14" i="1"/>
  <c r="U14" i="1"/>
  <c r="V14" i="1"/>
  <c r="W14" i="1"/>
  <c r="X14" i="1"/>
  <c r="Y14" i="1"/>
  <c r="AC14" i="1" s="1"/>
  <c r="Z14" i="1"/>
  <c r="AB14" i="1"/>
  <c r="AG14" i="1"/>
  <c r="AH14" i="1"/>
  <c r="S15" i="1"/>
  <c r="T15" i="1"/>
  <c r="U15" i="1"/>
  <c r="V15" i="1"/>
  <c r="W15" i="1"/>
  <c r="X15" i="1"/>
  <c r="Y15" i="1"/>
  <c r="Z15" i="1"/>
  <c r="AB15" i="1"/>
  <c r="AC15" i="1"/>
  <c r="AD15" i="1"/>
  <c r="AG15" i="1"/>
  <c r="AH15" i="1"/>
  <c r="S16" i="1"/>
  <c r="T16" i="1"/>
  <c r="U16" i="1"/>
  <c r="V16" i="1"/>
  <c r="W16" i="1"/>
  <c r="X16" i="1"/>
  <c r="Y16" i="1"/>
  <c r="Z16" i="1"/>
  <c r="AB16" i="1"/>
  <c r="AC16" i="1"/>
  <c r="AD16" i="1"/>
  <c r="AG16" i="1"/>
  <c r="AH16" i="1"/>
  <c r="S3" i="1"/>
  <c r="T3" i="1"/>
  <c r="U3" i="1"/>
  <c r="V3" i="1"/>
  <c r="W3" i="1"/>
  <c r="X3" i="1"/>
  <c r="Y3" i="1"/>
  <c r="Z3" i="1"/>
  <c r="AD3" i="1" s="1"/>
  <c r="AA3" i="1"/>
  <c r="AB3" i="1"/>
  <c r="AE3" i="1"/>
  <c r="AF3" i="1"/>
  <c r="AG3" i="1"/>
  <c r="AH3" i="1"/>
  <c r="S4" i="1"/>
  <c r="T4" i="1"/>
  <c r="U4" i="1"/>
  <c r="V4" i="1"/>
  <c r="W4" i="1"/>
  <c r="X4" i="1"/>
  <c r="Y4" i="1"/>
  <c r="Z4" i="1"/>
  <c r="AB4" i="1"/>
  <c r="AF4" i="1" s="1"/>
  <c r="AC4" i="1"/>
  <c r="AD4" i="1"/>
  <c r="AE4" i="1"/>
  <c r="AG4" i="1"/>
  <c r="AH4" i="1"/>
  <c r="S5" i="1"/>
  <c r="T5" i="1"/>
  <c r="U5" i="1"/>
  <c r="V5" i="1"/>
  <c r="W5" i="1"/>
  <c r="X5" i="1"/>
  <c r="Y5" i="1"/>
  <c r="Z5" i="1"/>
  <c r="AB5" i="1"/>
  <c r="AC5" i="1"/>
  <c r="AD5" i="1"/>
  <c r="AE5" i="1"/>
  <c r="AG5" i="1"/>
  <c r="AH5" i="1"/>
  <c r="S6" i="1"/>
  <c r="T6" i="1"/>
  <c r="U6" i="1"/>
  <c r="V6" i="1"/>
  <c r="W6" i="1"/>
  <c r="X6" i="1"/>
  <c r="Y6" i="1"/>
  <c r="Z6" i="1"/>
  <c r="AB6" i="1"/>
  <c r="AC6" i="1"/>
  <c r="AD6" i="1"/>
  <c r="AG6" i="1"/>
  <c r="AH6" i="1"/>
  <c r="S7" i="1"/>
  <c r="T7" i="1"/>
  <c r="U7" i="1"/>
  <c r="V7" i="1"/>
  <c r="W7" i="1"/>
  <c r="X7" i="1"/>
  <c r="Y7" i="1"/>
  <c r="Z7" i="1"/>
  <c r="AD7" i="1" s="1"/>
  <c r="AE7" i="1"/>
  <c r="AB7" i="1"/>
  <c r="AF7" i="1" s="1"/>
  <c r="AG7" i="1"/>
  <c r="AH7" i="1"/>
  <c r="S8" i="1"/>
  <c r="T8" i="1"/>
  <c r="U8" i="1"/>
  <c r="V8" i="1"/>
  <c r="W8" i="1"/>
  <c r="X8" i="1"/>
  <c r="Y8" i="1"/>
  <c r="Z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B9" i="1"/>
  <c r="AC9" i="1"/>
  <c r="AD9" i="1"/>
  <c r="AG9" i="1"/>
  <c r="AH9" i="1"/>
  <c r="S10" i="1"/>
  <c r="T10" i="1"/>
  <c r="U10" i="1"/>
  <c r="V10" i="1"/>
  <c r="W10" i="1"/>
  <c r="X10" i="1"/>
  <c r="Y10" i="1"/>
  <c r="Z10" i="1"/>
  <c r="AB10" i="1"/>
  <c r="AC10" i="1"/>
  <c r="AD10" i="1"/>
  <c r="AG10" i="1"/>
  <c r="AH10" i="1"/>
  <c r="S11" i="1"/>
  <c r="T11" i="1"/>
  <c r="U11" i="1"/>
  <c r="V11" i="1"/>
  <c r="W11" i="1"/>
  <c r="X11" i="1"/>
  <c r="Y11" i="1"/>
  <c r="Z11" i="1"/>
  <c r="AD11" i="1" s="1"/>
  <c r="AB11" i="1"/>
  <c r="AC11" i="1"/>
  <c r="AG11" i="1"/>
  <c r="AH11" i="1"/>
  <c r="S12" i="1"/>
  <c r="T12" i="1"/>
  <c r="U12" i="1"/>
  <c r="V12" i="1"/>
  <c r="W12" i="1"/>
  <c r="X12" i="1"/>
  <c r="Y12" i="1"/>
  <c r="Z12" i="1"/>
  <c r="AB12" i="1"/>
  <c r="AC12" i="1"/>
  <c r="AD12" i="1"/>
  <c r="AF12" i="1"/>
  <c r="AG12" i="1"/>
  <c r="AH12" i="1"/>
  <c r="AB2" i="1"/>
  <c r="Z2" i="1"/>
  <c r="AH2" i="1"/>
  <c r="AG2" i="1"/>
  <c r="AF2" i="1"/>
  <c r="AE2" i="1"/>
  <c r="AD2" i="1"/>
  <c r="AC2" i="1"/>
  <c r="AA2" i="1"/>
  <c r="Y2" i="1"/>
  <c r="X2" i="1"/>
  <c r="W2" i="1"/>
  <c r="V2" i="1"/>
  <c r="U2" i="1"/>
  <c r="T2" i="1"/>
  <c r="S2" i="1"/>
  <c r="AE26" i="1" l="1"/>
  <c r="AF26" i="1"/>
  <c r="R26" i="1"/>
  <c r="AC25" i="1"/>
  <c r="R25" i="1"/>
  <c r="AE22" i="1"/>
  <c r="R22" i="1"/>
  <c r="AC21" i="1"/>
  <c r="AE21" i="1"/>
  <c r="AD21" i="1"/>
  <c r="R21" i="1"/>
  <c r="AE20" i="1"/>
  <c r="AC20" i="1"/>
  <c r="R20" i="1"/>
  <c r="Q19" i="1"/>
  <c r="R19" i="1"/>
  <c r="AD25" i="1"/>
  <c r="AF20" i="1"/>
  <c r="AD26" i="1"/>
  <c r="AF21" i="1"/>
  <c r="AF16" i="1"/>
  <c r="R16" i="1"/>
  <c r="Q15" i="1"/>
  <c r="AE14" i="1"/>
  <c r="AD14" i="1"/>
  <c r="AF14" i="1"/>
  <c r="Q14" i="1"/>
  <c r="AC13" i="1"/>
  <c r="AD13" i="1"/>
  <c r="Q13" i="1"/>
  <c r="AE12" i="1"/>
  <c r="Q12" i="1"/>
  <c r="R12" i="1"/>
  <c r="AE11" i="1"/>
  <c r="Q11" i="1"/>
  <c r="AF11" i="1"/>
  <c r="R11" i="1"/>
  <c r="Q10" i="1"/>
  <c r="AF10" i="1"/>
  <c r="Q9" i="1"/>
  <c r="AF9" i="1"/>
  <c r="R8" i="1"/>
  <c r="AC7" i="1"/>
  <c r="R7" i="1"/>
  <c r="Q7" i="1"/>
  <c r="AE6" i="1"/>
  <c r="R6" i="1"/>
  <c r="Q5" i="1"/>
  <c r="Q4" i="1"/>
  <c r="R5" i="1"/>
  <c r="AF6" i="1"/>
  <c r="AF15" i="1"/>
  <c r="R4" i="1"/>
  <c r="R3" i="1"/>
  <c r="AC3" i="1"/>
  <c r="Q3" i="1"/>
  <c r="Q2" i="1"/>
  <c r="R2" i="1"/>
</calcChain>
</file>

<file path=xl/sharedStrings.xml><?xml version="1.0" encoding="utf-8"?>
<sst xmlns="http://schemas.openxmlformats.org/spreadsheetml/2006/main" count="207" uniqueCount="173">
  <si>
    <t>l_FullName</t>
  </si>
  <si>
    <t>r_FullName</t>
  </si>
  <si>
    <t>l_height_FT</t>
  </si>
  <si>
    <t>l_height_IN</t>
  </si>
  <si>
    <t>l_fighter_weight_lbs</t>
  </si>
  <si>
    <t>l_fighter_reach_IN</t>
  </si>
  <si>
    <t>l_fighter_DOB</t>
  </si>
  <si>
    <t>l_fighter_w</t>
  </si>
  <si>
    <t>l_fighter_l</t>
  </si>
  <si>
    <t>l_WinStreak</t>
  </si>
  <si>
    <t>l_leg_reach_IN</t>
  </si>
  <si>
    <t>r_height_FT</t>
  </si>
  <si>
    <t>r_height_IN</t>
  </si>
  <si>
    <t>r_fighter_weight_lbs</t>
  </si>
  <si>
    <t>r_fighter_reach_IN</t>
  </si>
  <si>
    <t>r_fighter_DOB</t>
  </si>
  <si>
    <t>r_fighter_w</t>
  </si>
  <si>
    <t>r_fighter_l</t>
  </si>
  <si>
    <t>r_WinStreak</t>
  </si>
  <si>
    <t>r_leg_reach_IN</t>
  </si>
  <si>
    <t>event_date</t>
  </si>
  <si>
    <t>l_fighter_height_cm</t>
  </si>
  <si>
    <t>r_fighter_height_cm</t>
  </si>
  <si>
    <t>l_fighter_reach_cm</t>
  </si>
  <si>
    <t>r_fighter_reach_cm</t>
  </si>
  <si>
    <t>l_fighter_age</t>
  </si>
  <si>
    <t>r_fighter_age</t>
  </si>
  <si>
    <t>l_total_fights</t>
  </si>
  <si>
    <t>r_total_fights</t>
  </si>
  <si>
    <t>l_seniority</t>
  </si>
  <si>
    <t>r_seniority</t>
  </si>
  <si>
    <t>l_height_dif_cm</t>
  </si>
  <si>
    <t>r_height_dif_cm</t>
  </si>
  <si>
    <t>l_weight_dif_lb</t>
  </si>
  <si>
    <t>r_weight_dif_lb</t>
  </si>
  <si>
    <t>l_reach_dif_cm</t>
  </si>
  <si>
    <t>r_reach_dif_cm</t>
  </si>
  <si>
    <t>l_w.l_ratio</t>
  </si>
  <si>
    <t>r_w.l_ratio</t>
  </si>
  <si>
    <t>l_total_fights_dif</t>
  </si>
  <si>
    <t>r_total_fights_dif</t>
  </si>
  <si>
    <t>l_win_difference</t>
  </si>
  <si>
    <t>r_win_difference</t>
  </si>
  <si>
    <t>l_WinStreak_dif</t>
  </si>
  <si>
    <t>r_WinStreak_dif</t>
  </si>
  <si>
    <t>Josefine Knutsson</t>
  </si>
  <si>
    <t>Piera Rodriguez</t>
  </si>
  <si>
    <t>Davey Grant</t>
  </si>
  <si>
    <t>Ramon Taveras</t>
  </si>
  <si>
    <t>Miranda Maverick</t>
  </si>
  <si>
    <t>Jamey-Lyn Horth</t>
  </si>
  <si>
    <t>Miles Johns</t>
  </si>
  <si>
    <t>Felipe Lima</t>
  </si>
  <si>
    <t>Sean Woodson</t>
  </si>
  <si>
    <t>Fernando Padilla</t>
  </si>
  <si>
    <t>Joel Alvarez</t>
  </si>
  <si>
    <t>Drakkar Klose</t>
  </si>
  <si>
    <t>Michael Johnson</t>
  </si>
  <si>
    <t>Ottman Azaitar</t>
  </si>
  <si>
    <t>Navajo Stirling</t>
  </si>
  <si>
    <t>Tuco Tokkos</t>
  </si>
  <si>
    <t>Adrian Yanez</t>
  </si>
  <si>
    <t>Daniel Marcos</t>
  </si>
  <si>
    <t>Vitor Petrino</t>
  </si>
  <si>
    <t>Dustin Jacoby</t>
  </si>
  <si>
    <t>Manel Kape</t>
  </si>
  <si>
    <t>Bruno Silva</t>
  </si>
  <si>
    <t>Cub Swanson</t>
  </si>
  <si>
    <t>Quarantillo</t>
  </si>
  <si>
    <t>Colby Covington</t>
  </si>
  <si>
    <t>Joaquin Buckley</t>
  </si>
  <si>
    <t>l_win</t>
  </si>
  <si>
    <t>r_win</t>
  </si>
  <si>
    <t>Maheshate</t>
  </si>
  <si>
    <t>Nikolas Motta</t>
  </si>
  <si>
    <t>Xiao Long</t>
  </si>
  <si>
    <t>Quang Le</t>
  </si>
  <si>
    <t>Lone'er Kavanagh</t>
  </si>
  <si>
    <t>Jose Ochoa</t>
  </si>
  <si>
    <t>Nyamjargal Tumendemberel</t>
  </si>
  <si>
    <t>Carlos Hernandez</t>
  </si>
  <si>
    <t>Ming Shi</t>
  </si>
  <si>
    <t>Feng Xiaocan</t>
  </si>
  <si>
    <t>Kiru Sahota</t>
  </si>
  <si>
    <t>Donghun Choi</t>
  </si>
  <si>
    <t>Baergeng Jieleyisi</t>
  </si>
  <si>
    <t>Suyoung You</t>
  </si>
  <si>
    <t>Zhang Mingyang</t>
  </si>
  <si>
    <t>Ozzy Diaz</t>
  </si>
  <si>
    <t>Volkan Oezdemir</t>
  </si>
  <si>
    <t>Carlos Ulberg</t>
  </si>
  <si>
    <t>Wang Cong</t>
  </si>
  <si>
    <t>Gabriella Fernandes</t>
  </si>
  <si>
    <t>Song Kenan</t>
  </si>
  <si>
    <t>Muslim Salikhov</t>
  </si>
  <si>
    <t>Yan Xiaonan</t>
  </si>
  <si>
    <t>Tabatha Ricci</t>
  </si>
  <si>
    <t>Petr Yan</t>
  </si>
  <si>
    <t>Deiveson Figueiredo</t>
  </si>
  <si>
    <t>Veronica Hardy</t>
  </si>
  <si>
    <t>Eduarda Moura</t>
  </si>
  <si>
    <t>Bassil Hafez</t>
  </si>
  <si>
    <t>Oban Elliott</t>
  </si>
  <si>
    <t>Mickey Gall</t>
  </si>
  <si>
    <t>Ramiz Brahimaj</t>
  </si>
  <si>
    <t>Marcin Tybura</t>
  </si>
  <si>
    <t>Jhonata Diniz</t>
  </si>
  <si>
    <t>David Onama</t>
  </si>
  <si>
    <t>Roberto Romero</t>
  </si>
  <si>
    <t>Jim Miller</t>
  </si>
  <si>
    <t>Damon Jackson</t>
  </si>
  <si>
    <t>Jonathan Martinez</t>
  </si>
  <si>
    <t>Marcus McGhee</t>
  </si>
  <si>
    <t>Maurico Ruffy</t>
  </si>
  <si>
    <t>James Llontop</t>
  </si>
  <si>
    <t>Viviane Arujo</t>
  </si>
  <si>
    <t>Karine Silva</t>
  </si>
  <si>
    <t>Bo Nickal</t>
  </si>
  <si>
    <t>Paul Craig</t>
  </si>
  <si>
    <t>Charles Oliveira</t>
  </si>
  <si>
    <t>Michael Chandler</t>
  </si>
  <si>
    <t>Jon Jones</t>
  </si>
  <si>
    <t>Stipe Miocic</t>
  </si>
  <si>
    <t>Kai Asakura</t>
  </si>
  <si>
    <t>Alexandre Pantoja</t>
  </si>
  <si>
    <t>Shavakat Rakhmonov</t>
  </si>
  <si>
    <t>Ian Garry</t>
  </si>
  <si>
    <t>Citryl Gane</t>
  </si>
  <si>
    <t>Alexander Volkov</t>
  </si>
  <si>
    <t>Bryce Mitchell</t>
  </si>
  <si>
    <t>Kron Gracie</t>
  </si>
  <si>
    <t>Nate Landwehr</t>
  </si>
  <si>
    <t>Dooho Choi</t>
  </si>
  <si>
    <t>Dominick Reyes</t>
  </si>
  <si>
    <t>Anthony Smith</t>
  </si>
  <si>
    <t>Vicente Luque</t>
  </si>
  <si>
    <t>Themba Gorimbo</t>
  </si>
  <si>
    <t>Movsar Evloev</t>
  </si>
  <si>
    <t>Aljamain Sterling</t>
  </si>
  <si>
    <t>Randy Brown</t>
  </si>
  <si>
    <t>Bryan Battle</t>
  </si>
  <si>
    <t>Chris Weidman</t>
  </si>
  <si>
    <t>Eryk Anders</t>
  </si>
  <si>
    <t>Cody Durden</t>
  </si>
  <si>
    <t>Joshya Van</t>
  </si>
  <si>
    <t>Michael Chiesa</t>
  </si>
  <si>
    <t>Max Griffin</t>
  </si>
  <si>
    <t>Clay Guida</t>
  </si>
  <si>
    <t>Chase Hooper</t>
  </si>
  <si>
    <t>Kennedy Nzechukwu</t>
  </si>
  <si>
    <t>Lukaz Brzeki</t>
  </si>
  <si>
    <t>Melissa Mullins</t>
  </si>
  <si>
    <t>Klaudia Sygula</t>
  </si>
  <si>
    <t>Tresean Gore</t>
  </si>
  <si>
    <t>Antonio Trocoli</t>
  </si>
  <si>
    <t>Cody Stamann</t>
  </si>
  <si>
    <t>Da'Mon Blackshear</t>
  </si>
  <si>
    <t>Matthew Semelsberger</t>
  </si>
  <si>
    <t>Charles Radtke</t>
  </si>
  <si>
    <t>Elizeu Zaleski Dos Santos</t>
  </si>
  <si>
    <t>Zach Scroggin</t>
  </si>
  <si>
    <t>Karolina Kowalkiewicz</t>
  </si>
  <si>
    <t>Denise Gomes</t>
  </si>
  <si>
    <t>Mansur Abdul-Malik</t>
  </si>
  <si>
    <t>Dusko Todorovic</t>
  </si>
  <si>
    <t>Luana Pinheiro</t>
  </si>
  <si>
    <t>Gillian Robertson</t>
  </si>
  <si>
    <t>Gaston Bolanos</t>
  </si>
  <si>
    <t>Cortavious Romious</t>
  </si>
  <si>
    <t>Gerald Meerschaert</t>
  </si>
  <si>
    <t>Reinier De Ridder</t>
  </si>
  <si>
    <t>Neil Magny</t>
  </si>
  <si>
    <t>Carlos Prates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</si>
</sst>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5C4B-1685-4CCF-9A5F-994844FA511B}">
  <dimension ref="A1:AS17"/>
  <sheetViews>
    <sheetView tabSelected="1" topLeftCell="AD1" workbookViewId="0">
      <selection activeCell="U15" sqref="U15:AS17"/>
    </sheetView>
  </sheetViews>
  <sheetFormatPr defaultRowHeight="14.45"/>
  <cols>
    <col min="1" max="1" width="17.140625" bestFit="1" customWidth="1"/>
    <col min="2" max="2" width="16" bestFit="1" customWidth="1"/>
    <col min="3" max="4" width="11.28515625" bestFit="1" customWidth="1"/>
    <col min="5" max="6" width="17.7109375" bestFit="1" customWidth="1"/>
    <col min="7" max="7" width="13.5703125" bestFit="1" customWidth="1"/>
    <col min="8" max="8" width="11.140625" bestFit="1" customWidth="1"/>
    <col min="9" max="9" width="10.140625" bestFit="1" customWidth="1"/>
    <col min="10" max="10" width="11.7109375" bestFit="1" customWidth="1"/>
    <col min="11" max="11" width="14.28515625" bestFit="1" customWidth="1"/>
    <col min="12" max="12" width="11.5703125" bestFit="1" customWidth="1"/>
    <col min="13" max="13" width="11.42578125" bestFit="1" customWidth="1"/>
    <col min="14" max="14" width="19.5703125" bestFit="1" customWidth="1"/>
    <col min="15" max="15" width="18" bestFit="1" customWidth="1"/>
    <col min="16" max="16" width="13.85546875" bestFit="1" customWidth="1"/>
    <col min="17" max="17" width="11.42578125" bestFit="1" customWidth="1"/>
    <col min="18" max="18" width="10.28515625" bestFit="1" customWidth="1"/>
    <col min="19" max="19" width="12" bestFit="1" customWidth="1"/>
    <col min="20" max="20" width="14.5703125" bestFit="1" customWidth="1"/>
    <col min="21" max="21" width="16.85546875" bestFit="1" customWidth="1"/>
    <col min="22" max="22" width="19.140625" bestFit="1" customWidth="1"/>
    <col min="23" max="23" width="19.28515625" bestFit="1" customWidth="1"/>
    <col min="24" max="24" width="18.42578125" bestFit="1" customWidth="1"/>
    <col min="25" max="25" width="18.7109375" bestFit="1" customWidth="1"/>
    <col min="26" max="26" width="12.7109375" bestFit="1" customWidth="1"/>
    <col min="27" max="27" width="13" bestFit="1" customWidth="1"/>
    <col min="28" max="28" width="12.7109375" bestFit="1" customWidth="1"/>
    <col min="29" max="29" width="13" bestFit="1" customWidth="1"/>
    <col min="30" max="30" width="10.28515625" bestFit="1" customWidth="1"/>
    <col min="31" max="31" width="10.5703125" bestFit="1" customWidth="1"/>
    <col min="32" max="32" width="15.42578125" bestFit="1" customWidth="1"/>
    <col min="33" max="33" width="11.7109375" bestFit="1" customWidth="1"/>
    <col min="34" max="34" width="14.85546875" bestFit="1" customWidth="1"/>
    <col min="35" max="35" width="15" bestFit="1" customWidth="1"/>
    <col min="36" max="36" width="14.7109375" bestFit="1" customWidth="1"/>
    <col min="37" max="37" width="15" bestFit="1" customWidth="1"/>
    <col min="38" max="38" width="12.5703125" bestFit="1" customWidth="1"/>
    <col min="39" max="39" width="10.7109375" bestFit="1" customWidth="1"/>
    <col min="40" max="40" width="16.140625" bestFit="1" customWidth="1"/>
    <col min="41" max="41" width="16.42578125" bestFit="1" customWidth="1"/>
    <col min="42" max="42" width="16" bestFit="1" customWidth="1"/>
    <col min="43" max="43" width="16.28515625" bestFit="1" customWidth="1"/>
    <col min="44" max="44" width="15.28515625" bestFit="1" customWidth="1"/>
    <col min="45" max="45" width="15.42578125" bestFit="1" customWidth="1"/>
  </cols>
  <sheetData>
    <row r="1" spans="1:45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5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t="s">
        <v>45</v>
      </c>
      <c r="B2" t="s">
        <v>46</v>
      </c>
      <c r="C2">
        <v>5</v>
      </c>
      <c r="D2">
        <v>3</v>
      </c>
      <c r="E2">
        <v>123.5</v>
      </c>
      <c r="F2">
        <v>60</v>
      </c>
      <c r="G2" s="13">
        <v>35080</v>
      </c>
      <c r="H2">
        <v>8</v>
      </c>
      <c r="I2">
        <v>0</v>
      </c>
      <c r="J2">
        <v>4</v>
      </c>
      <c r="K2">
        <v>37</v>
      </c>
      <c r="L2">
        <v>5</v>
      </c>
      <c r="M2">
        <v>3</v>
      </c>
      <c r="N2">
        <v>127.4</v>
      </c>
      <c r="O2">
        <v>63.5</v>
      </c>
      <c r="P2" s="13">
        <v>33919</v>
      </c>
      <c r="Q2">
        <v>9</v>
      </c>
      <c r="R2">
        <v>2</v>
      </c>
      <c r="S2">
        <v>0</v>
      </c>
      <c r="T2">
        <v>36</v>
      </c>
      <c r="U2" s="13">
        <v>45640</v>
      </c>
      <c r="V2">
        <f>(C2*30.48)+(D2*2.54)</f>
        <v>160.02000000000001</v>
      </c>
      <c r="W2">
        <f>(L2*30.48)+(M2*2.54)</f>
        <v>160.02000000000001</v>
      </c>
      <c r="X2">
        <f>F2*2.54</f>
        <v>152.4</v>
      </c>
      <c r="Y2">
        <f>O2*2.54</f>
        <v>161.29</v>
      </c>
      <c r="Z2">
        <f>DATEDIF(G2,U2,"Y")</f>
        <v>28</v>
      </c>
      <c r="AA2">
        <f>DATEDIF(P2,U2,"Y")</f>
        <v>32</v>
      </c>
      <c r="AB2">
        <f>H2+I2</f>
        <v>8</v>
      </c>
      <c r="AC2">
        <f>Q2+R2</f>
        <v>11</v>
      </c>
      <c r="AD2">
        <f>Z2-AA2</f>
        <v>-4</v>
      </c>
      <c r="AE2">
        <f>AA2-Z2</f>
        <v>4</v>
      </c>
      <c r="AF2">
        <f>V2-W2</f>
        <v>0</v>
      </c>
      <c r="AG2">
        <f>W2-V2</f>
        <v>0</v>
      </c>
      <c r="AH2">
        <f>E2-N2</f>
        <v>-3.9000000000000057</v>
      </c>
      <c r="AI2">
        <f>N2-E2</f>
        <v>3.9000000000000057</v>
      </c>
      <c r="AJ2">
        <f>X2-Y2</f>
        <v>-8.8899999999999864</v>
      </c>
      <c r="AK2">
        <f>Y2-X2</f>
        <v>8.8899999999999864</v>
      </c>
      <c r="AL2">
        <f>IF(I2=0,H2,H2/I2)</f>
        <v>8</v>
      </c>
      <c r="AM2">
        <f>IF(S2=0,R2,R2/S2)</f>
        <v>2</v>
      </c>
      <c r="AN2">
        <f>AB2-AC2</f>
        <v>-3</v>
      </c>
      <c r="AO2">
        <f>AC2-AB2</f>
        <v>3</v>
      </c>
      <c r="AP2">
        <f>AL2-AM2</f>
        <v>6</v>
      </c>
      <c r="AQ2">
        <f>AM2-AL2</f>
        <v>-6</v>
      </c>
      <c r="AR2">
        <f>J2-S2</f>
        <v>4</v>
      </c>
      <c r="AS2">
        <f>S2-J2</f>
        <v>-4</v>
      </c>
    </row>
    <row r="3" spans="1:45">
      <c r="A3" t="s">
        <v>47</v>
      </c>
      <c r="B3" t="s">
        <v>48</v>
      </c>
      <c r="C3">
        <v>5</v>
      </c>
      <c r="D3">
        <v>8</v>
      </c>
      <c r="E3">
        <v>148</v>
      </c>
      <c r="F3">
        <v>69</v>
      </c>
      <c r="G3" s="13">
        <v>31399</v>
      </c>
      <c r="H3">
        <v>15</v>
      </c>
      <c r="I3">
        <v>7</v>
      </c>
      <c r="J3">
        <v>0</v>
      </c>
      <c r="K3">
        <v>40</v>
      </c>
      <c r="L3">
        <v>5</v>
      </c>
      <c r="M3">
        <v>8</v>
      </c>
      <c r="N3">
        <v>149.6</v>
      </c>
      <c r="O3">
        <v>70</v>
      </c>
      <c r="P3" s="13">
        <v>34343</v>
      </c>
      <c r="Q3">
        <v>10</v>
      </c>
      <c r="R3">
        <v>2</v>
      </c>
      <c r="S3">
        <v>2</v>
      </c>
      <c r="T3">
        <v>39</v>
      </c>
      <c r="U3" s="13">
        <v>45640</v>
      </c>
      <c r="V3">
        <f>(C3*30.48)+(D3*2.54)</f>
        <v>172.72</v>
      </c>
      <c r="W3">
        <f>(L3*30.48)+(M3*2.54)</f>
        <v>172.72</v>
      </c>
      <c r="X3">
        <f>F3*2.54</f>
        <v>175.26</v>
      </c>
      <c r="Y3">
        <f>O3*2.54</f>
        <v>177.8</v>
      </c>
      <c r="Z3">
        <f>DATEDIF(G3,U3,"Y")</f>
        <v>38</v>
      </c>
      <c r="AA3">
        <f>DATEDIF(P3,U3,"Y")</f>
        <v>30</v>
      </c>
      <c r="AB3">
        <f>H3+I3</f>
        <v>22</v>
      </c>
      <c r="AC3">
        <f>Q3+R3</f>
        <v>12</v>
      </c>
      <c r="AD3">
        <f t="shared" ref="AD3:AD16" si="0">Z3-AA3</f>
        <v>8</v>
      </c>
      <c r="AE3">
        <f t="shared" ref="AE3:AE16" si="1">AA3-Z3</f>
        <v>-8</v>
      </c>
      <c r="AF3">
        <f t="shared" ref="AF3:AF16" si="2">V3-W3</f>
        <v>0</v>
      </c>
      <c r="AG3">
        <f t="shared" ref="AG3:AG16" si="3">W3-V3</f>
        <v>0</v>
      </c>
      <c r="AH3">
        <f>E3-N3</f>
        <v>-1.5999999999999943</v>
      </c>
      <c r="AI3">
        <f>N3-E3</f>
        <v>1.5999999999999943</v>
      </c>
      <c r="AJ3">
        <f t="shared" ref="AJ3:AJ16" si="4">X3-Y3</f>
        <v>-2.5400000000000205</v>
      </c>
      <c r="AK3">
        <f t="shared" ref="AK3:AK16" si="5">Y3-X3</f>
        <v>2.5400000000000205</v>
      </c>
      <c r="AL3">
        <f>IF(I3=0,H3,H3/I3)</f>
        <v>2.1428571428571428</v>
      </c>
      <c r="AM3">
        <f>IF(S3=0,R3,R3/S3)</f>
        <v>1</v>
      </c>
      <c r="AN3">
        <f t="shared" ref="AN3:AN16" si="6">AB3-AC3</f>
        <v>10</v>
      </c>
      <c r="AO3">
        <f t="shared" ref="AO3:AO16" si="7">AC3-AB3</f>
        <v>-10</v>
      </c>
      <c r="AP3">
        <f t="shared" ref="AP3:AP16" si="8">AL3-AM3</f>
        <v>1.1428571428571428</v>
      </c>
      <c r="AQ3">
        <f t="shared" ref="AQ3:AQ16" si="9">AM3-AL3</f>
        <v>-1.1428571428571428</v>
      </c>
      <c r="AR3">
        <f>J3-S3</f>
        <v>-2</v>
      </c>
      <c r="AS3">
        <f>S3-J3</f>
        <v>2</v>
      </c>
    </row>
    <row r="4" spans="1:45">
      <c r="A4" t="s">
        <v>49</v>
      </c>
      <c r="B4" t="s">
        <v>50</v>
      </c>
      <c r="C4">
        <v>5</v>
      </c>
      <c r="D4">
        <v>3</v>
      </c>
      <c r="E4">
        <v>134.4</v>
      </c>
      <c r="F4">
        <v>65.5</v>
      </c>
      <c r="G4" s="13">
        <v>35612</v>
      </c>
      <c r="H4">
        <v>16</v>
      </c>
      <c r="I4">
        <v>5</v>
      </c>
      <c r="J4">
        <v>3</v>
      </c>
      <c r="K4">
        <v>38</v>
      </c>
      <c r="L4">
        <v>5</v>
      </c>
      <c r="M4">
        <v>7</v>
      </c>
      <c r="N4">
        <v>135.80000000000001</v>
      </c>
      <c r="O4">
        <v>66</v>
      </c>
      <c r="P4" s="13">
        <v>32962</v>
      </c>
      <c r="Q4">
        <v>7</v>
      </c>
      <c r="R4">
        <v>1</v>
      </c>
      <c r="S4">
        <v>1</v>
      </c>
      <c r="T4">
        <v>42</v>
      </c>
      <c r="U4" s="13">
        <v>45640</v>
      </c>
      <c r="V4">
        <f>(C4*30.48)+(D4*2.54)</f>
        <v>160.02000000000001</v>
      </c>
      <c r="W4">
        <f>(L4*30.48)+(M4*2.54)</f>
        <v>170.18</v>
      </c>
      <c r="X4">
        <f>F4*2.54</f>
        <v>166.37</v>
      </c>
      <c r="Y4">
        <f>O4*2.54</f>
        <v>167.64000000000001</v>
      </c>
      <c r="Z4">
        <f>DATEDIF(G4,U4,"Y")</f>
        <v>27</v>
      </c>
      <c r="AA4">
        <f>DATEDIF(P4,U4,"Y")</f>
        <v>34</v>
      </c>
      <c r="AB4">
        <f>H4+I4</f>
        <v>21</v>
      </c>
      <c r="AC4">
        <f>Q4+R4</f>
        <v>8</v>
      </c>
      <c r="AD4">
        <f t="shared" si="0"/>
        <v>-7</v>
      </c>
      <c r="AE4">
        <f t="shared" si="1"/>
        <v>7</v>
      </c>
      <c r="AF4">
        <f t="shared" si="2"/>
        <v>-10.159999999999997</v>
      </c>
      <c r="AG4">
        <f t="shared" si="3"/>
        <v>10.159999999999997</v>
      </c>
      <c r="AH4">
        <f>E4-N4</f>
        <v>-1.4000000000000057</v>
      </c>
      <c r="AI4">
        <f>N4-E4</f>
        <v>1.4000000000000057</v>
      </c>
      <c r="AJ4">
        <f t="shared" si="4"/>
        <v>-1.2700000000000102</v>
      </c>
      <c r="AK4">
        <f t="shared" si="5"/>
        <v>1.2700000000000102</v>
      </c>
      <c r="AL4">
        <f>IF(I4=0,H4,H4/I4)</f>
        <v>3.2</v>
      </c>
      <c r="AM4">
        <f>IF(S4=0,R4,R4/S4)</f>
        <v>1</v>
      </c>
      <c r="AN4">
        <f t="shared" si="6"/>
        <v>13</v>
      </c>
      <c r="AO4">
        <f t="shared" si="7"/>
        <v>-13</v>
      </c>
      <c r="AP4">
        <f t="shared" si="8"/>
        <v>2.2000000000000002</v>
      </c>
      <c r="AQ4">
        <f t="shared" si="9"/>
        <v>-2.2000000000000002</v>
      </c>
      <c r="AR4">
        <f>J4-S4</f>
        <v>2</v>
      </c>
      <c r="AS4">
        <f>S4-J4</f>
        <v>-2</v>
      </c>
    </row>
    <row r="5" spans="1:45">
      <c r="A5" t="s">
        <v>51</v>
      </c>
      <c r="B5" t="s">
        <v>52</v>
      </c>
      <c r="C5">
        <v>5</v>
      </c>
      <c r="D5">
        <v>7</v>
      </c>
      <c r="E5">
        <v>154</v>
      </c>
      <c r="F5">
        <v>68</v>
      </c>
      <c r="G5" s="13">
        <v>34423</v>
      </c>
      <c r="H5">
        <v>15</v>
      </c>
      <c r="I5">
        <v>2</v>
      </c>
      <c r="J5">
        <v>2</v>
      </c>
      <c r="K5">
        <v>37.5</v>
      </c>
      <c r="L5">
        <v>5</v>
      </c>
      <c r="M5">
        <v>6</v>
      </c>
      <c r="N5">
        <v>158.69999999999999</v>
      </c>
      <c r="O5">
        <v>68</v>
      </c>
      <c r="P5" s="13">
        <v>35922</v>
      </c>
      <c r="Q5">
        <v>13</v>
      </c>
      <c r="R5">
        <v>1</v>
      </c>
      <c r="S5">
        <v>1</v>
      </c>
      <c r="T5">
        <v>38</v>
      </c>
      <c r="U5" s="13">
        <v>45640</v>
      </c>
      <c r="V5">
        <f t="shared" ref="V5:V17" si="10">(C5*30.48)+(D5*2.54)</f>
        <v>170.18</v>
      </c>
      <c r="W5">
        <f t="shared" ref="W5:W17" si="11">(L5*30.48)+(M5*2.54)</f>
        <v>167.64000000000001</v>
      </c>
      <c r="X5">
        <f t="shared" ref="X5:X17" si="12">F5*2.54</f>
        <v>172.72</v>
      </c>
      <c r="Y5">
        <f t="shared" ref="Y5:Y17" si="13">O5*2.54</f>
        <v>172.72</v>
      </c>
      <c r="Z5">
        <f>DATEDIF(G5,U5,"Y")</f>
        <v>30</v>
      </c>
      <c r="AA5">
        <f t="shared" ref="AA5:AA17" si="14">DATEDIF(P5,U5,"Y")</f>
        <v>26</v>
      </c>
      <c r="AB5">
        <f t="shared" ref="AB5:AB17" si="15">H5+I5</f>
        <v>17</v>
      </c>
      <c r="AC5">
        <f t="shared" ref="AC5:AC17" si="16">Q5+R5</f>
        <v>14</v>
      </c>
      <c r="AD5">
        <f t="shared" ref="AD5:AD17" si="17">Z5-AA5</f>
        <v>4</v>
      </c>
      <c r="AE5">
        <f t="shared" ref="AE5:AE17" si="18">AA5-Z5</f>
        <v>-4</v>
      </c>
      <c r="AF5">
        <f t="shared" ref="AF5:AF17" si="19">V5-W5</f>
        <v>2.539999999999992</v>
      </c>
      <c r="AG5">
        <f t="shared" ref="AG5:AG17" si="20">W5-V5</f>
        <v>-2.539999999999992</v>
      </c>
      <c r="AH5">
        <f>E5-N5</f>
        <v>-4.6999999999999886</v>
      </c>
      <c r="AI5">
        <f>N5-E5</f>
        <v>4.6999999999999886</v>
      </c>
      <c r="AJ5">
        <f t="shared" ref="AJ5:AJ17" si="21">X5-Y5</f>
        <v>0</v>
      </c>
      <c r="AK5">
        <f t="shared" ref="AK5:AK17" si="22">Y5-X5</f>
        <v>0</v>
      </c>
      <c r="AL5">
        <f t="shared" ref="AL5:AL17" si="23">IF(I5=0,H5,H5/I5)</f>
        <v>7.5</v>
      </c>
      <c r="AM5">
        <f t="shared" ref="AM5:AM17" si="24">IF(S5=0,R5,R5/S5)</f>
        <v>1</v>
      </c>
      <c r="AN5">
        <f t="shared" ref="AN5:AN17" si="25">AB5-AC5</f>
        <v>3</v>
      </c>
      <c r="AO5">
        <f t="shared" ref="AO5:AO17" si="26">AC5-AB5</f>
        <v>-3</v>
      </c>
      <c r="AP5">
        <f t="shared" ref="AP5:AP17" si="27">AL5-AM5</f>
        <v>6.5</v>
      </c>
      <c r="AQ5">
        <f t="shared" ref="AQ5:AQ17" si="28">AM5-AL5</f>
        <v>-6.5</v>
      </c>
      <c r="AR5">
        <f>J5-S5</f>
        <v>1</v>
      </c>
      <c r="AS5">
        <f>S5-J5</f>
        <v>-1</v>
      </c>
    </row>
    <row r="6" spans="1:45">
      <c r="A6" t="s">
        <v>53</v>
      </c>
      <c r="B6" t="s">
        <v>54</v>
      </c>
      <c r="C6">
        <v>6</v>
      </c>
      <c r="D6">
        <v>2</v>
      </c>
      <c r="E6">
        <v>160</v>
      </c>
      <c r="F6">
        <v>78</v>
      </c>
      <c r="G6" s="13">
        <v>33762</v>
      </c>
      <c r="H6">
        <v>12</v>
      </c>
      <c r="I6">
        <v>1</v>
      </c>
      <c r="J6">
        <v>3</v>
      </c>
      <c r="K6">
        <v>44</v>
      </c>
      <c r="L6">
        <v>6</v>
      </c>
      <c r="M6">
        <v>1</v>
      </c>
      <c r="N6">
        <v>159</v>
      </c>
      <c r="O6">
        <v>76</v>
      </c>
      <c r="P6" s="13">
        <v>35414</v>
      </c>
      <c r="Q6">
        <v>16</v>
      </c>
      <c r="R6">
        <v>5</v>
      </c>
      <c r="S6">
        <v>1</v>
      </c>
      <c r="T6">
        <v>43</v>
      </c>
      <c r="U6" s="13">
        <v>45640</v>
      </c>
      <c r="V6">
        <f t="shared" si="10"/>
        <v>187.96</v>
      </c>
      <c r="W6">
        <f t="shared" si="11"/>
        <v>185.42</v>
      </c>
      <c r="X6">
        <f t="shared" si="12"/>
        <v>198.12</v>
      </c>
      <c r="Y6">
        <f t="shared" si="13"/>
        <v>193.04</v>
      </c>
      <c r="Z6">
        <f>DATEDIF(G6,U6,"Y")</f>
        <v>32</v>
      </c>
      <c r="AA6">
        <f t="shared" si="14"/>
        <v>27</v>
      </c>
      <c r="AB6">
        <f t="shared" si="15"/>
        <v>13</v>
      </c>
      <c r="AC6">
        <f t="shared" si="16"/>
        <v>21</v>
      </c>
      <c r="AD6">
        <f t="shared" si="17"/>
        <v>5</v>
      </c>
      <c r="AE6">
        <f t="shared" si="18"/>
        <v>-5</v>
      </c>
      <c r="AF6">
        <f t="shared" si="19"/>
        <v>2.5400000000000205</v>
      </c>
      <c r="AG6">
        <f t="shared" si="20"/>
        <v>-2.5400000000000205</v>
      </c>
      <c r="AH6">
        <f>E6-N6</f>
        <v>1</v>
      </c>
      <c r="AI6">
        <f>N6-E6</f>
        <v>-1</v>
      </c>
      <c r="AJ6">
        <f t="shared" si="21"/>
        <v>5.0800000000000125</v>
      </c>
      <c r="AK6">
        <f t="shared" si="22"/>
        <v>-5.0800000000000125</v>
      </c>
      <c r="AL6">
        <f t="shared" si="23"/>
        <v>12</v>
      </c>
      <c r="AM6">
        <f t="shared" si="24"/>
        <v>5</v>
      </c>
      <c r="AN6">
        <f t="shared" si="25"/>
        <v>-8</v>
      </c>
      <c r="AO6">
        <f t="shared" si="26"/>
        <v>8</v>
      </c>
      <c r="AP6">
        <f t="shared" si="27"/>
        <v>7</v>
      </c>
      <c r="AQ6">
        <f t="shared" si="28"/>
        <v>-7</v>
      </c>
      <c r="AR6">
        <f>J6-S6</f>
        <v>2</v>
      </c>
      <c r="AS6">
        <f>S6-J6</f>
        <v>-2</v>
      </c>
    </row>
    <row r="7" spans="1:45">
      <c r="A7" t="s">
        <v>55</v>
      </c>
      <c r="B7" t="s">
        <v>56</v>
      </c>
      <c r="C7">
        <v>6</v>
      </c>
      <c r="D7">
        <v>2</v>
      </c>
      <c r="E7">
        <v>167.5</v>
      </c>
      <c r="F7">
        <v>77</v>
      </c>
      <c r="G7" s="13">
        <v>34030</v>
      </c>
      <c r="H7">
        <v>21</v>
      </c>
      <c r="I7">
        <v>3</v>
      </c>
      <c r="J7">
        <v>2</v>
      </c>
      <c r="K7">
        <v>42</v>
      </c>
      <c r="L7">
        <v>5</v>
      </c>
      <c r="M7">
        <v>9</v>
      </c>
      <c r="N7">
        <v>173.6</v>
      </c>
      <c r="O7">
        <v>70</v>
      </c>
      <c r="P7" s="13">
        <v>32211</v>
      </c>
      <c r="Q7">
        <v>15</v>
      </c>
      <c r="R7">
        <v>2</v>
      </c>
      <c r="S7">
        <v>4</v>
      </c>
      <c r="T7">
        <v>39</v>
      </c>
      <c r="U7" s="13">
        <v>45640</v>
      </c>
      <c r="V7">
        <f t="shared" si="10"/>
        <v>187.96</v>
      </c>
      <c r="W7">
        <f t="shared" si="11"/>
        <v>175.26</v>
      </c>
      <c r="X7">
        <f t="shared" si="12"/>
        <v>195.58</v>
      </c>
      <c r="Y7">
        <f t="shared" si="13"/>
        <v>177.8</v>
      </c>
      <c r="Z7">
        <f>DATEDIF(G7,U7,"Y")</f>
        <v>31</v>
      </c>
      <c r="AA7">
        <f t="shared" si="14"/>
        <v>36</v>
      </c>
      <c r="AB7">
        <f t="shared" si="15"/>
        <v>24</v>
      </c>
      <c r="AC7">
        <f t="shared" si="16"/>
        <v>17</v>
      </c>
      <c r="AD7">
        <f t="shared" si="17"/>
        <v>-5</v>
      </c>
      <c r="AE7">
        <f t="shared" si="18"/>
        <v>5</v>
      </c>
      <c r="AF7">
        <f t="shared" si="19"/>
        <v>12.700000000000017</v>
      </c>
      <c r="AG7">
        <f t="shared" si="20"/>
        <v>-12.700000000000017</v>
      </c>
      <c r="AH7">
        <f>E7-N7</f>
        <v>-6.0999999999999943</v>
      </c>
      <c r="AI7">
        <f>N7-E7</f>
        <v>6.0999999999999943</v>
      </c>
      <c r="AJ7">
        <f t="shared" si="21"/>
        <v>17.78</v>
      </c>
      <c r="AK7">
        <f t="shared" si="22"/>
        <v>-17.78</v>
      </c>
      <c r="AL7">
        <f t="shared" si="23"/>
        <v>7</v>
      </c>
      <c r="AM7">
        <f t="shared" si="24"/>
        <v>0.5</v>
      </c>
      <c r="AN7">
        <f t="shared" si="25"/>
        <v>7</v>
      </c>
      <c r="AO7">
        <f t="shared" si="26"/>
        <v>-7</v>
      </c>
      <c r="AP7">
        <f t="shared" si="27"/>
        <v>6.5</v>
      </c>
      <c r="AQ7">
        <f t="shared" si="28"/>
        <v>-6.5</v>
      </c>
      <c r="AR7">
        <f>J7-S7</f>
        <v>-2</v>
      </c>
      <c r="AS7">
        <f>S7-J7</f>
        <v>2</v>
      </c>
    </row>
    <row r="8" spans="1:45">
      <c r="A8" t="s">
        <v>57</v>
      </c>
      <c r="B8" t="s">
        <v>58</v>
      </c>
      <c r="C8">
        <v>5</v>
      </c>
      <c r="D8">
        <v>10</v>
      </c>
      <c r="E8">
        <v>170</v>
      </c>
      <c r="F8">
        <v>73.5</v>
      </c>
      <c r="G8" s="13">
        <v>31567</v>
      </c>
      <c r="H8">
        <v>23</v>
      </c>
      <c r="I8">
        <v>19</v>
      </c>
      <c r="J8">
        <v>1</v>
      </c>
      <c r="K8">
        <v>41</v>
      </c>
      <c r="L8">
        <v>5</v>
      </c>
      <c r="M8">
        <v>8</v>
      </c>
      <c r="N8">
        <v>168.9</v>
      </c>
      <c r="O8">
        <v>71</v>
      </c>
      <c r="P8" s="13">
        <v>32924</v>
      </c>
      <c r="Q8">
        <v>13</v>
      </c>
      <c r="R8">
        <v>2</v>
      </c>
      <c r="S8">
        <v>0</v>
      </c>
      <c r="T8">
        <v>38</v>
      </c>
      <c r="U8" s="13">
        <v>45640</v>
      </c>
      <c r="V8">
        <f t="shared" si="10"/>
        <v>177.8</v>
      </c>
      <c r="W8">
        <f t="shared" si="11"/>
        <v>172.72</v>
      </c>
      <c r="X8">
        <f t="shared" si="12"/>
        <v>186.69</v>
      </c>
      <c r="Y8">
        <f t="shared" si="13"/>
        <v>180.34</v>
      </c>
      <c r="Z8">
        <f>DATEDIF(G8,U8,"Y")</f>
        <v>38</v>
      </c>
      <c r="AA8">
        <f t="shared" si="14"/>
        <v>34</v>
      </c>
      <c r="AB8">
        <f t="shared" si="15"/>
        <v>42</v>
      </c>
      <c r="AC8">
        <f t="shared" si="16"/>
        <v>15</v>
      </c>
      <c r="AD8">
        <f t="shared" si="17"/>
        <v>4</v>
      </c>
      <c r="AE8">
        <f t="shared" si="18"/>
        <v>-4</v>
      </c>
      <c r="AF8">
        <f t="shared" si="19"/>
        <v>5.0800000000000125</v>
      </c>
      <c r="AG8">
        <f t="shared" si="20"/>
        <v>-5.0800000000000125</v>
      </c>
      <c r="AH8">
        <f>E8-N8</f>
        <v>1.0999999999999943</v>
      </c>
      <c r="AI8">
        <f>N8-E8</f>
        <v>-1.0999999999999943</v>
      </c>
      <c r="AJ8">
        <f t="shared" si="21"/>
        <v>6.3499999999999943</v>
      </c>
      <c r="AK8">
        <f t="shared" si="22"/>
        <v>-6.3499999999999943</v>
      </c>
      <c r="AL8">
        <f t="shared" si="23"/>
        <v>1.2105263157894737</v>
      </c>
      <c r="AM8">
        <f t="shared" si="24"/>
        <v>2</v>
      </c>
      <c r="AN8">
        <f t="shared" si="25"/>
        <v>27</v>
      </c>
      <c r="AO8">
        <f t="shared" si="26"/>
        <v>-27</v>
      </c>
      <c r="AP8">
        <f t="shared" si="27"/>
        <v>-0.78947368421052633</v>
      </c>
      <c r="AQ8">
        <f t="shared" si="28"/>
        <v>0.78947368421052633</v>
      </c>
      <c r="AR8">
        <f>J8-S8</f>
        <v>1</v>
      </c>
      <c r="AS8">
        <f>S8-J8</f>
        <v>-1</v>
      </c>
    </row>
    <row r="9" spans="1:45">
      <c r="A9" t="s">
        <v>59</v>
      </c>
      <c r="B9" t="s">
        <v>60</v>
      </c>
      <c r="C9">
        <v>6</v>
      </c>
      <c r="D9">
        <v>4</v>
      </c>
      <c r="E9">
        <v>219.2</v>
      </c>
      <c r="F9">
        <v>79</v>
      </c>
      <c r="G9" s="13">
        <v>35741</v>
      </c>
      <c r="H9">
        <v>5</v>
      </c>
      <c r="I9">
        <v>0</v>
      </c>
      <c r="J9">
        <v>1</v>
      </c>
      <c r="K9">
        <v>43</v>
      </c>
      <c r="L9">
        <v>6</v>
      </c>
      <c r="M9">
        <v>4</v>
      </c>
      <c r="N9">
        <v>225</v>
      </c>
      <c r="O9">
        <v>76</v>
      </c>
      <c r="P9" s="13">
        <v>33054</v>
      </c>
      <c r="Q9">
        <v>10</v>
      </c>
      <c r="R9">
        <v>4</v>
      </c>
      <c r="S9">
        <v>0</v>
      </c>
      <c r="T9">
        <v>42</v>
      </c>
      <c r="U9" s="13">
        <v>45640</v>
      </c>
      <c r="V9">
        <f t="shared" si="10"/>
        <v>193.04</v>
      </c>
      <c r="W9">
        <f t="shared" si="11"/>
        <v>193.04</v>
      </c>
      <c r="X9">
        <f t="shared" si="12"/>
        <v>200.66</v>
      </c>
      <c r="Y9">
        <f t="shared" si="13"/>
        <v>193.04</v>
      </c>
      <c r="Z9">
        <f>DATEDIF(G9,U9,"Y")</f>
        <v>27</v>
      </c>
      <c r="AA9">
        <f t="shared" si="14"/>
        <v>34</v>
      </c>
      <c r="AB9">
        <f t="shared" si="15"/>
        <v>5</v>
      </c>
      <c r="AC9">
        <f t="shared" si="16"/>
        <v>14</v>
      </c>
      <c r="AD9">
        <f t="shared" si="17"/>
        <v>-7</v>
      </c>
      <c r="AE9">
        <f t="shared" si="18"/>
        <v>7</v>
      </c>
      <c r="AF9">
        <f t="shared" si="19"/>
        <v>0</v>
      </c>
      <c r="AG9">
        <f t="shared" si="20"/>
        <v>0</v>
      </c>
      <c r="AH9">
        <f>E9-N9</f>
        <v>-5.8000000000000114</v>
      </c>
      <c r="AI9">
        <f>N9-E9</f>
        <v>5.8000000000000114</v>
      </c>
      <c r="AJ9">
        <f t="shared" si="21"/>
        <v>7.6200000000000045</v>
      </c>
      <c r="AK9">
        <f t="shared" si="22"/>
        <v>-7.6200000000000045</v>
      </c>
      <c r="AL9">
        <f t="shared" si="23"/>
        <v>5</v>
      </c>
      <c r="AM9">
        <f t="shared" si="24"/>
        <v>4</v>
      </c>
      <c r="AN9">
        <f t="shared" si="25"/>
        <v>-9</v>
      </c>
      <c r="AO9">
        <f t="shared" si="26"/>
        <v>9</v>
      </c>
      <c r="AP9">
        <f t="shared" si="27"/>
        <v>1</v>
      </c>
      <c r="AQ9">
        <f t="shared" si="28"/>
        <v>-1</v>
      </c>
      <c r="AR9">
        <f>J9-S9</f>
        <v>1</v>
      </c>
      <c r="AS9">
        <f>S9-J9</f>
        <v>-1</v>
      </c>
    </row>
    <row r="10" spans="1:45">
      <c r="A10" t="s">
        <v>61</v>
      </c>
      <c r="B10" t="s">
        <v>62</v>
      </c>
      <c r="C10">
        <v>5</v>
      </c>
      <c r="D10">
        <v>7</v>
      </c>
      <c r="E10">
        <v>149</v>
      </c>
      <c r="F10">
        <v>70</v>
      </c>
      <c r="G10" s="13">
        <v>34302</v>
      </c>
      <c r="H10">
        <v>17</v>
      </c>
      <c r="I10">
        <v>5</v>
      </c>
      <c r="J10">
        <v>1</v>
      </c>
      <c r="K10">
        <v>38</v>
      </c>
      <c r="L10">
        <v>5</v>
      </c>
      <c r="M10">
        <v>7</v>
      </c>
      <c r="N10">
        <v>148.80000000000001</v>
      </c>
      <c r="O10">
        <v>69</v>
      </c>
      <c r="P10" s="13">
        <v>34035</v>
      </c>
      <c r="Q10">
        <v>16</v>
      </c>
      <c r="R10">
        <v>0</v>
      </c>
      <c r="S10">
        <v>4</v>
      </c>
      <c r="T10">
        <v>40</v>
      </c>
      <c r="U10" s="13">
        <v>45640</v>
      </c>
      <c r="V10">
        <f t="shared" si="10"/>
        <v>170.18</v>
      </c>
      <c r="W10">
        <f t="shared" si="11"/>
        <v>170.18</v>
      </c>
      <c r="X10">
        <f t="shared" si="12"/>
        <v>177.8</v>
      </c>
      <c r="Y10">
        <f t="shared" si="13"/>
        <v>175.26</v>
      </c>
      <c r="Z10">
        <f>DATEDIF(G10,U10,"Y")</f>
        <v>31</v>
      </c>
      <c r="AA10">
        <f t="shared" si="14"/>
        <v>31</v>
      </c>
      <c r="AB10">
        <f t="shared" si="15"/>
        <v>22</v>
      </c>
      <c r="AC10">
        <f t="shared" si="16"/>
        <v>16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>E10-N10</f>
        <v>0.19999999999998863</v>
      </c>
      <c r="AI10">
        <f>N10-E10</f>
        <v>-0.19999999999998863</v>
      </c>
      <c r="AJ10">
        <f t="shared" si="21"/>
        <v>2.5400000000000205</v>
      </c>
      <c r="AK10">
        <f t="shared" si="22"/>
        <v>-2.5400000000000205</v>
      </c>
      <c r="AL10">
        <f t="shared" si="23"/>
        <v>3.4</v>
      </c>
      <c r="AM10">
        <f t="shared" si="24"/>
        <v>0</v>
      </c>
      <c r="AN10">
        <f t="shared" si="25"/>
        <v>6</v>
      </c>
      <c r="AO10">
        <f t="shared" si="26"/>
        <v>-6</v>
      </c>
      <c r="AP10">
        <f t="shared" si="27"/>
        <v>3.4</v>
      </c>
      <c r="AQ10">
        <f t="shared" si="28"/>
        <v>-3.4</v>
      </c>
      <c r="AR10">
        <f>J10-S10</f>
        <v>-3</v>
      </c>
      <c r="AS10">
        <f>S10-J10</f>
        <v>3</v>
      </c>
    </row>
    <row r="11" spans="1:45">
      <c r="A11" t="s">
        <v>63</v>
      </c>
      <c r="B11" t="s">
        <v>64</v>
      </c>
      <c r="C11">
        <v>6</v>
      </c>
      <c r="D11">
        <v>2</v>
      </c>
      <c r="E11">
        <v>221</v>
      </c>
      <c r="F11">
        <v>77.5</v>
      </c>
      <c r="G11" s="13">
        <v>35670</v>
      </c>
      <c r="H11">
        <v>11</v>
      </c>
      <c r="I11">
        <v>1</v>
      </c>
      <c r="J11">
        <v>0</v>
      </c>
      <c r="K11">
        <v>42.5</v>
      </c>
      <c r="L11">
        <v>6</v>
      </c>
      <c r="M11">
        <v>3</v>
      </c>
      <c r="N11">
        <v>215</v>
      </c>
      <c r="O11">
        <v>76</v>
      </c>
      <c r="P11" s="13">
        <v>32237</v>
      </c>
      <c r="Q11">
        <v>19</v>
      </c>
      <c r="R11">
        <v>9</v>
      </c>
      <c r="S11">
        <v>0</v>
      </c>
      <c r="T11">
        <v>45</v>
      </c>
      <c r="U11" s="13">
        <v>45640</v>
      </c>
      <c r="V11">
        <f t="shared" si="10"/>
        <v>187.96</v>
      </c>
      <c r="W11">
        <f t="shared" si="11"/>
        <v>190.5</v>
      </c>
      <c r="X11">
        <f t="shared" si="12"/>
        <v>196.85</v>
      </c>
      <c r="Y11">
        <f t="shared" si="13"/>
        <v>193.04</v>
      </c>
      <c r="Z11">
        <f>DATEDIF(G11,U11,"Y")</f>
        <v>27</v>
      </c>
      <c r="AA11">
        <f t="shared" si="14"/>
        <v>36</v>
      </c>
      <c r="AB11">
        <f t="shared" si="15"/>
        <v>12</v>
      </c>
      <c r="AC11">
        <f t="shared" si="16"/>
        <v>28</v>
      </c>
      <c r="AD11">
        <f t="shared" si="17"/>
        <v>-9</v>
      </c>
      <c r="AE11">
        <f t="shared" si="18"/>
        <v>9</v>
      </c>
      <c r="AF11">
        <f t="shared" si="19"/>
        <v>-2.539999999999992</v>
      </c>
      <c r="AG11">
        <f t="shared" si="20"/>
        <v>2.539999999999992</v>
      </c>
      <c r="AH11">
        <f>E11-N11</f>
        <v>6</v>
      </c>
      <c r="AI11">
        <f>N11-E11</f>
        <v>-6</v>
      </c>
      <c r="AJ11">
        <f t="shared" si="21"/>
        <v>3.8100000000000023</v>
      </c>
      <c r="AK11">
        <f t="shared" si="22"/>
        <v>-3.8100000000000023</v>
      </c>
      <c r="AL11">
        <f t="shared" si="23"/>
        <v>11</v>
      </c>
      <c r="AM11">
        <f t="shared" si="24"/>
        <v>9</v>
      </c>
      <c r="AN11">
        <f t="shared" si="25"/>
        <v>-16</v>
      </c>
      <c r="AO11">
        <f t="shared" si="26"/>
        <v>16</v>
      </c>
      <c r="AP11">
        <f t="shared" si="27"/>
        <v>2</v>
      </c>
      <c r="AQ11">
        <f t="shared" si="28"/>
        <v>-2</v>
      </c>
      <c r="AR11">
        <f>J11-S11</f>
        <v>0</v>
      </c>
      <c r="AS11">
        <f>S11-J11</f>
        <v>0</v>
      </c>
    </row>
    <row r="12" spans="1:45">
      <c r="A12" t="s">
        <v>65</v>
      </c>
      <c r="B12" t="s">
        <v>66</v>
      </c>
      <c r="C12">
        <v>5</v>
      </c>
      <c r="D12">
        <v>5</v>
      </c>
      <c r="E12">
        <v>137.80000000000001</v>
      </c>
      <c r="F12">
        <v>68</v>
      </c>
      <c r="G12" s="13">
        <v>34287</v>
      </c>
      <c r="H12">
        <v>19</v>
      </c>
      <c r="I12">
        <v>7</v>
      </c>
      <c r="J12">
        <v>0</v>
      </c>
      <c r="K12">
        <v>39</v>
      </c>
      <c r="L12">
        <v>5</v>
      </c>
      <c r="M12">
        <v>4</v>
      </c>
      <c r="N12">
        <v>135.5</v>
      </c>
      <c r="O12">
        <v>65</v>
      </c>
      <c r="P12" s="13">
        <v>32948</v>
      </c>
      <c r="Q12">
        <v>14</v>
      </c>
      <c r="R12">
        <v>5</v>
      </c>
      <c r="S12">
        <v>4</v>
      </c>
      <c r="T12">
        <v>35</v>
      </c>
      <c r="U12" s="13">
        <v>45640</v>
      </c>
      <c r="V12">
        <f t="shared" si="10"/>
        <v>165.1</v>
      </c>
      <c r="W12">
        <f t="shared" si="11"/>
        <v>162.56</v>
      </c>
      <c r="X12">
        <f t="shared" si="12"/>
        <v>172.72</v>
      </c>
      <c r="Y12">
        <f t="shared" si="13"/>
        <v>165.1</v>
      </c>
      <c r="Z12">
        <f>DATEDIF(G12,U12,"Y")</f>
        <v>31</v>
      </c>
      <c r="AA12">
        <f t="shared" si="14"/>
        <v>34</v>
      </c>
      <c r="AB12">
        <f t="shared" si="15"/>
        <v>26</v>
      </c>
      <c r="AC12">
        <f t="shared" si="16"/>
        <v>19</v>
      </c>
      <c r="AD12">
        <f t="shared" si="17"/>
        <v>-3</v>
      </c>
      <c r="AE12">
        <f t="shared" si="18"/>
        <v>3</v>
      </c>
      <c r="AF12">
        <f t="shared" si="19"/>
        <v>2.539999999999992</v>
      </c>
      <c r="AG12">
        <f t="shared" si="20"/>
        <v>-2.539999999999992</v>
      </c>
      <c r="AH12">
        <f>E12-N12</f>
        <v>2.3000000000000114</v>
      </c>
      <c r="AI12">
        <f>N12-E12</f>
        <v>-2.3000000000000114</v>
      </c>
      <c r="AJ12">
        <f t="shared" si="21"/>
        <v>7.6200000000000045</v>
      </c>
      <c r="AK12">
        <f t="shared" si="22"/>
        <v>-7.6200000000000045</v>
      </c>
      <c r="AL12">
        <f t="shared" si="23"/>
        <v>2.7142857142857144</v>
      </c>
      <c r="AM12">
        <f t="shared" si="24"/>
        <v>1.25</v>
      </c>
      <c r="AN12">
        <f t="shared" si="25"/>
        <v>7</v>
      </c>
      <c r="AO12">
        <f t="shared" si="26"/>
        <v>-7</v>
      </c>
      <c r="AP12">
        <f t="shared" si="27"/>
        <v>1.4642857142857144</v>
      </c>
      <c r="AQ12">
        <f t="shared" si="28"/>
        <v>-1.4642857142857144</v>
      </c>
      <c r="AR12">
        <f>J12-S12</f>
        <v>-4</v>
      </c>
      <c r="AS12">
        <f>S12-J12</f>
        <v>4</v>
      </c>
    </row>
    <row r="13" spans="1:45">
      <c r="A13" t="s">
        <v>67</v>
      </c>
      <c r="B13" t="s">
        <v>68</v>
      </c>
      <c r="C13">
        <v>5</v>
      </c>
      <c r="D13">
        <v>8</v>
      </c>
      <c r="E13">
        <v>163</v>
      </c>
      <c r="F13">
        <v>70</v>
      </c>
      <c r="G13" s="13">
        <v>30622</v>
      </c>
      <c r="H13">
        <v>29</v>
      </c>
      <c r="I13">
        <v>14</v>
      </c>
      <c r="J13">
        <v>0</v>
      </c>
      <c r="K13">
        <v>38</v>
      </c>
      <c r="L13">
        <v>5</v>
      </c>
      <c r="M13">
        <v>10</v>
      </c>
      <c r="N13">
        <v>161</v>
      </c>
      <c r="O13">
        <v>70</v>
      </c>
      <c r="P13" s="13">
        <v>32485</v>
      </c>
      <c r="Q13">
        <v>18</v>
      </c>
      <c r="R13">
        <v>6</v>
      </c>
      <c r="S13">
        <v>0</v>
      </c>
      <c r="T13">
        <v>38</v>
      </c>
      <c r="U13" s="13">
        <v>45640</v>
      </c>
      <c r="V13">
        <f t="shared" si="10"/>
        <v>172.72</v>
      </c>
      <c r="W13">
        <f t="shared" si="11"/>
        <v>177.8</v>
      </c>
      <c r="X13">
        <f t="shared" si="12"/>
        <v>177.8</v>
      </c>
      <c r="Y13">
        <f t="shared" si="13"/>
        <v>177.8</v>
      </c>
      <c r="Z13">
        <f>DATEDIF(G13,U13,"Y")</f>
        <v>41</v>
      </c>
      <c r="AA13">
        <f t="shared" si="14"/>
        <v>36</v>
      </c>
      <c r="AB13">
        <f t="shared" si="15"/>
        <v>43</v>
      </c>
      <c r="AC13">
        <f t="shared" si="16"/>
        <v>24</v>
      </c>
      <c r="AD13">
        <f t="shared" si="17"/>
        <v>5</v>
      </c>
      <c r="AE13">
        <f t="shared" si="18"/>
        <v>-5</v>
      </c>
      <c r="AF13">
        <f t="shared" si="19"/>
        <v>-5.0800000000000125</v>
      </c>
      <c r="AG13">
        <f t="shared" si="20"/>
        <v>5.0800000000000125</v>
      </c>
      <c r="AH13">
        <f>E13-N13</f>
        <v>2</v>
      </c>
      <c r="AI13">
        <f>N13-E13</f>
        <v>-2</v>
      </c>
      <c r="AJ13">
        <f t="shared" si="21"/>
        <v>0</v>
      </c>
      <c r="AK13">
        <f t="shared" si="22"/>
        <v>0</v>
      </c>
      <c r="AL13">
        <f t="shared" si="23"/>
        <v>2.0714285714285716</v>
      </c>
      <c r="AM13">
        <f t="shared" si="24"/>
        <v>6</v>
      </c>
      <c r="AN13">
        <f t="shared" si="25"/>
        <v>19</v>
      </c>
      <c r="AO13">
        <f t="shared" si="26"/>
        <v>-19</v>
      </c>
      <c r="AP13">
        <f t="shared" si="27"/>
        <v>-3.9285714285714284</v>
      </c>
      <c r="AQ13">
        <f t="shared" si="28"/>
        <v>3.9285714285714284</v>
      </c>
      <c r="AR13">
        <f>J13-S13</f>
        <v>0</v>
      </c>
      <c r="AS13">
        <f>S13-J13</f>
        <v>0</v>
      </c>
    </row>
    <row r="14" spans="1:45">
      <c r="A14" t="s">
        <v>69</v>
      </c>
      <c r="B14" t="s">
        <v>70</v>
      </c>
      <c r="C14">
        <v>5</v>
      </c>
      <c r="D14">
        <v>11</v>
      </c>
      <c r="E14" s="16">
        <v>170</v>
      </c>
      <c r="F14" s="16">
        <v>72</v>
      </c>
      <c r="G14" s="13">
        <v>32195</v>
      </c>
      <c r="H14">
        <v>17</v>
      </c>
      <c r="I14">
        <v>4</v>
      </c>
      <c r="J14">
        <v>0</v>
      </c>
      <c r="K14" s="17">
        <v>39</v>
      </c>
      <c r="L14">
        <v>5</v>
      </c>
      <c r="M14">
        <v>10</v>
      </c>
      <c r="N14" s="16">
        <v>170</v>
      </c>
      <c r="O14" s="16">
        <v>76</v>
      </c>
      <c r="P14" s="13">
        <v>34451</v>
      </c>
      <c r="Q14">
        <v>20</v>
      </c>
      <c r="R14">
        <v>6</v>
      </c>
      <c r="S14">
        <v>5</v>
      </c>
      <c r="T14" s="17">
        <v>38</v>
      </c>
      <c r="U14" s="13">
        <v>45640</v>
      </c>
      <c r="V14">
        <f t="shared" si="10"/>
        <v>180.34</v>
      </c>
      <c r="W14">
        <f t="shared" si="11"/>
        <v>177.8</v>
      </c>
      <c r="X14">
        <f t="shared" si="12"/>
        <v>182.88</v>
      </c>
      <c r="Y14">
        <f t="shared" si="13"/>
        <v>193.04</v>
      </c>
      <c r="Z14">
        <f>DATEDIF(G14,U14,"Y")</f>
        <v>36</v>
      </c>
      <c r="AA14">
        <f t="shared" si="14"/>
        <v>30</v>
      </c>
      <c r="AB14">
        <f t="shared" si="15"/>
        <v>21</v>
      </c>
      <c r="AC14">
        <f t="shared" si="16"/>
        <v>26</v>
      </c>
      <c r="AD14">
        <f t="shared" si="17"/>
        <v>6</v>
      </c>
      <c r="AE14">
        <f t="shared" si="18"/>
        <v>-6</v>
      </c>
      <c r="AF14">
        <f t="shared" si="19"/>
        <v>2.539999999999992</v>
      </c>
      <c r="AG14">
        <f t="shared" si="20"/>
        <v>-2.539999999999992</v>
      </c>
      <c r="AH14">
        <f>E14-N14</f>
        <v>0</v>
      </c>
      <c r="AI14">
        <f>N14-E14</f>
        <v>0</v>
      </c>
      <c r="AJ14">
        <f t="shared" si="21"/>
        <v>-10.159999999999997</v>
      </c>
      <c r="AK14">
        <f t="shared" si="22"/>
        <v>10.159999999999997</v>
      </c>
      <c r="AL14">
        <f t="shared" si="23"/>
        <v>4.25</v>
      </c>
      <c r="AM14">
        <f t="shared" si="24"/>
        <v>1.2</v>
      </c>
      <c r="AN14">
        <f t="shared" si="25"/>
        <v>-5</v>
      </c>
      <c r="AO14">
        <f t="shared" si="26"/>
        <v>5</v>
      </c>
      <c r="AP14">
        <f t="shared" si="27"/>
        <v>3.05</v>
      </c>
      <c r="AQ14">
        <f t="shared" si="28"/>
        <v>-3.05</v>
      </c>
      <c r="AR14">
        <f>J14-S14</f>
        <v>-5</v>
      </c>
      <c r="AS14">
        <f>S14-J14</f>
        <v>5</v>
      </c>
    </row>
    <row r="15" spans="1:45">
      <c r="U15" s="13"/>
    </row>
    <row r="16" spans="1:45">
      <c r="U16" s="13"/>
    </row>
    <row r="17" spans="21:21">
      <c r="U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opLeftCell="Q1" workbookViewId="0">
      <pane ySplit="1" topLeftCell="A2" activePane="bottomLeft" state="frozen"/>
      <selection pane="bottomLeft" activeCell="AA14" sqref="AA14"/>
    </sheetView>
  </sheetViews>
  <sheetFormatPr defaultRowHeight="14.45"/>
  <cols>
    <col min="1" max="1" width="24.28515625" bestFit="1" customWidth="1"/>
    <col min="2" max="2" width="17.28515625" bestFit="1" customWidth="1"/>
    <col min="3" max="3" width="17.42578125" bestFit="1" customWidth="1"/>
    <col min="4" max="5" width="17.7109375" bestFit="1" customWidth="1"/>
    <col min="6" max="6" width="17.85546875" bestFit="1" customWidth="1"/>
    <col min="7" max="7" width="16.85546875" bestFit="1" customWidth="1"/>
    <col min="8" max="8" width="17.28515625" bestFit="1" customWidth="1"/>
    <col min="9" max="9" width="11.7109375" bestFit="1" customWidth="1"/>
    <col min="10" max="10" width="11.85546875" bestFit="1" customWidth="1"/>
    <col min="11" max="11" width="10.28515625" bestFit="1" customWidth="1"/>
    <col min="12" max="12" width="9.28515625" bestFit="1" customWidth="1"/>
    <col min="13" max="13" width="10.42578125" bestFit="1" customWidth="1"/>
    <col min="14" max="14" width="9.42578125" bestFit="1" customWidth="1"/>
    <col min="15" max="15" width="10.7109375" bestFit="1" customWidth="1"/>
    <col min="16" max="16" width="11" bestFit="1" customWidth="1"/>
    <col min="17" max="17" width="13.28515625" bestFit="1" customWidth="1"/>
    <col min="18" max="18" width="13.42578125" bestFit="1" customWidth="1"/>
    <col min="19" max="19" width="9.5703125" bestFit="1" customWidth="1"/>
    <col min="20" max="20" width="9.7109375" bestFit="1" customWidth="1"/>
    <col min="21" max="21" width="9.42578125" bestFit="1" customWidth="1"/>
    <col min="22" max="22" width="9.7109375" bestFit="1" customWidth="1"/>
    <col min="23" max="23" width="14.140625" bestFit="1" customWidth="1"/>
    <col min="24" max="24" width="14.28515625" bestFit="1" customWidth="1"/>
    <col min="25" max="25" width="13.5703125" bestFit="1" customWidth="1"/>
    <col min="26" max="27" width="13.7109375" bestFit="1" customWidth="1"/>
    <col min="28" max="28" width="13.85546875" bestFit="1" customWidth="1"/>
    <col min="29" max="29" width="15" bestFit="1" customWidth="1"/>
    <col min="30" max="30" width="15.28515625" bestFit="1" customWidth="1"/>
    <col min="31" max="31" width="14.7109375" bestFit="1" customWidth="1"/>
    <col min="32" max="32" width="15" bestFit="1" customWidth="1"/>
    <col min="33" max="33" width="14" bestFit="1" customWidth="1"/>
    <col min="34" max="34" width="14.28515625" bestFit="1" customWidth="1"/>
    <col min="35" max="35" width="14.7109375" bestFit="1" customWidth="1"/>
    <col min="36" max="36" width="15" bestFit="1" customWidth="1"/>
    <col min="37" max="37" width="14" bestFit="1" customWidth="1"/>
    <col min="38" max="38" width="14.28515625" bestFit="1" customWidth="1"/>
    <col min="39" max="39" width="16.28515625" bestFit="1" customWidth="1"/>
    <col min="40" max="40" width="16.5703125" bestFit="1" customWidth="1"/>
    <col min="41" max="41" width="12.140625" bestFit="1" customWidth="1"/>
    <col min="42" max="42" width="12.28515625" bestFit="1" customWidth="1"/>
  </cols>
  <sheetData>
    <row r="1" spans="1:36">
      <c r="A1" s="1" t="s">
        <v>0</v>
      </c>
      <c r="B1" s="1" t="s">
        <v>1</v>
      </c>
      <c r="C1" s="1" t="s">
        <v>21</v>
      </c>
      <c r="D1" s="1" t="s">
        <v>22</v>
      </c>
      <c r="E1" s="1" t="s">
        <v>4</v>
      </c>
      <c r="F1" s="1" t="s">
        <v>13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7</v>
      </c>
      <c r="L1" s="1" t="s">
        <v>8</v>
      </c>
      <c r="M1" s="1" t="s">
        <v>16</v>
      </c>
      <c r="N1" s="1" t="s">
        <v>17</v>
      </c>
      <c r="O1" s="1" t="s">
        <v>9</v>
      </c>
      <c r="P1" s="1" t="s">
        <v>18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27</v>
      </c>
      <c r="Z1" s="2" t="s">
        <v>28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3" t="s">
        <v>71</v>
      </c>
      <c r="AJ1" s="3" t="s">
        <v>72</v>
      </c>
    </row>
    <row r="2" spans="1:36">
      <c r="A2" s="4" t="s">
        <v>73</v>
      </c>
      <c r="B2" s="4" t="s">
        <v>74</v>
      </c>
      <c r="C2">
        <v>182.88</v>
      </c>
      <c r="D2">
        <v>175.26</v>
      </c>
      <c r="E2">
        <v>155</v>
      </c>
      <c r="F2">
        <v>155</v>
      </c>
      <c r="G2">
        <v>180.34</v>
      </c>
      <c r="H2">
        <v>177.8</v>
      </c>
      <c r="I2">
        <f>DATEDIF(DATE(1999,12,1), DATE(2024,11,23), "Y")</f>
        <v>24</v>
      </c>
      <c r="J2">
        <f>DATEDIF(DATE(1993,2,8), DATE(2024,11,23), "Y")</f>
        <v>31</v>
      </c>
      <c r="K2">
        <v>10</v>
      </c>
      <c r="L2">
        <v>4</v>
      </c>
      <c r="M2">
        <v>15</v>
      </c>
      <c r="N2">
        <v>5</v>
      </c>
      <c r="O2">
        <v>1</v>
      </c>
      <c r="P2">
        <v>1</v>
      </c>
      <c r="Q2">
        <f>I2-J2</f>
        <v>-7</v>
      </c>
      <c r="R2">
        <f>J2-I2</f>
        <v>7</v>
      </c>
      <c r="S2">
        <f>C2-D2</f>
        <v>7.6200000000000045</v>
      </c>
      <c r="T2">
        <f>D2-C2</f>
        <v>-7.6200000000000045</v>
      </c>
      <c r="U2">
        <f>E2-F2</f>
        <v>0</v>
      </c>
      <c r="V2">
        <f>F2-E2</f>
        <v>0</v>
      </c>
      <c r="W2">
        <f>G2-H2</f>
        <v>2.539999999999992</v>
      </c>
      <c r="X2">
        <f>H2-G2</f>
        <v>-2.539999999999992</v>
      </c>
      <c r="Y2">
        <f>K2+L2</f>
        <v>14</v>
      </c>
      <c r="Z2">
        <f>M2+N2</f>
        <v>20</v>
      </c>
      <c r="AA2">
        <f>IF(L2=1,K2,K2/L2)</f>
        <v>2.5</v>
      </c>
      <c r="AB2">
        <f>IF(N2=0,M2,M2/N2)</f>
        <v>3</v>
      </c>
      <c r="AC2">
        <f>Y2-Z2</f>
        <v>-6</v>
      </c>
      <c r="AD2">
        <f>Z2-Y2</f>
        <v>6</v>
      </c>
      <c r="AE2">
        <f>AA2-AB2</f>
        <v>-0.5</v>
      </c>
      <c r="AF2">
        <f>AB2-AA2</f>
        <v>0.5</v>
      </c>
      <c r="AG2">
        <f>O2-P2</f>
        <v>0</v>
      </c>
      <c r="AH2">
        <f>P2-O2</f>
        <v>0</v>
      </c>
      <c r="AI2">
        <v>0</v>
      </c>
      <c r="AJ2">
        <v>1</v>
      </c>
    </row>
    <row r="3" spans="1:36">
      <c r="A3" s="4" t="s">
        <v>75</v>
      </c>
      <c r="B3" s="4" t="s">
        <v>76</v>
      </c>
      <c r="C3">
        <v>172.72</v>
      </c>
      <c r="D3">
        <v>167.64</v>
      </c>
      <c r="E3">
        <v>135</v>
      </c>
      <c r="F3">
        <v>135</v>
      </c>
      <c r="G3">
        <v>177.78</v>
      </c>
      <c r="H3">
        <v>177.8</v>
      </c>
      <c r="I3">
        <f>DATEDIF(DATE(1998,4,13), DATE(2024,11,23), "Y")</f>
        <v>26</v>
      </c>
      <c r="J3">
        <f>DATEDIF(DATE(1991,10,18), DATE(2024,11,23), "Y")</f>
        <v>33</v>
      </c>
      <c r="K3">
        <v>27</v>
      </c>
      <c r="L3">
        <v>9</v>
      </c>
      <c r="M3">
        <v>8</v>
      </c>
      <c r="N3">
        <v>2</v>
      </c>
      <c r="O3">
        <v>0</v>
      </c>
      <c r="P3">
        <v>0</v>
      </c>
      <c r="Q3">
        <f t="shared" ref="Q3:Q11" si="0">I3-J3</f>
        <v>-7</v>
      </c>
      <c r="R3">
        <f t="shared" ref="R3:R11" si="1">J3-I3</f>
        <v>7</v>
      </c>
      <c r="S3">
        <f t="shared" ref="S3:S12" si="2">C3-D3</f>
        <v>5.0800000000000125</v>
      </c>
      <c r="T3">
        <f t="shared" ref="T3:T12" si="3">D3-C3</f>
        <v>-5.0800000000000125</v>
      </c>
      <c r="U3">
        <f t="shared" ref="U3:U12" si="4">E3-F3</f>
        <v>0</v>
      </c>
      <c r="V3">
        <f t="shared" ref="V3:V12" si="5">F3-E3</f>
        <v>0</v>
      </c>
      <c r="W3">
        <f t="shared" ref="W3:W12" si="6">G3-H3</f>
        <v>-2.0000000000010232E-2</v>
      </c>
      <c r="X3">
        <f t="shared" ref="X3:X12" si="7">H3-G3</f>
        <v>2.0000000000010232E-2</v>
      </c>
      <c r="Y3">
        <f t="shared" ref="Y3:Y12" si="8">K3+L3</f>
        <v>36</v>
      </c>
      <c r="Z3">
        <f t="shared" ref="Z3:Z12" si="9">M3+N3</f>
        <v>10</v>
      </c>
      <c r="AA3">
        <f t="shared" ref="AA3" si="10">IF(L3=1,K3,K3/L3)</f>
        <v>3</v>
      </c>
      <c r="AB3">
        <f t="shared" ref="AB3:AB12" si="11">IF(N3=0,M3,M3/N3)</f>
        <v>4</v>
      </c>
      <c r="AC3">
        <f t="shared" ref="AC3:AC12" si="12">Y3-Z3</f>
        <v>26</v>
      </c>
      <c r="AD3">
        <f t="shared" ref="AD3:AD12" si="13">Z3-Y3</f>
        <v>-26</v>
      </c>
      <c r="AE3">
        <f t="shared" ref="AE3:AE12" si="14">AA3-AB3</f>
        <v>-1</v>
      </c>
      <c r="AF3">
        <f t="shared" ref="AF3:AF12" si="15">AB3-AA3</f>
        <v>1</v>
      </c>
      <c r="AG3">
        <f t="shared" ref="AG3:AG12" si="16">O3-P3</f>
        <v>0</v>
      </c>
      <c r="AH3">
        <f t="shared" ref="AH3:AH12" si="17">P3-O3</f>
        <v>0</v>
      </c>
      <c r="AI3">
        <v>1</v>
      </c>
      <c r="AJ3">
        <v>0</v>
      </c>
    </row>
    <row r="4" spans="1:36">
      <c r="A4" s="4" t="s">
        <v>77</v>
      </c>
      <c r="B4" s="4" t="s">
        <v>78</v>
      </c>
      <c r="C4">
        <v>162.56</v>
      </c>
      <c r="D4">
        <v>170.18</v>
      </c>
      <c r="E4">
        <v>125</v>
      </c>
      <c r="F4">
        <v>125</v>
      </c>
      <c r="G4">
        <v>170.18</v>
      </c>
      <c r="H4">
        <v>170.18</v>
      </c>
      <c r="I4">
        <f>DATEDIF(DATE(1999,6,9), DATE(2024,11,23), "Y")</f>
        <v>25</v>
      </c>
      <c r="J4">
        <f>DATEDIF(DATE(2000,12,31), DATE(2024,11,23), "Y")</f>
        <v>23</v>
      </c>
      <c r="K4">
        <v>8</v>
      </c>
      <c r="L4">
        <v>0</v>
      </c>
      <c r="M4">
        <v>7</v>
      </c>
      <c r="N4">
        <v>1</v>
      </c>
      <c r="O4">
        <v>1</v>
      </c>
      <c r="P4">
        <v>0</v>
      </c>
      <c r="Q4">
        <f t="shared" si="0"/>
        <v>2</v>
      </c>
      <c r="R4">
        <f t="shared" si="1"/>
        <v>-2</v>
      </c>
      <c r="S4">
        <f t="shared" si="2"/>
        <v>-7.6200000000000045</v>
      </c>
      <c r="T4">
        <f t="shared" si="3"/>
        <v>7.6200000000000045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8</v>
      </c>
      <c r="Z4">
        <f t="shared" si="9"/>
        <v>8</v>
      </c>
      <c r="AA4">
        <f>IF(L4=0,K4,K4/L4)</f>
        <v>8</v>
      </c>
      <c r="AB4">
        <f t="shared" si="11"/>
        <v>7</v>
      </c>
      <c r="AC4">
        <f t="shared" si="12"/>
        <v>0</v>
      </c>
      <c r="AD4">
        <f t="shared" si="13"/>
        <v>0</v>
      </c>
      <c r="AE4">
        <f t="shared" si="14"/>
        <v>1</v>
      </c>
      <c r="AF4">
        <f t="shared" si="15"/>
        <v>-1</v>
      </c>
      <c r="AG4">
        <f t="shared" si="16"/>
        <v>1</v>
      </c>
      <c r="AH4">
        <f t="shared" si="17"/>
        <v>-1</v>
      </c>
      <c r="AI4">
        <v>1</v>
      </c>
      <c r="AJ4">
        <v>0</v>
      </c>
    </row>
    <row r="5" spans="1:36">
      <c r="A5" s="4" t="s">
        <v>79</v>
      </c>
      <c r="B5" s="4" t="s">
        <v>80</v>
      </c>
      <c r="C5">
        <v>170.18</v>
      </c>
      <c r="D5">
        <v>172.72</v>
      </c>
      <c r="E5">
        <v>125</v>
      </c>
      <c r="F5">
        <v>125</v>
      </c>
      <c r="G5">
        <v>180.34</v>
      </c>
      <c r="H5">
        <v>170.18</v>
      </c>
      <c r="I5">
        <f>DATEDIF(DATE(1998,3,22), DATE(2024,11,23), "Y")</f>
        <v>26</v>
      </c>
      <c r="J5">
        <f>DATEDIF(DATE(1993,10,25), DATE(2024,11,23), "Y")</f>
        <v>31</v>
      </c>
      <c r="K5">
        <v>8</v>
      </c>
      <c r="L5">
        <v>1</v>
      </c>
      <c r="M5">
        <v>10</v>
      </c>
      <c r="N5">
        <v>4</v>
      </c>
      <c r="O5">
        <v>2</v>
      </c>
      <c r="P5">
        <v>0</v>
      </c>
      <c r="Q5">
        <f t="shared" si="0"/>
        <v>-5</v>
      </c>
      <c r="R5">
        <f t="shared" si="1"/>
        <v>5</v>
      </c>
      <c r="S5">
        <f t="shared" si="2"/>
        <v>-2.539999999999992</v>
      </c>
      <c r="T5">
        <f t="shared" si="3"/>
        <v>2.539999999999992</v>
      </c>
      <c r="U5">
        <f t="shared" si="4"/>
        <v>0</v>
      </c>
      <c r="V5">
        <f t="shared" si="5"/>
        <v>0</v>
      </c>
      <c r="W5">
        <f t="shared" si="6"/>
        <v>10.159999999999997</v>
      </c>
      <c r="X5">
        <f t="shared" si="7"/>
        <v>-10.159999999999997</v>
      </c>
      <c r="Y5">
        <f t="shared" si="8"/>
        <v>9</v>
      </c>
      <c r="Z5">
        <f t="shared" si="9"/>
        <v>14</v>
      </c>
      <c r="AA5">
        <f>IF(L5=0,K5,K5/L5)</f>
        <v>8</v>
      </c>
      <c r="AB5">
        <f t="shared" si="11"/>
        <v>2.5</v>
      </c>
      <c r="AC5">
        <f t="shared" si="12"/>
        <v>-5</v>
      </c>
      <c r="AD5">
        <f t="shared" si="13"/>
        <v>5</v>
      </c>
      <c r="AE5">
        <f t="shared" si="14"/>
        <v>5.5</v>
      </c>
      <c r="AF5">
        <f t="shared" si="15"/>
        <v>-5.5</v>
      </c>
      <c r="AG5">
        <f t="shared" si="16"/>
        <v>2</v>
      </c>
      <c r="AH5">
        <f t="shared" si="17"/>
        <v>-2</v>
      </c>
      <c r="AI5">
        <v>0</v>
      </c>
      <c r="AJ5">
        <v>1</v>
      </c>
    </row>
    <row r="6" spans="1:36">
      <c r="A6" s="4" t="s">
        <v>81</v>
      </c>
      <c r="B6" s="4" t="s">
        <v>82</v>
      </c>
      <c r="C6">
        <v>157.47999999999999</v>
      </c>
      <c r="D6">
        <v>170.18</v>
      </c>
      <c r="E6">
        <v>115</v>
      </c>
      <c r="F6">
        <v>115</v>
      </c>
      <c r="G6">
        <v>152.4</v>
      </c>
      <c r="H6">
        <v>167.64</v>
      </c>
      <c r="I6">
        <f>DATEDIF(DATE(1994,11,14), DATE(2024,11,23), "Y")</f>
        <v>30</v>
      </c>
      <c r="J6">
        <f>DATEDIF(DATE(2001,12,27), DATE(2024,11,23), "Y")</f>
        <v>22</v>
      </c>
      <c r="K6">
        <v>17</v>
      </c>
      <c r="L6">
        <v>5</v>
      </c>
      <c r="M6">
        <v>10</v>
      </c>
      <c r="N6">
        <v>3</v>
      </c>
      <c r="O6">
        <v>2</v>
      </c>
      <c r="P6">
        <v>2</v>
      </c>
      <c r="Q6">
        <f t="shared" si="0"/>
        <v>8</v>
      </c>
      <c r="R6">
        <f t="shared" si="1"/>
        <v>-8</v>
      </c>
      <c r="S6">
        <f t="shared" si="2"/>
        <v>-12.700000000000017</v>
      </c>
      <c r="T6">
        <f t="shared" si="3"/>
        <v>12.700000000000017</v>
      </c>
      <c r="U6">
        <f t="shared" si="4"/>
        <v>0</v>
      </c>
      <c r="V6">
        <f t="shared" si="5"/>
        <v>0</v>
      </c>
      <c r="W6">
        <f t="shared" si="6"/>
        <v>-15.239999999999981</v>
      </c>
      <c r="X6">
        <f t="shared" si="7"/>
        <v>15.239999999999981</v>
      </c>
      <c r="Y6">
        <f t="shared" si="8"/>
        <v>22</v>
      </c>
      <c r="Z6">
        <f t="shared" si="9"/>
        <v>13</v>
      </c>
      <c r="AA6">
        <f t="shared" ref="AA6:AA18" si="18">IF(L6=0,K6,K6/L6)</f>
        <v>3.4</v>
      </c>
      <c r="AB6">
        <f t="shared" si="11"/>
        <v>3.3333333333333335</v>
      </c>
      <c r="AC6">
        <f t="shared" si="12"/>
        <v>9</v>
      </c>
      <c r="AD6">
        <f t="shared" si="13"/>
        <v>-9</v>
      </c>
      <c r="AE6">
        <f t="shared" si="14"/>
        <v>6.666666666666643E-2</v>
      </c>
      <c r="AF6">
        <f t="shared" si="15"/>
        <v>-6.666666666666643E-2</v>
      </c>
      <c r="AG6">
        <f t="shared" si="16"/>
        <v>0</v>
      </c>
      <c r="AH6">
        <f t="shared" si="17"/>
        <v>0</v>
      </c>
      <c r="AI6">
        <v>1</v>
      </c>
      <c r="AJ6">
        <v>0</v>
      </c>
    </row>
    <row r="7" spans="1:36">
      <c r="A7" s="4" t="s">
        <v>83</v>
      </c>
      <c r="B7" s="4" t="s">
        <v>84</v>
      </c>
      <c r="C7">
        <v>177.8</v>
      </c>
      <c r="D7">
        <v>165.1</v>
      </c>
      <c r="E7">
        <v>125</v>
      </c>
      <c r="F7">
        <v>125</v>
      </c>
      <c r="G7">
        <v>185.42</v>
      </c>
      <c r="H7">
        <v>167.4</v>
      </c>
      <c r="I7">
        <f>DATEDIF(DATE(1995,5,28), DATE(2024,11,23), "Y")</f>
        <v>29</v>
      </c>
      <c r="J7">
        <f>DATEDIF(DATE(1999,1,2), DATE(2024,11,23), "Y")</f>
        <v>25</v>
      </c>
      <c r="K7">
        <v>12</v>
      </c>
      <c r="L7">
        <v>3</v>
      </c>
      <c r="M7">
        <v>9</v>
      </c>
      <c r="N7">
        <v>0</v>
      </c>
      <c r="O7">
        <v>2</v>
      </c>
      <c r="P7">
        <v>2</v>
      </c>
      <c r="Q7">
        <f t="shared" si="0"/>
        <v>4</v>
      </c>
      <c r="R7">
        <f t="shared" si="1"/>
        <v>-4</v>
      </c>
      <c r="S7">
        <f t="shared" si="2"/>
        <v>12.700000000000017</v>
      </c>
      <c r="T7">
        <f t="shared" si="3"/>
        <v>-12.700000000000017</v>
      </c>
      <c r="U7">
        <f t="shared" si="4"/>
        <v>0</v>
      </c>
      <c r="V7">
        <f t="shared" si="5"/>
        <v>0</v>
      </c>
      <c r="W7">
        <f t="shared" si="6"/>
        <v>18.019999999999982</v>
      </c>
      <c r="X7">
        <f t="shared" si="7"/>
        <v>-18.019999999999982</v>
      </c>
      <c r="Y7">
        <f t="shared" si="8"/>
        <v>15</v>
      </c>
      <c r="Z7">
        <f t="shared" si="9"/>
        <v>9</v>
      </c>
      <c r="AA7">
        <f t="shared" si="18"/>
        <v>4</v>
      </c>
      <c r="AB7">
        <f t="shared" si="11"/>
        <v>9</v>
      </c>
      <c r="AC7">
        <f t="shared" si="12"/>
        <v>6</v>
      </c>
      <c r="AD7">
        <f t="shared" si="13"/>
        <v>-6</v>
      </c>
      <c r="AE7">
        <f t="shared" si="14"/>
        <v>-5</v>
      </c>
      <c r="AF7">
        <f t="shared" si="15"/>
        <v>5</v>
      </c>
      <c r="AG7">
        <f t="shared" si="16"/>
        <v>0</v>
      </c>
      <c r="AH7">
        <f t="shared" si="17"/>
        <v>0</v>
      </c>
      <c r="AI7">
        <v>0</v>
      </c>
      <c r="AJ7">
        <v>1</v>
      </c>
    </row>
    <row r="8" spans="1:36">
      <c r="A8" s="4" t="s">
        <v>85</v>
      </c>
      <c r="B8" s="4" t="s">
        <v>86</v>
      </c>
      <c r="C8">
        <v>175.26</v>
      </c>
      <c r="D8">
        <v>167.64</v>
      </c>
      <c r="E8">
        <v>135</v>
      </c>
      <c r="F8">
        <v>135</v>
      </c>
      <c r="G8">
        <v>177.8</v>
      </c>
      <c r="H8">
        <v>165.1</v>
      </c>
      <c r="I8">
        <f>DATEDIF(DATE(1995,11,24), DATE(2024,11,23), "Y")</f>
        <v>28</v>
      </c>
      <c r="J8">
        <f>DATEDIF(DATE(1995,12,11), DATE(2024,11,23), "Y")</f>
        <v>28</v>
      </c>
      <c r="K8">
        <v>18</v>
      </c>
      <c r="L8">
        <v>6</v>
      </c>
      <c r="M8">
        <v>14</v>
      </c>
      <c r="N8">
        <v>3</v>
      </c>
      <c r="O8">
        <v>2</v>
      </c>
      <c r="P8">
        <v>2</v>
      </c>
      <c r="Q8">
        <f t="shared" si="0"/>
        <v>0</v>
      </c>
      <c r="R8">
        <f t="shared" si="1"/>
        <v>0</v>
      </c>
      <c r="S8">
        <f t="shared" si="2"/>
        <v>7.6200000000000045</v>
      </c>
      <c r="T8">
        <f t="shared" si="3"/>
        <v>-7.6200000000000045</v>
      </c>
      <c r="U8">
        <f t="shared" si="4"/>
        <v>0</v>
      </c>
      <c r="V8">
        <f t="shared" si="5"/>
        <v>0</v>
      </c>
      <c r="W8">
        <f t="shared" si="6"/>
        <v>12.700000000000017</v>
      </c>
      <c r="X8">
        <f t="shared" si="7"/>
        <v>-12.700000000000017</v>
      </c>
      <c r="Y8">
        <f t="shared" si="8"/>
        <v>24</v>
      </c>
      <c r="Z8">
        <f t="shared" si="9"/>
        <v>17</v>
      </c>
      <c r="AA8">
        <f t="shared" si="18"/>
        <v>3</v>
      </c>
      <c r="AB8">
        <f t="shared" si="11"/>
        <v>4.666666666666667</v>
      </c>
      <c r="AC8">
        <f t="shared" si="12"/>
        <v>7</v>
      </c>
      <c r="AD8">
        <f t="shared" si="13"/>
        <v>-7</v>
      </c>
      <c r="AE8">
        <f t="shared" si="14"/>
        <v>-1.666666666666667</v>
      </c>
      <c r="AF8">
        <f t="shared" si="15"/>
        <v>1.666666666666667</v>
      </c>
      <c r="AG8">
        <f t="shared" si="16"/>
        <v>0</v>
      </c>
      <c r="AH8">
        <f t="shared" si="17"/>
        <v>0</v>
      </c>
      <c r="AI8">
        <v>0</v>
      </c>
      <c r="AJ8">
        <v>1</v>
      </c>
    </row>
    <row r="9" spans="1:36">
      <c r="A9" s="4" t="s">
        <v>87</v>
      </c>
      <c r="B9" s="4" t="s">
        <v>88</v>
      </c>
      <c r="C9">
        <v>187.96</v>
      </c>
      <c r="D9">
        <v>193.04</v>
      </c>
      <c r="E9">
        <v>205</v>
      </c>
      <c r="F9">
        <v>205</v>
      </c>
      <c r="G9">
        <v>190.5</v>
      </c>
      <c r="H9">
        <v>200.66</v>
      </c>
      <c r="I9">
        <f>DATEDIF(DATE(1998,8,16), DATE(2024,11,23), "Y")</f>
        <v>26</v>
      </c>
      <c r="J9">
        <f>DATEDIF(DATE(1990,11,22), DATE(2024,11,23), "Y")</f>
        <v>34</v>
      </c>
      <c r="K9">
        <v>18</v>
      </c>
      <c r="L9">
        <v>6</v>
      </c>
      <c r="M9">
        <v>9</v>
      </c>
      <c r="N9">
        <v>3</v>
      </c>
      <c r="O9">
        <v>2</v>
      </c>
      <c r="P9">
        <v>0</v>
      </c>
      <c r="Q9">
        <f t="shared" si="0"/>
        <v>-8</v>
      </c>
      <c r="R9">
        <f t="shared" si="1"/>
        <v>8</v>
      </c>
      <c r="S9">
        <f t="shared" si="2"/>
        <v>-5.0799999999999841</v>
      </c>
      <c r="T9">
        <f t="shared" si="3"/>
        <v>5.0799999999999841</v>
      </c>
      <c r="U9">
        <f t="shared" si="4"/>
        <v>0</v>
      </c>
      <c r="V9">
        <f t="shared" si="5"/>
        <v>0</v>
      </c>
      <c r="W9">
        <f t="shared" si="6"/>
        <v>-10.159999999999997</v>
      </c>
      <c r="X9">
        <f t="shared" si="7"/>
        <v>10.159999999999997</v>
      </c>
      <c r="Y9">
        <f t="shared" si="8"/>
        <v>24</v>
      </c>
      <c r="Z9">
        <f t="shared" si="9"/>
        <v>12</v>
      </c>
      <c r="AA9">
        <f t="shared" si="18"/>
        <v>3</v>
      </c>
      <c r="AB9">
        <f t="shared" si="11"/>
        <v>3</v>
      </c>
      <c r="AC9">
        <f t="shared" si="12"/>
        <v>12</v>
      </c>
      <c r="AD9">
        <f t="shared" si="13"/>
        <v>-12</v>
      </c>
      <c r="AE9">
        <f t="shared" si="14"/>
        <v>0</v>
      </c>
      <c r="AF9">
        <f t="shared" si="15"/>
        <v>0</v>
      </c>
      <c r="AG9">
        <f t="shared" si="16"/>
        <v>2</v>
      </c>
      <c r="AH9">
        <f t="shared" si="17"/>
        <v>-2</v>
      </c>
      <c r="AI9">
        <v>1</v>
      </c>
      <c r="AJ9">
        <v>0</v>
      </c>
    </row>
    <row r="10" spans="1:36">
      <c r="A10" s="4" t="s">
        <v>89</v>
      </c>
      <c r="B10" s="4" t="s">
        <v>90</v>
      </c>
      <c r="C10">
        <v>187.96</v>
      </c>
      <c r="D10">
        <v>193.04</v>
      </c>
      <c r="E10">
        <v>205</v>
      </c>
      <c r="F10">
        <v>205</v>
      </c>
      <c r="G10">
        <v>190.5</v>
      </c>
      <c r="H10">
        <v>195.58</v>
      </c>
      <c r="I10">
        <f>DATEDIF(DATE(1989,9,19), DATE(2024,11,23), "Y")</f>
        <v>35</v>
      </c>
      <c r="J10">
        <f>DATEDIF(DATE(1990,11,7), DATE(2024,11,23), "Y")</f>
        <v>34</v>
      </c>
      <c r="K10">
        <v>20</v>
      </c>
      <c r="L10">
        <v>8</v>
      </c>
      <c r="M10">
        <v>12</v>
      </c>
      <c r="N10">
        <v>1</v>
      </c>
      <c r="O10">
        <v>2</v>
      </c>
      <c r="P10">
        <v>6</v>
      </c>
      <c r="Q10">
        <f t="shared" si="0"/>
        <v>1</v>
      </c>
      <c r="R10">
        <f t="shared" si="1"/>
        <v>-1</v>
      </c>
      <c r="S10">
        <f t="shared" si="2"/>
        <v>-5.0799999999999841</v>
      </c>
      <c r="T10">
        <f t="shared" si="3"/>
        <v>5.0799999999999841</v>
      </c>
      <c r="U10">
        <f t="shared" si="4"/>
        <v>0</v>
      </c>
      <c r="V10">
        <f t="shared" si="5"/>
        <v>0</v>
      </c>
      <c r="W10">
        <f t="shared" si="6"/>
        <v>-5.0800000000000125</v>
      </c>
      <c r="X10">
        <f t="shared" si="7"/>
        <v>5.0800000000000125</v>
      </c>
      <c r="Y10">
        <f t="shared" si="8"/>
        <v>28</v>
      </c>
      <c r="Z10">
        <f t="shared" si="9"/>
        <v>13</v>
      </c>
      <c r="AA10">
        <f t="shared" si="18"/>
        <v>2.5</v>
      </c>
      <c r="AB10">
        <f t="shared" si="11"/>
        <v>12</v>
      </c>
      <c r="AC10">
        <f t="shared" si="12"/>
        <v>15</v>
      </c>
      <c r="AD10">
        <f t="shared" si="13"/>
        <v>-15</v>
      </c>
      <c r="AE10">
        <f t="shared" si="14"/>
        <v>-9.5</v>
      </c>
      <c r="AF10">
        <f t="shared" si="15"/>
        <v>9.5</v>
      </c>
      <c r="AG10">
        <f t="shared" si="16"/>
        <v>-4</v>
      </c>
      <c r="AH10">
        <f t="shared" si="17"/>
        <v>4</v>
      </c>
      <c r="AI10">
        <v>0</v>
      </c>
      <c r="AJ10">
        <v>1</v>
      </c>
    </row>
    <row r="11" spans="1:36">
      <c r="A11" s="4" t="s">
        <v>91</v>
      </c>
      <c r="B11" s="4" t="s">
        <v>92</v>
      </c>
      <c r="C11">
        <v>167.64</v>
      </c>
      <c r="D11">
        <v>167.64</v>
      </c>
      <c r="E11">
        <v>125</v>
      </c>
      <c r="F11">
        <v>125</v>
      </c>
      <c r="G11">
        <v>167.64</v>
      </c>
      <c r="H11">
        <v>167.4</v>
      </c>
      <c r="I11">
        <f>DATEDIF(DATE(1992,5,15), DATE(2024,11,23), "Y")</f>
        <v>32</v>
      </c>
      <c r="J11">
        <f>DATEDIF(DATE(1993,8,13), DATE(2024,11,23), "Y")</f>
        <v>31</v>
      </c>
      <c r="K11">
        <v>6</v>
      </c>
      <c r="L11">
        <v>1</v>
      </c>
      <c r="M11">
        <v>10</v>
      </c>
      <c r="N11">
        <v>3</v>
      </c>
      <c r="O11">
        <v>2</v>
      </c>
      <c r="P11">
        <v>1</v>
      </c>
      <c r="Q11">
        <f t="shared" si="0"/>
        <v>1</v>
      </c>
      <c r="R11">
        <f t="shared" si="1"/>
        <v>-1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0.23999999999998067</v>
      </c>
      <c r="X11">
        <f t="shared" si="7"/>
        <v>-0.23999999999998067</v>
      </c>
      <c r="Y11">
        <f t="shared" si="8"/>
        <v>7</v>
      </c>
      <c r="Z11">
        <f t="shared" si="9"/>
        <v>13</v>
      </c>
      <c r="AA11">
        <f t="shared" si="18"/>
        <v>6</v>
      </c>
      <c r="AB11">
        <f t="shared" si="11"/>
        <v>3.3333333333333335</v>
      </c>
      <c r="AC11">
        <f t="shared" si="12"/>
        <v>-6</v>
      </c>
      <c r="AD11">
        <f t="shared" si="13"/>
        <v>6</v>
      </c>
      <c r="AE11">
        <f t="shared" si="14"/>
        <v>2.6666666666666665</v>
      </c>
      <c r="AF11">
        <f t="shared" si="15"/>
        <v>-2.6666666666666665</v>
      </c>
      <c r="AG11">
        <f t="shared" si="16"/>
        <v>1</v>
      </c>
      <c r="AH11">
        <f t="shared" si="17"/>
        <v>-1</v>
      </c>
      <c r="AI11">
        <v>0</v>
      </c>
      <c r="AJ11">
        <v>1</v>
      </c>
    </row>
    <row r="12" spans="1:36">
      <c r="A12" s="4" t="s">
        <v>93</v>
      </c>
      <c r="B12" s="4" t="s">
        <v>94</v>
      </c>
      <c r="C12">
        <v>182.88</v>
      </c>
      <c r="D12">
        <v>180.34</v>
      </c>
      <c r="E12">
        <v>170</v>
      </c>
      <c r="F12">
        <v>170</v>
      </c>
      <c r="G12">
        <v>180.34</v>
      </c>
      <c r="H12">
        <v>177.8</v>
      </c>
      <c r="I12">
        <f>DATEDIF(DATE(1990,3,10), DATE(2024,11,23), "Y")</f>
        <v>34</v>
      </c>
      <c r="J12">
        <f>DATEDIF(DATE(1984,6,9), DATE(2024,11,23), "Y")</f>
        <v>40</v>
      </c>
      <c r="K12">
        <v>22</v>
      </c>
      <c r="L12">
        <v>9</v>
      </c>
      <c r="M12">
        <v>21</v>
      </c>
      <c r="N12">
        <v>5</v>
      </c>
      <c r="O12">
        <v>1</v>
      </c>
      <c r="P12">
        <v>1</v>
      </c>
      <c r="Q12">
        <f t="shared" ref="Q12:Q16" si="19">I12-J12</f>
        <v>-6</v>
      </c>
      <c r="R12">
        <f t="shared" ref="R12:R16" si="20">J12-I12</f>
        <v>6</v>
      </c>
      <c r="S12">
        <f t="shared" si="2"/>
        <v>2.539999999999992</v>
      </c>
      <c r="T12">
        <f t="shared" si="3"/>
        <v>-2.539999999999992</v>
      </c>
      <c r="U12">
        <f t="shared" si="4"/>
        <v>0</v>
      </c>
      <c r="V12">
        <f t="shared" si="5"/>
        <v>0</v>
      </c>
      <c r="W12">
        <f t="shared" si="6"/>
        <v>2.539999999999992</v>
      </c>
      <c r="X12">
        <f t="shared" si="7"/>
        <v>-2.539999999999992</v>
      </c>
      <c r="Y12">
        <f t="shared" si="8"/>
        <v>31</v>
      </c>
      <c r="Z12">
        <f t="shared" si="9"/>
        <v>26</v>
      </c>
      <c r="AA12">
        <f t="shared" si="18"/>
        <v>2.4444444444444446</v>
      </c>
      <c r="AB12">
        <f t="shared" si="11"/>
        <v>4.2</v>
      </c>
      <c r="AC12">
        <f t="shared" si="12"/>
        <v>5</v>
      </c>
      <c r="AD12">
        <f t="shared" si="13"/>
        <v>-5</v>
      </c>
      <c r="AE12">
        <f t="shared" si="14"/>
        <v>-1.7555555555555555</v>
      </c>
      <c r="AF12">
        <f t="shared" si="15"/>
        <v>1.7555555555555555</v>
      </c>
      <c r="AG12">
        <f t="shared" si="16"/>
        <v>0</v>
      </c>
      <c r="AH12">
        <f t="shared" si="17"/>
        <v>0</v>
      </c>
      <c r="AI12">
        <v>0</v>
      </c>
      <c r="AJ12">
        <v>1</v>
      </c>
    </row>
    <row r="13" spans="1:36">
      <c r="A13" s="4" t="s">
        <v>95</v>
      </c>
      <c r="B13" s="4" t="s">
        <v>96</v>
      </c>
      <c r="C13">
        <v>165.1</v>
      </c>
      <c r="D13">
        <v>154.94</v>
      </c>
      <c r="E13">
        <v>115</v>
      </c>
      <c r="F13">
        <v>115</v>
      </c>
      <c r="G13">
        <v>160.02000000000001</v>
      </c>
      <c r="H13">
        <v>154.94</v>
      </c>
      <c r="I13">
        <f>DATEDIF(DATE(1989,6,16), DATE(2024,11,23), "Y")</f>
        <v>35</v>
      </c>
      <c r="J13">
        <f>DATEDIF(DATE(1995,2,21), DATE(2024,11,23), "Y")</f>
        <v>29</v>
      </c>
      <c r="K13">
        <v>19</v>
      </c>
      <c r="L13">
        <v>4</v>
      </c>
      <c r="M13">
        <v>11</v>
      </c>
      <c r="N13">
        <v>3</v>
      </c>
      <c r="O13">
        <v>0</v>
      </c>
      <c r="P13">
        <v>2</v>
      </c>
      <c r="Q13">
        <f t="shared" si="19"/>
        <v>6</v>
      </c>
      <c r="R13">
        <f t="shared" si="20"/>
        <v>-6</v>
      </c>
      <c r="S13">
        <f>C13-D13</f>
        <v>10.159999999999997</v>
      </c>
      <c r="T13">
        <f>D13-C13</f>
        <v>-10.159999999999997</v>
      </c>
      <c r="U13">
        <f>E13-F13</f>
        <v>0</v>
      </c>
      <c r="V13">
        <f>F13-E13</f>
        <v>0</v>
      </c>
      <c r="W13">
        <f>G13-H13</f>
        <v>5.0800000000000125</v>
      </c>
      <c r="X13">
        <f>H13-G13</f>
        <v>-5.0800000000000125</v>
      </c>
      <c r="Y13">
        <f>K13+L13</f>
        <v>23</v>
      </c>
      <c r="Z13">
        <f>M13+N13</f>
        <v>14</v>
      </c>
      <c r="AA13">
        <f t="shared" si="18"/>
        <v>4.75</v>
      </c>
      <c r="AB13">
        <f>IF(N13=0,M13,M13/N13)</f>
        <v>3.6666666666666665</v>
      </c>
      <c r="AC13">
        <f>Y13-Z13</f>
        <v>9</v>
      </c>
      <c r="AD13">
        <f>Z13-Y13</f>
        <v>-9</v>
      </c>
      <c r="AE13">
        <f>AA13-AB13</f>
        <v>1.0833333333333335</v>
      </c>
      <c r="AF13">
        <f>AB13-AA13</f>
        <v>-1.0833333333333335</v>
      </c>
      <c r="AG13">
        <f>O13-P13</f>
        <v>-2</v>
      </c>
      <c r="AH13">
        <f>P13-O13</f>
        <v>2</v>
      </c>
      <c r="AI13">
        <v>1</v>
      </c>
      <c r="AJ13">
        <v>0</v>
      </c>
    </row>
    <row r="14" spans="1:36">
      <c r="A14" s="4" t="s">
        <v>97</v>
      </c>
      <c r="B14" s="4" t="s">
        <v>98</v>
      </c>
      <c r="C14">
        <v>170.18</v>
      </c>
      <c r="D14">
        <v>165.1</v>
      </c>
      <c r="E14">
        <v>135</v>
      </c>
      <c r="F14">
        <v>135</v>
      </c>
      <c r="G14">
        <v>170.18</v>
      </c>
      <c r="H14">
        <v>172.72</v>
      </c>
      <c r="I14">
        <f>DATEDIF(DATE(1993,2,11), DATE(2024,11,23), "Y")</f>
        <v>31</v>
      </c>
      <c r="J14">
        <f>DATEDIF(DATE(1987,12,18), DATE(2024,11,23), "Y")</f>
        <v>36</v>
      </c>
      <c r="K14">
        <v>18</v>
      </c>
      <c r="L14">
        <v>5</v>
      </c>
      <c r="M14">
        <v>24</v>
      </c>
      <c r="N14">
        <v>4</v>
      </c>
      <c r="O14">
        <v>1</v>
      </c>
      <c r="P14">
        <v>3</v>
      </c>
      <c r="Q14">
        <f t="shared" si="19"/>
        <v>-5</v>
      </c>
      <c r="R14">
        <f t="shared" si="20"/>
        <v>5</v>
      </c>
      <c r="S14">
        <f t="shared" ref="S14:S18" si="21">C14-D14</f>
        <v>5.0800000000000125</v>
      </c>
      <c r="T14">
        <f t="shared" ref="T14:T18" si="22">D14-C14</f>
        <v>-5.0800000000000125</v>
      </c>
      <c r="U14">
        <f t="shared" ref="U14:U18" si="23">E14-F14</f>
        <v>0</v>
      </c>
      <c r="V14">
        <f t="shared" ref="V14:V18" si="24">F14-E14</f>
        <v>0</v>
      </c>
      <c r="W14">
        <f t="shared" ref="W14:W18" si="25">G14-H14</f>
        <v>-2.539999999999992</v>
      </c>
      <c r="X14">
        <f t="shared" ref="X14:X18" si="26">H14-G14</f>
        <v>2.539999999999992</v>
      </c>
      <c r="Y14">
        <f t="shared" ref="Y14:Y18" si="27">K14+L14</f>
        <v>23</v>
      </c>
      <c r="Z14">
        <f t="shared" ref="Z14:Z18" si="28">M14+N14</f>
        <v>28</v>
      </c>
      <c r="AA14">
        <f t="shared" si="18"/>
        <v>3.6</v>
      </c>
      <c r="AB14">
        <f t="shared" ref="AB14:AB18" si="29">IF(N14=0,M14,M14/N14)</f>
        <v>6</v>
      </c>
      <c r="AC14">
        <f t="shared" ref="AC14:AC18" si="30">Y14-Z14</f>
        <v>-5</v>
      </c>
      <c r="AD14">
        <f t="shared" ref="AD14:AD18" si="31">Z14-Y14</f>
        <v>5</v>
      </c>
      <c r="AE14">
        <f t="shared" ref="AE14:AE18" si="32">AA14-AB14</f>
        <v>-2.4</v>
      </c>
      <c r="AF14">
        <f t="shared" ref="AF14:AF18" si="33">AB14-AA14</f>
        <v>2.4</v>
      </c>
      <c r="AG14">
        <f t="shared" ref="AG14:AG18" si="34">O14-P14</f>
        <v>-2</v>
      </c>
      <c r="AH14">
        <f t="shared" ref="AH14:AH18" si="35">P14-O14</f>
        <v>2</v>
      </c>
      <c r="AI14">
        <v>1</v>
      </c>
      <c r="AJ14">
        <v>0</v>
      </c>
    </row>
    <row r="15" spans="1:36">
      <c r="A15" s="5" t="s">
        <v>99</v>
      </c>
      <c r="B15" s="5" t="s">
        <v>100</v>
      </c>
      <c r="C15">
        <v>162.56</v>
      </c>
      <c r="D15">
        <v>167.64</v>
      </c>
      <c r="E15">
        <v>125</v>
      </c>
      <c r="F15">
        <v>125</v>
      </c>
      <c r="G15">
        <v>162.56</v>
      </c>
      <c r="H15">
        <v>167.64</v>
      </c>
      <c r="I15">
        <f>DATEDIF(DATE(1995,10,30), DATE(2024,11,23), "Y")</f>
        <v>29</v>
      </c>
      <c r="J15">
        <f>DATEDIF(DATE(1994,2,28), DATE(2024,11,23), "Y")</f>
        <v>30</v>
      </c>
      <c r="K15">
        <v>9</v>
      </c>
      <c r="L15">
        <v>5</v>
      </c>
      <c r="M15">
        <v>11</v>
      </c>
      <c r="N15">
        <v>1</v>
      </c>
      <c r="O15">
        <v>3</v>
      </c>
      <c r="P15">
        <v>0</v>
      </c>
      <c r="Q15">
        <f t="shared" si="19"/>
        <v>-1</v>
      </c>
      <c r="R15">
        <f t="shared" si="20"/>
        <v>1</v>
      </c>
      <c r="S15">
        <f t="shared" si="21"/>
        <v>-5.0799999999999841</v>
      </c>
      <c r="T15">
        <f t="shared" si="22"/>
        <v>5.0799999999999841</v>
      </c>
      <c r="U15">
        <f t="shared" si="23"/>
        <v>0</v>
      </c>
      <c r="V15">
        <f t="shared" si="24"/>
        <v>0</v>
      </c>
      <c r="W15">
        <f t="shared" si="25"/>
        <v>-5.0799999999999841</v>
      </c>
      <c r="X15">
        <f t="shared" si="26"/>
        <v>5.0799999999999841</v>
      </c>
      <c r="Y15">
        <f t="shared" si="27"/>
        <v>14</v>
      </c>
      <c r="Z15">
        <f t="shared" si="28"/>
        <v>12</v>
      </c>
      <c r="AA15">
        <f t="shared" si="18"/>
        <v>1.8</v>
      </c>
      <c r="AB15">
        <f t="shared" si="29"/>
        <v>11</v>
      </c>
      <c r="AC15">
        <f t="shared" si="30"/>
        <v>2</v>
      </c>
      <c r="AD15">
        <f t="shared" si="31"/>
        <v>-2</v>
      </c>
      <c r="AE15">
        <f t="shared" si="32"/>
        <v>-9.1999999999999993</v>
      </c>
      <c r="AF15">
        <f t="shared" si="33"/>
        <v>9.1999999999999993</v>
      </c>
      <c r="AG15">
        <f t="shared" si="34"/>
        <v>3</v>
      </c>
      <c r="AH15">
        <f t="shared" si="35"/>
        <v>-3</v>
      </c>
      <c r="AI15">
        <v>0</v>
      </c>
      <c r="AJ15">
        <v>1</v>
      </c>
    </row>
    <row r="16" spans="1:36">
      <c r="A16" s="5" t="s">
        <v>101</v>
      </c>
      <c r="B16" s="5" t="s">
        <v>102</v>
      </c>
      <c r="C16">
        <v>180.34</v>
      </c>
      <c r="D16">
        <v>182.88</v>
      </c>
      <c r="E16">
        <v>170</v>
      </c>
      <c r="F16">
        <v>170</v>
      </c>
      <c r="G16">
        <v>182.88</v>
      </c>
      <c r="H16">
        <v>182.88</v>
      </c>
      <c r="I16">
        <f>DATEDIF(DATE(1992,1,31), DATE(2024,11,23), "Y")</f>
        <v>32</v>
      </c>
      <c r="J16">
        <f>DATEDIF(DATE(1997,12,19), DATE(2024,11,23), "Y")</f>
        <v>26</v>
      </c>
      <c r="K16">
        <v>9</v>
      </c>
      <c r="L16">
        <v>4</v>
      </c>
      <c r="M16">
        <v>12</v>
      </c>
      <c r="N16">
        <v>2</v>
      </c>
      <c r="O16">
        <v>1</v>
      </c>
      <c r="P16">
        <v>3</v>
      </c>
      <c r="Q16">
        <f t="shared" si="19"/>
        <v>6</v>
      </c>
      <c r="R16">
        <f t="shared" si="20"/>
        <v>-6</v>
      </c>
      <c r="S16">
        <f t="shared" si="21"/>
        <v>-2.539999999999992</v>
      </c>
      <c r="T16">
        <f t="shared" si="22"/>
        <v>2.539999999999992</v>
      </c>
      <c r="U16">
        <f t="shared" si="23"/>
        <v>0</v>
      </c>
      <c r="V16">
        <f t="shared" si="24"/>
        <v>0</v>
      </c>
      <c r="W16">
        <f t="shared" si="25"/>
        <v>0</v>
      </c>
      <c r="X16">
        <f t="shared" si="26"/>
        <v>0</v>
      </c>
      <c r="Y16">
        <f t="shared" si="27"/>
        <v>13</v>
      </c>
      <c r="Z16">
        <f t="shared" si="28"/>
        <v>14</v>
      </c>
      <c r="AA16">
        <f t="shared" si="18"/>
        <v>2.25</v>
      </c>
      <c r="AB16">
        <f t="shared" si="29"/>
        <v>6</v>
      </c>
      <c r="AC16">
        <f t="shared" si="30"/>
        <v>-1</v>
      </c>
      <c r="AD16">
        <f t="shared" si="31"/>
        <v>1</v>
      </c>
      <c r="AE16">
        <f t="shared" si="32"/>
        <v>-3.75</v>
      </c>
      <c r="AF16">
        <f t="shared" si="33"/>
        <v>3.75</v>
      </c>
      <c r="AG16">
        <f t="shared" si="34"/>
        <v>-2</v>
      </c>
      <c r="AH16">
        <f t="shared" si="35"/>
        <v>2</v>
      </c>
      <c r="AI16">
        <v>0</v>
      </c>
      <c r="AJ16">
        <v>1</v>
      </c>
    </row>
    <row r="17" spans="1:38">
      <c r="A17" s="5" t="s">
        <v>103</v>
      </c>
      <c r="B17" s="5" t="s">
        <v>104</v>
      </c>
      <c r="C17">
        <v>187.96</v>
      </c>
      <c r="D17">
        <v>177.8</v>
      </c>
      <c r="E17">
        <v>170</v>
      </c>
      <c r="F17">
        <v>170</v>
      </c>
      <c r="G17">
        <v>187.96</v>
      </c>
      <c r="H17">
        <v>182.88</v>
      </c>
      <c r="I17">
        <f>DATEDIF(DATE(1992,1,22), DATE(2024,11,23), "Y")</f>
        <v>32</v>
      </c>
      <c r="J17">
        <f>DATEDIF(DATE(1992,11,17), DATE(2024,11,23), "Y")</f>
        <v>32</v>
      </c>
      <c r="K17">
        <v>7</v>
      </c>
      <c r="L17">
        <v>7</v>
      </c>
      <c r="M17">
        <v>11</v>
      </c>
      <c r="N17">
        <v>5</v>
      </c>
      <c r="O17">
        <v>0</v>
      </c>
      <c r="P17">
        <v>0</v>
      </c>
      <c r="Q17">
        <f t="shared" ref="Q17" si="36">I17-J17</f>
        <v>0</v>
      </c>
      <c r="R17">
        <f t="shared" ref="R17" si="37">J17-I17</f>
        <v>0</v>
      </c>
      <c r="S17">
        <f t="shared" si="21"/>
        <v>10.159999999999997</v>
      </c>
      <c r="T17">
        <f t="shared" si="22"/>
        <v>-10.159999999999997</v>
      </c>
      <c r="U17">
        <f t="shared" si="23"/>
        <v>0</v>
      </c>
      <c r="V17">
        <f t="shared" si="24"/>
        <v>0</v>
      </c>
      <c r="W17">
        <f t="shared" si="25"/>
        <v>5.0800000000000125</v>
      </c>
      <c r="X17">
        <f t="shared" si="26"/>
        <v>-5.0800000000000125</v>
      </c>
      <c r="Y17">
        <f t="shared" si="27"/>
        <v>14</v>
      </c>
      <c r="Z17">
        <f t="shared" si="28"/>
        <v>16</v>
      </c>
      <c r="AA17">
        <f t="shared" si="18"/>
        <v>1</v>
      </c>
      <c r="AB17">
        <f t="shared" si="29"/>
        <v>2.2000000000000002</v>
      </c>
      <c r="AC17">
        <f t="shared" si="30"/>
        <v>-2</v>
      </c>
      <c r="AD17">
        <f t="shared" si="31"/>
        <v>2</v>
      </c>
      <c r="AE17">
        <f t="shared" si="32"/>
        <v>-1.2000000000000002</v>
      </c>
      <c r="AF17">
        <f t="shared" si="33"/>
        <v>1.2000000000000002</v>
      </c>
      <c r="AG17">
        <f t="shared" si="34"/>
        <v>0</v>
      </c>
      <c r="AH17">
        <f t="shared" si="35"/>
        <v>0</v>
      </c>
      <c r="AI17">
        <v>0</v>
      </c>
      <c r="AJ17">
        <v>1</v>
      </c>
    </row>
    <row r="18" spans="1:38">
      <c r="A18" s="5" t="s">
        <v>105</v>
      </c>
      <c r="B18" s="5" t="s">
        <v>106</v>
      </c>
      <c r="C18">
        <v>190.5</v>
      </c>
      <c r="D18">
        <v>193.04</v>
      </c>
      <c r="E18">
        <v>249</v>
      </c>
      <c r="F18">
        <v>254</v>
      </c>
      <c r="G18">
        <v>198.12</v>
      </c>
      <c r="H18">
        <v>200.66</v>
      </c>
      <c r="I18">
        <f>DATEDIF(DATE(1985,11,9), DATE(2024,11,23), "Y")</f>
        <v>39</v>
      </c>
      <c r="J18">
        <f>DATEDIF(DATE(1991,6,23), DATE(2024,11,23), "Y")</f>
        <v>33</v>
      </c>
      <c r="K18">
        <v>26</v>
      </c>
      <c r="L18">
        <v>9</v>
      </c>
      <c r="M18">
        <v>8</v>
      </c>
      <c r="N18">
        <v>1</v>
      </c>
      <c r="O18">
        <v>0</v>
      </c>
      <c r="P18">
        <v>3</v>
      </c>
      <c r="Q18">
        <f t="shared" ref="Q18" si="38">I18-J18</f>
        <v>6</v>
      </c>
      <c r="R18">
        <f t="shared" ref="R18" si="39">J18-I18</f>
        <v>-6</v>
      </c>
      <c r="S18">
        <f t="shared" si="21"/>
        <v>-2.539999999999992</v>
      </c>
      <c r="T18">
        <f t="shared" si="22"/>
        <v>2.539999999999992</v>
      </c>
      <c r="U18">
        <f t="shared" si="23"/>
        <v>-5</v>
      </c>
      <c r="V18">
        <f t="shared" si="24"/>
        <v>5</v>
      </c>
      <c r="W18">
        <f t="shared" si="25"/>
        <v>-2.539999999999992</v>
      </c>
      <c r="X18">
        <f t="shared" si="26"/>
        <v>2.539999999999992</v>
      </c>
      <c r="Y18">
        <f t="shared" si="27"/>
        <v>35</v>
      </c>
      <c r="Z18">
        <f t="shared" si="28"/>
        <v>9</v>
      </c>
      <c r="AA18">
        <f t="shared" si="18"/>
        <v>2.8888888888888888</v>
      </c>
      <c r="AB18">
        <f t="shared" si="29"/>
        <v>8</v>
      </c>
      <c r="AC18">
        <f t="shared" si="30"/>
        <v>26</v>
      </c>
      <c r="AD18">
        <f t="shared" si="31"/>
        <v>-26</v>
      </c>
      <c r="AE18">
        <f t="shared" si="32"/>
        <v>-5.1111111111111107</v>
      </c>
      <c r="AF18">
        <f t="shared" si="33"/>
        <v>5.1111111111111107</v>
      </c>
      <c r="AG18">
        <f t="shared" si="34"/>
        <v>-3</v>
      </c>
      <c r="AH18">
        <f t="shared" si="35"/>
        <v>3</v>
      </c>
      <c r="AI18">
        <v>1</v>
      </c>
      <c r="AJ18">
        <v>0</v>
      </c>
    </row>
    <row r="19" spans="1:38">
      <c r="A19" s="5" t="s">
        <v>107</v>
      </c>
      <c r="B19" s="5" t="s">
        <v>108</v>
      </c>
      <c r="C19">
        <v>180.34</v>
      </c>
      <c r="D19">
        <v>172.72</v>
      </c>
      <c r="E19">
        <v>145</v>
      </c>
      <c r="F19">
        <v>155</v>
      </c>
      <c r="G19">
        <v>187.96</v>
      </c>
      <c r="H19">
        <v>177.8</v>
      </c>
      <c r="I19">
        <f>DATEDIF(DATE(1994,6,7), DATE(2024,11,23), "Y")</f>
        <v>30</v>
      </c>
      <c r="J19">
        <f>DATEDIF(DATE(2000,1,30), DATE(2024,11,23), "Y")</f>
        <v>24</v>
      </c>
      <c r="K19">
        <v>13</v>
      </c>
      <c r="L19">
        <v>2</v>
      </c>
      <c r="M19">
        <v>8</v>
      </c>
      <c r="N19">
        <v>4</v>
      </c>
      <c r="O19">
        <v>2</v>
      </c>
      <c r="P19">
        <v>0</v>
      </c>
      <c r="Q19">
        <f t="shared" ref="Q19:Q26" si="40">I19-J19</f>
        <v>6</v>
      </c>
      <c r="R19">
        <f t="shared" ref="R19:R26" si="41">J19-I19</f>
        <v>-6</v>
      </c>
      <c r="S19">
        <f t="shared" ref="S19:S26" si="42">C19-D19</f>
        <v>7.6200000000000045</v>
      </c>
      <c r="T19">
        <f t="shared" ref="T19:T26" si="43">D19-C19</f>
        <v>-7.6200000000000045</v>
      </c>
      <c r="U19">
        <f t="shared" ref="U19:U26" si="44">E19-F19</f>
        <v>-10</v>
      </c>
      <c r="V19">
        <f t="shared" ref="V19:V26" si="45">F19-E19</f>
        <v>10</v>
      </c>
      <c r="W19">
        <f t="shared" ref="W19:W26" si="46">G19-H19</f>
        <v>10.159999999999997</v>
      </c>
      <c r="X19">
        <f t="shared" ref="X19:X26" si="47">H19-G19</f>
        <v>-10.159999999999997</v>
      </c>
      <c r="Y19">
        <f t="shared" ref="Y19:Y26" si="48">K19+L19</f>
        <v>15</v>
      </c>
      <c r="Z19">
        <f t="shared" ref="Z19:Z26" si="49">M19+N19</f>
        <v>12</v>
      </c>
      <c r="AA19">
        <f t="shared" ref="AA19:AA26" si="50">IF(L19=0,K19,K19/L19)</f>
        <v>6.5</v>
      </c>
      <c r="AB19">
        <f t="shared" ref="AB19:AB26" si="51">IF(N19=0,M19,M19/N19)</f>
        <v>2</v>
      </c>
      <c r="AC19">
        <f t="shared" ref="AC19:AC26" si="52">Y19-Z19</f>
        <v>3</v>
      </c>
      <c r="AD19">
        <f t="shared" ref="AD19:AD26" si="53">Z19-Y19</f>
        <v>-3</v>
      </c>
      <c r="AE19">
        <f t="shared" ref="AE19:AE26" si="54">AA19-AB19</f>
        <v>4.5</v>
      </c>
      <c r="AF19">
        <f t="shared" ref="AF19:AF26" si="55">AB19-AA19</f>
        <v>-4.5</v>
      </c>
      <c r="AG19">
        <f t="shared" ref="AG19:AG26" si="56">O19-P19</f>
        <v>2</v>
      </c>
      <c r="AH19">
        <f t="shared" ref="AH19:AH26" si="57">P19-O19</f>
        <v>-2</v>
      </c>
      <c r="AI19">
        <v>1</v>
      </c>
      <c r="AJ19">
        <v>0</v>
      </c>
    </row>
    <row r="20" spans="1:38">
      <c r="A20" s="5" t="s">
        <v>109</v>
      </c>
      <c r="B20" s="5" t="s">
        <v>110</v>
      </c>
      <c r="C20">
        <v>172.72</v>
      </c>
      <c r="D20">
        <v>180.34</v>
      </c>
      <c r="E20">
        <v>155</v>
      </c>
      <c r="F20">
        <v>155</v>
      </c>
      <c r="G20">
        <v>180.34</v>
      </c>
      <c r="H20">
        <v>180.34</v>
      </c>
      <c r="I20">
        <f>DATEDIF(DATE(1983,8,30), DATE(2024,11,23), "Y")</f>
        <v>41</v>
      </c>
      <c r="J20">
        <f>DATEDIF(DATE(1988,8,8), DATE(2024,11,23), "Y")</f>
        <v>36</v>
      </c>
      <c r="K20">
        <v>38</v>
      </c>
      <c r="L20">
        <v>18</v>
      </c>
      <c r="M20">
        <v>23</v>
      </c>
      <c r="N20">
        <v>8</v>
      </c>
      <c r="O20">
        <v>0</v>
      </c>
      <c r="P20">
        <v>0</v>
      </c>
      <c r="Q20">
        <f t="shared" si="40"/>
        <v>5</v>
      </c>
      <c r="R20">
        <f t="shared" si="41"/>
        <v>-5</v>
      </c>
      <c r="S20">
        <f t="shared" si="42"/>
        <v>-7.6200000000000045</v>
      </c>
      <c r="T20">
        <f t="shared" si="43"/>
        <v>7.6200000000000045</v>
      </c>
      <c r="U20">
        <f t="shared" si="44"/>
        <v>0</v>
      </c>
      <c r="V20">
        <f t="shared" si="45"/>
        <v>0</v>
      </c>
      <c r="W20">
        <f t="shared" si="46"/>
        <v>0</v>
      </c>
      <c r="X20">
        <f t="shared" si="47"/>
        <v>0</v>
      </c>
      <c r="Y20">
        <f t="shared" si="48"/>
        <v>56</v>
      </c>
      <c r="Z20">
        <f t="shared" si="49"/>
        <v>31</v>
      </c>
      <c r="AA20">
        <f t="shared" si="50"/>
        <v>2.1111111111111112</v>
      </c>
      <c r="AB20">
        <f t="shared" si="51"/>
        <v>2.875</v>
      </c>
      <c r="AC20">
        <f t="shared" si="52"/>
        <v>25</v>
      </c>
      <c r="AD20">
        <f t="shared" si="53"/>
        <v>-25</v>
      </c>
      <c r="AE20">
        <f t="shared" si="54"/>
        <v>-0.76388888888888884</v>
      </c>
      <c r="AF20">
        <f t="shared" si="55"/>
        <v>0.76388888888888884</v>
      </c>
      <c r="AG20">
        <f t="shared" si="56"/>
        <v>0</v>
      </c>
      <c r="AH20">
        <f t="shared" si="57"/>
        <v>0</v>
      </c>
      <c r="AI20">
        <v>1</v>
      </c>
      <c r="AJ20">
        <v>0</v>
      </c>
    </row>
    <row r="21" spans="1:38">
      <c r="A21" s="5" t="s">
        <v>111</v>
      </c>
      <c r="B21" s="5" t="s">
        <v>112</v>
      </c>
      <c r="C21">
        <v>172.72</v>
      </c>
      <c r="D21">
        <v>172.72</v>
      </c>
      <c r="E21">
        <v>135</v>
      </c>
      <c r="F21">
        <v>135</v>
      </c>
      <c r="G21">
        <v>177.8</v>
      </c>
      <c r="H21">
        <v>175.26</v>
      </c>
      <c r="I21">
        <f>DATEDIF(DATE(1994,4,22), DATE(2024,11,23), "Y")</f>
        <v>30</v>
      </c>
      <c r="J21">
        <f>DATEDIF(DATE(1990,5,2), DATE(2024,11,23), "Y")</f>
        <v>34</v>
      </c>
      <c r="K21">
        <v>19</v>
      </c>
      <c r="L21">
        <v>6</v>
      </c>
      <c r="M21">
        <v>10</v>
      </c>
      <c r="N21">
        <v>1</v>
      </c>
      <c r="O21">
        <v>0</v>
      </c>
      <c r="P21">
        <v>3</v>
      </c>
      <c r="Q21">
        <f t="shared" si="40"/>
        <v>-4</v>
      </c>
      <c r="R21">
        <f t="shared" si="41"/>
        <v>4</v>
      </c>
      <c r="S21">
        <f t="shared" si="42"/>
        <v>0</v>
      </c>
      <c r="T21">
        <f t="shared" si="43"/>
        <v>0</v>
      </c>
      <c r="U21">
        <f t="shared" si="44"/>
        <v>0</v>
      </c>
      <c r="V21">
        <f t="shared" si="45"/>
        <v>0</v>
      </c>
      <c r="W21">
        <f t="shared" si="46"/>
        <v>2.5400000000000205</v>
      </c>
      <c r="X21">
        <f t="shared" si="47"/>
        <v>-2.5400000000000205</v>
      </c>
      <c r="Y21">
        <f t="shared" si="48"/>
        <v>25</v>
      </c>
      <c r="Z21">
        <f t="shared" si="49"/>
        <v>11</v>
      </c>
      <c r="AA21">
        <f t="shared" si="50"/>
        <v>3.1666666666666665</v>
      </c>
      <c r="AB21">
        <f t="shared" si="51"/>
        <v>10</v>
      </c>
      <c r="AC21">
        <f t="shared" si="52"/>
        <v>14</v>
      </c>
      <c r="AD21">
        <f t="shared" si="53"/>
        <v>-14</v>
      </c>
      <c r="AE21">
        <f t="shared" si="54"/>
        <v>-6.8333333333333339</v>
      </c>
      <c r="AF21">
        <f t="shared" si="55"/>
        <v>6.8333333333333339</v>
      </c>
      <c r="AG21">
        <f t="shared" si="56"/>
        <v>-3</v>
      </c>
      <c r="AH21">
        <f t="shared" si="57"/>
        <v>3</v>
      </c>
      <c r="AI21">
        <v>0</v>
      </c>
      <c r="AJ21">
        <v>1</v>
      </c>
    </row>
    <row r="22" spans="1:38">
      <c r="A22" s="5" t="s">
        <v>113</v>
      </c>
      <c r="B22" s="5" t="s">
        <v>114</v>
      </c>
      <c r="C22">
        <v>180.34</v>
      </c>
      <c r="D22">
        <v>182.88</v>
      </c>
      <c r="E22">
        <v>155</v>
      </c>
      <c r="F22">
        <v>155</v>
      </c>
      <c r="G22">
        <v>190.5</v>
      </c>
      <c r="H22">
        <v>185.42</v>
      </c>
      <c r="I22">
        <f>DATEDIF(DATE(1996,6,17), DATE(2024,11,23), "Y")</f>
        <v>28</v>
      </c>
      <c r="J22">
        <f>DATEDIF(DATE(1999,8,2), DATE(2024,11,23), "Y")</f>
        <v>25</v>
      </c>
      <c r="K22">
        <v>11</v>
      </c>
      <c r="L22">
        <v>1</v>
      </c>
      <c r="M22">
        <v>14</v>
      </c>
      <c r="N22">
        <v>5</v>
      </c>
      <c r="O22">
        <v>2</v>
      </c>
      <c r="P22">
        <v>0</v>
      </c>
      <c r="Q22">
        <f t="shared" si="40"/>
        <v>3</v>
      </c>
      <c r="R22">
        <f t="shared" si="41"/>
        <v>-3</v>
      </c>
      <c r="S22">
        <f t="shared" si="42"/>
        <v>-2.539999999999992</v>
      </c>
      <c r="T22">
        <f t="shared" si="43"/>
        <v>2.539999999999992</v>
      </c>
      <c r="U22">
        <f t="shared" si="44"/>
        <v>0</v>
      </c>
      <c r="V22">
        <f t="shared" si="45"/>
        <v>0</v>
      </c>
      <c r="W22">
        <f t="shared" si="46"/>
        <v>5.0800000000000125</v>
      </c>
      <c r="X22">
        <f t="shared" si="47"/>
        <v>-5.0800000000000125</v>
      </c>
      <c r="Y22">
        <f t="shared" si="48"/>
        <v>12</v>
      </c>
      <c r="Z22">
        <f t="shared" si="49"/>
        <v>19</v>
      </c>
      <c r="AA22">
        <f t="shared" si="50"/>
        <v>11</v>
      </c>
      <c r="AB22">
        <f t="shared" si="51"/>
        <v>2.8</v>
      </c>
      <c r="AC22">
        <f t="shared" si="52"/>
        <v>-7</v>
      </c>
      <c r="AD22">
        <f t="shared" si="53"/>
        <v>7</v>
      </c>
      <c r="AE22">
        <f t="shared" si="54"/>
        <v>8.1999999999999993</v>
      </c>
      <c r="AF22">
        <f t="shared" si="55"/>
        <v>-8.1999999999999993</v>
      </c>
      <c r="AG22">
        <f t="shared" si="56"/>
        <v>2</v>
      </c>
      <c r="AH22">
        <f t="shared" si="57"/>
        <v>-2</v>
      </c>
      <c r="AI22">
        <v>1</v>
      </c>
      <c r="AJ22">
        <v>0</v>
      </c>
    </row>
    <row r="23" spans="1:38">
      <c r="A23" s="5" t="s">
        <v>115</v>
      </c>
      <c r="B23" s="5" t="s">
        <v>116</v>
      </c>
      <c r="C23">
        <v>162.56</v>
      </c>
      <c r="D23">
        <v>165.1</v>
      </c>
      <c r="E23">
        <v>125</v>
      </c>
      <c r="F23">
        <v>125</v>
      </c>
      <c r="G23">
        <v>172.72</v>
      </c>
      <c r="H23">
        <v>170.18</v>
      </c>
      <c r="I23">
        <f>DATEDIF(DATE(1986,11,21), DATE(2024,11,23), "Y")</f>
        <v>38</v>
      </c>
      <c r="J23">
        <f>DATEDIF(DATE(1993,12,2), DATE(2024,11,23), "Y")</f>
        <v>30</v>
      </c>
      <c r="K23">
        <v>13</v>
      </c>
      <c r="L23">
        <v>6</v>
      </c>
      <c r="M23">
        <v>18</v>
      </c>
      <c r="N23">
        <v>5</v>
      </c>
      <c r="O23">
        <v>0</v>
      </c>
      <c r="P23">
        <v>5</v>
      </c>
      <c r="Q23">
        <f t="shared" si="40"/>
        <v>8</v>
      </c>
      <c r="R23">
        <f t="shared" si="41"/>
        <v>-8</v>
      </c>
      <c r="S23">
        <f t="shared" si="42"/>
        <v>-2.539999999999992</v>
      </c>
      <c r="T23">
        <f t="shared" si="43"/>
        <v>2.539999999999992</v>
      </c>
      <c r="U23">
        <f t="shared" si="44"/>
        <v>0</v>
      </c>
      <c r="V23">
        <f t="shared" si="45"/>
        <v>0</v>
      </c>
      <c r="W23">
        <f t="shared" si="46"/>
        <v>2.539999999999992</v>
      </c>
      <c r="X23">
        <f t="shared" si="47"/>
        <v>-2.539999999999992</v>
      </c>
      <c r="Y23">
        <f t="shared" si="48"/>
        <v>19</v>
      </c>
      <c r="Z23">
        <f t="shared" si="49"/>
        <v>23</v>
      </c>
      <c r="AA23">
        <f t="shared" si="50"/>
        <v>2.1666666666666665</v>
      </c>
      <c r="AB23">
        <f t="shared" si="51"/>
        <v>3.6</v>
      </c>
      <c r="AC23">
        <f t="shared" si="52"/>
        <v>-4</v>
      </c>
      <c r="AD23">
        <f t="shared" si="53"/>
        <v>4</v>
      </c>
      <c r="AE23">
        <f t="shared" si="54"/>
        <v>-1.4333333333333336</v>
      </c>
      <c r="AF23">
        <f t="shared" si="55"/>
        <v>1.4333333333333336</v>
      </c>
      <c r="AG23">
        <f t="shared" si="56"/>
        <v>-5</v>
      </c>
      <c r="AH23">
        <f t="shared" si="57"/>
        <v>5</v>
      </c>
      <c r="AI23">
        <v>1</v>
      </c>
      <c r="AJ23">
        <v>0</v>
      </c>
    </row>
    <row r="24" spans="1:38">
      <c r="A24" s="5" t="s">
        <v>117</v>
      </c>
      <c r="B24" s="5" t="s">
        <v>118</v>
      </c>
      <c r="C24">
        <v>185.42</v>
      </c>
      <c r="D24">
        <v>190.5</v>
      </c>
      <c r="E24">
        <v>185</v>
      </c>
      <c r="F24">
        <v>185</v>
      </c>
      <c r="G24">
        <v>193.04</v>
      </c>
      <c r="H24">
        <v>193.04</v>
      </c>
      <c r="I24">
        <f>DATEDIF(DATE(1996,1,14), DATE(2024,11,23), "Y")</f>
        <v>28</v>
      </c>
      <c r="J24">
        <f>DATEDIF(DATE(1987,11,27), DATE(2024,11,23), "Y")</f>
        <v>36</v>
      </c>
      <c r="K24">
        <v>7</v>
      </c>
      <c r="L24">
        <v>0</v>
      </c>
      <c r="M24">
        <v>17</v>
      </c>
      <c r="N24">
        <v>9</v>
      </c>
      <c r="O24">
        <v>5</v>
      </c>
      <c r="P24">
        <v>0</v>
      </c>
      <c r="Q24">
        <f t="shared" si="40"/>
        <v>-8</v>
      </c>
      <c r="R24">
        <f t="shared" si="41"/>
        <v>8</v>
      </c>
      <c r="S24">
        <f t="shared" si="42"/>
        <v>-5.0800000000000125</v>
      </c>
      <c r="T24">
        <f t="shared" si="43"/>
        <v>5.0800000000000125</v>
      </c>
      <c r="U24">
        <f t="shared" si="44"/>
        <v>0</v>
      </c>
      <c r="V24">
        <f t="shared" si="45"/>
        <v>0</v>
      </c>
      <c r="W24">
        <f t="shared" si="46"/>
        <v>0</v>
      </c>
      <c r="X24">
        <f t="shared" si="47"/>
        <v>0</v>
      </c>
      <c r="Y24">
        <f t="shared" si="48"/>
        <v>7</v>
      </c>
      <c r="Z24">
        <f t="shared" si="49"/>
        <v>26</v>
      </c>
      <c r="AA24">
        <f t="shared" si="50"/>
        <v>7</v>
      </c>
      <c r="AB24">
        <f t="shared" si="51"/>
        <v>1.8888888888888888</v>
      </c>
      <c r="AC24">
        <f t="shared" si="52"/>
        <v>-19</v>
      </c>
      <c r="AD24">
        <f t="shared" si="53"/>
        <v>19</v>
      </c>
      <c r="AE24">
        <f t="shared" si="54"/>
        <v>5.1111111111111107</v>
      </c>
      <c r="AF24">
        <f t="shared" si="55"/>
        <v>-5.1111111111111107</v>
      </c>
      <c r="AG24">
        <f t="shared" si="56"/>
        <v>5</v>
      </c>
      <c r="AH24">
        <f t="shared" si="57"/>
        <v>-5</v>
      </c>
      <c r="AI24">
        <v>1</v>
      </c>
      <c r="AJ24">
        <v>0</v>
      </c>
    </row>
    <row r="25" spans="1:38">
      <c r="A25" s="5" t="s">
        <v>119</v>
      </c>
      <c r="B25" s="5" t="s">
        <v>120</v>
      </c>
      <c r="C25">
        <v>177.8</v>
      </c>
      <c r="D25">
        <v>172.72</v>
      </c>
      <c r="E25">
        <v>155</v>
      </c>
      <c r="F25">
        <v>155</v>
      </c>
      <c r="G25">
        <v>187.96</v>
      </c>
      <c r="H25">
        <v>180.34</v>
      </c>
      <c r="I25">
        <f>DATEDIF(DATE(1989,10,17), DATE(2024,11,23), "Y")</f>
        <v>35</v>
      </c>
      <c r="J25">
        <f>DATEDIF(DATE(1986,4,24), DATE(2024,11,23), "Y")</f>
        <v>38</v>
      </c>
      <c r="K25">
        <v>35</v>
      </c>
      <c r="L25">
        <v>10</v>
      </c>
      <c r="M25">
        <v>23</v>
      </c>
      <c r="N25">
        <v>9</v>
      </c>
      <c r="O25">
        <v>0</v>
      </c>
      <c r="P25">
        <v>0</v>
      </c>
      <c r="Q25">
        <f t="shared" si="40"/>
        <v>-3</v>
      </c>
      <c r="R25">
        <f t="shared" si="41"/>
        <v>3</v>
      </c>
      <c r="S25">
        <f t="shared" si="42"/>
        <v>5.0800000000000125</v>
      </c>
      <c r="T25">
        <f t="shared" si="43"/>
        <v>-5.0800000000000125</v>
      </c>
      <c r="U25">
        <f t="shared" si="44"/>
        <v>0</v>
      </c>
      <c r="V25">
        <f t="shared" si="45"/>
        <v>0</v>
      </c>
      <c r="W25">
        <f t="shared" si="46"/>
        <v>7.6200000000000045</v>
      </c>
      <c r="X25">
        <f t="shared" si="47"/>
        <v>-7.6200000000000045</v>
      </c>
      <c r="Y25">
        <f t="shared" si="48"/>
        <v>45</v>
      </c>
      <c r="Z25">
        <f t="shared" si="49"/>
        <v>32</v>
      </c>
      <c r="AA25">
        <f t="shared" si="50"/>
        <v>3.5</v>
      </c>
      <c r="AB25">
        <f t="shared" si="51"/>
        <v>2.5555555555555554</v>
      </c>
      <c r="AC25">
        <f t="shared" si="52"/>
        <v>13</v>
      </c>
      <c r="AD25">
        <f t="shared" si="53"/>
        <v>-13</v>
      </c>
      <c r="AE25">
        <f t="shared" si="54"/>
        <v>0.94444444444444464</v>
      </c>
      <c r="AF25">
        <f t="shared" si="55"/>
        <v>-0.94444444444444464</v>
      </c>
      <c r="AG25">
        <f t="shared" si="56"/>
        <v>0</v>
      </c>
      <c r="AH25">
        <f t="shared" si="57"/>
        <v>0</v>
      </c>
      <c r="AI25">
        <v>1</v>
      </c>
      <c r="AJ25">
        <v>0</v>
      </c>
    </row>
    <row r="26" spans="1:38">
      <c r="A26" s="5" t="s">
        <v>121</v>
      </c>
      <c r="B26" s="5" t="s">
        <v>122</v>
      </c>
      <c r="C26">
        <v>193.04</v>
      </c>
      <c r="D26">
        <v>193.04</v>
      </c>
      <c r="E26">
        <v>248</v>
      </c>
      <c r="F26">
        <v>240</v>
      </c>
      <c r="G26">
        <v>213.36</v>
      </c>
      <c r="H26">
        <v>203.2</v>
      </c>
      <c r="I26">
        <f>DATEDIF(DATE(1987,7,19), DATE(2024,11,23), "Y")</f>
        <v>37</v>
      </c>
      <c r="J26">
        <f>DATEDIF(DATE(1982,8,19), DATE(2024,11,23), "Y")</f>
        <v>42</v>
      </c>
      <c r="K26">
        <v>28</v>
      </c>
      <c r="L26">
        <v>1</v>
      </c>
      <c r="M26">
        <v>20</v>
      </c>
      <c r="N26">
        <v>5</v>
      </c>
      <c r="O26">
        <v>5</v>
      </c>
      <c r="P26">
        <v>0</v>
      </c>
      <c r="Q26">
        <f t="shared" si="40"/>
        <v>-5</v>
      </c>
      <c r="R26">
        <f t="shared" si="41"/>
        <v>5</v>
      </c>
      <c r="S26">
        <f t="shared" si="42"/>
        <v>0</v>
      </c>
      <c r="T26">
        <f t="shared" si="43"/>
        <v>0</v>
      </c>
      <c r="U26">
        <f t="shared" si="44"/>
        <v>8</v>
      </c>
      <c r="V26">
        <f t="shared" si="45"/>
        <v>-8</v>
      </c>
      <c r="W26">
        <f t="shared" si="46"/>
        <v>10.160000000000025</v>
      </c>
      <c r="X26">
        <f t="shared" si="47"/>
        <v>-10.160000000000025</v>
      </c>
      <c r="Y26">
        <f t="shared" si="48"/>
        <v>29</v>
      </c>
      <c r="Z26">
        <f t="shared" si="49"/>
        <v>25</v>
      </c>
      <c r="AA26">
        <f t="shared" si="50"/>
        <v>28</v>
      </c>
      <c r="AB26">
        <f t="shared" si="51"/>
        <v>4</v>
      </c>
      <c r="AC26">
        <f t="shared" si="52"/>
        <v>4</v>
      </c>
      <c r="AD26">
        <f t="shared" si="53"/>
        <v>-4</v>
      </c>
      <c r="AE26">
        <f t="shared" si="54"/>
        <v>24</v>
      </c>
      <c r="AF26">
        <f t="shared" si="55"/>
        <v>-24</v>
      </c>
      <c r="AG26">
        <f t="shared" si="56"/>
        <v>5</v>
      </c>
      <c r="AH26">
        <f t="shared" si="57"/>
        <v>-5</v>
      </c>
      <c r="AI26">
        <v>1</v>
      </c>
      <c r="AJ26">
        <v>0</v>
      </c>
    </row>
    <row r="27" spans="1:38">
      <c r="A27" s="9" t="s">
        <v>123</v>
      </c>
      <c r="B27" s="9" t="s">
        <v>124</v>
      </c>
      <c r="C27" s="6">
        <v>172</v>
      </c>
      <c r="D27" s="6">
        <v>165.1</v>
      </c>
      <c r="E27" s="6">
        <v>125</v>
      </c>
      <c r="F27" s="6">
        <v>125</v>
      </c>
      <c r="G27" s="6">
        <v>175</v>
      </c>
      <c r="H27" s="6">
        <v>173</v>
      </c>
      <c r="I27" s="7">
        <v>31.115068493150684</v>
      </c>
      <c r="J27" s="7">
        <v>34.660273972602738</v>
      </c>
      <c r="K27" s="6">
        <v>0</v>
      </c>
      <c r="L27">
        <v>0</v>
      </c>
      <c r="M27" s="6">
        <v>28</v>
      </c>
      <c r="N27" s="6">
        <v>5</v>
      </c>
      <c r="O27">
        <v>2</v>
      </c>
      <c r="P27">
        <v>6</v>
      </c>
      <c r="Q27" s="8">
        <f t="shared" ref="Q27:Q40" si="58">I27-J27</f>
        <v>-3.5452054794520542</v>
      </c>
      <c r="R27" s="8">
        <f t="shared" ref="R27:R40" si="59">J27-I27</f>
        <v>3.5452054794520542</v>
      </c>
      <c r="S27">
        <f t="shared" ref="S27:S40" si="60">C27-D27</f>
        <v>6.9000000000000057</v>
      </c>
      <c r="T27">
        <f t="shared" ref="T27:T40" si="61">D27-C27</f>
        <v>-6.9000000000000057</v>
      </c>
      <c r="U27">
        <f t="shared" ref="U27:U40" si="62">E27-F27</f>
        <v>0</v>
      </c>
      <c r="V27">
        <f t="shared" ref="V27:V40" si="63">F27-E27</f>
        <v>0</v>
      </c>
      <c r="W27">
        <f t="shared" ref="W27:W40" si="64">G27-H27</f>
        <v>2</v>
      </c>
      <c r="X27">
        <f t="shared" ref="X27:X40" si="65">H27-G27</f>
        <v>-2</v>
      </c>
      <c r="Y27">
        <f t="shared" ref="Y27:Y40" si="66">K27+L27</f>
        <v>0</v>
      </c>
      <c r="Z27">
        <f t="shared" ref="Z27:Z40" si="67">M27+N27</f>
        <v>33</v>
      </c>
      <c r="AA27">
        <f t="shared" ref="AA27:AA40" si="68">IF(L27=0, K27, K27/L27)</f>
        <v>0</v>
      </c>
      <c r="AB27">
        <f t="shared" ref="AB27:AB40" si="69">IF(N27=0, M27, M27/N27)</f>
        <v>5.6</v>
      </c>
      <c r="AC27">
        <f t="shared" ref="AC27:AC40" si="70">(K27+L27)-(M27+N27)</f>
        <v>-33</v>
      </c>
      <c r="AD27">
        <f t="shared" ref="AD27:AD40" si="71">(M27+N27)-(K27+L27)</f>
        <v>33</v>
      </c>
      <c r="AE27">
        <f t="shared" ref="AE27:AE40" si="72">AA27-AB27</f>
        <v>-5.6</v>
      </c>
      <c r="AF27">
        <f t="shared" ref="AF27:AF40" si="73">AB27-AA27</f>
        <v>5.6</v>
      </c>
      <c r="AG27">
        <f t="shared" ref="AG27:AG40" si="74">O27-P27</f>
        <v>-4</v>
      </c>
      <c r="AH27">
        <f t="shared" ref="AH27:AH40" si="75">P27-O27</f>
        <v>4</v>
      </c>
      <c r="AI27">
        <v>0</v>
      </c>
      <c r="AJ27">
        <v>1</v>
      </c>
    </row>
    <row r="28" spans="1:38">
      <c r="A28" s="10" t="s">
        <v>125</v>
      </c>
      <c r="B28" s="10" t="s">
        <v>126</v>
      </c>
      <c r="C28" s="6">
        <v>185.42</v>
      </c>
      <c r="D28" s="6">
        <v>187.96</v>
      </c>
      <c r="E28" s="6">
        <v>171</v>
      </c>
      <c r="F28" s="6">
        <v>170</v>
      </c>
      <c r="G28" s="6">
        <f>77*2.54</f>
        <v>195.58</v>
      </c>
      <c r="H28" s="6">
        <f>74.5*2.54</f>
        <v>189.23</v>
      </c>
      <c r="I28" s="7">
        <v>30.136986301369863</v>
      </c>
      <c r="J28" s="7">
        <v>27.065753424657533</v>
      </c>
      <c r="K28" s="6">
        <v>18</v>
      </c>
      <c r="L28">
        <v>0</v>
      </c>
      <c r="M28">
        <v>15</v>
      </c>
      <c r="N28">
        <v>0</v>
      </c>
      <c r="O28">
        <v>18</v>
      </c>
      <c r="P28">
        <v>15</v>
      </c>
      <c r="Q28" s="8">
        <f t="shared" si="58"/>
        <v>3.0712328767123296</v>
      </c>
      <c r="R28" s="8">
        <f t="shared" si="59"/>
        <v>-3.0712328767123296</v>
      </c>
      <c r="S28">
        <f t="shared" si="60"/>
        <v>-2.5400000000000205</v>
      </c>
      <c r="T28">
        <f t="shared" si="61"/>
        <v>2.5400000000000205</v>
      </c>
      <c r="U28">
        <f t="shared" si="62"/>
        <v>1</v>
      </c>
      <c r="V28">
        <f t="shared" si="63"/>
        <v>-1</v>
      </c>
      <c r="W28">
        <f t="shared" si="64"/>
        <v>6.3500000000000227</v>
      </c>
      <c r="X28">
        <f t="shared" si="65"/>
        <v>-6.3500000000000227</v>
      </c>
      <c r="Y28">
        <f t="shared" si="66"/>
        <v>18</v>
      </c>
      <c r="Z28">
        <f t="shared" si="67"/>
        <v>15</v>
      </c>
      <c r="AA28">
        <f t="shared" si="68"/>
        <v>18</v>
      </c>
      <c r="AB28">
        <f t="shared" si="69"/>
        <v>15</v>
      </c>
      <c r="AC28">
        <f t="shared" si="70"/>
        <v>3</v>
      </c>
      <c r="AD28">
        <f t="shared" si="71"/>
        <v>-3</v>
      </c>
      <c r="AE28">
        <f t="shared" si="72"/>
        <v>3</v>
      </c>
      <c r="AF28">
        <f t="shared" si="73"/>
        <v>-3</v>
      </c>
      <c r="AG28">
        <f t="shared" si="74"/>
        <v>3</v>
      </c>
      <c r="AH28">
        <f t="shared" si="75"/>
        <v>-3</v>
      </c>
      <c r="AI28">
        <v>1</v>
      </c>
      <c r="AJ28">
        <v>0</v>
      </c>
    </row>
    <row r="29" spans="1:38">
      <c r="A29" s="10" t="s">
        <v>127</v>
      </c>
      <c r="B29" s="10" t="s">
        <v>128</v>
      </c>
      <c r="C29" s="6">
        <v>195.58</v>
      </c>
      <c r="D29" s="6">
        <v>201</v>
      </c>
      <c r="E29" s="6">
        <v>250</v>
      </c>
      <c r="F29" s="6">
        <v>258</v>
      </c>
      <c r="G29" s="6">
        <v>205.74</v>
      </c>
      <c r="H29" s="6">
        <v>203.2</v>
      </c>
      <c r="I29" s="7">
        <v>34.671232876712331</v>
      </c>
      <c r="J29" s="7">
        <v>36.136986301369866</v>
      </c>
      <c r="K29" s="6">
        <v>12</v>
      </c>
      <c r="L29">
        <v>2</v>
      </c>
      <c r="M29" s="6">
        <v>38</v>
      </c>
      <c r="N29">
        <v>10</v>
      </c>
      <c r="O29">
        <v>1</v>
      </c>
      <c r="P29">
        <v>4</v>
      </c>
      <c r="Q29" s="8">
        <f t="shared" si="58"/>
        <v>-1.4657534246575352</v>
      </c>
      <c r="R29" s="8">
        <f t="shared" si="59"/>
        <v>1.4657534246575352</v>
      </c>
      <c r="S29">
        <f t="shared" si="60"/>
        <v>-5.4199999999999875</v>
      </c>
      <c r="T29">
        <f t="shared" si="61"/>
        <v>5.4199999999999875</v>
      </c>
      <c r="U29">
        <f t="shared" si="62"/>
        <v>-8</v>
      </c>
      <c r="V29">
        <f t="shared" si="63"/>
        <v>8</v>
      </c>
      <c r="W29">
        <f t="shared" si="64"/>
        <v>2.5400000000000205</v>
      </c>
      <c r="X29">
        <f t="shared" si="65"/>
        <v>-2.5400000000000205</v>
      </c>
      <c r="Y29">
        <f t="shared" si="66"/>
        <v>14</v>
      </c>
      <c r="Z29">
        <f t="shared" si="67"/>
        <v>48</v>
      </c>
      <c r="AA29">
        <f t="shared" si="68"/>
        <v>6</v>
      </c>
      <c r="AB29">
        <f t="shared" si="69"/>
        <v>3.8</v>
      </c>
      <c r="AC29">
        <f t="shared" si="70"/>
        <v>-34</v>
      </c>
      <c r="AD29">
        <f t="shared" si="71"/>
        <v>34</v>
      </c>
      <c r="AE29">
        <f t="shared" si="72"/>
        <v>2.2000000000000002</v>
      </c>
      <c r="AF29">
        <f t="shared" si="73"/>
        <v>-2.2000000000000002</v>
      </c>
      <c r="AG29">
        <f t="shared" si="74"/>
        <v>-3</v>
      </c>
      <c r="AH29">
        <f t="shared" si="75"/>
        <v>3</v>
      </c>
      <c r="AI29">
        <v>1</v>
      </c>
      <c r="AJ29">
        <v>0</v>
      </c>
    </row>
    <row r="30" spans="1:38">
      <c r="A30" s="10" t="s">
        <v>129</v>
      </c>
      <c r="B30" s="10" t="s">
        <v>130</v>
      </c>
      <c r="C30" s="6">
        <v>177.8</v>
      </c>
      <c r="D30" s="6">
        <v>175.26</v>
      </c>
      <c r="E30" s="6">
        <v>145.5</v>
      </c>
      <c r="F30" s="6">
        <v>145</v>
      </c>
      <c r="G30" s="6">
        <v>101.6</v>
      </c>
      <c r="H30" s="6">
        <v>99.06</v>
      </c>
      <c r="I30">
        <v>30</v>
      </c>
      <c r="J30" s="7">
        <v>36.424657534246577</v>
      </c>
      <c r="K30" s="6">
        <v>16</v>
      </c>
      <c r="L30" s="6">
        <v>3</v>
      </c>
      <c r="M30" s="6">
        <v>5</v>
      </c>
      <c r="N30" s="6">
        <v>2</v>
      </c>
      <c r="O30">
        <v>0</v>
      </c>
      <c r="P30">
        <v>0</v>
      </c>
      <c r="Q30" s="8">
        <f t="shared" si="58"/>
        <v>-6.4246575342465775</v>
      </c>
      <c r="R30" s="8">
        <f t="shared" si="59"/>
        <v>6.4246575342465775</v>
      </c>
      <c r="S30">
        <f t="shared" si="60"/>
        <v>2.5400000000000205</v>
      </c>
      <c r="T30">
        <f t="shared" si="61"/>
        <v>-2.5400000000000205</v>
      </c>
      <c r="U30">
        <f t="shared" si="62"/>
        <v>0.5</v>
      </c>
      <c r="V30">
        <f t="shared" si="63"/>
        <v>-0.5</v>
      </c>
      <c r="W30">
        <f t="shared" si="64"/>
        <v>2.539999999999992</v>
      </c>
      <c r="X30">
        <f t="shared" si="65"/>
        <v>-2.539999999999992</v>
      </c>
      <c r="Y30">
        <f t="shared" si="66"/>
        <v>19</v>
      </c>
      <c r="Z30">
        <f t="shared" si="67"/>
        <v>7</v>
      </c>
      <c r="AA30">
        <f t="shared" si="68"/>
        <v>5.333333333333333</v>
      </c>
      <c r="AB30">
        <f t="shared" si="69"/>
        <v>2.5</v>
      </c>
      <c r="AC30">
        <f t="shared" si="70"/>
        <v>12</v>
      </c>
      <c r="AD30">
        <f t="shared" si="71"/>
        <v>-12</v>
      </c>
      <c r="AE30">
        <f t="shared" si="72"/>
        <v>2.833333333333333</v>
      </c>
      <c r="AF30">
        <f t="shared" si="73"/>
        <v>-2.833333333333333</v>
      </c>
      <c r="AG30">
        <f t="shared" si="74"/>
        <v>0</v>
      </c>
      <c r="AH30">
        <f t="shared" si="75"/>
        <v>0</v>
      </c>
      <c r="AI30">
        <v>1</v>
      </c>
      <c r="AJ30">
        <v>0</v>
      </c>
      <c r="AK30" s="8"/>
      <c r="AL30" s="8"/>
    </row>
    <row r="31" spans="1:38">
      <c r="A31" s="10" t="s">
        <v>131</v>
      </c>
      <c r="B31" s="10" t="s">
        <v>132</v>
      </c>
      <c r="C31" s="6">
        <v>175.26</v>
      </c>
      <c r="D31" s="6">
        <v>177.8</v>
      </c>
      <c r="E31" s="6">
        <v>159</v>
      </c>
      <c r="F31" s="6">
        <v>158.69999999999999</v>
      </c>
      <c r="G31" s="6">
        <v>182.88</v>
      </c>
      <c r="H31" s="6">
        <v>177.8</v>
      </c>
      <c r="I31" s="7">
        <v>36.517808219178079</v>
      </c>
      <c r="J31" s="7">
        <v>33.676712328767124</v>
      </c>
      <c r="K31" s="6">
        <v>18</v>
      </c>
      <c r="L31" s="6">
        <v>5</v>
      </c>
      <c r="M31" s="6">
        <v>15</v>
      </c>
      <c r="N31" s="6">
        <v>4</v>
      </c>
      <c r="O31">
        <v>1</v>
      </c>
      <c r="P31">
        <v>1</v>
      </c>
      <c r="Q31" s="8">
        <f t="shared" si="58"/>
        <v>2.8410958904109549</v>
      </c>
      <c r="R31" s="8">
        <f t="shared" si="59"/>
        <v>-2.8410958904109549</v>
      </c>
      <c r="S31">
        <f t="shared" si="60"/>
        <v>-2.5400000000000205</v>
      </c>
      <c r="T31">
        <f t="shared" si="61"/>
        <v>2.5400000000000205</v>
      </c>
      <c r="U31">
        <f t="shared" si="62"/>
        <v>0.30000000000001137</v>
      </c>
      <c r="V31">
        <f t="shared" si="63"/>
        <v>-0.30000000000001137</v>
      </c>
      <c r="W31">
        <f t="shared" si="64"/>
        <v>5.0799999999999841</v>
      </c>
      <c r="X31">
        <f t="shared" si="65"/>
        <v>-5.0799999999999841</v>
      </c>
      <c r="Y31">
        <f t="shared" si="66"/>
        <v>23</v>
      </c>
      <c r="Z31">
        <f t="shared" si="67"/>
        <v>19</v>
      </c>
      <c r="AA31">
        <f t="shared" si="68"/>
        <v>3.6</v>
      </c>
      <c r="AB31">
        <f t="shared" si="69"/>
        <v>3.75</v>
      </c>
      <c r="AC31">
        <f t="shared" si="70"/>
        <v>4</v>
      </c>
      <c r="AD31">
        <f t="shared" si="71"/>
        <v>-4</v>
      </c>
      <c r="AE31">
        <f t="shared" si="72"/>
        <v>-0.14999999999999991</v>
      </c>
      <c r="AF31">
        <f t="shared" si="73"/>
        <v>0.14999999999999991</v>
      </c>
      <c r="AG31">
        <f t="shared" si="74"/>
        <v>0</v>
      </c>
      <c r="AH31">
        <f t="shared" si="75"/>
        <v>0</v>
      </c>
      <c r="AI31">
        <v>0</v>
      </c>
      <c r="AJ31">
        <v>1</v>
      </c>
      <c r="AK31" s="8"/>
      <c r="AL31" s="8"/>
    </row>
    <row r="32" spans="1:38">
      <c r="A32" s="10" t="s">
        <v>133</v>
      </c>
      <c r="B32" s="10" t="s">
        <v>134</v>
      </c>
      <c r="C32" s="6">
        <v>193.04</v>
      </c>
      <c r="D32" s="6">
        <v>193.04</v>
      </c>
      <c r="E32" s="6">
        <v>205</v>
      </c>
      <c r="F32" s="6">
        <v>206</v>
      </c>
      <c r="G32" s="6">
        <v>195.58</v>
      </c>
      <c r="H32" s="6">
        <v>193.04</v>
      </c>
      <c r="I32" s="7">
        <v>34.964383561643835</v>
      </c>
      <c r="J32" s="7">
        <v>36.38356164383562</v>
      </c>
      <c r="K32" s="6">
        <v>13</v>
      </c>
      <c r="L32" s="6">
        <v>4</v>
      </c>
      <c r="M32" s="6">
        <v>38</v>
      </c>
      <c r="N32" s="6">
        <v>20</v>
      </c>
      <c r="O32">
        <v>1</v>
      </c>
      <c r="P32">
        <v>0</v>
      </c>
      <c r="Q32" s="8">
        <f t="shared" si="58"/>
        <v>-1.4191780821917845</v>
      </c>
      <c r="R32" s="8">
        <f t="shared" si="59"/>
        <v>1.4191780821917845</v>
      </c>
      <c r="S32">
        <f t="shared" si="60"/>
        <v>0</v>
      </c>
      <c r="T32">
        <f t="shared" si="61"/>
        <v>0</v>
      </c>
      <c r="U32">
        <f t="shared" si="62"/>
        <v>-1</v>
      </c>
      <c r="V32">
        <f t="shared" si="63"/>
        <v>1</v>
      </c>
      <c r="W32">
        <f t="shared" si="64"/>
        <v>2.5400000000000205</v>
      </c>
      <c r="X32">
        <f t="shared" si="65"/>
        <v>-2.5400000000000205</v>
      </c>
      <c r="Y32">
        <f t="shared" si="66"/>
        <v>17</v>
      </c>
      <c r="Z32">
        <f t="shared" si="67"/>
        <v>58</v>
      </c>
      <c r="AA32">
        <f t="shared" si="68"/>
        <v>3.25</v>
      </c>
      <c r="AB32">
        <f t="shared" si="69"/>
        <v>1.9</v>
      </c>
      <c r="AC32">
        <f t="shared" si="70"/>
        <v>-41</v>
      </c>
      <c r="AD32">
        <f t="shared" si="71"/>
        <v>41</v>
      </c>
      <c r="AE32">
        <f t="shared" si="72"/>
        <v>1.35</v>
      </c>
      <c r="AF32">
        <f t="shared" si="73"/>
        <v>-1.35</v>
      </c>
      <c r="AG32">
        <f t="shared" si="74"/>
        <v>1</v>
      </c>
      <c r="AH32">
        <f t="shared" si="75"/>
        <v>-1</v>
      </c>
      <c r="AI32">
        <v>1</v>
      </c>
      <c r="AJ32">
        <v>0</v>
      </c>
      <c r="AK32" s="8"/>
      <c r="AL32" s="8"/>
    </row>
    <row r="33" spans="1:38">
      <c r="A33" s="10" t="s">
        <v>135</v>
      </c>
      <c r="B33" s="10" t="s">
        <v>136</v>
      </c>
      <c r="C33" s="6">
        <v>180.34</v>
      </c>
      <c r="D33" s="6">
        <v>185.42</v>
      </c>
      <c r="E33" s="6">
        <v>170</v>
      </c>
      <c r="F33" s="6">
        <v>182.4</v>
      </c>
      <c r="G33" s="6">
        <v>191.77</v>
      </c>
      <c r="H33" s="6">
        <v>195.58</v>
      </c>
      <c r="I33" s="7">
        <v>33.043835616438358</v>
      </c>
      <c r="J33" s="7">
        <v>33.887671232876713</v>
      </c>
      <c r="K33" s="6">
        <v>22</v>
      </c>
      <c r="L33" s="6">
        <v>10</v>
      </c>
      <c r="M33" s="6">
        <v>14</v>
      </c>
      <c r="N33" s="6">
        <v>4</v>
      </c>
      <c r="O33">
        <v>0</v>
      </c>
      <c r="P33">
        <v>4</v>
      </c>
      <c r="Q33" s="8">
        <f t="shared" si="58"/>
        <v>-0.84383561643835492</v>
      </c>
      <c r="R33" s="8">
        <f t="shared" si="59"/>
        <v>0.84383561643835492</v>
      </c>
      <c r="S33">
        <f t="shared" si="60"/>
        <v>-5.0799999999999841</v>
      </c>
      <c r="T33">
        <f t="shared" si="61"/>
        <v>5.0799999999999841</v>
      </c>
      <c r="U33">
        <f t="shared" si="62"/>
        <v>-12.400000000000006</v>
      </c>
      <c r="V33">
        <f t="shared" si="63"/>
        <v>12.400000000000006</v>
      </c>
      <c r="W33">
        <f t="shared" si="64"/>
        <v>-3.8100000000000023</v>
      </c>
      <c r="X33">
        <f t="shared" si="65"/>
        <v>3.8100000000000023</v>
      </c>
      <c r="Y33">
        <f t="shared" si="66"/>
        <v>32</v>
      </c>
      <c r="Z33">
        <f t="shared" si="67"/>
        <v>18</v>
      </c>
      <c r="AA33">
        <f t="shared" si="68"/>
        <v>2.2000000000000002</v>
      </c>
      <c r="AB33">
        <f t="shared" si="69"/>
        <v>3.5</v>
      </c>
      <c r="AC33">
        <f t="shared" si="70"/>
        <v>14</v>
      </c>
      <c r="AD33">
        <f t="shared" si="71"/>
        <v>-14</v>
      </c>
      <c r="AE33">
        <f t="shared" si="72"/>
        <v>-1.2999999999999998</v>
      </c>
      <c r="AF33">
        <f t="shared" si="73"/>
        <v>1.2999999999999998</v>
      </c>
      <c r="AG33">
        <f t="shared" si="74"/>
        <v>-4</v>
      </c>
      <c r="AH33">
        <f t="shared" si="75"/>
        <v>4</v>
      </c>
      <c r="AI33">
        <v>1</v>
      </c>
      <c r="AJ33">
        <v>0</v>
      </c>
      <c r="AK33" s="8"/>
      <c r="AL33" s="8"/>
    </row>
    <row r="34" spans="1:38">
      <c r="A34" s="10" t="s">
        <v>137</v>
      </c>
      <c r="B34" s="10" t="s">
        <v>138</v>
      </c>
      <c r="C34" s="6">
        <v>170.18</v>
      </c>
      <c r="D34" s="6">
        <v>200.66</v>
      </c>
      <c r="E34" s="6">
        <v>145.80000000000001</v>
      </c>
      <c r="F34" s="6">
        <v>146</v>
      </c>
      <c r="G34" s="6">
        <v>184.15</v>
      </c>
      <c r="H34" s="6">
        <v>180.34</v>
      </c>
      <c r="I34" s="7">
        <v>30.832876712328765</v>
      </c>
      <c r="J34" s="7">
        <v>35.369863013698627</v>
      </c>
      <c r="K34" s="6">
        <v>18</v>
      </c>
      <c r="L34">
        <v>0</v>
      </c>
      <c r="M34" s="6">
        <v>24</v>
      </c>
      <c r="N34" s="6">
        <v>4</v>
      </c>
      <c r="O34">
        <v>18</v>
      </c>
      <c r="P34">
        <v>1</v>
      </c>
      <c r="Q34" s="8">
        <f t="shared" si="58"/>
        <v>-4.5369863013698613</v>
      </c>
      <c r="R34" s="8">
        <f t="shared" si="59"/>
        <v>4.5369863013698613</v>
      </c>
      <c r="S34">
        <f t="shared" si="60"/>
        <v>-30.47999999999999</v>
      </c>
      <c r="T34">
        <f t="shared" si="61"/>
        <v>30.47999999999999</v>
      </c>
      <c r="U34">
        <f t="shared" si="62"/>
        <v>-0.19999999999998863</v>
      </c>
      <c r="V34">
        <f t="shared" si="63"/>
        <v>0.19999999999998863</v>
      </c>
      <c r="W34">
        <f t="shared" si="64"/>
        <v>3.8100000000000023</v>
      </c>
      <c r="X34">
        <f t="shared" si="65"/>
        <v>-3.8100000000000023</v>
      </c>
      <c r="Y34">
        <f t="shared" si="66"/>
        <v>18</v>
      </c>
      <c r="Z34">
        <f t="shared" si="67"/>
        <v>28</v>
      </c>
      <c r="AA34">
        <f t="shared" si="68"/>
        <v>18</v>
      </c>
      <c r="AB34">
        <f t="shared" si="69"/>
        <v>6</v>
      </c>
      <c r="AC34">
        <f t="shared" si="70"/>
        <v>-10</v>
      </c>
      <c r="AD34">
        <f t="shared" si="71"/>
        <v>10</v>
      </c>
      <c r="AE34">
        <f t="shared" si="72"/>
        <v>12</v>
      </c>
      <c r="AF34">
        <f t="shared" si="73"/>
        <v>-12</v>
      </c>
      <c r="AG34">
        <f t="shared" si="74"/>
        <v>17</v>
      </c>
      <c r="AH34">
        <f t="shared" si="75"/>
        <v>-17</v>
      </c>
      <c r="AI34">
        <v>1</v>
      </c>
      <c r="AJ34">
        <v>0</v>
      </c>
      <c r="AK34" s="8"/>
      <c r="AL34" s="8"/>
    </row>
    <row r="35" spans="1:38">
      <c r="A35" s="10" t="s">
        <v>139</v>
      </c>
      <c r="B35" s="10" t="s">
        <v>140</v>
      </c>
      <c r="C35" s="6">
        <v>190.5</v>
      </c>
      <c r="D35" s="6">
        <v>185.42</v>
      </c>
      <c r="E35" s="6">
        <v>170</v>
      </c>
      <c r="F35" s="6">
        <v>190.5</v>
      </c>
      <c r="G35" s="6">
        <v>198.12</v>
      </c>
      <c r="H35" s="6">
        <v>195.58</v>
      </c>
      <c r="I35" s="7">
        <v>34.43287671232877</v>
      </c>
      <c r="J35" s="7">
        <v>30.224657534246575</v>
      </c>
      <c r="K35" s="6">
        <v>19</v>
      </c>
      <c r="L35" s="6">
        <v>5</v>
      </c>
      <c r="M35" s="6">
        <v>12</v>
      </c>
      <c r="N35" s="6">
        <v>2</v>
      </c>
      <c r="O35">
        <v>3</v>
      </c>
      <c r="P35">
        <v>1</v>
      </c>
      <c r="Q35" s="8">
        <f t="shared" si="58"/>
        <v>4.2082191780821958</v>
      </c>
      <c r="R35" s="8">
        <f t="shared" si="59"/>
        <v>-4.2082191780821958</v>
      </c>
      <c r="S35">
        <f t="shared" si="60"/>
        <v>5.0800000000000125</v>
      </c>
      <c r="T35">
        <f t="shared" si="61"/>
        <v>-5.0800000000000125</v>
      </c>
      <c r="U35">
        <f t="shared" si="62"/>
        <v>-20.5</v>
      </c>
      <c r="V35">
        <f t="shared" si="63"/>
        <v>20.5</v>
      </c>
      <c r="W35">
        <f t="shared" si="64"/>
        <v>2.539999999999992</v>
      </c>
      <c r="X35">
        <f t="shared" si="65"/>
        <v>-2.539999999999992</v>
      </c>
      <c r="Y35">
        <f t="shared" si="66"/>
        <v>24</v>
      </c>
      <c r="Z35">
        <f t="shared" si="67"/>
        <v>14</v>
      </c>
      <c r="AA35">
        <f t="shared" si="68"/>
        <v>3.8</v>
      </c>
      <c r="AB35">
        <f t="shared" si="69"/>
        <v>6</v>
      </c>
      <c r="AC35">
        <f t="shared" si="70"/>
        <v>10</v>
      </c>
      <c r="AD35">
        <f t="shared" si="71"/>
        <v>-10</v>
      </c>
      <c r="AE35">
        <f t="shared" si="72"/>
        <v>-2.2000000000000002</v>
      </c>
      <c r="AF35">
        <f t="shared" si="73"/>
        <v>2.2000000000000002</v>
      </c>
      <c r="AG35">
        <f t="shared" si="74"/>
        <v>2</v>
      </c>
      <c r="AH35">
        <f t="shared" si="75"/>
        <v>-2</v>
      </c>
      <c r="AI35">
        <v>0</v>
      </c>
      <c r="AJ35">
        <v>1</v>
      </c>
      <c r="AK35" s="8"/>
      <c r="AL35" s="8"/>
    </row>
    <row r="36" spans="1:38">
      <c r="A36" s="10" t="s">
        <v>141</v>
      </c>
      <c r="B36" s="10" t="s">
        <v>142</v>
      </c>
      <c r="C36" s="6">
        <v>187.96</v>
      </c>
      <c r="D36" s="6">
        <v>185.42</v>
      </c>
      <c r="E36" s="6">
        <v>202.6</v>
      </c>
      <c r="F36" s="6">
        <v>202</v>
      </c>
      <c r="G36" s="6">
        <v>198.12</v>
      </c>
      <c r="H36" s="6">
        <v>190.5</v>
      </c>
      <c r="I36" s="7">
        <v>40.493150684931507</v>
      </c>
      <c r="J36" s="7">
        <v>37.649315068493152</v>
      </c>
      <c r="K36" s="6">
        <v>16</v>
      </c>
      <c r="L36" s="6">
        <v>7</v>
      </c>
      <c r="M36" s="6">
        <v>18</v>
      </c>
      <c r="N36" s="6">
        <v>8</v>
      </c>
      <c r="O36">
        <v>1</v>
      </c>
      <c r="P36">
        <v>1</v>
      </c>
      <c r="Q36" s="8">
        <f t="shared" si="58"/>
        <v>2.8438356164383549</v>
      </c>
      <c r="R36" s="8">
        <f t="shared" si="59"/>
        <v>-2.8438356164383549</v>
      </c>
      <c r="S36">
        <f t="shared" si="60"/>
        <v>2.5400000000000205</v>
      </c>
      <c r="T36">
        <f t="shared" si="61"/>
        <v>-2.5400000000000205</v>
      </c>
      <c r="U36">
        <f t="shared" si="62"/>
        <v>0.59999999999999432</v>
      </c>
      <c r="V36">
        <f t="shared" si="63"/>
        <v>-0.59999999999999432</v>
      </c>
      <c r="W36">
        <f t="shared" si="64"/>
        <v>7.6200000000000045</v>
      </c>
      <c r="X36">
        <f t="shared" si="65"/>
        <v>-7.6200000000000045</v>
      </c>
      <c r="Y36">
        <f t="shared" si="66"/>
        <v>23</v>
      </c>
      <c r="Z36">
        <f t="shared" si="67"/>
        <v>26</v>
      </c>
      <c r="AA36">
        <f t="shared" si="68"/>
        <v>2.2857142857142856</v>
      </c>
      <c r="AB36">
        <f t="shared" si="69"/>
        <v>2.25</v>
      </c>
      <c r="AC36">
        <f t="shared" si="70"/>
        <v>-3</v>
      </c>
      <c r="AD36">
        <f t="shared" si="71"/>
        <v>3</v>
      </c>
      <c r="AE36">
        <f t="shared" si="72"/>
        <v>3.5714285714285587E-2</v>
      </c>
      <c r="AF36">
        <f t="shared" si="73"/>
        <v>-3.5714285714285587E-2</v>
      </c>
      <c r="AG36">
        <f t="shared" si="74"/>
        <v>0</v>
      </c>
      <c r="AH36">
        <f t="shared" si="75"/>
        <v>0</v>
      </c>
      <c r="AI36">
        <v>0</v>
      </c>
      <c r="AJ36">
        <v>1</v>
      </c>
      <c r="AK36" s="8"/>
      <c r="AL36" s="8"/>
    </row>
    <row r="37" spans="1:38">
      <c r="A37" s="10" t="s">
        <v>143</v>
      </c>
      <c r="B37" s="10" t="s">
        <v>144</v>
      </c>
      <c r="C37" s="6">
        <v>170.18</v>
      </c>
      <c r="D37" s="6">
        <v>165.1</v>
      </c>
      <c r="E37" s="6">
        <v>135</v>
      </c>
      <c r="F37" s="6">
        <v>140</v>
      </c>
      <c r="G37" s="6">
        <v>170.18</v>
      </c>
      <c r="H37" s="6">
        <v>165.1</v>
      </c>
      <c r="I37" s="7">
        <v>33.709589041095889</v>
      </c>
      <c r="J37" s="7">
        <v>23.167123287671235</v>
      </c>
      <c r="K37" s="6">
        <v>17</v>
      </c>
      <c r="L37" s="6">
        <v>6</v>
      </c>
      <c r="M37" s="6">
        <v>11</v>
      </c>
      <c r="N37" s="6">
        <v>2</v>
      </c>
      <c r="O37">
        <v>1</v>
      </c>
      <c r="P37">
        <v>1</v>
      </c>
      <c r="Q37" s="8">
        <f t="shared" si="58"/>
        <v>10.542465753424654</v>
      </c>
      <c r="R37" s="8">
        <f t="shared" si="59"/>
        <v>-10.542465753424654</v>
      </c>
      <c r="S37">
        <f t="shared" si="60"/>
        <v>5.0800000000000125</v>
      </c>
      <c r="T37">
        <f t="shared" si="61"/>
        <v>-5.0800000000000125</v>
      </c>
      <c r="U37">
        <f t="shared" si="62"/>
        <v>-5</v>
      </c>
      <c r="V37">
        <f t="shared" si="63"/>
        <v>5</v>
      </c>
      <c r="W37">
        <f t="shared" si="64"/>
        <v>5.0800000000000125</v>
      </c>
      <c r="X37">
        <f t="shared" si="65"/>
        <v>-5.0800000000000125</v>
      </c>
      <c r="Y37">
        <f t="shared" si="66"/>
        <v>23</v>
      </c>
      <c r="Z37">
        <f t="shared" si="67"/>
        <v>13</v>
      </c>
      <c r="AA37">
        <f t="shared" si="68"/>
        <v>2.8333333333333335</v>
      </c>
      <c r="AB37">
        <f t="shared" si="69"/>
        <v>5.5</v>
      </c>
      <c r="AC37">
        <f t="shared" si="70"/>
        <v>10</v>
      </c>
      <c r="AD37">
        <f t="shared" si="71"/>
        <v>-10</v>
      </c>
      <c r="AE37">
        <f t="shared" si="72"/>
        <v>-2.6666666666666665</v>
      </c>
      <c r="AF37">
        <f t="shared" si="73"/>
        <v>2.6666666666666665</v>
      </c>
      <c r="AG37">
        <f t="shared" si="74"/>
        <v>0</v>
      </c>
      <c r="AH37">
        <f t="shared" si="75"/>
        <v>0</v>
      </c>
      <c r="AI37">
        <v>0</v>
      </c>
      <c r="AJ37">
        <v>1</v>
      </c>
      <c r="AK37" s="8"/>
      <c r="AL37" s="8"/>
    </row>
    <row r="38" spans="1:38">
      <c r="A38" s="10" t="s">
        <v>145</v>
      </c>
      <c r="B38" s="10" t="s">
        <v>146</v>
      </c>
      <c r="C38" s="6">
        <v>185.42</v>
      </c>
      <c r="D38" s="6">
        <v>180.34</v>
      </c>
      <c r="E38" s="6">
        <v>183.4</v>
      </c>
      <c r="F38" s="6">
        <v>185.1</v>
      </c>
      <c r="G38" s="6">
        <v>191.77</v>
      </c>
      <c r="H38" s="6">
        <v>193.04</v>
      </c>
      <c r="I38" s="7">
        <v>37.019178082191779</v>
      </c>
      <c r="J38" s="7">
        <v>39.041095890410958</v>
      </c>
      <c r="K38" s="6">
        <v>19</v>
      </c>
      <c r="L38" s="6">
        <v>7</v>
      </c>
      <c r="M38" s="6">
        <v>20</v>
      </c>
      <c r="N38" s="6">
        <v>10</v>
      </c>
      <c r="O38">
        <v>1</v>
      </c>
      <c r="P38">
        <v>1</v>
      </c>
      <c r="Q38" s="8">
        <f t="shared" si="58"/>
        <v>-2.0219178082191789</v>
      </c>
      <c r="R38" s="8">
        <f t="shared" si="59"/>
        <v>2.0219178082191789</v>
      </c>
      <c r="S38">
        <f t="shared" si="60"/>
        <v>5.0799999999999841</v>
      </c>
      <c r="T38">
        <f t="shared" si="61"/>
        <v>-5.0799999999999841</v>
      </c>
      <c r="U38">
        <f t="shared" si="62"/>
        <v>-1.6999999999999886</v>
      </c>
      <c r="V38">
        <f t="shared" si="63"/>
        <v>1.6999999999999886</v>
      </c>
      <c r="W38">
        <f t="shared" si="64"/>
        <v>-1.2699999999999818</v>
      </c>
      <c r="X38">
        <f t="shared" si="65"/>
        <v>1.2699999999999818</v>
      </c>
      <c r="Y38">
        <f t="shared" si="66"/>
        <v>26</v>
      </c>
      <c r="Z38">
        <f t="shared" si="67"/>
        <v>30</v>
      </c>
      <c r="AA38">
        <f t="shared" si="68"/>
        <v>2.7142857142857144</v>
      </c>
      <c r="AB38">
        <f t="shared" si="69"/>
        <v>2</v>
      </c>
      <c r="AC38">
        <f t="shared" si="70"/>
        <v>-4</v>
      </c>
      <c r="AD38">
        <f t="shared" si="71"/>
        <v>4</v>
      </c>
      <c r="AE38">
        <f t="shared" si="72"/>
        <v>0.71428571428571441</v>
      </c>
      <c r="AF38">
        <f t="shared" si="73"/>
        <v>-0.71428571428571441</v>
      </c>
      <c r="AG38">
        <f t="shared" si="74"/>
        <v>0</v>
      </c>
      <c r="AH38">
        <f t="shared" si="75"/>
        <v>0</v>
      </c>
      <c r="AI38">
        <v>1</v>
      </c>
      <c r="AJ38">
        <v>0</v>
      </c>
      <c r="AK38" s="8"/>
      <c r="AL38" s="8"/>
    </row>
    <row r="39" spans="1:38">
      <c r="A39" s="10" t="s">
        <v>147</v>
      </c>
      <c r="B39" s="10" t="s">
        <v>148</v>
      </c>
      <c r="C39" s="6">
        <v>170.18</v>
      </c>
      <c r="D39" s="6">
        <v>185.42</v>
      </c>
      <c r="E39" s="6">
        <v>154</v>
      </c>
      <c r="F39" s="6">
        <v>170</v>
      </c>
      <c r="G39" s="6">
        <v>177.8</v>
      </c>
      <c r="H39" s="6">
        <v>187.96</v>
      </c>
      <c r="I39" s="7">
        <v>43.019178082191779</v>
      </c>
      <c r="J39" s="7">
        <v>25.243835616438357</v>
      </c>
      <c r="K39" s="6">
        <v>38</v>
      </c>
      <c r="L39" s="6">
        <v>21</v>
      </c>
      <c r="M39" s="6">
        <v>13</v>
      </c>
      <c r="N39" s="6">
        <v>3</v>
      </c>
      <c r="O39">
        <v>0</v>
      </c>
      <c r="P39">
        <v>3</v>
      </c>
      <c r="Q39" s="8">
        <f t="shared" si="58"/>
        <v>17.775342465753422</v>
      </c>
      <c r="R39" s="8">
        <f t="shared" si="59"/>
        <v>-17.775342465753422</v>
      </c>
      <c r="S39">
        <f t="shared" si="60"/>
        <v>-15.239999999999981</v>
      </c>
      <c r="T39">
        <f t="shared" si="61"/>
        <v>15.239999999999981</v>
      </c>
      <c r="U39">
        <f t="shared" si="62"/>
        <v>-16</v>
      </c>
      <c r="V39">
        <f t="shared" si="63"/>
        <v>16</v>
      </c>
      <c r="W39">
        <f t="shared" si="64"/>
        <v>-10.159999999999997</v>
      </c>
      <c r="X39">
        <f t="shared" si="65"/>
        <v>10.159999999999997</v>
      </c>
      <c r="Y39">
        <f t="shared" si="66"/>
        <v>59</v>
      </c>
      <c r="Z39">
        <f t="shared" si="67"/>
        <v>16</v>
      </c>
      <c r="AA39">
        <f t="shared" si="68"/>
        <v>1.8095238095238095</v>
      </c>
      <c r="AB39">
        <f t="shared" si="69"/>
        <v>4.333333333333333</v>
      </c>
      <c r="AC39">
        <f t="shared" si="70"/>
        <v>43</v>
      </c>
      <c r="AD39">
        <f t="shared" si="71"/>
        <v>-43</v>
      </c>
      <c r="AE39">
        <f t="shared" si="72"/>
        <v>-2.5238095238095237</v>
      </c>
      <c r="AF39">
        <f t="shared" si="73"/>
        <v>2.5238095238095237</v>
      </c>
      <c r="AG39">
        <f t="shared" si="74"/>
        <v>-3</v>
      </c>
      <c r="AH39">
        <f t="shared" si="75"/>
        <v>3</v>
      </c>
      <c r="AI39">
        <v>0</v>
      </c>
      <c r="AJ39">
        <v>1</v>
      </c>
      <c r="AK39" s="8"/>
      <c r="AL39" s="8"/>
    </row>
    <row r="40" spans="1:38">
      <c r="A40" s="10" t="s">
        <v>149</v>
      </c>
      <c r="B40" s="10" t="s">
        <v>150</v>
      </c>
      <c r="C40" s="6">
        <v>195.58</v>
      </c>
      <c r="D40" s="6">
        <v>190.5</v>
      </c>
      <c r="E40" s="6">
        <v>241</v>
      </c>
      <c r="F40" s="6">
        <v>238</v>
      </c>
      <c r="G40" s="6">
        <v>210.82</v>
      </c>
      <c r="H40" s="6">
        <v>198.12</v>
      </c>
      <c r="I40" s="7">
        <v>32.4986301369863</v>
      </c>
      <c r="J40" s="7">
        <v>32.57260273972603</v>
      </c>
      <c r="K40" s="6">
        <v>13</v>
      </c>
      <c r="L40" s="6">
        <v>5</v>
      </c>
      <c r="M40" s="6">
        <v>9</v>
      </c>
      <c r="N40" s="6">
        <v>5</v>
      </c>
      <c r="O40">
        <v>1</v>
      </c>
      <c r="P40">
        <v>0</v>
      </c>
      <c r="Q40" s="8">
        <f t="shared" si="58"/>
        <v>-7.3972602739729609E-2</v>
      </c>
      <c r="R40" s="8">
        <f t="shared" si="59"/>
        <v>7.3972602739729609E-2</v>
      </c>
      <c r="S40">
        <f t="shared" si="60"/>
        <v>5.0800000000000125</v>
      </c>
      <c r="T40">
        <f t="shared" si="61"/>
        <v>-5.0800000000000125</v>
      </c>
      <c r="U40">
        <f t="shared" si="62"/>
        <v>3</v>
      </c>
      <c r="V40">
        <f t="shared" si="63"/>
        <v>-3</v>
      </c>
      <c r="W40">
        <f t="shared" si="64"/>
        <v>12.699999999999989</v>
      </c>
      <c r="X40">
        <f t="shared" si="65"/>
        <v>-12.699999999999989</v>
      </c>
      <c r="Y40">
        <f t="shared" si="66"/>
        <v>18</v>
      </c>
      <c r="Z40">
        <f t="shared" si="67"/>
        <v>14</v>
      </c>
      <c r="AA40">
        <f t="shared" si="68"/>
        <v>2.6</v>
      </c>
      <c r="AB40">
        <f t="shared" si="69"/>
        <v>1.8</v>
      </c>
      <c r="AC40">
        <f t="shared" si="70"/>
        <v>4</v>
      </c>
      <c r="AD40">
        <f t="shared" si="71"/>
        <v>-4</v>
      </c>
      <c r="AE40">
        <f t="shared" si="72"/>
        <v>0.8</v>
      </c>
      <c r="AF40">
        <f t="shared" si="73"/>
        <v>-0.8</v>
      </c>
      <c r="AG40">
        <f t="shared" si="74"/>
        <v>1</v>
      </c>
      <c r="AH40">
        <f t="shared" si="75"/>
        <v>-1</v>
      </c>
      <c r="AI40">
        <v>1</v>
      </c>
      <c r="AJ40">
        <v>0</v>
      </c>
      <c r="AK40" s="8"/>
      <c r="AL40" s="8"/>
    </row>
    <row r="41" spans="1:38">
      <c r="A41" s="11" t="s">
        <v>151</v>
      </c>
      <c r="B41" s="11" t="s">
        <v>152</v>
      </c>
      <c r="C41" s="6">
        <v>170.18</v>
      </c>
      <c r="D41" s="6">
        <v>172.72</v>
      </c>
      <c r="E41" s="6">
        <v>135</v>
      </c>
      <c r="F41" s="6">
        <v>135</v>
      </c>
      <c r="G41" s="6">
        <v>172.72</v>
      </c>
      <c r="H41" s="6">
        <v>175.26</v>
      </c>
      <c r="I41" s="7">
        <f>DATEDIF(DATE(1991,7,23),DATE(2024,11,9),"Y")</f>
        <v>33</v>
      </c>
      <c r="J41" s="7">
        <f>DATEDIF(DATE(1998,12,30),DATE(2024,11,9),"Y")</f>
        <v>25</v>
      </c>
      <c r="K41" s="6">
        <v>7</v>
      </c>
      <c r="L41" s="6">
        <v>1</v>
      </c>
      <c r="M41" s="6">
        <v>6</v>
      </c>
      <c r="N41" s="6">
        <v>2</v>
      </c>
      <c r="O41">
        <v>0</v>
      </c>
      <c r="P41" s="6">
        <v>0</v>
      </c>
      <c r="Q41" s="8">
        <f t="shared" ref="Q41:Q51" si="76">I41-J41</f>
        <v>8</v>
      </c>
      <c r="R41" s="8">
        <f t="shared" ref="R41:R51" si="77">J41-I41</f>
        <v>-8</v>
      </c>
      <c r="S41">
        <f t="shared" ref="S41:S51" si="78">C41-D41</f>
        <v>-2.539999999999992</v>
      </c>
      <c r="T41">
        <f t="shared" ref="T41:T51" si="79">D41-C41</f>
        <v>2.539999999999992</v>
      </c>
      <c r="U41">
        <f t="shared" ref="U41:U51" si="80">E41-F41</f>
        <v>0</v>
      </c>
      <c r="V41">
        <f t="shared" ref="V41:V51" si="81">F41-E41</f>
        <v>0</v>
      </c>
      <c r="W41">
        <f t="shared" ref="W41:W51" si="82">G41-H41</f>
        <v>-2.539999999999992</v>
      </c>
      <c r="X41">
        <f t="shared" ref="X41:X51" si="83">H41-G41</f>
        <v>2.539999999999992</v>
      </c>
      <c r="Y41">
        <f t="shared" ref="Y41:Y51" si="84">K41+L41</f>
        <v>8</v>
      </c>
      <c r="Z41">
        <f t="shared" ref="Z41:Z51" si="85">M41+N41</f>
        <v>8</v>
      </c>
      <c r="AA41">
        <f t="shared" ref="AA41:AA51" si="86">IF(L41=0, K41, K41/L41)</f>
        <v>7</v>
      </c>
      <c r="AB41">
        <f t="shared" ref="AB41:AB51" si="87">IF(N41=0, M41, M41/N41)</f>
        <v>3</v>
      </c>
      <c r="AC41">
        <f t="shared" ref="AC41:AC51" si="88">(K41+L41)-(M41+N41)</f>
        <v>0</v>
      </c>
      <c r="AD41">
        <f t="shared" ref="AD41:AD51" si="89">(M41+N41)-(K41+L41)</f>
        <v>0</v>
      </c>
      <c r="AE41">
        <f t="shared" ref="AE41:AE51" si="90">AA41-AB41</f>
        <v>4</v>
      </c>
      <c r="AF41">
        <f t="shared" ref="AF41:AF51" si="91">AB41-AA41</f>
        <v>-4</v>
      </c>
      <c r="AG41">
        <f t="shared" ref="AG41:AG51" si="92">O41-P41</f>
        <v>0</v>
      </c>
      <c r="AH41">
        <f t="shared" ref="AH41:AH51" si="93">P41-O41</f>
        <v>0</v>
      </c>
      <c r="AI41">
        <v>1</v>
      </c>
      <c r="AJ41">
        <v>0</v>
      </c>
      <c r="AK41" s="8"/>
      <c r="AL41" s="8"/>
    </row>
    <row r="42" spans="1:38">
      <c r="A42" s="11" t="s">
        <v>153</v>
      </c>
      <c r="B42" s="11" t="s">
        <v>154</v>
      </c>
      <c r="C42" s="6">
        <v>182.88</v>
      </c>
      <c r="D42" s="6">
        <v>198.12</v>
      </c>
      <c r="E42" s="6">
        <v>185</v>
      </c>
      <c r="F42" s="6">
        <v>185</v>
      </c>
      <c r="G42" s="6">
        <v>190.5</v>
      </c>
      <c r="H42" s="6">
        <v>200.66</v>
      </c>
      <c r="I42" s="7">
        <f>DATEDIF(DATE(1994,6,21),DATE(2024,11,9),"Y")</f>
        <v>30</v>
      </c>
      <c r="J42" s="7">
        <f>DATEDIF(DATE(1990,12,6),DATE(2024,11,9),"Y")</f>
        <v>33</v>
      </c>
      <c r="K42" s="6">
        <v>6</v>
      </c>
      <c r="L42" s="6">
        <v>2</v>
      </c>
      <c r="M42" s="6">
        <v>12</v>
      </c>
      <c r="N42" s="6">
        <v>5</v>
      </c>
      <c r="O42">
        <v>1</v>
      </c>
      <c r="P42" s="6">
        <v>0</v>
      </c>
      <c r="Q42" s="8">
        <f t="shared" si="76"/>
        <v>-3</v>
      </c>
      <c r="R42" s="8">
        <f t="shared" si="77"/>
        <v>3</v>
      </c>
      <c r="S42">
        <f t="shared" si="78"/>
        <v>-15.240000000000009</v>
      </c>
      <c r="T42">
        <f t="shared" si="79"/>
        <v>15.240000000000009</v>
      </c>
      <c r="U42">
        <f t="shared" si="80"/>
        <v>0</v>
      </c>
      <c r="V42">
        <f t="shared" si="81"/>
        <v>0</v>
      </c>
      <c r="W42">
        <f t="shared" si="82"/>
        <v>-10.159999999999997</v>
      </c>
      <c r="X42">
        <f t="shared" si="83"/>
        <v>10.159999999999997</v>
      </c>
      <c r="Y42">
        <f t="shared" si="84"/>
        <v>8</v>
      </c>
      <c r="Z42">
        <f t="shared" si="85"/>
        <v>17</v>
      </c>
      <c r="AA42">
        <f t="shared" si="86"/>
        <v>3</v>
      </c>
      <c r="AB42">
        <f t="shared" si="87"/>
        <v>2.4</v>
      </c>
      <c r="AC42">
        <f t="shared" si="88"/>
        <v>-9</v>
      </c>
      <c r="AD42">
        <f t="shared" si="89"/>
        <v>9</v>
      </c>
      <c r="AE42">
        <f t="shared" si="90"/>
        <v>0.60000000000000009</v>
      </c>
      <c r="AF42">
        <f t="shared" si="91"/>
        <v>-0.60000000000000009</v>
      </c>
      <c r="AG42">
        <f t="shared" si="92"/>
        <v>1</v>
      </c>
      <c r="AH42">
        <f t="shared" si="93"/>
        <v>-1</v>
      </c>
      <c r="AI42">
        <v>1</v>
      </c>
      <c r="AJ42">
        <v>0</v>
      </c>
      <c r="AK42" s="8"/>
      <c r="AL42" s="8"/>
    </row>
    <row r="43" spans="1:38">
      <c r="A43" s="11" t="s">
        <v>155</v>
      </c>
      <c r="B43" s="11" t="s">
        <v>156</v>
      </c>
      <c r="C43" s="6">
        <v>167.64</v>
      </c>
      <c r="D43" s="6">
        <v>177.8</v>
      </c>
      <c r="E43" s="6">
        <v>135</v>
      </c>
      <c r="F43" s="6">
        <v>135</v>
      </c>
      <c r="G43" s="6">
        <v>162.56</v>
      </c>
      <c r="H43" s="6">
        <v>182.88</v>
      </c>
      <c r="I43" s="7">
        <f>DATEDIF(DATE(1989,11,9),DATE(2024,11,9),"Y")</f>
        <v>35</v>
      </c>
      <c r="J43" s="7">
        <f>DATEDIF(DATE(1994,8,12),DATE(2024,11,9),"Y")</f>
        <v>30</v>
      </c>
      <c r="K43" s="6">
        <v>21</v>
      </c>
      <c r="L43" s="6">
        <v>8</v>
      </c>
      <c r="M43" s="6">
        <v>15</v>
      </c>
      <c r="N43" s="6">
        <v>7</v>
      </c>
      <c r="O43">
        <v>0</v>
      </c>
      <c r="P43" s="6">
        <v>0</v>
      </c>
      <c r="Q43" s="8">
        <f t="shared" si="76"/>
        <v>5</v>
      </c>
      <c r="R43" s="8">
        <f t="shared" si="77"/>
        <v>-5</v>
      </c>
      <c r="S43">
        <f t="shared" si="78"/>
        <v>-10.160000000000025</v>
      </c>
      <c r="T43">
        <f t="shared" si="79"/>
        <v>10.160000000000025</v>
      </c>
      <c r="U43">
        <f t="shared" si="80"/>
        <v>0</v>
      </c>
      <c r="V43">
        <f t="shared" si="81"/>
        <v>0</v>
      </c>
      <c r="W43">
        <f t="shared" si="82"/>
        <v>-20.319999999999993</v>
      </c>
      <c r="X43">
        <f t="shared" si="83"/>
        <v>20.319999999999993</v>
      </c>
      <c r="Y43">
        <f t="shared" si="84"/>
        <v>29</v>
      </c>
      <c r="Z43">
        <f t="shared" si="85"/>
        <v>22</v>
      </c>
      <c r="AA43">
        <f t="shared" si="86"/>
        <v>2.625</v>
      </c>
      <c r="AB43">
        <f t="shared" si="87"/>
        <v>2.1428571428571428</v>
      </c>
      <c r="AC43">
        <f t="shared" si="88"/>
        <v>7</v>
      </c>
      <c r="AD43">
        <f t="shared" si="89"/>
        <v>-7</v>
      </c>
      <c r="AE43">
        <f t="shared" si="90"/>
        <v>0.48214285714285721</v>
      </c>
      <c r="AF43">
        <f t="shared" si="91"/>
        <v>-0.48214285714285721</v>
      </c>
      <c r="AG43">
        <f t="shared" si="92"/>
        <v>0</v>
      </c>
      <c r="AH43">
        <f t="shared" si="93"/>
        <v>0</v>
      </c>
      <c r="AI43">
        <v>0</v>
      </c>
      <c r="AJ43">
        <v>1</v>
      </c>
      <c r="AK43" s="8"/>
      <c r="AL43" s="8"/>
    </row>
    <row r="44" spans="1:38">
      <c r="A44" s="11" t="s">
        <v>157</v>
      </c>
      <c r="B44" s="11" t="s">
        <v>158</v>
      </c>
      <c r="C44" s="6">
        <v>185.42</v>
      </c>
      <c r="D44" s="6">
        <v>175.26</v>
      </c>
      <c r="E44" s="6">
        <v>170</v>
      </c>
      <c r="F44" s="6">
        <v>170</v>
      </c>
      <c r="G44" s="6">
        <v>190.5</v>
      </c>
      <c r="H44" s="6">
        <v>182.88</v>
      </c>
      <c r="I44" s="7">
        <f>DATEDIF(DATE(1992,11,23),DATE(2024,11,9),"Y")</f>
        <v>31</v>
      </c>
      <c r="J44" s="7">
        <f>DATEDIF(DATE(1990,7,9),DATE(2024,11,9),"Y")</f>
        <v>34</v>
      </c>
      <c r="K44" s="6">
        <v>11</v>
      </c>
      <c r="L44" s="6">
        <v>8</v>
      </c>
      <c r="M44" s="6">
        <v>10</v>
      </c>
      <c r="N44" s="6">
        <v>4</v>
      </c>
      <c r="O44">
        <v>0</v>
      </c>
      <c r="P44" s="6">
        <v>0</v>
      </c>
      <c r="Q44" s="8">
        <f t="shared" si="76"/>
        <v>-3</v>
      </c>
      <c r="R44" s="8">
        <f t="shared" si="77"/>
        <v>3</v>
      </c>
      <c r="S44">
        <f t="shared" si="78"/>
        <v>10.159999999999997</v>
      </c>
      <c r="T44">
        <f t="shared" si="79"/>
        <v>-10.159999999999997</v>
      </c>
      <c r="U44">
        <f t="shared" si="80"/>
        <v>0</v>
      </c>
      <c r="V44">
        <f t="shared" si="81"/>
        <v>0</v>
      </c>
      <c r="W44">
        <f t="shared" si="82"/>
        <v>7.6200000000000045</v>
      </c>
      <c r="X44">
        <f t="shared" si="83"/>
        <v>-7.6200000000000045</v>
      </c>
      <c r="Y44">
        <f t="shared" si="84"/>
        <v>19</v>
      </c>
      <c r="Z44">
        <f t="shared" si="85"/>
        <v>14</v>
      </c>
      <c r="AA44">
        <f t="shared" si="86"/>
        <v>1.375</v>
      </c>
      <c r="AB44">
        <f t="shared" si="87"/>
        <v>2.5</v>
      </c>
      <c r="AC44">
        <f t="shared" si="88"/>
        <v>5</v>
      </c>
      <c r="AD44">
        <f t="shared" si="89"/>
        <v>-5</v>
      </c>
      <c r="AE44">
        <f t="shared" si="90"/>
        <v>-1.125</v>
      </c>
      <c r="AF44">
        <f t="shared" si="91"/>
        <v>1.125</v>
      </c>
      <c r="AG44">
        <f t="shared" si="92"/>
        <v>0</v>
      </c>
      <c r="AH44">
        <f t="shared" si="93"/>
        <v>0</v>
      </c>
      <c r="AI44">
        <v>0</v>
      </c>
      <c r="AJ44">
        <v>1</v>
      </c>
      <c r="AK44" s="8"/>
      <c r="AL44" s="8"/>
    </row>
    <row r="45" spans="1:38">
      <c r="A45" s="11" t="s">
        <v>159</v>
      </c>
      <c r="B45" s="11" t="s">
        <v>160</v>
      </c>
      <c r="C45" s="6">
        <v>180.34</v>
      </c>
      <c r="D45" s="6">
        <v>190.5</v>
      </c>
      <c r="E45" s="6">
        <v>170</v>
      </c>
      <c r="F45" s="6">
        <v>170</v>
      </c>
      <c r="G45" s="6">
        <v>185.42</v>
      </c>
      <c r="H45" s="6">
        <v>187.96</v>
      </c>
      <c r="I45" s="7">
        <f>DATEDIF(DATE(1986,12,6),DATE(2024,11,9),"Y")</f>
        <v>37</v>
      </c>
      <c r="J45" s="7">
        <f>DATEDIF(DATE(1996,3,9),DATE(2024,11,9),"Y")</f>
        <v>28</v>
      </c>
      <c r="K45" s="6">
        <v>25</v>
      </c>
      <c r="L45" s="6">
        <v>8</v>
      </c>
      <c r="M45" s="6">
        <v>7</v>
      </c>
      <c r="N45" s="6">
        <v>1</v>
      </c>
      <c r="O45">
        <v>0</v>
      </c>
      <c r="P45" s="6">
        <v>0</v>
      </c>
      <c r="Q45" s="8">
        <f t="shared" si="76"/>
        <v>9</v>
      </c>
      <c r="R45" s="8">
        <f t="shared" si="77"/>
        <v>-9</v>
      </c>
      <c r="S45">
        <f t="shared" si="78"/>
        <v>-10.159999999999997</v>
      </c>
      <c r="T45">
        <f t="shared" si="79"/>
        <v>10.159999999999997</v>
      </c>
      <c r="U45">
        <f t="shared" si="80"/>
        <v>0</v>
      </c>
      <c r="V45">
        <f t="shared" si="81"/>
        <v>0</v>
      </c>
      <c r="W45">
        <f t="shared" si="82"/>
        <v>-2.5400000000000205</v>
      </c>
      <c r="X45">
        <f t="shared" si="83"/>
        <v>2.5400000000000205</v>
      </c>
      <c r="Y45">
        <f t="shared" si="84"/>
        <v>33</v>
      </c>
      <c r="Z45">
        <f t="shared" si="85"/>
        <v>8</v>
      </c>
      <c r="AA45">
        <f t="shared" si="86"/>
        <v>3.125</v>
      </c>
      <c r="AB45">
        <f t="shared" si="87"/>
        <v>7</v>
      </c>
      <c r="AC45">
        <f t="shared" si="88"/>
        <v>25</v>
      </c>
      <c r="AD45">
        <f t="shared" si="89"/>
        <v>-25</v>
      </c>
      <c r="AE45">
        <f t="shared" si="90"/>
        <v>-3.875</v>
      </c>
      <c r="AF45">
        <f t="shared" si="91"/>
        <v>3.875</v>
      </c>
      <c r="AG45">
        <f t="shared" si="92"/>
        <v>0</v>
      </c>
      <c r="AH45">
        <f t="shared" si="93"/>
        <v>0</v>
      </c>
      <c r="AI45">
        <v>1</v>
      </c>
      <c r="AJ45">
        <v>0</v>
      </c>
      <c r="AK45" s="8"/>
      <c r="AL45" s="8"/>
    </row>
    <row r="46" spans="1:38">
      <c r="A46" s="11" t="s">
        <v>161</v>
      </c>
      <c r="B46" s="11" t="s">
        <v>162</v>
      </c>
      <c r="C46" s="6">
        <v>160.02000000000001</v>
      </c>
      <c r="D46" s="6">
        <v>157.47999999999999</v>
      </c>
      <c r="E46" s="6">
        <v>115</v>
      </c>
      <c r="F46" s="6">
        <v>115</v>
      </c>
      <c r="G46" s="6">
        <v>162.56</v>
      </c>
      <c r="H46" s="6">
        <v>160.02000000000001</v>
      </c>
      <c r="I46" s="7">
        <f>DATEDIF(DATE(1985,10,15),DATE(2024,11,9),"Y")</f>
        <v>39</v>
      </c>
      <c r="J46" s="7">
        <f>DATEDIF(DATE(1999,12,30),DATE(2024,11,9),"Y")</f>
        <v>24</v>
      </c>
      <c r="K46" s="6">
        <v>16</v>
      </c>
      <c r="L46" s="6">
        <v>9</v>
      </c>
      <c r="M46" s="6">
        <v>10</v>
      </c>
      <c r="N46" s="6">
        <v>3</v>
      </c>
      <c r="O46">
        <v>0</v>
      </c>
      <c r="P46" s="6">
        <v>1</v>
      </c>
      <c r="Q46" s="8">
        <f t="shared" si="76"/>
        <v>15</v>
      </c>
      <c r="R46" s="8">
        <f t="shared" si="77"/>
        <v>-15</v>
      </c>
      <c r="S46">
        <f t="shared" si="78"/>
        <v>2.5400000000000205</v>
      </c>
      <c r="T46">
        <f t="shared" si="79"/>
        <v>-2.5400000000000205</v>
      </c>
      <c r="U46">
        <f t="shared" si="80"/>
        <v>0</v>
      </c>
      <c r="V46">
        <f t="shared" si="81"/>
        <v>0</v>
      </c>
      <c r="W46">
        <f t="shared" si="82"/>
        <v>2.539999999999992</v>
      </c>
      <c r="X46">
        <f t="shared" si="83"/>
        <v>-2.539999999999992</v>
      </c>
      <c r="Y46">
        <f t="shared" si="84"/>
        <v>25</v>
      </c>
      <c r="Z46">
        <f t="shared" si="85"/>
        <v>13</v>
      </c>
      <c r="AA46">
        <f t="shared" si="86"/>
        <v>1.7777777777777777</v>
      </c>
      <c r="AB46">
        <f t="shared" si="87"/>
        <v>3.3333333333333335</v>
      </c>
      <c r="AC46">
        <f t="shared" si="88"/>
        <v>12</v>
      </c>
      <c r="AD46">
        <f t="shared" si="89"/>
        <v>-12</v>
      </c>
      <c r="AE46">
        <f t="shared" si="90"/>
        <v>-1.5555555555555558</v>
      </c>
      <c r="AF46">
        <f t="shared" si="91"/>
        <v>1.5555555555555558</v>
      </c>
      <c r="AG46">
        <f t="shared" si="92"/>
        <v>-1</v>
      </c>
      <c r="AH46">
        <f t="shared" si="93"/>
        <v>1</v>
      </c>
      <c r="AI46">
        <v>0</v>
      </c>
      <c r="AJ46">
        <v>1</v>
      </c>
    </row>
    <row r="47" spans="1:38">
      <c r="A47" s="11" t="s">
        <v>163</v>
      </c>
      <c r="B47" s="11" t="s">
        <v>164</v>
      </c>
      <c r="C47" s="6">
        <v>187.96</v>
      </c>
      <c r="D47" s="6">
        <v>185.42</v>
      </c>
      <c r="E47" s="6">
        <v>185</v>
      </c>
      <c r="F47" s="6">
        <v>185</v>
      </c>
      <c r="G47" s="6">
        <v>200.66</v>
      </c>
      <c r="H47" s="6">
        <v>187.96</v>
      </c>
      <c r="I47" s="7">
        <f>DATEDIF(DATE(1997,10,7),DATE(2024,11,9),"Y")</f>
        <v>27</v>
      </c>
      <c r="J47" s="7">
        <f>DATEDIF(DATE(1994,5,19),DATE(2024,11,9),"Y")</f>
        <v>30</v>
      </c>
      <c r="K47" s="6">
        <v>7</v>
      </c>
      <c r="L47" s="6">
        <v>0</v>
      </c>
      <c r="M47" s="6">
        <v>12</v>
      </c>
      <c r="N47" s="6">
        <v>5</v>
      </c>
      <c r="O47">
        <v>1</v>
      </c>
      <c r="P47" s="6">
        <v>0</v>
      </c>
      <c r="Q47" s="8">
        <f t="shared" si="76"/>
        <v>-3</v>
      </c>
      <c r="R47" s="8">
        <f t="shared" si="77"/>
        <v>3</v>
      </c>
      <c r="S47">
        <f t="shared" si="78"/>
        <v>2.5400000000000205</v>
      </c>
      <c r="T47">
        <f t="shared" si="79"/>
        <v>-2.5400000000000205</v>
      </c>
      <c r="U47">
        <f t="shared" si="80"/>
        <v>0</v>
      </c>
      <c r="V47">
        <f t="shared" si="81"/>
        <v>0</v>
      </c>
      <c r="W47">
        <f t="shared" si="82"/>
        <v>12.699999999999989</v>
      </c>
      <c r="X47">
        <f t="shared" si="83"/>
        <v>-12.699999999999989</v>
      </c>
      <c r="Y47">
        <f t="shared" si="84"/>
        <v>7</v>
      </c>
      <c r="Z47">
        <f t="shared" si="85"/>
        <v>17</v>
      </c>
      <c r="AA47">
        <f t="shared" si="86"/>
        <v>7</v>
      </c>
      <c r="AB47">
        <f t="shared" si="87"/>
        <v>2.4</v>
      </c>
      <c r="AC47">
        <f t="shared" si="88"/>
        <v>-10</v>
      </c>
      <c r="AD47">
        <f t="shared" si="89"/>
        <v>10</v>
      </c>
      <c r="AE47">
        <f t="shared" si="90"/>
        <v>4.5999999999999996</v>
      </c>
      <c r="AF47">
        <f t="shared" si="91"/>
        <v>-4.5999999999999996</v>
      </c>
      <c r="AG47">
        <f t="shared" si="92"/>
        <v>1</v>
      </c>
      <c r="AH47">
        <f t="shared" si="93"/>
        <v>-1</v>
      </c>
      <c r="AI47">
        <v>1</v>
      </c>
      <c r="AJ47">
        <v>0</v>
      </c>
    </row>
    <row r="48" spans="1:38">
      <c r="A48" s="11" t="s">
        <v>165</v>
      </c>
      <c r="B48" s="11" t="s">
        <v>166</v>
      </c>
      <c r="C48" s="6">
        <v>157.47999999999999</v>
      </c>
      <c r="D48" s="6">
        <v>165.1</v>
      </c>
      <c r="E48" s="6">
        <v>115</v>
      </c>
      <c r="F48" s="6">
        <v>115</v>
      </c>
      <c r="G48" s="6">
        <v>157.47999999999999</v>
      </c>
      <c r="H48" s="6">
        <v>160.02000000000001</v>
      </c>
      <c r="I48" s="7">
        <f>DATEDIF(DATE(1992,11,18),DATE(2024,11,9),"Y")</f>
        <v>31</v>
      </c>
      <c r="J48" s="7">
        <f>DATEDIF(DATE(1995,5,17),DATE(2024,11,9),"Y")</f>
        <v>29</v>
      </c>
      <c r="K48" s="6">
        <v>11</v>
      </c>
      <c r="L48" s="6">
        <v>4</v>
      </c>
      <c r="M48" s="6">
        <v>15</v>
      </c>
      <c r="N48" s="6">
        <v>8</v>
      </c>
      <c r="O48">
        <v>0</v>
      </c>
      <c r="P48" s="6">
        <v>2</v>
      </c>
      <c r="Q48" s="8">
        <f t="shared" si="76"/>
        <v>2</v>
      </c>
      <c r="R48" s="8">
        <f t="shared" si="77"/>
        <v>-2</v>
      </c>
      <c r="S48">
        <f t="shared" si="78"/>
        <v>-7.6200000000000045</v>
      </c>
      <c r="T48">
        <f t="shared" si="79"/>
        <v>7.6200000000000045</v>
      </c>
      <c r="U48">
        <f t="shared" si="80"/>
        <v>0</v>
      </c>
      <c r="V48">
        <f t="shared" si="81"/>
        <v>0</v>
      </c>
      <c r="W48">
        <f t="shared" si="82"/>
        <v>-2.5400000000000205</v>
      </c>
      <c r="X48">
        <f t="shared" si="83"/>
        <v>2.5400000000000205</v>
      </c>
      <c r="Y48">
        <f t="shared" si="84"/>
        <v>15</v>
      </c>
      <c r="Z48">
        <f t="shared" si="85"/>
        <v>23</v>
      </c>
      <c r="AA48">
        <f t="shared" si="86"/>
        <v>2.75</v>
      </c>
      <c r="AB48">
        <f t="shared" si="87"/>
        <v>1.875</v>
      </c>
      <c r="AC48">
        <f t="shared" si="88"/>
        <v>-8</v>
      </c>
      <c r="AD48">
        <f t="shared" si="89"/>
        <v>8</v>
      </c>
      <c r="AE48">
        <f t="shared" si="90"/>
        <v>0.875</v>
      </c>
      <c r="AF48">
        <f t="shared" si="91"/>
        <v>-0.875</v>
      </c>
      <c r="AG48">
        <f t="shared" si="92"/>
        <v>-2</v>
      </c>
      <c r="AH48">
        <f t="shared" si="93"/>
        <v>2</v>
      </c>
      <c r="AI48">
        <v>0</v>
      </c>
      <c r="AJ48">
        <v>1</v>
      </c>
    </row>
    <row r="49" spans="1:36">
      <c r="A49" s="11" t="s">
        <v>167</v>
      </c>
      <c r="B49" s="11" t="s">
        <v>168</v>
      </c>
      <c r="C49" s="6">
        <v>170.18</v>
      </c>
      <c r="D49" s="6">
        <v>162.56</v>
      </c>
      <c r="E49" s="6">
        <v>135</v>
      </c>
      <c r="F49" s="6">
        <v>135</v>
      </c>
      <c r="G49" s="6">
        <v>175.26</v>
      </c>
      <c r="H49" s="6">
        <v>172.72</v>
      </c>
      <c r="I49" s="7">
        <f>DATEDIF(DATE(1992,9,14),DATE(2024,11,9),"Y")</f>
        <v>32</v>
      </c>
      <c r="J49" s="7">
        <f>DATEDIF(DATE(1994,1,6),DATE(2024,11,9),"Y")</f>
        <v>30</v>
      </c>
      <c r="K49" s="6">
        <v>8</v>
      </c>
      <c r="L49" s="6">
        <v>4</v>
      </c>
      <c r="M49" s="6">
        <v>9</v>
      </c>
      <c r="N49" s="6">
        <v>3</v>
      </c>
      <c r="O49">
        <v>0</v>
      </c>
      <c r="P49" s="6">
        <v>1</v>
      </c>
      <c r="Q49" s="8">
        <f t="shared" si="76"/>
        <v>2</v>
      </c>
      <c r="R49" s="8">
        <f t="shared" si="77"/>
        <v>-2</v>
      </c>
      <c r="S49">
        <f t="shared" si="78"/>
        <v>7.6200000000000045</v>
      </c>
      <c r="T49">
        <f t="shared" si="79"/>
        <v>-7.6200000000000045</v>
      </c>
      <c r="U49">
        <f t="shared" si="80"/>
        <v>0</v>
      </c>
      <c r="V49">
        <f t="shared" si="81"/>
        <v>0</v>
      </c>
      <c r="W49">
        <f t="shared" si="82"/>
        <v>2.539999999999992</v>
      </c>
      <c r="X49">
        <f t="shared" si="83"/>
        <v>-2.539999999999992</v>
      </c>
      <c r="Y49">
        <f t="shared" si="84"/>
        <v>12</v>
      </c>
      <c r="Z49">
        <f t="shared" si="85"/>
        <v>12</v>
      </c>
      <c r="AA49">
        <f t="shared" si="86"/>
        <v>2</v>
      </c>
      <c r="AB49">
        <f t="shared" si="87"/>
        <v>3</v>
      </c>
      <c r="AC49">
        <f t="shared" si="88"/>
        <v>0</v>
      </c>
      <c r="AD49">
        <f t="shared" si="89"/>
        <v>0</v>
      </c>
      <c r="AE49">
        <f t="shared" si="90"/>
        <v>-1</v>
      </c>
      <c r="AF49">
        <f t="shared" si="91"/>
        <v>1</v>
      </c>
      <c r="AG49">
        <f t="shared" si="92"/>
        <v>-1</v>
      </c>
      <c r="AH49">
        <f t="shared" si="93"/>
        <v>1</v>
      </c>
      <c r="AI49">
        <v>1</v>
      </c>
      <c r="AJ49">
        <v>0</v>
      </c>
    </row>
    <row r="50" spans="1:36">
      <c r="A50" s="11" t="s">
        <v>169</v>
      </c>
      <c r="B50" s="11" t="s">
        <v>170</v>
      </c>
      <c r="C50" s="6">
        <v>185.42</v>
      </c>
      <c r="D50" s="6">
        <v>193.04</v>
      </c>
      <c r="E50" s="6">
        <v>185</v>
      </c>
      <c r="F50" s="6">
        <v>185</v>
      </c>
      <c r="G50" s="6">
        <v>195.58</v>
      </c>
      <c r="H50" s="6">
        <v>198.12</v>
      </c>
      <c r="I50" s="7">
        <f>DATEDIF(DATE(1987,12,18),DATE(2024,11,9),"Y")</f>
        <v>36</v>
      </c>
      <c r="J50" s="7">
        <f>DATEDIF(DATE(1990,9,7),DATE(2024,11,9),"Y")</f>
        <v>34</v>
      </c>
      <c r="K50" s="6">
        <v>37</v>
      </c>
      <c r="L50" s="6">
        <v>18</v>
      </c>
      <c r="M50" s="6">
        <v>18</v>
      </c>
      <c r="N50" s="6">
        <v>2</v>
      </c>
      <c r="O50">
        <v>2</v>
      </c>
      <c r="P50" s="6">
        <v>0</v>
      </c>
      <c r="Q50" s="8">
        <f t="shared" si="76"/>
        <v>2</v>
      </c>
      <c r="R50" s="8">
        <f t="shared" si="77"/>
        <v>-2</v>
      </c>
      <c r="S50">
        <f t="shared" si="78"/>
        <v>-7.6200000000000045</v>
      </c>
      <c r="T50">
        <f t="shared" si="79"/>
        <v>7.6200000000000045</v>
      </c>
      <c r="U50">
        <f t="shared" si="80"/>
        <v>0</v>
      </c>
      <c r="V50">
        <f t="shared" si="81"/>
        <v>0</v>
      </c>
      <c r="W50">
        <f t="shared" si="82"/>
        <v>-2.539999999999992</v>
      </c>
      <c r="X50">
        <f t="shared" si="83"/>
        <v>2.539999999999992</v>
      </c>
      <c r="Y50">
        <f t="shared" si="84"/>
        <v>55</v>
      </c>
      <c r="Z50">
        <f t="shared" si="85"/>
        <v>20</v>
      </c>
      <c r="AA50">
        <f t="shared" si="86"/>
        <v>2.0555555555555554</v>
      </c>
      <c r="AB50">
        <f t="shared" si="87"/>
        <v>9</v>
      </c>
      <c r="AC50">
        <f t="shared" si="88"/>
        <v>35</v>
      </c>
      <c r="AD50">
        <f t="shared" si="89"/>
        <v>-35</v>
      </c>
      <c r="AE50">
        <f t="shared" si="90"/>
        <v>-6.9444444444444446</v>
      </c>
      <c r="AF50">
        <f t="shared" si="91"/>
        <v>6.9444444444444446</v>
      </c>
      <c r="AG50">
        <f t="shared" si="92"/>
        <v>2</v>
      </c>
      <c r="AH50">
        <f t="shared" si="93"/>
        <v>-2</v>
      </c>
      <c r="AI50">
        <v>0</v>
      </c>
      <c r="AJ50">
        <v>1</v>
      </c>
    </row>
    <row r="51" spans="1:36">
      <c r="A51" s="11" t="s">
        <v>171</v>
      </c>
      <c r="B51" s="11" t="s">
        <v>172</v>
      </c>
      <c r="C51" s="6">
        <v>190.5</v>
      </c>
      <c r="D51" s="6">
        <v>185.42</v>
      </c>
      <c r="E51" s="6">
        <v>170</v>
      </c>
      <c r="F51" s="6">
        <v>170</v>
      </c>
      <c r="G51" s="6">
        <v>203.2</v>
      </c>
      <c r="H51" s="6">
        <v>198.12</v>
      </c>
      <c r="I51" s="7">
        <f>DATEDIF(DATE(1987,8,3),DATE(2024,11,9),"Y")</f>
        <v>37</v>
      </c>
      <c r="J51" s="7">
        <f>DATEDIF(DATE(1993,8,17),DATE(2024,11,9),"Y")</f>
        <v>31</v>
      </c>
      <c r="K51" s="6">
        <v>29</v>
      </c>
      <c r="L51" s="6">
        <v>14</v>
      </c>
      <c r="M51" s="6">
        <v>21</v>
      </c>
      <c r="N51" s="6">
        <v>6</v>
      </c>
      <c r="O51">
        <v>0</v>
      </c>
      <c r="P51" s="6">
        <v>4</v>
      </c>
      <c r="Q51" s="8">
        <f t="shared" si="76"/>
        <v>6</v>
      </c>
      <c r="R51" s="8">
        <f t="shared" si="77"/>
        <v>-6</v>
      </c>
      <c r="S51">
        <f t="shared" si="78"/>
        <v>5.0800000000000125</v>
      </c>
      <c r="T51">
        <f t="shared" si="79"/>
        <v>-5.0800000000000125</v>
      </c>
      <c r="U51">
        <f t="shared" si="80"/>
        <v>0</v>
      </c>
      <c r="V51">
        <f t="shared" si="81"/>
        <v>0</v>
      </c>
      <c r="W51">
        <f t="shared" si="82"/>
        <v>5.0799999999999841</v>
      </c>
      <c r="X51">
        <f t="shared" si="83"/>
        <v>-5.0799999999999841</v>
      </c>
      <c r="Y51">
        <f t="shared" si="84"/>
        <v>43</v>
      </c>
      <c r="Z51">
        <f t="shared" si="85"/>
        <v>27</v>
      </c>
      <c r="AA51">
        <f t="shared" si="86"/>
        <v>2.0714285714285716</v>
      </c>
      <c r="AB51">
        <f t="shared" si="87"/>
        <v>3.5</v>
      </c>
      <c r="AC51">
        <f t="shared" si="88"/>
        <v>16</v>
      </c>
      <c r="AD51">
        <f t="shared" si="89"/>
        <v>-16</v>
      </c>
      <c r="AE51">
        <f t="shared" si="90"/>
        <v>-1.4285714285714284</v>
      </c>
      <c r="AF51">
        <f t="shared" si="91"/>
        <v>1.4285714285714284</v>
      </c>
      <c r="AG51">
        <f t="shared" si="92"/>
        <v>-4</v>
      </c>
      <c r="AH51">
        <f t="shared" si="93"/>
        <v>4</v>
      </c>
      <c r="AI51">
        <v>0</v>
      </c>
      <c r="A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white</dc:creator>
  <cp:keywords/>
  <dc:description/>
  <cp:lastModifiedBy>White, Luke</cp:lastModifiedBy>
  <cp:revision/>
  <dcterms:created xsi:type="dcterms:W3CDTF">2015-06-05T18:17:20Z</dcterms:created>
  <dcterms:modified xsi:type="dcterms:W3CDTF">2024-12-14T18:40:39Z</dcterms:modified>
  <cp:category/>
  <cp:contentStatus/>
</cp:coreProperties>
</file>